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8.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omments5.xml" ContentType="application/vnd.openxmlformats-officedocument.spreadsheetml.comments+xml"/>
  <Override PartName="/xl/threadedComments/threadedComment5.xml" ContentType="application/vnd.ms-excel.threadedcomments+xml"/>
  <Override PartName="/xl/drawings/drawing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10.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omments8.xml" ContentType="application/vnd.openxmlformats-officedocument.spreadsheetml.comments+xml"/>
  <Override PartName="/xl/threadedComments/threadedComment8.xml" ContentType="application/vnd.ms-excel.threadedcomments+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2.xml" ContentType="application/vnd.openxmlformats-officedocument.drawing+xml"/>
  <Override PartName="/xl/comments9.xml" ContentType="application/vnd.openxmlformats-officedocument.spreadsheetml.comments+xml"/>
  <Override PartName="/xl/threadedComments/threadedComment9.xml" ContentType="application/vnd.ms-excel.threadedcomments+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14.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5.xml" ContentType="application/vnd.openxmlformats-officedocument.drawing+xml"/>
  <Override PartName="/xl/comments12.xml" ContentType="application/vnd.openxmlformats-officedocument.spreadsheetml.comments+xml"/>
  <Override PartName="/xl/threadedComments/threadedComment12.xml" ContentType="application/vnd.ms-excel.threadedcomments+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codeName="ThisWorkbook"/>
  <mc:AlternateContent xmlns:mc="http://schemas.openxmlformats.org/markup-compatibility/2006">
    <mc:Choice Requires="x15">
      <x15ac:absPath xmlns:x15ac="http://schemas.microsoft.com/office/spreadsheetml/2010/11/ac" url="https://talbottheartofwater.sharepoint.com/sites/AspenWERC/Shared Documents/Aspen/Model/"/>
    </mc:Choice>
  </mc:AlternateContent>
  <xr:revisionPtr revIDLastSave="91" documentId="13_ncr:1_{36CA18DF-9FAF-4652-8292-F862106547FE}" xr6:coauthVersionLast="47" xr6:coauthVersionMax="47" xr10:uidLastSave="{A458CDFE-851B-4BFA-8EA6-7FE2BFC2A19E}"/>
  <bookViews>
    <workbookView xWindow="30" yWindow="0" windowWidth="20460" windowHeight="10920" firstSheet="8" activeTab="8" xr2:uid="{B533A182-FC12-46FA-8816-B60278AC87AA}"/>
  </bookViews>
  <sheets>
    <sheet name="Sheet1" sheetId="115" r:id="rId1"/>
    <sheet name="Blank (2)" sheetId="113" r:id="rId2"/>
    <sheet name="Cover" sheetId="73" r:id="rId3"/>
    <sheet name="Notes" sheetId="102" r:id="rId4"/>
    <sheet name="Legend" sheetId="76" r:id="rId5"/>
    <sheet name="Names" sheetId="41" r:id="rId6"/>
    <sheet name="Inputs" sheetId="112" r:id="rId7"/>
    <sheet name="BaU Model" sheetId="114" r:id="rId8"/>
    <sheet name="Strategic Model" sheetId="118" r:id="rId9"/>
    <sheet name="Availability Model" sheetId="116" r:id="rId10"/>
    <sheet name="Results" sheetId="120" r:id="rId11"/>
    <sheet name="Graphs" sheetId="121" r:id="rId12"/>
    <sheet name="Scenarios" sheetId="128" r:id="rId13"/>
    <sheet name="Scenario Graphs" sheetId="129" r:id="rId14"/>
    <sheet name="Risk exposure pessimistic view" sheetId="130" r:id="rId15"/>
    <sheet name="Timing" sheetId="84" r:id="rId16"/>
    <sheet name="Sheet2" sheetId="117" r:id="rId17"/>
    <sheet name="Initiative 1 Model" sheetId="123" r:id="rId18"/>
    <sheet name="Initiative 2 Model" sheetId="124" r:id="rId19"/>
    <sheet name="Initiative 3 Model" sheetId="125" r:id="rId20"/>
    <sheet name="Initiative 4 Model" sheetId="126" r:id="rId21"/>
    <sheet name="Initiative 5 Model" sheetId="127" r:id="rId22"/>
    <sheet name="Impact calcs" sheetId="122" r:id="rId23"/>
  </sheets>
  <externalReferences>
    <externalReference r:id="rId24"/>
    <externalReference r:id="rId25"/>
    <externalReference r:id="rId26"/>
    <externalReference r:id="rId27"/>
  </externalReferences>
  <definedNames>
    <definedName name="__1__123Graph_ACHART_1" hidden="1">[1]CALC!$F$399:$Y$399</definedName>
    <definedName name="__10__123Graph_ACHART_4" hidden="1">[1]CALC!$F$402:$Y$402</definedName>
    <definedName name="__11__123Graph_ACHART_5" hidden="1">[1]CALC!$F$405:$Y$405</definedName>
    <definedName name="__12__123Graph_ACHART_6" hidden="1">[1]CALC!$F$408:$Y$408</definedName>
    <definedName name="__13__123Graph_ACHART_7" hidden="1">[1]CALC!$F$435:$Y$435</definedName>
    <definedName name="__14__123Graph_ACHART_8" hidden="1">[1]CALC!$F$462:$Y$462</definedName>
    <definedName name="__15__123Graph_ACHART_9" hidden="1">[1]CALC!$F$429:$Y$429</definedName>
    <definedName name="__16__123Graph_BCHART_1" hidden="1">[1]CALC!$F$400:$Y$400</definedName>
    <definedName name="__17__123Graph_BCHART_11" hidden="1">[1]CALC!$F$412:$Y$412</definedName>
    <definedName name="__18__123Graph_BCHART_12" hidden="1">[1]CALC!$F$415:$Y$415</definedName>
    <definedName name="__19__123Graph_BCHART_13" hidden="1">[1]CALC!$F$419:$Y$419</definedName>
    <definedName name="__2__123Graph_ACHART_10" hidden="1">[1]CALC!$F$432:$O$432</definedName>
    <definedName name="__20__123Graph_BCHART_14" hidden="1">[1]CALC!$F$423:$Y$423</definedName>
    <definedName name="__21__123Graph_BCHART_15" hidden="1">[1]CALC!$U$501:$U$509</definedName>
    <definedName name="__22__123Graph_BCHART_3" hidden="1">[1]CALC!$F$496:$Y$496</definedName>
    <definedName name="__23__123Graph_BCHART_4" hidden="1">[1]CALC!$F$403:$Y$403</definedName>
    <definedName name="__24__123Graph_BCHART_5" hidden="1">[1]CALC!$F$406:$Y$406</definedName>
    <definedName name="__25__123Graph_BCHART_6" hidden="1">[1]CALC!$F$409:$Y$409</definedName>
    <definedName name="__26__123Graph_BCHART_7" hidden="1">[1]CALC!$F$437:$Y$437</definedName>
    <definedName name="__27__123Graph_BCHART_8" hidden="1">[1]CALC!$F$466:$Y$466</definedName>
    <definedName name="__28__123Graph_CCHART_13" hidden="1">[1]CALC!$F$420:$Y$420</definedName>
    <definedName name="__29__123Graph_CCHART_15" hidden="1">[1]CALC!$V$501:$V$509</definedName>
    <definedName name="__3__123Graph_ACHART_11" hidden="1">[1]CALC!$F$411:$Y$411</definedName>
    <definedName name="__30__123Graph_DCHART_10" hidden="1">[1]CALC!$F$433:$O$433</definedName>
    <definedName name="__31__123Graph_DCHART_15" hidden="1">[1]CALC!$W$501:$W$509</definedName>
    <definedName name="__32__123Graph_DCHART_2" hidden="1">[1]CALC!$F$427:$Y$427</definedName>
    <definedName name="__33__123Graph_DCHART_9" hidden="1">[1]CALC!$F$430:$Y$430</definedName>
    <definedName name="__34__123Graph_ECHART_15" hidden="1">[1]CALC!$X$501:$X$509</definedName>
    <definedName name="__35__123Graph_FCHART_15" hidden="1">[1]CALC!$Y$501:$Y$509</definedName>
    <definedName name="__36__123Graph_XCHART_10" hidden="1">[1]CALC!$F$396:$O$396</definedName>
    <definedName name="__37__123Graph_XCHART_11" hidden="1">[1]CALC!$F$396:$Y$396</definedName>
    <definedName name="__38__123Graph_XCHART_12" hidden="1">[1]CALC!$F$396:$Y$396</definedName>
    <definedName name="__39__123Graph_XCHART_13" hidden="1">[1]CALC!$F$396:$Y$396</definedName>
    <definedName name="__4__123Graph_ACHART_12" hidden="1">[1]CALC!$F$414:$Y$414</definedName>
    <definedName name="__40__123Graph_XCHART_14" hidden="1">[1]CALC!$F$396:$Y$396</definedName>
    <definedName name="__41__123Graph_XCHART_15" hidden="1">[1]CALC!$S$501:$S$509</definedName>
    <definedName name="__42__123Graph_XCHART_2" hidden="1">[1]CALC!$F$396:$Y$396</definedName>
    <definedName name="__43__123Graph_XCHART_3" hidden="1">[1]CALC!$F$396:$Y$396</definedName>
    <definedName name="__44__123Graph_XCHART_4" hidden="1">[1]CALC!$F$396:$Y$396</definedName>
    <definedName name="__45__123Graph_XCHART_5" hidden="1">[1]CALC!$F$396:$Y$396</definedName>
    <definedName name="__46__123Graph_XCHART_6" hidden="1">[1]CALC!$F$396:$Y$396</definedName>
    <definedName name="__47__123Graph_XCHART_7" hidden="1">[1]CALC!$F$396:$Y$396</definedName>
    <definedName name="__48__123Graph_XCHART_8" hidden="1">[1]CALC!$F$396:$Y$396</definedName>
    <definedName name="__49__123Graph_XCHART_9" hidden="1">[1]CALC!$F$396:$Y$396</definedName>
    <definedName name="__5__123Graph_ACHART_13" hidden="1">[1]CALC!$F$418:$Y$418</definedName>
    <definedName name="__6__123Graph_ACHART_14" hidden="1">[1]CALC!$F$422:$Y$422</definedName>
    <definedName name="__7__123Graph_ACHART_15" hidden="1">[1]CALC!$T$501:$T$509</definedName>
    <definedName name="__8__123Graph_ACHART_2" hidden="1">[1]CALC!$F$426:$Y$426</definedName>
    <definedName name="__9__123Graph_ACHART_3" hidden="1">[1]CALC!$F$492:$Y$492</definedName>
    <definedName name="_1__123Graph_ACHART_1" hidden="1">[1]CALC!$F$399:$Y$399</definedName>
    <definedName name="_10__123Graph_ACHART_4" hidden="1">[1]CALC!$F$402:$Y$402</definedName>
    <definedName name="_11__123Graph_ACHART_5" hidden="1">[1]CALC!$F$405:$Y$405</definedName>
    <definedName name="_12__123Graph_ACHART_6" hidden="1">[1]CALC!$F$408:$Y$408</definedName>
    <definedName name="_13__123Graph_ACHART_7" hidden="1">[1]CALC!$F$435:$Y$435</definedName>
    <definedName name="_14__123Graph_ACHART_8" hidden="1">[1]CALC!$F$462:$Y$462</definedName>
    <definedName name="_15__123Graph_ACHART_9" hidden="1">[1]CALC!$F$429:$Y$429</definedName>
    <definedName name="_16__123Graph_BCHART_1" hidden="1">[1]CALC!$F$400:$Y$400</definedName>
    <definedName name="_17__123Graph_BCHART_11" hidden="1">[1]CALC!$F$412:$Y$412</definedName>
    <definedName name="_18__123Graph_BCHART_12" hidden="1">[1]CALC!$F$415:$Y$415</definedName>
    <definedName name="_19__123Graph_BCHART_13" hidden="1">[1]CALC!$F$419:$Y$419</definedName>
    <definedName name="_2__123Graph_ACHART_10" hidden="1">[1]CALC!$F$432:$O$432</definedName>
    <definedName name="_20__123Graph_BCHART_14" hidden="1">[1]CALC!$F$423:$Y$423</definedName>
    <definedName name="_21__123Graph_BCHART_15" hidden="1">[1]CALC!$U$501:$U$509</definedName>
    <definedName name="_22__123Graph_BCHART_3" hidden="1">[1]CALC!$F$496:$Y$496</definedName>
    <definedName name="_23__123Graph_BCHART_4" hidden="1">[1]CALC!$F$403:$Y$403</definedName>
    <definedName name="_24__123Graph_BCHART_5" hidden="1">[1]CALC!$F$406:$Y$406</definedName>
    <definedName name="_25__123Graph_BCHART_6" hidden="1">[1]CALC!$F$409:$Y$409</definedName>
    <definedName name="_26__123Graph_BCHART_7" hidden="1">[1]CALC!$F$437:$Y$437</definedName>
    <definedName name="_27__123Graph_BCHART_8" hidden="1">[1]CALC!$F$466:$Y$466</definedName>
    <definedName name="_28__123Graph_CCHART_13" hidden="1">[1]CALC!$F$420:$Y$420</definedName>
    <definedName name="_29__123Graph_CCHART_15" hidden="1">[1]CALC!$V$501:$V$509</definedName>
    <definedName name="_3__123Graph_ACHART_11" hidden="1">[1]CALC!$F$411:$Y$411</definedName>
    <definedName name="_30__123Graph_DCHART_10" hidden="1">[1]CALC!$F$433:$O$433</definedName>
    <definedName name="_31__123Graph_DCHART_15" hidden="1">[1]CALC!$W$501:$W$509</definedName>
    <definedName name="_32__123Graph_DCHART_2" hidden="1">[1]CALC!$F$427:$Y$427</definedName>
    <definedName name="_33__123Graph_DCHART_9" hidden="1">[1]CALC!$F$430:$Y$430</definedName>
    <definedName name="_34__123Graph_ECHART_15" hidden="1">[1]CALC!$X$501:$X$509</definedName>
    <definedName name="_35__123Graph_FCHART_15" hidden="1">[1]CALC!$Y$501:$Y$509</definedName>
    <definedName name="_36__123Graph_XCHART_10" hidden="1">[1]CALC!$F$396:$O$396</definedName>
    <definedName name="_37__123Graph_XCHART_11" hidden="1">[1]CALC!$F$396:$Y$396</definedName>
    <definedName name="_38__123Graph_XCHART_12" hidden="1">[1]CALC!$F$396:$Y$396</definedName>
    <definedName name="_39__123Graph_XCHART_13" hidden="1">[1]CALC!$F$396:$Y$396</definedName>
    <definedName name="_4__123Graph_ACHART_12" hidden="1">[1]CALC!$F$414:$Y$414</definedName>
    <definedName name="_40__123Graph_XCHART_14" hidden="1">[1]CALC!$F$396:$Y$396</definedName>
    <definedName name="_41__123Graph_XCHART_15" hidden="1">[1]CALC!$S$501:$S$509</definedName>
    <definedName name="_42__123Graph_XCHART_2" hidden="1">[1]CALC!$F$396:$Y$396</definedName>
    <definedName name="_43__123Graph_XCHART_3" hidden="1">[1]CALC!$F$396:$Y$396</definedName>
    <definedName name="_44__123Graph_XCHART_4" hidden="1">[1]CALC!$F$396:$Y$396</definedName>
    <definedName name="_45__123Graph_XCHART_5" hidden="1">[1]CALC!$F$396:$Y$396</definedName>
    <definedName name="_46__123Graph_XCHART_6" hidden="1">[1]CALC!$F$396:$Y$396</definedName>
    <definedName name="_47__123Graph_XCHART_7" hidden="1">[1]CALC!$F$396:$Y$396</definedName>
    <definedName name="_48__123Graph_XCHART_8" hidden="1">[1]CALC!$F$396:$Y$396</definedName>
    <definedName name="_49__123Graph_XCHART_9" hidden="1">[1]CALC!$F$396:$Y$396</definedName>
    <definedName name="_5__123Graph_ACHART_13" hidden="1">[1]CALC!$F$418:$Y$418</definedName>
    <definedName name="_6__123Graph_ACHART_14" hidden="1">[1]CALC!$F$422:$Y$422</definedName>
    <definedName name="_7__123Graph_ACHART_15" hidden="1">[1]CALC!$T$501:$T$509</definedName>
    <definedName name="_8__123Graph_ACHART_2" hidden="1">[1]CALC!$F$426:$Y$426</definedName>
    <definedName name="_9__123Graph_ACHART_3" hidden="1">[1]CALC!$F$492:$Y$492</definedName>
    <definedName name="_Key1" hidden="1">#REF!</definedName>
    <definedName name="_Order1" hidden="1">255</definedName>
    <definedName name="_Order2" hidden="1">255</definedName>
    <definedName name="_Sort" hidden="1">#REF!</definedName>
    <definedName name="_xleta.AVERAGE" hidden="1" xlm="1">#NAME?</definedName>
    <definedName name="_xleta.INDEX" hidden="1" xlm="1">#NAME?</definedName>
    <definedName name="_xleta.T" hidden="1" xlm="1">#NAME?</definedName>
    <definedName name="_xleta.YEAR" hidden="1" xlm="1">#NAME?</definedName>
    <definedName name="afsd" hidden="1">#REF!</definedName>
    <definedName name="anscount" hidden="1">1</definedName>
    <definedName name="GreenLight">'Availability Model'!$K$121</definedName>
    <definedName name="Hrs_Day">Names!$F$14</definedName>
    <definedName name="isProfileBook">TRUE</definedName>
    <definedName name="JIBAR">Names!$F$22</definedName>
    <definedName name="Last_Row" localSheetId="7">IF('BaU Model'!Values_Entered,Header_Row+'BaU Model'!Number_of_Payments,Header_Row)</definedName>
    <definedName name="Last_Row" localSheetId="1">IF('Blank (2)'!Values_Entered,Header_Row+'Blank (2)'!Number_of_Payments,Header_Row)</definedName>
    <definedName name="Last_Row" localSheetId="17">IF('Initiative 1 Model'!Values_Entered,Header_Row+'Initiative 1 Model'!Number_of_Payments,Header_Row)</definedName>
    <definedName name="Last_Row" localSheetId="18">IF('Initiative 2 Model'!Values_Entered,Header_Row+'Initiative 2 Model'!Number_of_Payments,Header_Row)</definedName>
    <definedName name="Last_Row" localSheetId="19">IF('Initiative 3 Model'!Values_Entered,Header_Row+'Initiative 3 Model'!Number_of_Payments,Header_Row)</definedName>
    <definedName name="Last_Row" localSheetId="20">IF('Initiative 4 Model'!Values_Entered,Header_Row+'Initiative 4 Model'!Number_of_Payments,Header_Row)</definedName>
    <definedName name="Last_Row" localSheetId="21">IF('Initiative 5 Model'!Values_Entered,Header_Row+'Initiative 5 Model'!Number_of_Payments,Header_Row)</definedName>
    <definedName name="Last_Row" localSheetId="10">IF(Results!Values_Entered,Header_Row+Results!Number_of_Payments,Header_Row)</definedName>
    <definedName name="Last_Row" localSheetId="14">IF('Risk exposure pessimistic view'!Values_Entered,Header_Row+'Risk exposure pessimistic view'!Number_of_Payments,Header_Row)</definedName>
    <definedName name="Last_Row" localSheetId="8">IF('Strategic Model'!Values_Entered,Header_Row+'Strategic Model'!Number_of_Payments,Header_Row)</definedName>
    <definedName name="Last_Row">IF(Values_Entered,Header_Row+Number_of_Payments,Header_Row)</definedName>
    <definedName name="List_YesNo">Names!$F$27:$F$28</definedName>
    <definedName name="Million">Names!$F$16</definedName>
    <definedName name="Model_Start">Inputs!$E$6</definedName>
    <definedName name="Model_Tolerance">Names!$F$18</definedName>
    <definedName name="Months_Qtr">Names!$F$13</definedName>
    <definedName name="Months_Yr">Names!$F$11</definedName>
    <definedName name="Name_Model">Names!$F$7</definedName>
    <definedName name="Number_of_Payments" localSheetId="7">MATCH(0.01,End_Bal,-1)+1</definedName>
    <definedName name="Number_of_Payments" localSheetId="1">MATCH(0.01,End_Bal,-1)+1</definedName>
    <definedName name="Number_of_Payments" localSheetId="17">MATCH(0.01,End_Bal,-1)+1</definedName>
    <definedName name="Number_of_Payments" localSheetId="18">MATCH(0.01,End_Bal,-1)+1</definedName>
    <definedName name="Number_of_Payments" localSheetId="19">MATCH(0.01,End_Bal,-1)+1</definedName>
    <definedName name="Number_of_Payments" localSheetId="20">MATCH(0.01,End_Bal,-1)+1</definedName>
    <definedName name="Number_of_Payments" localSheetId="21">MATCH(0.01,End_Bal,-1)+1</definedName>
    <definedName name="Number_of_Payments" localSheetId="10">MATCH(0.01,End_Bal,-1)+1</definedName>
    <definedName name="Number_of_Payments" localSheetId="14">MATCH(0.01,End_Bal,-1)+1</definedName>
    <definedName name="Number_of_Payments" localSheetId="8">MATCH(0.01,End_Bal,-1)+1</definedName>
    <definedName name="Number_of_Payments">MATCH(0.01,End_Bal,-1)+1</definedName>
    <definedName name="OrangeLight">'Availability Model'!$K$119</definedName>
    <definedName name="Payment_Date" localSheetId="7">DATE(YEAR([2]!Loan_Start),MONTH([2]!Loan_Start)+Payment_Number,DAY([2]!Loan_Start))</definedName>
    <definedName name="Payment_Date" localSheetId="1">DATE(YEAR([2]!Loan_Start),MONTH([2]!Loan_Start)+Payment_Number,DAY([2]!Loan_Start))</definedName>
    <definedName name="Payment_Date" localSheetId="17">DATE(YEAR([2]!Loan_Start),MONTH([2]!Loan_Start)+Payment_Number,DAY([2]!Loan_Start))</definedName>
    <definedName name="Payment_Date" localSheetId="18">DATE(YEAR([2]!Loan_Start),MONTH([2]!Loan_Start)+Payment_Number,DAY([2]!Loan_Start))</definedName>
    <definedName name="Payment_Date" localSheetId="19">DATE(YEAR([2]!Loan_Start),MONTH([2]!Loan_Start)+Payment_Number,DAY([2]!Loan_Start))</definedName>
    <definedName name="Payment_Date" localSheetId="20">DATE(YEAR([2]!Loan_Start),MONTH([2]!Loan_Start)+Payment_Number,DAY([2]!Loan_Start))</definedName>
    <definedName name="Payment_Date" localSheetId="21">DATE(YEAR([2]!Loan_Start),MONTH([2]!Loan_Start)+Payment_Number,DAY([2]!Loan_Start))</definedName>
    <definedName name="Payment_Date" localSheetId="6">DATE(YEAR([2]!Loan_Start),MONTH([2]!Loan_Start)+Payment_Number,DAY([2]!Loan_Start))</definedName>
    <definedName name="Payment_Date" localSheetId="3">DATE(YEAR([2]!Loan_Start),MONTH([2]!Loan_Start)+Payment_Number,DAY([2]!Loan_Start))</definedName>
    <definedName name="Payment_Date" localSheetId="10">DATE(YEAR([2]!Loan_Start),MONTH([2]!Loan_Start)+Payment_Number,DAY([2]!Loan_Start))</definedName>
    <definedName name="Payment_Date" localSheetId="14">DATE(YEAR([2]!Loan_Start),MONTH([2]!Loan_Start)+Payment_Number,DAY([2]!Loan_Start))</definedName>
    <definedName name="Payment_Date" localSheetId="8">DATE(YEAR([2]!Loan_Start),MONTH([2]!Loan_Start)+Payment_Number,DAY([2]!Loan_Start))</definedName>
    <definedName name="Payment_Date">DATE(YEAR(Loan_Start),MONTH(Loan_Start)+Payment_Number,DAY(Loan_Start))</definedName>
    <definedName name="PRIME">Names!$F$23</definedName>
    <definedName name="Print_Area_Reset" localSheetId="7">OFFSET(Full_Print,0,0,'BaU Model'!Last_Row)</definedName>
    <definedName name="Print_Area_Reset" localSheetId="1">OFFSET(Full_Print,0,0,'Blank (2)'!Last_Row)</definedName>
    <definedName name="Print_Area_Reset" localSheetId="17">OFFSET(Full_Print,0,0,'Initiative 1 Model'!Last_Row)</definedName>
    <definedName name="Print_Area_Reset" localSheetId="18">OFFSET(Full_Print,0,0,'Initiative 2 Model'!Last_Row)</definedName>
    <definedName name="Print_Area_Reset" localSheetId="19">OFFSET(Full_Print,0,0,'Initiative 3 Model'!Last_Row)</definedName>
    <definedName name="Print_Area_Reset" localSheetId="20">OFFSET(Full_Print,0,0,'Initiative 4 Model'!Last_Row)</definedName>
    <definedName name="Print_Area_Reset" localSheetId="21">OFFSET(Full_Print,0,0,'Initiative 5 Model'!Last_Row)</definedName>
    <definedName name="Print_Area_Reset" localSheetId="10">OFFSET(Full_Print,0,0,Results!Last_Row)</definedName>
    <definedName name="Print_Area_Reset" localSheetId="14">OFFSET(Full_Print,0,0,'Risk exposure pessimistic view'!Last_Row)</definedName>
    <definedName name="Print_Area_Reset" localSheetId="8">OFFSET(Full_Print,0,0,'Strategic Model'!Last_Row)</definedName>
    <definedName name="Print_Area_Reset">OFFSET(Full_Print,0,0,Last_Row)</definedName>
    <definedName name="Qtrs_Yr">Names!$F$12</definedName>
    <definedName name="RedLight">'Availability Model'!$K$118</definedName>
    <definedName name="Rounding">Names!$F$19</definedName>
    <definedName name="sdf" hidden="1">#REF!</definedName>
    <definedName name="sencount" hidden="1">1</definedName>
    <definedName name="Thousand">Names!$F$15</definedName>
    <definedName name="Values_Entered" localSheetId="7">IF(Loan_Amount*Interest_Rate*Loan_Years*Loan_Start&gt;0,1,0)</definedName>
    <definedName name="Values_Entered" localSheetId="1">IF(Loan_Amount*Interest_Rate*Loan_Years*Loan_Start&gt;0,1,0)</definedName>
    <definedName name="Values_Entered" localSheetId="17">IF(Loan_Amount*Interest_Rate*Loan_Years*Loan_Start&gt;0,1,0)</definedName>
    <definedName name="Values_Entered" localSheetId="18">IF(Loan_Amount*Interest_Rate*Loan_Years*Loan_Start&gt;0,1,0)</definedName>
    <definedName name="Values_Entered" localSheetId="19">IF(Loan_Amount*Interest_Rate*Loan_Years*Loan_Start&gt;0,1,0)</definedName>
    <definedName name="Values_Entered" localSheetId="20">IF(Loan_Amount*Interest_Rate*Loan_Years*Loan_Start&gt;0,1,0)</definedName>
    <definedName name="Values_Entered" localSheetId="21">IF(Loan_Amount*Interest_Rate*Loan_Years*Loan_Start&gt;0,1,0)</definedName>
    <definedName name="Values_Entered" localSheetId="10">IF(Loan_Amount*Interest_Rate*Loan_Years*Loan_Start&gt;0,1,0)</definedName>
    <definedName name="Values_Entered" localSheetId="14">IF(Loan_Amount*Interest_Rate*Loan_Years*Loan_Start&gt;0,1,0)</definedName>
    <definedName name="Values_Entered" localSheetId="8">IF(Loan_Amount*Interest_Rate*Loan_Years*Loan_Start&gt;0,1,0)</definedName>
    <definedName name="Values_Entered">IF(Loan_Amount*Interest_Rate*Loan_Years*Loan_Start&gt;0,1,0)</definedName>
    <definedName name="Verysmallnumber">Names!$F$17</definedName>
    <definedName name="YellowLight">'Availability Model'!$K$120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03" i="118" l="1"/>
  <c r="AL94" i="114"/>
  <c r="AL114" i="118"/>
  <c r="AL109" i="118"/>
  <c r="AL111" i="118"/>
  <c r="AE138" i="120"/>
  <c r="F138" i="120"/>
  <c r="G138" i="120"/>
  <c r="H138" i="120"/>
  <c r="I138" i="120"/>
  <c r="J138" i="120"/>
  <c r="K138" i="120"/>
  <c r="L138" i="120"/>
  <c r="M138" i="120"/>
  <c r="N138" i="120"/>
  <c r="O138" i="120"/>
  <c r="P138" i="120"/>
  <c r="Q138" i="120"/>
  <c r="R138" i="120"/>
  <c r="S138" i="120"/>
  <c r="T138" i="120"/>
  <c r="U138" i="120"/>
  <c r="V138" i="120"/>
  <c r="W138" i="120"/>
  <c r="X138" i="120"/>
  <c r="Y138" i="120"/>
  <c r="Z138" i="120"/>
  <c r="AA138" i="120"/>
  <c r="AB138" i="120"/>
  <c r="AC138" i="120"/>
  <c r="AD138" i="120"/>
  <c r="E138" i="120"/>
  <c r="W85" i="118"/>
  <c r="V85" i="118"/>
  <c r="F146" i="120" l="1"/>
  <c r="E146" i="120"/>
  <c r="F145" i="120"/>
  <c r="E145" i="120"/>
  <c r="F136" i="120"/>
  <c r="E136" i="120"/>
  <c r="F135" i="120"/>
  <c r="F137" i="120" s="1"/>
  <c r="E135" i="120"/>
  <c r="E137" i="120" s="1"/>
  <c r="E147" i="120" l="1"/>
  <c r="F147" i="120"/>
  <c r="J58" i="114"/>
  <c r="T186" i="114"/>
  <c r="U186" i="114"/>
  <c r="V186" i="114"/>
  <c r="W186" i="114"/>
  <c r="X186" i="114"/>
  <c r="Y186" i="114"/>
  <c r="Z186" i="114"/>
  <c r="AA186" i="114"/>
  <c r="AB186" i="114"/>
  <c r="AC186" i="114"/>
  <c r="AD186" i="114"/>
  <c r="AE186" i="114"/>
  <c r="AF186" i="114"/>
  <c r="AG186" i="114"/>
  <c r="AH186" i="114"/>
  <c r="AI186" i="114"/>
  <c r="AJ186" i="114"/>
  <c r="AK186" i="114"/>
  <c r="AL186" i="114"/>
  <c r="S186" i="114"/>
  <c r="K186" i="114"/>
  <c r="G67" i="120"/>
  <c r="H67" i="120"/>
  <c r="I67" i="120"/>
  <c r="J67" i="120"/>
  <c r="F67" i="120"/>
  <c r="E67" i="120"/>
  <c r="L187" i="114"/>
  <c r="M187" i="114"/>
  <c r="N187" i="114"/>
  <c r="O187" i="114"/>
  <c r="P187" i="114"/>
  <c r="Q187" i="114"/>
  <c r="R187" i="114"/>
  <c r="S187" i="114"/>
  <c r="T187" i="114"/>
  <c r="U187" i="114"/>
  <c r="V187" i="114"/>
  <c r="W187" i="114"/>
  <c r="X187" i="114"/>
  <c r="Y187" i="114"/>
  <c r="Z187" i="114"/>
  <c r="AA187" i="114"/>
  <c r="AB187" i="114"/>
  <c r="AC187" i="114"/>
  <c r="AD187" i="114"/>
  <c r="AE187" i="114"/>
  <c r="AF187" i="114"/>
  <c r="AG187" i="114"/>
  <c r="AH187" i="114"/>
  <c r="AI187" i="114"/>
  <c r="AJ187" i="114"/>
  <c r="AK187" i="114"/>
  <c r="AL187" i="114"/>
  <c r="K187" i="114"/>
  <c r="K185" i="114"/>
  <c r="L34" i="114"/>
  <c r="M34" i="114"/>
  <c r="N34" i="114"/>
  <c r="O34" i="114"/>
  <c r="P34" i="114"/>
  <c r="Q34" i="114"/>
  <c r="R34" i="114"/>
  <c r="S34" i="114"/>
  <c r="T34" i="114"/>
  <c r="U34" i="114"/>
  <c r="V34" i="114"/>
  <c r="W34" i="114"/>
  <c r="X34" i="114"/>
  <c r="Y34" i="114"/>
  <c r="Z34" i="114"/>
  <c r="AA34" i="114"/>
  <c r="AB34" i="114"/>
  <c r="AC34" i="114"/>
  <c r="AD34" i="114"/>
  <c r="AE34" i="114"/>
  <c r="AF34" i="114"/>
  <c r="AG34" i="114"/>
  <c r="AH34" i="114"/>
  <c r="AI34" i="114"/>
  <c r="AJ34" i="114"/>
  <c r="AK34" i="114"/>
  <c r="AL34" i="114"/>
  <c r="K34" i="114"/>
  <c r="S183" i="114"/>
  <c r="T34" i="118" l="1"/>
  <c r="U34" i="118" s="1"/>
  <c r="V34" i="118" s="1"/>
  <c r="W34" i="118" s="1"/>
  <c r="X34" i="118" s="1"/>
  <c r="Y34" i="118" s="1"/>
  <c r="Z34" i="118" s="1"/>
  <c r="AA34" i="118" s="1"/>
  <c r="AB34" i="118" s="1"/>
  <c r="AC34" i="118" s="1"/>
  <c r="AD34" i="118" s="1"/>
  <c r="AE34" i="118" s="1"/>
  <c r="AF34" i="118" s="1"/>
  <c r="AG34" i="118" s="1"/>
  <c r="AH34" i="118" s="1"/>
  <c r="AI34" i="118" s="1"/>
  <c r="AJ34" i="118" s="1"/>
  <c r="AK34" i="118" s="1"/>
  <c r="AL34" i="118" s="1"/>
  <c r="C32" i="128" l="1"/>
  <c r="D32" i="128"/>
  <c r="E32" i="128"/>
  <c r="F32" i="128"/>
  <c r="G32" i="128"/>
  <c r="H32" i="128"/>
  <c r="I32" i="128"/>
  <c r="J32" i="128"/>
  <c r="K32" i="128"/>
  <c r="L32" i="128"/>
  <c r="M32" i="128"/>
  <c r="N32" i="128"/>
  <c r="O32" i="128"/>
  <c r="P32" i="128"/>
  <c r="Q32" i="128"/>
  <c r="R32" i="128"/>
  <c r="S32" i="128"/>
  <c r="T32" i="128"/>
  <c r="U32" i="128"/>
  <c r="V32" i="128"/>
  <c r="W32" i="128"/>
  <c r="X32" i="128"/>
  <c r="Y32" i="128"/>
  <c r="Z32" i="128"/>
  <c r="AA32" i="128"/>
  <c r="B32" i="128"/>
  <c r="O23" i="114" l="1"/>
  <c r="O58" i="114"/>
  <c r="H6" i="117"/>
  <c r="N28" i="114" l="1"/>
  <c r="O22" i="114"/>
  <c r="O28" i="114" s="1"/>
  <c r="N22" i="114"/>
  <c r="N23" i="114"/>
  <c r="L71" i="118" l="1"/>
  <c r="M71" i="118"/>
  <c r="N71" i="118"/>
  <c r="O71" i="118"/>
  <c r="K71" i="118"/>
  <c r="AC15" i="114"/>
  <c r="N58" i="114"/>
  <c r="K58" i="114"/>
  <c r="F69" i="120"/>
  <c r="E69" i="120"/>
  <c r="E74" i="120"/>
  <c r="E73" i="120"/>
  <c r="O15" i="130"/>
  <c r="P15" i="130" s="1"/>
  <c r="Q15" i="130" s="1"/>
  <c r="R15" i="130" s="1"/>
  <c r="S15" i="130" s="1"/>
  <c r="T15" i="130" s="1"/>
  <c r="U15" i="130" s="1"/>
  <c r="V15" i="130" s="1"/>
  <c r="W15" i="130" s="1"/>
  <c r="X15" i="130" s="1"/>
  <c r="Y15" i="130" s="1"/>
  <c r="Z15" i="130" s="1"/>
  <c r="AA15" i="130" s="1"/>
  <c r="AB15" i="130" s="1"/>
  <c r="AC15" i="130" s="1"/>
  <c r="AD15" i="130" s="1"/>
  <c r="AE15" i="130" s="1"/>
  <c r="AF15" i="130" s="1"/>
  <c r="AG15" i="130" s="1"/>
  <c r="AH15" i="130" s="1"/>
  <c r="AI15" i="130" s="1"/>
  <c r="AJ15" i="130" s="1"/>
  <c r="AK15" i="130" s="1"/>
  <c r="AL15" i="130" s="1"/>
  <c r="N15" i="130"/>
  <c r="G69" i="120" l="1"/>
  <c r="E66" i="120"/>
  <c r="E65" i="120"/>
  <c r="AF153" i="130"/>
  <c r="AG153" i="130" s="1"/>
  <c r="AH153" i="130" s="1"/>
  <c r="AI153" i="130" s="1"/>
  <c r="AJ153" i="130" s="1"/>
  <c r="AK153" i="130" s="1"/>
  <c r="AL153" i="130" s="1"/>
  <c r="P153" i="130"/>
  <c r="Q153" i="130" s="1"/>
  <c r="R153" i="130" s="1"/>
  <c r="S153" i="130" s="1"/>
  <c r="T153" i="130" s="1"/>
  <c r="U153" i="130" s="1"/>
  <c r="V153" i="130" s="1"/>
  <c r="W153" i="130" s="1"/>
  <c r="X153" i="130" s="1"/>
  <c r="Y153" i="130" s="1"/>
  <c r="Z153" i="130" s="1"/>
  <c r="AA153" i="130" s="1"/>
  <c r="AB153" i="130" s="1"/>
  <c r="AC153" i="130" s="1"/>
  <c r="AD153" i="130" s="1"/>
  <c r="AE153" i="130" s="1"/>
  <c r="O153" i="130"/>
  <c r="N153" i="130"/>
  <c r="M153" i="130"/>
  <c r="L153" i="130"/>
  <c r="K153" i="130"/>
  <c r="K148" i="130"/>
  <c r="K149" i="130" s="1"/>
  <c r="K145" i="130"/>
  <c r="P127" i="130"/>
  <c r="Q127" i="130" s="1"/>
  <c r="R127" i="130" s="1"/>
  <c r="S127" i="130" s="1"/>
  <c r="T127" i="130" s="1"/>
  <c r="U127" i="130" s="1"/>
  <c r="V127" i="130" s="1"/>
  <c r="W127" i="130" s="1"/>
  <c r="X127" i="130" s="1"/>
  <c r="Y127" i="130" s="1"/>
  <c r="Z127" i="130" s="1"/>
  <c r="AA127" i="130" s="1"/>
  <c r="AB127" i="130" s="1"/>
  <c r="AC127" i="130" s="1"/>
  <c r="AD127" i="130" s="1"/>
  <c r="AE127" i="130" s="1"/>
  <c r="AF127" i="130" s="1"/>
  <c r="AG127" i="130" s="1"/>
  <c r="AH127" i="130" s="1"/>
  <c r="AI127" i="130" s="1"/>
  <c r="AJ127" i="130" s="1"/>
  <c r="AK127" i="130" s="1"/>
  <c r="AL127" i="130" s="1"/>
  <c r="O127" i="130"/>
  <c r="N127" i="130"/>
  <c r="M127" i="130"/>
  <c r="L127" i="130"/>
  <c r="K127" i="130"/>
  <c r="P118" i="130"/>
  <c r="Q118" i="130" s="1"/>
  <c r="R118" i="130" s="1"/>
  <c r="S118" i="130" s="1"/>
  <c r="T118" i="130" s="1"/>
  <c r="U118" i="130" s="1"/>
  <c r="V118" i="130" s="1"/>
  <c r="W118" i="130" s="1"/>
  <c r="X118" i="130" s="1"/>
  <c r="Y118" i="130" s="1"/>
  <c r="Z118" i="130" s="1"/>
  <c r="AA118" i="130" s="1"/>
  <c r="AB118" i="130" s="1"/>
  <c r="AC118" i="130" s="1"/>
  <c r="AD118" i="130" s="1"/>
  <c r="AE118" i="130" s="1"/>
  <c r="AF118" i="130" s="1"/>
  <c r="AG118" i="130" s="1"/>
  <c r="AH118" i="130" s="1"/>
  <c r="AI118" i="130" s="1"/>
  <c r="AJ118" i="130" s="1"/>
  <c r="AK118" i="130" s="1"/>
  <c r="AL118" i="130" s="1"/>
  <c r="O118" i="130"/>
  <c r="N118" i="130"/>
  <c r="M118" i="130"/>
  <c r="L118" i="130"/>
  <c r="K118" i="130"/>
  <c r="R111" i="130"/>
  <c r="S111" i="130" s="1"/>
  <c r="T111" i="130" s="1"/>
  <c r="U111" i="130" s="1"/>
  <c r="V111" i="130" s="1"/>
  <c r="W111" i="130" s="1"/>
  <c r="X111" i="130" s="1"/>
  <c r="Y111" i="130" s="1"/>
  <c r="Z111" i="130" s="1"/>
  <c r="AA111" i="130" s="1"/>
  <c r="AB111" i="130" s="1"/>
  <c r="AC111" i="130" s="1"/>
  <c r="AD111" i="130" s="1"/>
  <c r="AE111" i="130" s="1"/>
  <c r="AF111" i="130" s="1"/>
  <c r="AG111" i="130" s="1"/>
  <c r="AH111" i="130" s="1"/>
  <c r="AI111" i="130" s="1"/>
  <c r="AJ111" i="130" s="1"/>
  <c r="AK111" i="130" s="1"/>
  <c r="AL111" i="130" s="1"/>
  <c r="P111" i="130"/>
  <c r="Q111" i="130" s="1"/>
  <c r="O111" i="130"/>
  <c r="N111" i="130"/>
  <c r="M111" i="130"/>
  <c r="L111" i="130"/>
  <c r="K111" i="130"/>
  <c r="P104" i="130"/>
  <c r="Q104" i="130" s="1"/>
  <c r="R104" i="130" s="1"/>
  <c r="S104" i="130" s="1"/>
  <c r="T104" i="130" s="1"/>
  <c r="U104" i="130" s="1"/>
  <c r="V104" i="130" s="1"/>
  <c r="W104" i="130" s="1"/>
  <c r="X104" i="130" s="1"/>
  <c r="Y104" i="130" s="1"/>
  <c r="Z104" i="130" s="1"/>
  <c r="AA104" i="130" s="1"/>
  <c r="AB104" i="130" s="1"/>
  <c r="AC104" i="130" s="1"/>
  <c r="AD104" i="130" s="1"/>
  <c r="AE104" i="130" s="1"/>
  <c r="AF104" i="130" s="1"/>
  <c r="AG104" i="130" s="1"/>
  <c r="AH104" i="130" s="1"/>
  <c r="AI104" i="130" s="1"/>
  <c r="AJ104" i="130" s="1"/>
  <c r="AK104" i="130" s="1"/>
  <c r="AL104" i="130" s="1"/>
  <c r="O104" i="130"/>
  <c r="N104" i="130"/>
  <c r="M104" i="130"/>
  <c r="L104" i="130"/>
  <c r="K104" i="130"/>
  <c r="M76" i="130"/>
  <c r="M175" i="130" s="1"/>
  <c r="M75" i="130"/>
  <c r="P74" i="130"/>
  <c r="Q74" i="130" s="1"/>
  <c r="R74" i="130" s="1"/>
  <c r="S74" i="130" s="1"/>
  <c r="T74" i="130" s="1"/>
  <c r="U74" i="130" s="1"/>
  <c r="V74" i="130" s="1"/>
  <c r="W74" i="130" s="1"/>
  <c r="X74" i="130" s="1"/>
  <c r="Y74" i="130" s="1"/>
  <c r="Z74" i="130" s="1"/>
  <c r="AA74" i="130" s="1"/>
  <c r="AB74" i="130" s="1"/>
  <c r="AC74" i="130" s="1"/>
  <c r="AD74" i="130" s="1"/>
  <c r="AE74" i="130" s="1"/>
  <c r="AF74" i="130" s="1"/>
  <c r="AG74" i="130" s="1"/>
  <c r="AH74" i="130" s="1"/>
  <c r="AI74" i="130" s="1"/>
  <c r="AJ74" i="130" s="1"/>
  <c r="AK74" i="130" s="1"/>
  <c r="AL74" i="130" s="1"/>
  <c r="O74" i="130"/>
  <c r="N74" i="130"/>
  <c r="M74" i="130"/>
  <c r="L74" i="130"/>
  <c r="K74" i="130"/>
  <c r="P73" i="130"/>
  <c r="Q73" i="130" s="1"/>
  <c r="R73" i="130" s="1"/>
  <c r="S73" i="130" s="1"/>
  <c r="T73" i="130" s="1"/>
  <c r="U73" i="130" s="1"/>
  <c r="V73" i="130" s="1"/>
  <c r="W73" i="130" s="1"/>
  <c r="X73" i="130" s="1"/>
  <c r="Y73" i="130" s="1"/>
  <c r="Z73" i="130" s="1"/>
  <c r="AA73" i="130" s="1"/>
  <c r="AB73" i="130" s="1"/>
  <c r="AC73" i="130" s="1"/>
  <c r="AD73" i="130" s="1"/>
  <c r="AE73" i="130" s="1"/>
  <c r="AF73" i="130" s="1"/>
  <c r="AG73" i="130" s="1"/>
  <c r="AH73" i="130" s="1"/>
  <c r="AI73" i="130" s="1"/>
  <c r="AJ73" i="130" s="1"/>
  <c r="AK73" i="130" s="1"/>
  <c r="AL73" i="130" s="1"/>
  <c r="O73" i="130"/>
  <c r="N73" i="130"/>
  <c r="M73" i="130"/>
  <c r="L73" i="130"/>
  <c r="K73" i="130"/>
  <c r="P72" i="130"/>
  <c r="O72" i="130"/>
  <c r="N72" i="130"/>
  <c r="M72" i="130"/>
  <c r="L72" i="130"/>
  <c r="K72" i="130"/>
  <c r="P71" i="130"/>
  <c r="Q71" i="130" s="1"/>
  <c r="R71" i="130" s="1"/>
  <c r="S71" i="130" s="1"/>
  <c r="T71" i="130" s="1"/>
  <c r="U71" i="130" s="1"/>
  <c r="V71" i="130" s="1"/>
  <c r="W71" i="130" s="1"/>
  <c r="X71" i="130" s="1"/>
  <c r="Y71" i="130" s="1"/>
  <c r="Z71" i="130" s="1"/>
  <c r="AA71" i="130" s="1"/>
  <c r="AB71" i="130" s="1"/>
  <c r="AC71" i="130" s="1"/>
  <c r="AD71" i="130" s="1"/>
  <c r="AE71" i="130" s="1"/>
  <c r="AF71" i="130" s="1"/>
  <c r="AG71" i="130" s="1"/>
  <c r="AH71" i="130" s="1"/>
  <c r="AI71" i="130" s="1"/>
  <c r="AJ71" i="130" s="1"/>
  <c r="AK71" i="130" s="1"/>
  <c r="AL71" i="130" s="1"/>
  <c r="O71" i="130"/>
  <c r="N71" i="130"/>
  <c r="M71" i="130"/>
  <c r="L71" i="130"/>
  <c r="K71" i="130"/>
  <c r="AJ70" i="130"/>
  <c r="AK70" i="130" s="1"/>
  <c r="AL70" i="130" s="1"/>
  <c r="P70" i="130"/>
  <c r="Q70" i="130" s="1"/>
  <c r="R70" i="130" s="1"/>
  <c r="S70" i="130" s="1"/>
  <c r="T70" i="130" s="1"/>
  <c r="U70" i="130" s="1"/>
  <c r="V70" i="130" s="1"/>
  <c r="W70" i="130" s="1"/>
  <c r="X70" i="130" s="1"/>
  <c r="Y70" i="130" s="1"/>
  <c r="Z70" i="130" s="1"/>
  <c r="AA70" i="130" s="1"/>
  <c r="AB70" i="130" s="1"/>
  <c r="AC70" i="130" s="1"/>
  <c r="AD70" i="130" s="1"/>
  <c r="AE70" i="130" s="1"/>
  <c r="AF70" i="130" s="1"/>
  <c r="AG70" i="130" s="1"/>
  <c r="AH70" i="130" s="1"/>
  <c r="AI70" i="130" s="1"/>
  <c r="O70" i="130"/>
  <c r="N70" i="130"/>
  <c r="M70" i="130"/>
  <c r="L70" i="130"/>
  <c r="K70" i="130"/>
  <c r="P69" i="130"/>
  <c r="O69" i="130"/>
  <c r="N69" i="130"/>
  <c r="M69" i="130"/>
  <c r="L69" i="130"/>
  <c r="L75" i="130" s="1"/>
  <c r="K69" i="130"/>
  <c r="K68" i="130"/>
  <c r="O67" i="130"/>
  <c r="P67" i="130" s="1"/>
  <c r="Q67" i="130" s="1"/>
  <c r="R67" i="130" s="1"/>
  <c r="S67" i="130" s="1"/>
  <c r="T67" i="130" s="1"/>
  <c r="U67" i="130" s="1"/>
  <c r="V67" i="130" s="1"/>
  <c r="W67" i="130" s="1"/>
  <c r="X67" i="130" s="1"/>
  <c r="Y67" i="130" s="1"/>
  <c r="Z67" i="130" s="1"/>
  <c r="AA67" i="130" s="1"/>
  <c r="AB67" i="130" s="1"/>
  <c r="AC67" i="130" s="1"/>
  <c r="AD67" i="130" s="1"/>
  <c r="AE67" i="130" s="1"/>
  <c r="AF67" i="130" s="1"/>
  <c r="AG67" i="130" s="1"/>
  <c r="AH67" i="130" s="1"/>
  <c r="AI67" i="130" s="1"/>
  <c r="AJ67" i="130" s="1"/>
  <c r="AK67" i="130" s="1"/>
  <c r="AL67" i="130" s="1"/>
  <c r="N67" i="130"/>
  <c r="M67" i="130"/>
  <c r="L67" i="130"/>
  <c r="K67" i="130"/>
  <c r="O66" i="130"/>
  <c r="P66" i="130" s="1"/>
  <c r="N66" i="130"/>
  <c r="N68" i="130" s="1"/>
  <c r="M66" i="130"/>
  <c r="M68" i="130" s="1"/>
  <c r="L66" i="130"/>
  <c r="K66" i="130"/>
  <c r="O65" i="130"/>
  <c r="P65" i="130" s="1"/>
  <c r="Q65" i="130" s="1"/>
  <c r="R65" i="130" s="1"/>
  <c r="S65" i="130" s="1"/>
  <c r="T65" i="130" s="1"/>
  <c r="U65" i="130" s="1"/>
  <c r="V65" i="130" s="1"/>
  <c r="W65" i="130" s="1"/>
  <c r="X65" i="130" s="1"/>
  <c r="Y65" i="130" s="1"/>
  <c r="Z65" i="130" s="1"/>
  <c r="AA65" i="130" s="1"/>
  <c r="AB65" i="130" s="1"/>
  <c r="AC65" i="130" s="1"/>
  <c r="AD65" i="130" s="1"/>
  <c r="AE65" i="130" s="1"/>
  <c r="AF65" i="130" s="1"/>
  <c r="AG65" i="130" s="1"/>
  <c r="AH65" i="130" s="1"/>
  <c r="AI65" i="130" s="1"/>
  <c r="AJ65" i="130" s="1"/>
  <c r="AK65" i="130" s="1"/>
  <c r="AL65" i="130" s="1"/>
  <c r="N65" i="130"/>
  <c r="M65" i="130"/>
  <c r="L65" i="130"/>
  <c r="K65" i="130"/>
  <c r="AL61" i="130"/>
  <c r="AK61" i="130"/>
  <c r="AJ61" i="130"/>
  <c r="AI61" i="130"/>
  <c r="AH61" i="130"/>
  <c r="AG61" i="130"/>
  <c r="AF61" i="130"/>
  <c r="AE61" i="130"/>
  <c r="AD61" i="130"/>
  <c r="AC61" i="130"/>
  <c r="AB61" i="130"/>
  <c r="AA61" i="130"/>
  <c r="M61" i="130"/>
  <c r="L61" i="130"/>
  <c r="K61" i="130"/>
  <c r="AL60" i="130"/>
  <c r="AK60" i="130"/>
  <c r="AJ60" i="130"/>
  <c r="AI60" i="130"/>
  <c r="AH60" i="130"/>
  <c r="AG60" i="130"/>
  <c r="AF60" i="130"/>
  <c r="AE60" i="130"/>
  <c r="AD60" i="130"/>
  <c r="AC60" i="130"/>
  <c r="AB60" i="130"/>
  <c r="AA60" i="130"/>
  <c r="M60" i="130"/>
  <c r="L60" i="130"/>
  <c r="K60" i="130"/>
  <c r="L58" i="130"/>
  <c r="L59" i="130" s="1"/>
  <c r="K58" i="130"/>
  <c r="K59" i="130" s="1"/>
  <c r="P51" i="130"/>
  <c r="Q51" i="130" s="1"/>
  <c r="R51" i="130" s="1"/>
  <c r="S51" i="130" s="1"/>
  <c r="T51" i="130" s="1"/>
  <c r="U51" i="130" s="1"/>
  <c r="V51" i="130" s="1"/>
  <c r="W51" i="130" s="1"/>
  <c r="X51" i="130" s="1"/>
  <c r="Y51" i="130" s="1"/>
  <c r="Z51" i="130" s="1"/>
  <c r="AA51" i="130" s="1"/>
  <c r="AB51" i="130" s="1"/>
  <c r="AC51" i="130" s="1"/>
  <c r="AD51" i="130" s="1"/>
  <c r="AE51" i="130" s="1"/>
  <c r="AF51" i="130" s="1"/>
  <c r="AG51" i="130" s="1"/>
  <c r="O51" i="130"/>
  <c r="N51" i="130"/>
  <c r="AL47" i="130"/>
  <c r="AG44" i="130"/>
  <c r="AL41" i="130"/>
  <c r="O36" i="130"/>
  <c r="AG27" i="130"/>
  <c r="AE27" i="130"/>
  <c r="AL26" i="130"/>
  <c r="AD26" i="130"/>
  <c r="AC26" i="130"/>
  <c r="L24" i="130"/>
  <c r="AL23" i="130"/>
  <c r="AK23" i="130"/>
  <c r="AK41" i="130" s="1"/>
  <c r="AJ23" i="130"/>
  <c r="AI23" i="130"/>
  <c r="AI27" i="130" s="1"/>
  <c r="AH23" i="130"/>
  <c r="AH47" i="130" s="1"/>
  <c r="AG23" i="130"/>
  <c r="AG50" i="130" s="1"/>
  <c r="AF23" i="130"/>
  <c r="AE23" i="130"/>
  <c r="AE26" i="130" s="1"/>
  <c r="AD23" i="130"/>
  <c r="AC23" i="130"/>
  <c r="AB23" i="130"/>
  <c r="AA23" i="130"/>
  <c r="AA27" i="130" s="1"/>
  <c r="M23" i="130"/>
  <c r="M41" i="130" s="1"/>
  <c r="M42" i="130" s="1"/>
  <c r="M84" i="130" s="1"/>
  <c r="L23" i="130"/>
  <c r="K23" i="130"/>
  <c r="K50" i="130" s="1"/>
  <c r="P18" i="130"/>
  <c r="Q18" i="130" s="1"/>
  <c r="R18" i="130" s="1"/>
  <c r="S18" i="130" s="1"/>
  <c r="T18" i="130" s="1"/>
  <c r="O18" i="130"/>
  <c r="N18" i="130"/>
  <c r="N20" i="130" s="1"/>
  <c r="M18" i="130"/>
  <c r="L18" i="130"/>
  <c r="K18" i="130"/>
  <c r="L16" i="130"/>
  <c r="P16" i="130"/>
  <c r="O16" i="130"/>
  <c r="N16" i="130"/>
  <c r="M15" i="130"/>
  <c r="M16" i="130" s="1"/>
  <c r="L15" i="130"/>
  <c r="L17" i="130" s="1"/>
  <c r="K15" i="130"/>
  <c r="K16" i="130" s="1"/>
  <c r="F6" i="130"/>
  <c r="J5" i="130"/>
  <c r="K4" i="130" s="1"/>
  <c r="A2" i="130"/>
  <c r="E24" i="120"/>
  <c r="S84" i="118"/>
  <c r="AC86" i="118"/>
  <c r="K144" i="120" l="1"/>
  <c r="S94" i="118"/>
  <c r="T84" i="118"/>
  <c r="AK42" i="130"/>
  <c r="AK43" i="130"/>
  <c r="P68" i="130"/>
  <c r="Q66" i="130"/>
  <c r="AH27" i="130"/>
  <c r="M47" i="130"/>
  <c r="N75" i="130"/>
  <c r="L76" i="130"/>
  <c r="AI26" i="130"/>
  <c r="O75" i="130"/>
  <c r="AK26" i="130"/>
  <c r="M58" i="130"/>
  <c r="N58" i="130" s="1"/>
  <c r="O58" i="130" s="1"/>
  <c r="AH44" i="130"/>
  <c r="O68" i="130"/>
  <c r="K25" i="130"/>
  <c r="K27" i="130"/>
  <c r="L68" i="130"/>
  <c r="M17" i="130"/>
  <c r="M26" i="130"/>
  <c r="AH51" i="130"/>
  <c r="AI51" i="130" s="1"/>
  <c r="AJ51" i="130" s="1"/>
  <c r="AK51" i="130" s="1"/>
  <c r="AL51" i="130" s="1"/>
  <c r="AG52" i="130"/>
  <c r="K51" i="130"/>
  <c r="K52" i="130" s="1"/>
  <c r="AA47" i="130"/>
  <c r="AA41" i="130"/>
  <c r="AA44" i="130"/>
  <c r="AA50" i="130"/>
  <c r="AA52" i="130" s="1"/>
  <c r="AI47" i="130"/>
  <c r="AI41" i="130"/>
  <c r="AI44" i="130"/>
  <c r="AA26" i="130"/>
  <c r="AB47" i="130"/>
  <c r="AB41" i="130"/>
  <c r="AB44" i="130"/>
  <c r="AB26" i="130"/>
  <c r="AB50" i="130"/>
  <c r="AB52" i="130" s="1"/>
  <c r="AB27" i="130"/>
  <c r="K47" i="130"/>
  <c r="K41" i="130"/>
  <c r="K24" i="130"/>
  <c r="K44" i="130"/>
  <c r="AJ47" i="130"/>
  <c r="AJ41" i="130"/>
  <c r="AJ26" i="130"/>
  <c r="AJ44" i="130"/>
  <c r="AJ27" i="130"/>
  <c r="K26" i="130"/>
  <c r="L47" i="130"/>
  <c r="L41" i="130"/>
  <c r="L26" i="130"/>
  <c r="L44" i="130"/>
  <c r="L50" i="130"/>
  <c r="L27" i="130"/>
  <c r="L25" i="130"/>
  <c r="M43" i="130"/>
  <c r="M85" i="130" s="1"/>
  <c r="L81" i="130"/>
  <c r="AK84" i="130"/>
  <c r="AI50" i="130"/>
  <c r="K82" i="130"/>
  <c r="K36" i="130"/>
  <c r="AF50" i="130"/>
  <c r="AF52" i="130" s="1"/>
  <c r="AF44" i="130"/>
  <c r="AF27" i="130"/>
  <c r="AF47" i="130"/>
  <c r="AF41" i="130"/>
  <c r="AF26" i="130"/>
  <c r="AL43" i="130"/>
  <c r="AL85" i="130" s="1"/>
  <c r="AL42" i="130"/>
  <c r="AL84" i="130" s="1"/>
  <c r="AJ50" i="130"/>
  <c r="N60" i="130"/>
  <c r="N61" i="130"/>
  <c r="N23" i="130"/>
  <c r="AK85" i="130"/>
  <c r="K5" i="130"/>
  <c r="U18" i="130"/>
  <c r="AH41" i="130"/>
  <c r="AC44" i="130"/>
  <c r="AK47" i="130"/>
  <c r="AH50" i="130"/>
  <c r="AH52" i="130" s="1"/>
  <c r="K17" i="130"/>
  <c r="AC41" i="130"/>
  <c r="AC47" i="130"/>
  <c r="AK50" i="130"/>
  <c r="P75" i="130"/>
  <c r="AD50" i="130"/>
  <c r="AD52" i="130" s="1"/>
  <c r="AD44" i="130"/>
  <c r="AL50" i="130"/>
  <c r="AL52" i="130" s="1"/>
  <c r="AL44" i="130"/>
  <c r="M25" i="130"/>
  <c r="AG26" i="130"/>
  <c r="M27" i="130"/>
  <c r="AC27" i="130"/>
  <c r="AK27" i="130"/>
  <c r="AD41" i="130"/>
  <c r="AD47" i="130"/>
  <c r="M50" i="130"/>
  <c r="Q69" i="130"/>
  <c r="AE50" i="130"/>
  <c r="AE52" i="130" s="1"/>
  <c r="AE44" i="130"/>
  <c r="AH26" i="130"/>
  <c r="AD27" i="130"/>
  <c r="AL27" i="130"/>
  <c r="AE41" i="130"/>
  <c r="AK44" i="130"/>
  <c r="AE47" i="130"/>
  <c r="M44" i="130"/>
  <c r="AC50" i="130"/>
  <c r="AC52" i="130" s="1"/>
  <c r="K75" i="130"/>
  <c r="M24" i="130"/>
  <c r="AG41" i="130"/>
  <c r="AG47" i="130"/>
  <c r="Q72" i="130"/>
  <c r="N76" i="130"/>
  <c r="L144" i="120" l="1"/>
  <c r="T94" i="118"/>
  <c r="U84" i="118"/>
  <c r="M144" i="120" s="1"/>
  <c r="M59" i="130"/>
  <c r="L175" i="130"/>
  <c r="K76" i="130"/>
  <c r="K175" i="130" s="1"/>
  <c r="Q68" i="130"/>
  <c r="R66" i="130"/>
  <c r="AI52" i="130"/>
  <c r="AI90" i="130" s="1"/>
  <c r="K90" i="130"/>
  <c r="K89" i="130"/>
  <c r="M81" i="130"/>
  <c r="AH90" i="130"/>
  <c r="N50" i="130"/>
  <c r="N52" i="130" s="1"/>
  <c r="N44" i="130"/>
  <c r="N27" i="130"/>
  <c r="N25" i="130"/>
  <c r="N41" i="130"/>
  <c r="N24" i="130"/>
  <c r="N47" i="130"/>
  <c r="N26" i="130"/>
  <c r="N17" i="130"/>
  <c r="R72" i="130"/>
  <c r="AC90" i="130"/>
  <c r="AL33" i="130"/>
  <c r="R69" i="130"/>
  <c r="Q75" i="130"/>
  <c r="AD90" i="130"/>
  <c r="M45" i="130"/>
  <c r="M86" i="130" s="1"/>
  <c r="M46" i="130"/>
  <c r="M51" i="130"/>
  <c r="M52" i="130" s="1"/>
  <c r="V18" i="130"/>
  <c r="AF90" i="130"/>
  <c r="L82" i="130"/>
  <c r="L80" i="130" s="1"/>
  <c r="AJ43" i="130"/>
  <c r="AJ85" i="130" s="1"/>
  <c r="AJ42" i="130"/>
  <c r="AJ84" i="130" s="1"/>
  <c r="AB43" i="130"/>
  <c r="AB85" i="130" s="1"/>
  <c r="AB42" i="130"/>
  <c r="AB84" i="130" s="1"/>
  <c r="AI43" i="130"/>
  <c r="AI85" i="130" s="1"/>
  <c r="AI42" i="130"/>
  <c r="AI84" i="130" s="1"/>
  <c r="AH43" i="130"/>
  <c r="AH85" i="130" s="1"/>
  <c r="AH42" i="130"/>
  <c r="AH84" i="130" s="1"/>
  <c r="Q16" i="130"/>
  <c r="K11" i="130"/>
  <c r="N29" i="130" s="1"/>
  <c r="K10" i="130"/>
  <c r="L162" i="130" s="1"/>
  <c r="L4" i="130"/>
  <c r="L51" i="130"/>
  <c r="L52" i="130"/>
  <c r="K45" i="130"/>
  <c r="K86" i="130" s="1"/>
  <c r="K46" i="130"/>
  <c r="AA90" i="130"/>
  <c r="AL90" i="130"/>
  <c r="AE42" i="130"/>
  <c r="AE84" i="130" s="1"/>
  <c r="AE43" i="130"/>
  <c r="AE85" i="130" s="1"/>
  <c r="AD43" i="130"/>
  <c r="AD85" i="130" s="1"/>
  <c r="AD42" i="130"/>
  <c r="AD84" i="130" s="1"/>
  <c r="M82" i="130"/>
  <c r="AK52" i="130"/>
  <c r="N175" i="130"/>
  <c r="O76" i="130"/>
  <c r="AJ52" i="130"/>
  <c r="AF42" i="130"/>
  <c r="AF84" i="130" s="1"/>
  <c r="AF43" i="130"/>
  <c r="AF85" i="130" s="1"/>
  <c r="L45" i="130"/>
  <c r="L86" i="130" s="1"/>
  <c r="L46" i="130"/>
  <c r="K81" i="130"/>
  <c r="K80" i="130" s="1"/>
  <c r="K35" i="130"/>
  <c r="K30" i="130"/>
  <c r="AG42" i="130"/>
  <c r="AG84" i="130" s="1"/>
  <c r="AG43" i="130"/>
  <c r="AG85" i="130" s="1"/>
  <c r="AC43" i="130"/>
  <c r="AC85" i="130" s="1"/>
  <c r="AC42" i="130"/>
  <c r="AC84" i="130" s="1"/>
  <c r="K43" i="130"/>
  <c r="K85" i="130" s="1"/>
  <c r="K42" i="130"/>
  <c r="K84" i="130" s="1"/>
  <c r="AB90" i="130"/>
  <c r="AA32" i="130"/>
  <c r="AG90" i="130"/>
  <c r="AA43" i="130"/>
  <c r="AA85" i="130" s="1"/>
  <c r="AA42" i="130"/>
  <c r="AA84" i="130" s="1"/>
  <c r="AE90" i="130"/>
  <c r="O60" i="130"/>
  <c r="O61" i="130"/>
  <c r="O23" i="130"/>
  <c r="P58" i="130"/>
  <c r="AC17" i="130"/>
  <c r="AC20" i="130" s="1"/>
  <c r="AC16" i="130"/>
  <c r="AC25" i="130" s="1"/>
  <c r="L43" i="130"/>
  <c r="L85" i="130" s="1"/>
  <c r="L42" i="130"/>
  <c r="L84" i="130" s="1"/>
  <c r="AC33" i="130" l="1"/>
  <c r="K88" i="130"/>
  <c r="AD33" i="130"/>
  <c r="S66" i="130"/>
  <c r="R68" i="130"/>
  <c r="AB32" i="130"/>
  <c r="AC24" i="130"/>
  <c r="R16" i="130"/>
  <c r="M89" i="130"/>
  <c r="M90" i="130"/>
  <c r="AD139" i="130"/>
  <c r="P60" i="130"/>
  <c r="Q58" i="130"/>
  <c r="P61" i="130"/>
  <c r="P23" i="130"/>
  <c r="K140" i="130"/>
  <c r="K170" i="130"/>
  <c r="AL29" i="130"/>
  <c r="AL32" i="130"/>
  <c r="K62" i="130"/>
  <c r="AC32" i="130"/>
  <c r="AE29" i="130"/>
  <c r="AD29" i="130"/>
  <c r="AG33" i="130"/>
  <c r="AB29" i="130"/>
  <c r="AH29" i="130"/>
  <c r="L29" i="130"/>
  <c r="AE32" i="130"/>
  <c r="M32" i="130"/>
  <c r="AI29" i="130"/>
  <c r="L30" i="130"/>
  <c r="M29" i="130"/>
  <c r="AH33" i="130"/>
  <c r="AD32" i="130"/>
  <c r="AI32" i="130"/>
  <c r="K31" i="130"/>
  <c r="K34" i="130" s="1"/>
  <c r="AC29" i="130"/>
  <c r="AG29" i="130"/>
  <c r="AK29" i="130"/>
  <c r="AA29" i="130"/>
  <c r="K29" i="130"/>
  <c r="AF29" i="130"/>
  <c r="AI33" i="130"/>
  <c r="K33" i="130"/>
  <c r="AJ29" i="130"/>
  <c r="AK32" i="130"/>
  <c r="AE33" i="130"/>
  <c r="AA33" i="130"/>
  <c r="AH139" i="130"/>
  <c r="AB139" i="130"/>
  <c r="M140" i="130"/>
  <c r="M83" i="130"/>
  <c r="N42" i="130"/>
  <c r="N84" i="130" s="1"/>
  <c r="N43" i="130"/>
  <c r="N85" i="130" s="1"/>
  <c r="AJ32" i="130"/>
  <c r="O50" i="130"/>
  <c r="O52" i="130" s="1"/>
  <c r="O44" i="130"/>
  <c r="O47" i="130"/>
  <c r="O29" i="130"/>
  <c r="O26" i="130"/>
  <c r="O32" i="130" s="1"/>
  <c r="O41" i="130"/>
  <c r="O27" i="130"/>
  <c r="O33" i="130" s="1"/>
  <c r="O25" i="130"/>
  <c r="O24" i="130" s="1"/>
  <c r="O17" i="130"/>
  <c r="K139" i="130"/>
  <c r="K83" i="130"/>
  <c r="AK33" i="130"/>
  <c r="K32" i="130"/>
  <c r="L33" i="130"/>
  <c r="S72" i="130"/>
  <c r="N162" i="130"/>
  <c r="N82" i="130"/>
  <c r="M30" i="130"/>
  <c r="AF139" i="130"/>
  <c r="AI139" i="130"/>
  <c r="L139" i="130"/>
  <c r="L83" i="130"/>
  <c r="AH32" i="130"/>
  <c r="N33" i="130"/>
  <c r="M80" i="130"/>
  <c r="K183" i="130"/>
  <c r="K92" i="130"/>
  <c r="AK90" i="130"/>
  <c r="L89" i="130"/>
  <c r="L90" i="130"/>
  <c r="AJ33" i="130"/>
  <c r="AG139" i="130"/>
  <c r="AG32" i="130"/>
  <c r="N46" i="130"/>
  <c r="N45" i="130"/>
  <c r="N86" i="130" s="1"/>
  <c r="N140" i="130" s="1"/>
  <c r="AK139" i="130"/>
  <c r="AD16" i="130"/>
  <c r="AD25" i="130" s="1"/>
  <c r="AD17" i="130"/>
  <c r="M162" i="130"/>
  <c r="L5" i="130"/>
  <c r="AC139" i="130"/>
  <c r="AJ90" i="130"/>
  <c r="AA139" i="130"/>
  <c r="O175" i="130"/>
  <c r="P76" i="130"/>
  <c r="AE139" i="130"/>
  <c r="AJ139" i="130"/>
  <c r="W18" i="130"/>
  <c r="AF33" i="130"/>
  <c r="L32" i="130"/>
  <c r="AB33" i="130"/>
  <c r="L140" i="130"/>
  <c r="AF32" i="130"/>
  <c r="N32" i="130"/>
  <c r="N90" i="130"/>
  <c r="N89" i="130"/>
  <c r="R75" i="130"/>
  <c r="S69" i="130"/>
  <c r="AL139" i="130"/>
  <c r="K97" i="130"/>
  <c r="K91" i="130"/>
  <c r="K94" i="130" s="1"/>
  <c r="K95" i="130"/>
  <c r="AK128" i="130"/>
  <c r="AK129" i="130" s="1"/>
  <c r="Z128" i="130"/>
  <c r="Z129" i="130" s="1"/>
  <c r="Q128" i="130"/>
  <c r="Q129" i="130" s="1"/>
  <c r="AL119" i="130"/>
  <c r="AL120" i="130" s="1"/>
  <c r="AD119" i="130"/>
  <c r="AD120" i="130" s="1"/>
  <c r="V119" i="130"/>
  <c r="V120" i="130" s="1"/>
  <c r="N119" i="130"/>
  <c r="N120" i="130" s="1"/>
  <c r="AH128" i="130"/>
  <c r="AH129" i="130" s="1"/>
  <c r="Y128" i="130"/>
  <c r="Y129" i="130" s="1"/>
  <c r="P128" i="130"/>
  <c r="P129" i="130" s="1"/>
  <c r="AK119" i="130"/>
  <c r="AK120" i="130" s="1"/>
  <c r="AC119" i="130"/>
  <c r="AC120" i="130" s="1"/>
  <c r="U119" i="130"/>
  <c r="U120" i="130" s="1"/>
  <c r="M119" i="130"/>
  <c r="M120" i="130" s="1"/>
  <c r="AD154" i="130"/>
  <c r="AD155" i="130" s="1"/>
  <c r="AG128" i="130"/>
  <c r="AG129" i="130" s="1"/>
  <c r="X128" i="130"/>
  <c r="X129" i="130" s="1"/>
  <c r="O128" i="130"/>
  <c r="O129" i="130" s="1"/>
  <c r="AF128" i="130"/>
  <c r="AF129" i="130" s="1"/>
  <c r="W128" i="130"/>
  <c r="W129" i="130" s="1"/>
  <c r="N128" i="130"/>
  <c r="N129" i="130" s="1"/>
  <c r="AI119" i="130"/>
  <c r="AI120" i="130" s="1"/>
  <c r="AA119" i="130"/>
  <c r="AA120" i="130" s="1"/>
  <c r="S119" i="130"/>
  <c r="S120" i="130" s="1"/>
  <c r="K119" i="130"/>
  <c r="K120" i="130" s="1"/>
  <c r="U128" i="130"/>
  <c r="U129" i="130" s="1"/>
  <c r="Y119" i="130"/>
  <c r="Y120" i="130" s="1"/>
  <c r="AA154" i="130"/>
  <c r="AA155" i="130" s="1"/>
  <c r="S128" i="130"/>
  <c r="S129" i="130" s="1"/>
  <c r="X119" i="130"/>
  <c r="X120" i="130" s="1"/>
  <c r="V154" i="130"/>
  <c r="V155" i="130" s="1"/>
  <c r="S154" i="130"/>
  <c r="S155" i="130" s="1"/>
  <c r="K128" i="130"/>
  <c r="K129" i="130" s="1"/>
  <c r="AH119" i="130"/>
  <c r="AH120" i="130" s="1"/>
  <c r="R119" i="130"/>
  <c r="R120" i="130" s="1"/>
  <c r="AC128" i="130"/>
  <c r="AC129" i="130" s="1"/>
  <c r="AB119" i="130"/>
  <c r="AB120" i="130" s="1"/>
  <c r="L119" i="130"/>
  <c r="L120" i="130" s="1"/>
  <c r="AJ119" i="130"/>
  <c r="AJ120" i="130" s="1"/>
  <c r="AG119" i="130"/>
  <c r="AG120" i="130" s="1"/>
  <c r="AE128" i="130"/>
  <c r="AE129" i="130" s="1"/>
  <c r="AF119" i="130"/>
  <c r="AF120" i="130" s="1"/>
  <c r="AD128" i="130"/>
  <c r="AD129" i="130" s="1"/>
  <c r="Z119" i="130"/>
  <c r="Z120" i="130" s="1"/>
  <c r="T119" i="130"/>
  <c r="T120" i="130" s="1"/>
  <c r="AE105" i="130"/>
  <c r="AE106" i="130" s="1"/>
  <c r="Q119" i="130"/>
  <c r="Q120" i="130" s="1"/>
  <c r="T105" i="130"/>
  <c r="T106" i="130" s="1"/>
  <c r="P119" i="130"/>
  <c r="P120" i="130" s="1"/>
  <c r="Z112" i="130"/>
  <c r="Z113" i="130" s="1"/>
  <c r="Q105" i="130"/>
  <c r="Q106" i="130" s="1"/>
  <c r="U112" i="130"/>
  <c r="U113" i="130" s="1"/>
  <c r="AJ105" i="130"/>
  <c r="AJ106" i="130" s="1"/>
  <c r="AG105" i="130"/>
  <c r="AG106" i="130" s="1"/>
  <c r="O105" i="130"/>
  <c r="O106" i="130" s="1"/>
  <c r="V128" i="130"/>
  <c r="V129" i="130" s="1"/>
  <c r="X112" i="130"/>
  <c r="X113" i="130" s="1"/>
  <c r="M128" i="130"/>
  <c r="M129" i="130" s="1"/>
  <c r="V105" i="130"/>
  <c r="V106" i="130" s="1"/>
  <c r="AH112" i="130"/>
  <c r="AH113" i="130" s="1"/>
  <c r="AC105" i="130"/>
  <c r="AC106" i="130" s="1"/>
  <c r="K146" i="130"/>
  <c r="K154" i="130"/>
  <c r="K155" i="130" s="1"/>
  <c r="U105" i="130"/>
  <c r="U106" i="130" s="1"/>
  <c r="R154" i="130"/>
  <c r="R155" i="130" s="1"/>
  <c r="AL105" i="130"/>
  <c r="AL106" i="130" s="1"/>
  <c r="U154" i="130"/>
  <c r="U155" i="130" s="1"/>
  <c r="AB154" i="130"/>
  <c r="AB155" i="130" s="1"/>
  <c r="AE112" i="130"/>
  <c r="AE113" i="130" s="1"/>
  <c r="P112" i="130"/>
  <c r="P113" i="130" s="1"/>
  <c r="Z105" i="130"/>
  <c r="Z106" i="130" s="1"/>
  <c r="M105" i="130"/>
  <c r="M106" i="130" s="1"/>
  <c r="AJ112" i="130"/>
  <c r="AJ113" i="130" s="1"/>
  <c r="X154" i="130"/>
  <c r="X155" i="130" s="1"/>
  <c r="M154" i="130"/>
  <c r="M155" i="130" s="1"/>
  <c r="T154" i="130"/>
  <c r="T155" i="130" s="1"/>
  <c r="AB128" i="130"/>
  <c r="AB129" i="130" s="1"/>
  <c r="AI112" i="130"/>
  <c r="AI113" i="130" s="1"/>
  <c r="V112" i="130"/>
  <c r="V113" i="130" s="1"/>
  <c r="L112" i="130"/>
  <c r="L113" i="130" s="1"/>
  <c r="R105" i="130"/>
  <c r="R106" i="130" s="1"/>
  <c r="Y105" i="130"/>
  <c r="Y106" i="130" s="1"/>
  <c r="P154" i="130"/>
  <c r="P155" i="130" s="1"/>
  <c r="AL154" i="130"/>
  <c r="AL155" i="130" s="1"/>
  <c r="N154" i="130"/>
  <c r="N155" i="130" s="1"/>
  <c r="AB112" i="130"/>
  <c r="AB113" i="130" s="1"/>
  <c r="AA112" i="130"/>
  <c r="AA113" i="130" s="1"/>
  <c r="M112" i="130"/>
  <c r="M113" i="130" s="1"/>
  <c r="AD112" i="130"/>
  <c r="AD113" i="130" s="1"/>
  <c r="AF105" i="130"/>
  <c r="AF106" i="130" s="1"/>
  <c r="O112" i="130"/>
  <c r="O113" i="130" s="1"/>
  <c r="N105" i="130"/>
  <c r="N106" i="130" s="1"/>
  <c r="AE154" i="130"/>
  <c r="AE155" i="130" s="1"/>
  <c r="Z154" i="130"/>
  <c r="Z155" i="130" s="1"/>
  <c r="AG154" i="130"/>
  <c r="AG155" i="130" s="1"/>
  <c r="L128" i="130"/>
  <c r="L129" i="130" s="1"/>
  <c r="AL112" i="130"/>
  <c r="AL113" i="130" s="1"/>
  <c r="X105" i="130"/>
  <c r="X106" i="130" s="1"/>
  <c r="W154" i="130"/>
  <c r="W155" i="130" s="1"/>
  <c r="AI128" i="130"/>
  <c r="AI129" i="130" s="1"/>
  <c r="K162" i="130"/>
  <c r="N112" i="130"/>
  <c r="N113" i="130" s="1"/>
  <c r="Q112" i="130"/>
  <c r="Q113" i="130" s="1"/>
  <c r="T128" i="130"/>
  <c r="T129" i="130" s="1"/>
  <c r="W105" i="130"/>
  <c r="W106" i="130" s="1"/>
  <c r="AG112" i="130"/>
  <c r="AG113" i="130" s="1"/>
  <c r="L154" i="130"/>
  <c r="L155" i="130" s="1"/>
  <c r="AH154" i="130"/>
  <c r="AH155" i="130" s="1"/>
  <c r="S112" i="130"/>
  <c r="S113" i="130" s="1"/>
  <c r="AI105" i="130"/>
  <c r="AI106" i="130" s="1"/>
  <c r="AD105" i="130"/>
  <c r="AD106" i="130" s="1"/>
  <c r="Q154" i="130"/>
  <c r="Q155" i="130" s="1"/>
  <c r="Y112" i="130"/>
  <c r="Y113" i="130" s="1"/>
  <c r="AJ128" i="130"/>
  <c r="AJ129" i="130" s="1"/>
  <c r="K112" i="130"/>
  <c r="K113" i="130" s="1"/>
  <c r="AC112" i="130"/>
  <c r="AC113" i="130" s="1"/>
  <c r="AA105" i="130"/>
  <c r="AA106" i="130" s="1"/>
  <c r="P105" i="130"/>
  <c r="P106" i="130" s="1"/>
  <c r="AE119" i="130"/>
  <c r="AE120" i="130" s="1"/>
  <c r="R112" i="130"/>
  <c r="R113" i="130" s="1"/>
  <c r="O154" i="130"/>
  <c r="O155" i="130" s="1"/>
  <c r="AJ154" i="130"/>
  <c r="AJ155" i="130" s="1"/>
  <c r="AI154" i="130"/>
  <c r="AI155" i="130" s="1"/>
  <c r="R128" i="130"/>
  <c r="R129" i="130" s="1"/>
  <c r="M139" i="130"/>
  <c r="M141" i="130" s="1"/>
  <c r="AF112" i="130"/>
  <c r="AF113" i="130" s="1"/>
  <c r="T112" i="130"/>
  <c r="T113" i="130" s="1"/>
  <c r="S105" i="130"/>
  <c r="S106" i="130" s="1"/>
  <c r="AK105" i="130"/>
  <c r="AK106" i="130" s="1"/>
  <c r="L105" i="130"/>
  <c r="L106" i="130" s="1"/>
  <c r="AK112" i="130"/>
  <c r="AK113" i="130" s="1"/>
  <c r="AK154" i="130"/>
  <c r="AK155" i="130" s="1"/>
  <c r="Y154" i="130"/>
  <c r="Y155" i="130" s="1"/>
  <c r="O119" i="130"/>
  <c r="O120" i="130" s="1"/>
  <c r="AA128" i="130"/>
  <c r="AA129" i="130" s="1"/>
  <c r="W112" i="130"/>
  <c r="W113" i="130" s="1"/>
  <c r="K105" i="130"/>
  <c r="K106" i="130" s="1"/>
  <c r="AB105" i="130"/>
  <c r="AB106" i="130" s="1"/>
  <c r="AC154" i="130"/>
  <c r="AC155" i="130" s="1"/>
  <c r="W119" i="130"/>
  <c r="W120" i="130" s="1"/>
  <c r="AL128" i="130"/>
  <c r="AL129" i="130" s="1"/>
  <c r="AH105" i="130"/>
  <c r="AH106" i="130" s="1"/>
  <c r="AF154" i="130"/>
  <c r="AF155" i="130" s="1"/>
  <c r="N81" i="130"/>
  <c r="N30" i="130"/>
  <c r="M33" i="130"/>
  <c r="N80" i="130" l="1"/>
  <c r="S68" i="130"/>
  <c r="T66" i="130"/>
  <c r="O30" i="130"/>
  <c r="O81" i="130"/>
  <c r="K19" i="130"/>
  <c r="K107" i="130" s="1"/>
  <c r="K114" i="130" s="1"/>
  <c r="K121" i="130" s="1"/>
  <c r="K130" i="130" s="1"/>
  <c r="K156" i="130" s="1"/>
  <c r="K157" i="130" s="1"/>
  <c r="K158" i="130" s="1"/>
  <c r="K160" i="130" s="1"/>
  <c r="K161" i="130" s="1"/>
  <c r="K164" i="130" s="1"/>
  <c r="AC81" i="130"/>
  <c r="AC30" i="130"/>
  <c r="AE17" i="130"/>
  <c r="AE16" i="130"/>
  <c r="AE25" i="130" s="1"/>
  <c r="T69" i="130"/>
  <c r="S75" i="130"/>
  <c r="O42" i="130"/>
  <c r="O84" i="130" s="1"/>
  <c r="O43" i="130"/>
  <c r="O85" i="130" s="1"/>
  <c r="P50" i="130"/>
  <c r="P52" i="130" s="1"/>
  <c r="P44" i="130"/>
  <c r="P27" i="130"/>
  <c r="P33" i="130" s="1"/>
  <c r="P25" i="130"/>
  <c r="P47" i="130"/>
  <c r="P29" i="130"/>
  <c r="P26" i="130"/>
  <c r="P32" i="130" s="1"/>
  <c r="P41" i="130"/>
  <c r="P17" i="130"/>
  <c r="N88" i="130"/>
  <c r="L88" i="130"/>
  <c r="N139" i="130"/>
  <c r="N141" i="130" s="1"/>
  <c r="N83" i="130"/>
  <c r="R58" i="130"/>
  <c r="Q60" i="130"/>
  <c r="Q23" i="130"/>
  <c r="Q61" i="130"/>
  <c r="M88" i="130"/>
  <c r="M183" i="130" s="1"/>
  <c r="X18" i="130"/>
  <c r="L141" i="130"/>
  <c r="K141" i="130"/>
  <c r="P175" i="130"/>
  <c r="Q76" i="130"/>
  <c r="O46" i="130"/>
  <c r="O45" i="130"/>
  <c r="O86" i="130" s="1"/>
  <c r="O140" i="130" s="1"/>
  <c r="L10" i="130"/>
  <c r="M4" i="130"/>
  <c r="L11" i="130"/>
  <c r="AD24" i="130"/>
  <c r="T72" i="130"/>
  <c r="O162" i="130"/>
  <c r="O82" i="130"/>
  <c r="O89" i="130"/>
  <c r="O90" i="130"/>
  <c r="S16" i="130"/>
  <c r="O80" i="130" l="1"/>
  <c r="K115" i="130"/>
  <c r="K108" i="130"/>
  <c r="K131" i="130"/>
  <c r="K132" i="130" s="1"/>
  <c r="K134" i="130" s="1"/>
  <c r="N183" i="130"/>
  <c r="K122" i="130"/>
  <c r="T68" i="130"/>
  <c r="U66" i="130"/>
  <c r="N95" i="130"/>
  <c r="N91" i="130"/>
  <c r="N94" i="130" s="1"/>
  <c r="N97" i="130"/>
  <c r="AF16" i="130"/>
  <c r="AF25" i="130" s="1"/>
  <c r="AF17" i="130"/>
  <c r="T16" i="130"/>
  <c r="U72" i="130"/>
  <c r="Q44" i="130"/>
  <c r="Q50" i="130"/>
  <c r="Q52" i="130" s="1"/>
  <c r="Q47" i="130"/>
  <c r="Q29" i="130"/>
  <c r="Q26" i="130"/>
  <c r="Q32" i="130" s="1"/>
  <c r="Q41" i="130"/>
  <c r="Q27" i="130"/>
  <c r="Q33" i="130" s="1"/>
  <c r="Q25" i="130"/>
  <c r="Q17" i="130"/>
  <c r="K124" i="130"/>
  <c r="K171" i="130" s="1"/>
  <c r="K172" i="130" s="1"/>
  <c r="T75" i="130"/>
  <c r="U69" i="130"/>
  <c r="AE24" i="130"/>
  <c r="P162" i="130"/>
  <c r="P82" i="130"/>
  <c r="L170" i="130"/>
  <c r="L62" i="130"/>
  <c r="L31" i="130"/>
  <c r="Y18" i="130"/>
  <c r="P46" i="130"/>
  <c r="Q46" i="130" s="1"/>
  <c r="R46" i="130" s="1"/>
  <c r="S46" i="130" s="1"/>
  <c r="T46" i="130" s="1"/>
  <c r="U46" i="130" s="1"/>
  <c r="V46" i="130" s="1"/>
  <c r="W46" i="130" s="1"/>
  <c r="X46" i="130" s="1"/>
  <c r="Y46" i="130" s="1"/>
  <c r="Z46" i="130" s="1"/>
  <c r="AA46" i="130" s="1"/>
  <c r="AB46" i="130" s="1"/>
  <c r="AC46" i="130" s="1"/>
  <c r="AD46" i="130" s="1"/>
  <c r="AE46" i="130" s="1"/>
  <c r="AF46" i="130" s="1"/>
  <c r="AG46" i="130" s="1"/>
  <c r="AH46" i="130" s="1"/>
  <c r="AI46" i="130" s="1"/>
  <c r="AJ46" i="130" s="1"/>
  <c r="AK46" i="130" s="1"/>
  <c r="AL46" i="130" s="1"/>
  <c r="P45" i="130"/>
  <c r="P42" i="130"/>
  <c r="P84" i="130" s="1"/>
  <c r="P43" i="130"/>
  <c r="P85" i="130" s="1"/>
  <c r="P90" i="130"/>
  <c r="P89" i="130"/>
  <c r="K135" i="130"/>
  <c r="K136" i="130"/>
  <c r="P24" i="130"/>
  <c r="N92" i="130"/>
  <c r="AD81" i="130"/>
  <c r="AD30" i="130"/>
  <c r="M5" i="130"/>
  <c r="S58" i="130"/>
  <c r="R61" i="130"/>
  <c r="R60" i="130"/>
  <c r="R23" i="130"/>
  <c r="O88" i="130"/>
  <c r="Q175" i="130"/>
  <c r="R76" i="130"/>
  <c r="M91" i="130"/>
  <c r="M94" i="130" s="1"/>
  <c r="M97" i="130"/>
  <c r="M95" i="130"/>
  <c r="L91" i="130"/>
  <c r="L94" i="130" s="1"/>
  <c r="L95" i="130"/>
  <c r="L97" i="130"/>
  <c r="L92" i="130"/>
  <c r="O139" i="130"/>
  <c r="O141" i="130" s="1"/>
  <c r="O83" i="130"/>
  <c r="O183" i="130" s="1"/>
  <c r="M92" i="130"/>
  <c r="L183" i="130"/>
  <c r="V66" i="130" l="1"/>
  <c r="U68" i="130"/>
  <c r="U75" i="130"/>
  <c r="V69" i="130"/>
  <c r="P88" i="130"/>
  <c r="Z18" i="130"/>
  <c r="Q42" i="130"/>
  <c r="Q84" i="130" s="1"/>
  <c r="Q43" i="130"/>
  <c r="Q85" i="130" s="1"/>
  <c r="S61" i="130"/>
  <c r="T58" i="130"/>
  <c r="S23" i="130"/>
  <c r="S60" i="130"/>
  <c r="L34" i="130"/>
  <c r="L19" i="130"/>
  <c r="L107" i="130" s="1"/>
  <c r="K176" i="130"/>
  <c r="K173" i="130"/>
  <c r="U16" i="130"/>
  <c r="R175" i="130"/>
  <c r="S76" i="130"/>
  <c r="M10" i="130"/>
  <c r="N4" i="130"/>
  <c r="M11" i="130"/>
  <c r="O95" i="130"/>
  <c r="O91" i="130"/>
  <c r="O94" i="130" s="1"/>
  <c r="O97" i="130"/>
  <c r="AE81" i="130"/>
  <c r="AE30" i="130"/>
  <c r="Q90" i="130"/>
  <c r="Q89" i="130"/>
  <c r="Q88" i="130" s="1"/>
  <c r="R47" i="130"/>
  <c r="R50" i="130"/>
  <c r="R52" i="130" s="1"/>
  <c r="R29" i="130"/>
  <c r="R26" i="130"/>
  <c r="R32" i="130" s="1"/>
  <c r="R41" i="130"/>
  <c r="R44" i="130"/>
  <c r="R27" i="130"/>
  <c r="R33" i="130" s="1"/>
  <c r="R25" i="130"/>
  <c r="R24" i="130" s="1"/>
  <c r="R17" i="130"/>
  <c r="P141" i="130"/>
  <c r="P81" i="130"/>
  <c r="P30" i="130"/>
  <c r="P139" i="130"/>
  <c r="Q162" i="130"/>
  <c r="Q164" i="130" s="1"/>
  <c r="Q179" i="130" s="1"/>
  <c r="Q82" i="130"/>
  <c r="AG16" i="130"/>
  <c r="AG25" i="130" s="1"/>
  <c r="AG17" i="130"/>
  <c r="AF24" i="130"/>
  <c r="K137" i="130"/>
  <c r="K177" i="130" s="1"/>
  <c r="Q45" i="130"/>
  <c r="P86" i="130"/>
  <c r="P140" i="130" s="1"/>
  <c r="Q24" i="130"/>
  <c r="V72" i="130"/>
  <c r="O92" i="130"/>
  <c r="P83" i="130" l="1"/>
  <c r="V68" i="130"/>
  <c r="W66" i="130"/>
  <c r="W72" i="130"/>
  <c r="AG24" i="130"/>
  <c r="Q139" i="130"/>
  <c r="Q141" i="130" s="1"/>
  <c r="Q81" i="130"/>
  <c r="Q80" i="130" s="1"/>
  <c r="Q30" i="130"/>
  <c r="AF81" i="130"/>
  <c r="AF30" i="130"/>
  <c r="P80" i="130"/>
  <c r="R81" i="130"/>
  <c r="R30" i="130"/>
  <c r="V16" i="130"/>
  <c r="R43" i="130"/>
  <c r="R85" i="130" s="1"/>
  <c r="R42" i="130"/>
  <c r="R84" i="130" s="1"/>
  <c r="S47" i="130"/>
  <c r="S41" i="130"/>
  <c r="S50" i="130"/>
  <c r="S52" i="130" s="1"/>
  <c r="S29" i="130"/>
  <c r="S26" i="130"/>
  <c r="S32" i="130" s="1"/>
  <c r="S27" i="130"/>
  <c r="S33" i="130" s="1"/>
  <c r="S25" i="130"/>
  <c r="S24" i="130" s="1"/>
  <c r="S44" i="130"/>
  <c r="S17" i="130"/>
  <c r="AA18" i="130"/>
  <c r="M170" i="130"/>
  <c r="M62" i="130"/>
  <c r="M31" i="130"/>
  <c r="T61" i="130"/>
  <c r="U58" i="130"/>
  <c r="T23" i="130"/>
  <c r="T60" i="130"/>
  <c r="R45" i="130"/>
  <c r="Q86" i="130"/>
  <c r="Q140" i="130" s="1"/>
  <c r="N5" i="130"/>
  <c r="R89" i="130"/>
  <c r="R90" i="130"/>
  <c r="K180" i="130"/>
  <c r="K178" i="130"/>
  <c r="V75" i="130"/>
  <c r="W69" i="130"/>
  <c r="AH16" i="130"/>
  <c r="AH25" i="130" s="1"/>
  <c r="AH17" i="130"/>
  <c r="R82" i="130"/>
  <c r="R162" i="130"/>
  <c r="R164" i="130" s="1"/>
  <c r="R179" i="130" s="1"/>
  <c r="S175" i="130"/>
  <c r="T76" i="130"/>
  <c r="L114" i="130"/>
  <c r="L108" i="130"/>
  <c r="R88" i="130" l="1"/>
  <c r="X66" i="130"/>
  <c r="W68" i="130"/>
  <c r="S81" i="130"/>
  <c r="S30" i="130"/>
  <c r="AB18" i="130"/>
  <c r="T175" i="130"/>
  <c r="U76" i="130"/>
  <c r="AI16" i="130"/>
  <c r="AI25" i="130" s="1"/>
  <c r="AI17" i="130"/>
  <c r="V58" i="130"/>
  <c r="U60" i="130"/>
  <c r="U23" i="130"/>
  <c r="U61" i="130"/>
  <c r="Q92" i="130"/>
  <c r="S90" i="130"/>
  <c r="S89" i="130"/>
  <c r="S88" i="130" s="1"/>
  <c r="AG81" i="130"/>
  <c r="AG30" i="130"/>
  <c r="P183" i="130"/>
  <c r="P92" i="130"/>
  <c r="W75" i="130"/>
  <c r="X69" i="130"/>
  <c r="P95" i="130"/>
  <c r="P97" i="130"/>
  <c r="E70" i="120" s="1"/>
  <c r="M34" i="130"/>
  <c r="M19" i="130"/>
  <c r="M107" i="130" s="1"/>
  <c r="S82" i="130"/>
  <c r="S162" i="130"/>
  <c r="S164" i="130" s="1"/>
  <c r="S179" i="130" s="1"/>
  <c r="R139" i="130"/>
  <c r="R80" i="130"/>
  <c r="R97" i="130" s="1"/>
  <c r="Q83" i="130"/>
  <c r="O4" i="130"/>
  <c r="N10" i="130"/>
  <c r="N11" i="130"/>
  <c r="W16" i="130"/>
  <c r="P91" i="130"/>
  <c r="P94" i="130" s="1"/>
  <c r="S45" i="130"/>
  <c r="R86" i="130"/>
  <c r="R140" i="130" s="1"/>
  <c r="S43" i="130"/>
  <c r="S85" i="130" s="1"/>
  <c r="S42" i="130"/>
  <c r="S84" i="130" s="1"/>
  <c r="K179" i="130"/>
  <c r="K184" i="130"/>
  <c r="T47" i="130"/>
  <c r="T41" i="130"/>
  <c r="T29" i="130"/>
  <c r="T26" i="130"/>
  <c r="T32" i="130" s="1"/>
  <c r="T27" i="130"/>
  <c r="T33" i="130" s="1"/>
  <c r="T25" i="130"/>
  <c r="T50" i="130"/>
  <c r="T52" i="130" s="1"/>
  <c r="T44" i="130"/>
  <c r="T17" i="130"/>
  <c r="X72" i="130"/>
  <c r="L121" i="130"/>
  <c r="L115" i="130"/>
  <c r="AH24" i="130"/>
  <c r="Q97" i="130"/>
  <c r="R141" i="130" l="1"/>
  <c r="X68" i="130"/>
  <c r="Y66" i="130"/>
  <c r="T162" i="130"/>
  <c r="T164" i="130" s="1"/>
  <c r="T179" i="130" s="1"/>
  <c r="T82" i="130"/>
  <c r="V60" i="130"/>
  <c r="V23" i="130"/>
  <c r="W58" i="130"/>
  <c r="V61" i="130"/>
  <c r="T45" i="130"/>
  <c r="S86" i="130"/>
  <c r="S140" i="130" s="1"/>
  <c r="T89" i="130"/>
  <c r="T90" i="130"/>
  <c r="K186" i="130"/>
  <c r="J186" i="130" s="1"/>
  <c r="K185" i="130"/>
  <c r="J185" i="130" s="1"/>
  <c r="AC18" i="130"/>
  <c r="O5" i="130"/>
  <c r="L130" i="130"/>
  <c r="L122" i="130"/>
  <c r="L124" i="130" s="1"/>
  <c r="L171" i="130" s="1"/>
  <c r="L172" i="130" s="1"/>
  <c r="S139" i="130"/>
  <c r="S141" i="130" s="1"/>
  <c r="Q91" i="130"/>
  <c r="Q94" i="130" s="1"/>
  <c r="Q95" i="130"/>
  <c r="M114" i="130"/>
  <c r="M108" i="130"/>
  <c r="Y72" i="130"/>
  <c r="R92" i="130"/>
  <c r="AH81" i="130"/>
  <c r="AH30" i="130"/>
  <c r="R83" i="130"/>
  <c r="Q183" i="130"/>
  <c r="AJ17" i="130"/>
  <c r="AJ16" i="130"/>
  <c r="AJ25" i="130" s="1"/>
  <c r="S80" i="130"/>
  <c r="T43" i="130"/>
  <c r="T85" i="130" s="1"/>
  <c r="T42" i="130"/>
  <c r="T84" i="130" s="1"/>
  <c r="X16" i="130"/>
  <c r="AI24" i="130"/>
  <c r="U175" i="130"/>
  <c r="V76" i="130"/>
  <c r="T24" i="130"/>
  <c r="N170" i="130"/>
  <c r="N62" i="130"/>
  <c r="N31" i="130"/>
  <c r="Y69" i="130"/>
  <c r="X75" i="130"/>
  <c r="U47" i="130"/>
  <c r="U41" i="130"/>
  <c r="U27" i="130"/>
  <c r="U33" i="130" s="1"/>
  <c r="U25" i="130"/>
  <c r="U24" i="130" s="1"/>
  <c r="U44" i="130"/>
  <c r="U29" i="130"/>
  <c r="U26" i="130"/>
  <c r="U32" i="130" s="1"/>
  <c r="U50" i="130"/>
  <c r="U52" i="130" s="1"/>
  <c r="U17" i="130"/>
  <c r="T88" i="130" l="1"/>
  <c r="Y68" i="130"/>
  <c r="Z66" i="130"/>
  <c r="L173" i="130"/>
  <c r="L176" i="130"/>
  <c r="Z72" i="130"/>
  <c r="Z69" i="130"/>
  <c r="Y75" i="130"/>
  <c r="U43" i="130"/>
  <c r="U85" i="130" s="1"/>
  <c r="U42" i="130"/>
  <c r="U84" i="130" s="1"/>
  <c r="S92" i="130"/>
  <c r="AJ24" i="130"/>
  <c r="L156" i="130"/>
  <c r="L157" i="130" s="1"/>
  <c r="L158" i="130" s="1"/>
  <c r="L160" i="130" s="1"/>
  <c r="L161" i="130" s="1"/>
  <c r="L164" i="130" s="1"/>
  <c r="L131" i="130"/>
  <c r="L132" i="130" s="1"/>
  <c r="L134" i="130" s="1"/>
  <c r="U89" i="130"/>
  <c r="U90" i="130"/>
  <c r="U81" i="130"/>
  <c r="U30" i="130"/>
  <c r="Y16" i="130"/>
  <c r="T81" i="130"/>
  <c r="T30" i="130"/>
  <c r="AD18" i="130"/>
  <c r="V175" i="130"/>
  <c r="W76" i="130"/>
  <c r="AI81" i="130"/>
  <c r="AI30" i="130"/>
  <c r="AK17" i="130"/>
  <c r="AK16" i="130"/>
  <c r="AK25" i="130" s="1"/>
  <c r="M121" i="130"/>
  <c r="M115" i="130"/>
  <c r="U45" i="130"/>
  <c r="T86" i="130"/>
  <c r="T140" i="130" s="1"/>
  <c r="S97" i="130"/>
  <c r="N34" i="130"/>
  <c r="N19" i="130"/>
  <c r="N107" i="130" s="1"/>
  <c r="T139" i="130"/>
  <c r="R95" i="130"/>
  <c r="R91" i="130"/>
  <c r="R94" i="130" s="1"/>
  <c r="O10" i="130"/>
  <c r="O11" i="130"/>
  <c r="P4" i="130"/>
  <c r="W60" i="130"/>
  <c r="W23" i="130"/>
  <c r="W61" i="130"/>
  <c r="X58" i="130"/>
  <c r="U162" i="130"/>
  <c r="U164" i="130" s="1"/>
  <c r="U179" i="130" s="1"/>
  <c r="U82" i="130"/>
  <c r="R183" i="130"/>
  <c r="S83" i="130"/>
  <c r="V50" i="130"/>
  <c r="V52" i="130" s="1"/>
  <c r="V44" i="130"/>
  <c r="V47" i="130"/>
  <c r="V41" i="130"/>
  <c r="V27" i="130"/>
  <c r="V33" i="130" s="1"/>
  <c r="V25" i="130"/>
  <c r="V24" i="130" s="1"/>
  <c r="V29" i="130"/>
  <c r="V26" i="130"/>
  <c r="V32" i="130" s="1"/>
  <c r="V17" i="130"/>
  <c r="T141" i="130" l="1"/>
  <c r="T83" i="130"/>
  <c r="U80" i="130"/>
  <c r="AA66" i="130"/>
  <c r="Z68" i="130"/>
  <c r="O62" i="130"/>
  <c r="O170" i="130"/>
  <c r="O31" i="130"/>
  <c r="AL17" i="130"/>
  <c r="AL16" i="130"/>
  <c r="AL25" i="130" s="1"/>
  <c r="W175" i="130"/>
  <c r="X76" i="130"/>
  <c r="L135" i="130"/>
  <c r="L137" i="130" s="1"/>
  <c r="L177" i="130" s="1"/>
  <c r="L178" i="130" s="1"/>
  <c r="L136" i="130"/>
  <c r="Z75" i="130"/>
  <c r="AA69" i="130"/>
  <c r="V90" i="130"/>
  <c r="V89" i="130"/>
  <c r="AE18" i="130"/>
  <c r="AJ81" i="130"/>
  <c r="AJ30" i="130"/>
  <c r="AA72" i="130"/>
  <c r="S95" i="130"/>
  <c r="S91" i="130"/>
  <c r="S94" i="130" s="1"/>
  <c r="W50" i="130"/>
  <c r="W52" i="130" s="1"/>
  <c r="W44" i="130"/>
  <c r="W41" i="130"/>
  <c r="W47" i="130"/>
  <c r="W29" i="130"/>
  <c r="W27" i="130"/>
  <c r="W33" i="130" s="1"/>
  <c r="W25" i="130"/>
  <c r="W26" i="130"/>
  <c r="W32" i="130" s="1"/>
  <c r="W17" i="130"/>
  <c r="S183" i="130"/>
  <c r="X60" i="130"/>
  <c r="Y58" i="130"/>
  <c r="X61" i="130"/>
  <c r="X23" i="130"/>
  <c r="U139" i="130"/>
  <c r="AK24" i="130"/>
  <c r="V81" i="130"/>
  <c r="V30" i="130"/>
  <c r="V162" i="130"/>
  <c r="V164" i="130" s="1"/>
  <c r="V179" i="130" s="1"/>
  <c r="V82" i="130"/>
  <c r="V45" i="130"/>
  <c r="U86" i="130"/>
  <c r="U140" i="130" s="1"/>
  <c r="N114" i="130"/>
  <c r="N108" i="130"/>
  <c r="T80" i="130"/>
  <c r="V42" i="130"/>
  <c r="V84" i="130" s="1"/>
  <c r="V43" i="130"/>
  <c r="V85" i="130" s="1"/>
  <c r="P5" i="130"/>
  <c r="M130" i="130"/>
  <c r="M122" i="130"/>
  <c r="M124" i="130" s="1"/>
  <c r="M171" i="130" s="1"/>
  <c r="M172" i="130" s="1"/>
  <c r="Z16" i="130"/>
  <c r="U88" i="130"/>
  <c r="U92" i="130" s="1"/>
  <c r="V88" i="130" l="1"/>
  <c r="V97" i="130" s="1"/>
  <c r="V80" i="130"/>
  <c r="AA89" i="130"/>
  <c r="AA88" i="130" s="1"/>
  <c r="AA68" i="130"/>
  <c r="AB66" i="130"/>
  <c r="L179" i="130"/>
  <c r="L184" i="130"/>
  <c r="N121" i="130"/>
  <c r="N115" i="130"/>
  <c r="AF18" i="130"/>
  <c r="V139" i="130"/>
  <c r="Z58" i="130"/>
  <c r="Y23" i="130"/>
  <c r="Y61" i="130"/>
  <c r="Y60" i="130"/>
  <c r="W162" i="130"/>
  <c r="W164" i="130" s="1"/>
  <c r="W179" i="130" s="1"/>
  <c r="F71" i="120" s="1"/>
  <c r="W82" i="130"/>
  <c r="AA16" i="130"/>
  <c r="AA25" i="130" s="1"/>
  <c r="AA17" i="130"/>
  <c r="AB69" i="130"/>
  <c r="AA75" i="130"/>
  <c r="M173" i="130"/>
  <c r="M176" i="130"/>
  <c r="AB72" i="130"/>
  <c r="M156" i="130"/>
  <c r="M157" i="130" s="1"/>
  <c r="M158" i="130" s="1"/>
  <c r="M160" i="130" s="1"/>
  <c r="M161" i="130" s="1"/>
  <c r="M164" i="130" s="1"/>
  <c r="M131" i="130"/>
  <c r="M132" i="130" s="1"/>
  <c r="M134" i="130" s="1"/>
  <c r="T183" i="130"/>
  <c r="T92" i="130"/>
  <c r="T97" i="130"/>
  <c r="T91" i="130"/>
  <c r="T94" i="130" s="1"/>
  <c r="AK81" i="130"/>
  <c r="AK30" i="130"/>
  <c r="P11" i="130"/>
  <c r="P10" i="130"/>
  <c r="Q4" i="130"/>
  <c r="W42" i="130"/>
  <c r="W84" i="130" s="1"/>
  <c r="W43" i="130"/>
  <c r="W85" i="130" s="1"/>
  <c r="O34" i="130"/>
  <c r="O19" i="130"/>
  <c r="O107" i="130" s="1"/>
  <c r="X175" i="130"/>
  <c r="Y76" i="130"/>
  <c r="X50" i="130"/>
  <c r="X52" i="130" s="1"/>
  <c r="X44" i="130"/>
  <c r="X27" i="130"/>
  <c r="X33" i="130" s="1"/>
  <c r="X25" i="130"/>
  <c r="X29" i="130"/>
  <c r="X26" i="130"/>
  <c r="X32" i="130" s="1"/>
  <c r="X41" i="130"/>
  <c r="X47" i="130"/>
  <c r="X17" i="130"/>
  <c r="W89" i="130"/>
  <c r="W90" i="130"/>
  <c r="U97" i="130"/>
  <c r="U83" i="130"/>
  <c r="U183" i="130" s="1"/>
  <c r="W45" i="130"/>
  <c r="V86" i="130"/>
  <c r="V140" i="130" s="1"/>
  <c r="U141" i="130"/>
  <c r="W24" i="130"/>
  <c r="AL24" i="130"/>
  <c r="T95" i="130"/>
  <c r="V92" i="130" l="1"/>
  <c r="AB68" i="130"/>
  <c r="AC66" i="130"/>
  <c r="AB89" i="130"/>
  <c r="AB88" i="130" s="1"/>
  <c r="V83" i="130"/>
  <c r="V141" i="130"/>
  <c r="AB75" i="130"/>
  <c r="AC69" i="130"/>
  <c r="AG18" i="130"/>
  <c r="U95" i="130"/>
  <c r="X42" i="130"/>
  <c r="X84" i="130" s="1"/>
  <c r="X43" i="130"/>
  <c r="X85" i="130" s="1"/>
  <c r="Q5" i="130"/>
  <c r="X162" i="130"/>
  <c r="X164" i="130" s="1"/>
  <c r="X82" i="130"/>
  <c r="W88" i="130"/>
  <c r="O114" i="130"/>
  <c r="O108" i="130"/>
  <c r="P170" i="130"/>
  <c r="P62" i="130"/>
  <c r="P31" i="130"/>
  <c r="AC72" i="130"/>
  <c r="AB17" i="130"/>
  <c r="AB16" i="130"/>
  <c r="AB25" i="130" s="1"/>
  <c r="X45" i="130"/>
  <c r="W86" i="130"/>
  <c r="W140" i="130" s="1"/>
  <c r="U91" i="130"/>
  <c r="U94" i="130" s="1"/>
  <c r="AA162" i="130"/>
  <c r="AA164" i="130" s="1"/>
  <c r="AA82" i="130"/>
  <c r="AA24" i="130"/>
  <c r="Y44" i="130"/>
  <c r="Y29" i="130"/>
  <c r="Y26" i="130"/>
  <c r="Y32" i="130" s="1"/>
  <c r="Y27" i="130"/>
  <c r="Y33" i="130" s="1"/>
  <c r="Y25" i="130"/>
  <c r="Y24" i="130" s="1"/>
  <c r="Y50" i="130"/>
  <c r="Y52" i="130" s="1"/>
  <c r="Y41" i="130"/>
  <c r="Y47" i="130"/>
  <c r="Y17" i="130"/>
  <c r="N130" i="130"/>
  <c r="N122" i="130"/>
  <c r="N124" i="130" s="1"/>
  <c r="N171" i="130" s="1"/>
  <c r="N172" i="130" s="1"/>
  <c r="M136" i="130"/>
  <c r="M135" i="130"/>
  <c r="W81" i="130"/>
  <c r="W80" i="130" s="1"/>
  <c r="W30" i="130"/>
  <c r="X24" i="130"/>
  <c r="X90" i="130"/>
  <c r="X89" i="130"/>
  <c r="Z61" i="130"/>
  <c r="Z60" i="130"/>
  <c r="Z23" i="130"/>
  <c r="L185" i="130"/>
  <c r="L186" i="130"/>
  <c r="AL81" i="130"/>
  <c r="AL30" i="130"/>
  <c r="Y175" i="130"/>
  <c r="Z76" i="130"/>
  <c r="W139" i="130"/>
  <c r="W141" i="130" s="1"/>
  <c r="W83" i="130"/>
  <c r="V183" i="130" l="1"/>
  <c r="V91" i="130"/>
  <c r="V94" i="130" s="1"/>
  <c r="X88" i="130"/>
  <c r="M137" i="130"/>
  <c r="M177" i="130" s="1"/>
  <c r="M178" i="130" s="1"/>
  <c r="M179" i="130" s="1"/>
  <c r="AC68" i="130"/>
  <c r="AD66" i="130"/>
  <c r="AC89" i="130"/>
  <c r="AC88" i="130" s="1"/>
  <c r="V95" i="130"/>
  <c r="Y30" i="130"/>
  <c r="Y81" i="130"/>
  <c r="AD72" i="130"/>
  <c r="N173" i="130"/>
  <c r="N176" i="130"/>
  <c r="AH18" i="130"/>
  <c r="W183" i="130"/>
  <c r="W92" i="130"/>
  <c r="Z175" i="130"/>
  <c r="AA76" i="130"/>
  <c r="N156" i="130"/>
  <c r="N157" i="130" s="1"/>
  <c r="N158" i="130" s="1"/>
  <c r="N160" i="130" s="1"/>
  <c r="N161" i="130" s="1"/>
  <c r="N164" i="130" s="1"/>
  <c r="N131" i="130"/>
  <c r="N132" i="130" s="1"/>
  <c r="N134" i="130" s="1"/>
  <c r="P34" i="130"/>
  <c r="P19" i="130"/>
  <c r="P107" i="130" s="1"/>
  <c r="X139" i="130"/>
  <c r="AD69" i="130"/>
  <c r="AC75" i="130"/>
  <c r="AC162" i="130"/>
  <c r="AC164" i="130" s="1"/>
  <c r="AC82" i="130"/>
  <c r="AC80" i="130" s="1"/>
  <c r="Y162" i="130"/>
  <c r="Y164" i="130" s="1"/>
  <c r="Y82" i="130"/>
  <c r="Q11" i="130"/>
  <c r="Q10" i="130"/>
  <c r="R4" i="130"/>
  <c r="Z47" i="130"/>
  <c r="Z44" i="130"/>
  <c r="Z29" i="130"/>
  <c r="Z26" i="130"/>
  <c r="Z32" i="130" s="1"/>
  <c r="Z50" i="130"/>
  <c r="Z52" i="130" s="1"/>
  <c r="Z27" i="130"/>
  <c r="Z33" i="130" s="1"/>
  <c r="Z25" i="130"/>
  <c r="Z24" i="130" s="1"/>
  <c r="Z41" i="130"/>
  <c r="Z17" i="130"/>
  <c r="X81" i="130"/>
  <c r="X80" i="130" s="1"/>
  <c r="X30" i="130"/>
  <c r="Y42" i="130"/>
  <c r="Y84" i="130" s="1"/>
  <c r="Y43" i="130"/>
  <c r="Y85" i="130" s="1"/>
  <c r="AA81" i="130"/>
  <c r="AA80" i="130" s="1"/>
  <c r="AA30" i="130"/>
  <c r="Y45" i="130"/>
  <c r="X86" i="130"/>
  <c r="X140" i="130" s="1"/>
  <c r="W95" i="130"/>
  <c r="W91" i="130"/>
  <c r="W94" i="130" s="1"/>
  <c r="W97" i="130"/>
  <c r="E71" i="120" s="1"/>
  <c r="G71" i="120" s="1"/>
  <c r="Y90" i="130"/>
  <c r="Y89" i="130"/>
  <c r="AB162" i="130"/>
  <c r="AB164" i="130" s="1"/>
  <c r="AB82" i="130"/>
  <c r="AB24" i="130"/>
  <c r="O121" i="130"/>
  <c r="O115" i="130"/>
  <c r="Q26" i="118"/>
  <c r="R26" i="118"/>
  <c r="S26" i="118"/>
  <c r="T26" i="118"/>
  <c r="U26" i="118"/>
  <c r="V26" i="118"/>
  <c r="W26" i="118"/>
  <c r="X26" i="118"/>
  <c r="Y26" i="118"/>
  <c r="Z26" i="118"/>
  <c r="AA26" i="118"/>
  <c r="AB26" i="118"/>
  <c r="AC26" i="118"/>
  <c r="AD26" i="118"/>
  <c r="AE26" i="118"/>
  <c r="AF26" i="118"/>
  <c r="AG26" i="118"/>
  <c r="AH26" i="118"/>
  <c r="AI26" i="118"/>
  <c r="AJ26" i="118"/>
  <c r="AK26" i="118"/>
  <c r="AL26" i="118"/>
  <c r="AN35" i="118"/>
  <c r="X141" i="130" l="1"/>
  <c r="AD68" i="130"/>
  <c r="AE66" i="130"/>
  <c r="AD89" i="130"/>
  <c r="AD88" i="130" s="1"/>
  <c r="Y80" i="130"/>
  <c r="M184" i="130"/>
  <c r="Z42" i="130"/>
  <c r="Z84" i="130" s="1"/>
  <c r="Z43" i="130"/>
  <c r="Z85" i="130" s="1"/>
  <c r="Q170" i="130"/>
  <c r="Q62" i="130"/>
  <c r="Q31" i="130"/>
  <c r="AB81" i="130"/>
  <c r="AB80" i="130" s="1"/>
  <c r="AB30" i="130"/>
  <c r="Z162" i="130"/>
  <c r="Z164" i="130" s="1"/>
  <c r="Z82" i="130"/>
  <c r="AA175" i="130"/>
  <c r="AB76" i="130"/>
  <c r="AC92" i="130"/>
  <c r="AC97" i="130"/>
  <c r="AA92" i="130"/>
  <c r="AA97" i="130"/>
  <c r="X183" i="130"/>
  <c r="X92" i="130"/>
  <c r="AD75" i="130"/>
  <c r="AE69" i="130"/>
  <c r="AD82" i="130"/>
  <c r="AD80" i="130" s="1"/>
  <c r="AD162" i="130"/>
  <c r="AD164" i="130" s="1"/>
  <c r="N136" i="130"/>
  <c r="N135" i="130"/>
  <c r="Z89" i="130"/>
  <c r="Z90" i="130"/>
  <c r="AM52" i="130"/>
  <c r="X83" i="130"/>
  <c r="Z81" i="130"/>
  <c r="Z30" i="130"/>
  <c r="X97" i="130"/>
  <c r="AE72" i="130"/>
  <c r="O130" i="130"/>
  <c r="O122" i="130"/>
  <c r="O124" i="130" s="1"/>
  <c r="O171" i="130" s="1"/>
  <c r="O172" i="130" s="1"/>
  <c r="Y139" i="130"/>
  <c r="R5" i="130"/>
  <c r="P114" i="130"/>
  <c r="P108" i="130"/>
  <c r="AI18" i="130"/>
  <c r="M185" i="130"/>
  <c r="M186" i="130"/>
  <c r="Y88" i="130"/>
  <c r="Y92" i="130" s="1"/>
  <c r="Z45" i="130"/>
  <c r="Y86" i="130"/>
  <c r="Y140" i="130" s="1"/>
  <c r="Z88" i="130" l="1"/>
  <c r="O173" i="130"/>
  <c r="O176" i="130"/>
  <c r="Y83" i="130"/>
  <c r="Y183" i="130" s="1"/>
  <c r="AE89" i="130"/>
  <c r="AE88" i="130" s="1"/>
  <c r="AE68" i="130"/>
  <c r="AF66" i="130"/>
  <c r="Y141" i="130"/>
  <c r="Z80" i="130"/>
  <c r="N137" i="130"/>
  <c r="N177" i="130" s="1"/>
  <c r="N178" i="130" s="1"/>
  <c r="AJ18" i="130"/>
  <c r="AB92" i="130"/>
  <c r="AB97" i="130"/>
  <c r="O156" i="130"/>
  <c r="O157" i="130" s="1"/>
  <c r="O158" i="130" s="1"/>
  <c r="O160" i="130" s="1"/>
  <c r="O161" i="130" s="1"/>
  <c r="O164" i="130" s="1"/>
  <c r="O131" i="130"/>
  <c r="O132" i="130" s="1"/>
  <c r="O134" i="130" s="1"/>
  <c r="AM81" i="130"/>
  <c r="AB175" i="130"/>
  <c r="AC76" i="130"/>
  <c r="AA45" i="130"/>
  <c r="Z86" i="130"/>
  <c r="Z140" i="130" s="1"/>
  <c r="P121" i="130"/>
  <c r="P115" i="130"/>
  <c r="AF72" i="130"/>
  <c r="Y95" i="130"/>
  <c r="Y97" i="130"/>
  <c r="X95" i="130"/>
  <c r="X91" i="130"/>
  <c r="X94" i="130" s="1"/>
  <c r="AD92" i="130"/>
  <c r="AD97" i="130"/>
  <c r="Q34" i="130"/>
  <c r="Q19" i="130"/>
  <c r="Q107" i="130" s="1"/>
  <c r="AF69" i="130"/>
  <c r="AE75" i="130"/>
  <c r="AE82" i="130"/>
  <c r="AE80" i="130" s="1"/>
  <c r="AE162" i="130"/>
  <c r="AE164" i="130" s="1"/>
  <c r="Z139" i="130"/>
  <c r="Z141" i="130" s="1"/>
  <c r="R10" i="130"/>
  <c r="R11" i="130"/>
  <c r="S4" i="130"/>
  <c r="Y91" i="130" l="1"/>
  <c r="Y94" i="130" s="1"/>
  <c r="AG66" i="130"/>
  <c r="AF89" i="130"/>
  <c r="AF88" i="130" s="1"/>
  <c r="AF68" i="130"/>
  <c r="S5" i="130"/>
  <c r="AF75" i="130"/>
  <c r="AG69" i="130"/>
  <c r="AF162" i="130"/>
  <c r="AF164" i="130" s="1"/>
  <c r="AF82" i="130"/>
  <c r="AF80" i="130" s="1"/>
  <c r="O136" i="130"/>
  <c r="O135" i="130"/>
  <c r="R62" i="130"/>
  <c r="R170" i="130"/>
  <c r="R31" i="130"/>
  <c r="Q114" i="130"/>
  <c r="Q108" i="130"/>
  <c r="AB45" i="130"/>
  <c r="AA86" i="130"/>
  <c r="O179" i="130"/>
  <c r="Z83" i="130"/>
  <c r="Z183" i="130" s="1"/>
  <c r="AG72" i="130"/>
  <c r="N179" i="130"/>
  <c r="N184" i="130"/>
  <c r="AC175" i="130"/>
  <c r="AD76" i="130"/>
  <c r="Z92" i="130"/>
  <c r="AE92" i="130"/>
  <c r="AE97" i="130"/>
  <c r="AK18" i="130"/>
  <c r="Z97" i="130"/>
  <c r="E72" i="120" s="1"/>
  <c r="P130" i="130"/>
  <c r="P122" i="130"/>
  <c r="P124" i="130" s="1"/>
  <c r="P171" i="130" s="1"/>
  <c r="P172" i="130" s="1"/>
  <c r="O137" i="130" l="1"/>
  <c r="O177" i="130" s="1"/>
  <c r="O178" i="130" s="1"/>
  <c r="O184" i="130" s="1"/>
  <c r="P173" i="130"/>
  <c r="P176" i="130"/>
  <c r="AG68" i="130"/>
  <c r="AH66" i="130"/>
  <c r="AG89" i="130"/>
  <c r="AG88" i="130" s="1"/>
  <c r="N186" i="130"/>
  <c r="N185" i="130"/>
  <c r="R34" i="130"/>
  <c r="R19" i="130"/>
  <c r="R107" i="130" s="1"/>
  <c r="AF92" i="130"/>
  <c r="AF97" i="130"/>
  <c r="AH72" i="130"/>
  <c r="AH69" i="130"/>
  <c r="AG75" i="130"/>
  <c r="AG162" i="130"/>
  <c r="AG164" i="130" s="1"/>
  <c r="AG82" i="130"/>
  <c r="AG80" i="130" s="1"/>
  <c r="P156" i="130"/>
  <c r="P157" i="130" s="1"/>
  <c r="P158" i="130" s="1"/>
  <c r="P160" i="130" s="1"/>
  <c r="P161" i="130" s="1"/>
  <c r="P164" i="130" s="1"/>
  <c r="P131" i="130"/>
  <c r="P132" i="130" s="1"/>
  <c r="P134" i="130" s="1"/>
  <c r="AA140" i="130"/>
  <c r="AA141" i="130" s="1"/>
  <c r="AA83" i="130"/>
  <c r="O185" i="130"/>
  <c r="O186" i="130"/>
  <c r="AC45" i="130"/>
  <c r="AB86" i="130"/>
  <c r="S11" i="130"/>
  <c r="S10" i="130"/>
  <c r="T4" i="130"/>
  <c r="AD175" i="130"/>
  <c r="AE76" i="130"/>
  <c r="Z95" i="130"/>
  <c r="Z91" i="130"/>
  <c r="Z94" i="130" s="1"/>
  <c r="AL18" i="130"/>
  <c r="Q121" i="130"/>
  <c r="Q115" i="130"/>
  <c r="AH68" i="130" l="1"/>
  <c r="AH89" i="130"/>
  <c r="AH88" i="130" s="1"/>
  <c r="AI66" i="130"/>
  <c r="S170" i="130"/>
  <c r="S62" i="130"/>
  <c r="S31" i="130"/>
  <c r="P136" i="130"/>
  <c r="P135" i="130"/>
  <c r="AB140" i="130"/>
  <c r="AB141" i="130" s="1"/>
  <c r="AB83" i="130"/>
  <c r="Q130" i="130"/>
  <c r="Q122" i="130"/>
  <c r="Q124" i="130" s="1"/>
  <c r="Q171" i="130" s="1"/>
  <c r="Q172" i="130" s="1"/>
  <c r="AD45" i="130"/>
  <c r="AC86" i="130"/>
  <c r="AG92" i="130"/>
  <c r="AG97" i="130"/>
  <c r="R114" i="130"/>
  <c r="R108" i="130"/>
  <c r="P179" i="130"/>
  <c r="F70" i="120" s="1"/>
  <c r="G70" i="120" s="1"/>
  <c r="AE175" i="130"/>
  <c r="AF76" i="130"/>
  <c r="AH75" i="130"/>
  <c r="AI69" i="130"/>
  <c r="AH82" i="130"/>
  <c r="AH80" i="130" s="1"/>
  <c r="AH162" i="130"/>
  <c r="AH164" i="130" s="1"/>
  <c r="T5" i="130"/>
  <c r="AA91" i="130"/>
  <c r="AA94" i="130" s="1"/>
  <c r="AA95" i="130"/>
  <c r="AA183" i="130"/>
  <c r="AI72" i="130"/>
  <c r="P137" i="130" l="1"/>
  <c r="P177" i="130" s="1"/>
  <c r="P178" i="130" s="1"/>
  <c r="P184" i="130" s="1"/>
  <c r="P186" i="130" s="1"/>
  <c r="AI89" i="130"/>
  <c r="AI88" i="130" s="1"/>
  <c r="AI68" i="130"/>
  <c r="AJ66" i="130"/>
  <c r="Q176" i="130"/>
  <c r="Q173" i="130"/>
  <c r="AI75" i="130"/>
  <c r="AJ69" i="130"/>
  <c r="AI162" i="130"/>
  <c r="AI164" i="130" s="1"/>
  <c r="AI82" i="130"/>
  <c r="AI80" i="130" s="1"/>
  <c r="AF175" i="130"/>
  <c r="AG76" i="130"/>
  <c r="AC140" i="130"/>
  <c r="AC141" i="130" s="1"/>
  <c r="AC83" i="130"/>
  <c r="T10" i="130"/>
  <c r="T11" i="130"/>
  <c r="U4" i="130"/>
  <c r="AE45" i="130"/>
  <c r="AD86" i="130"/>
  <c r="S34" i="130"/>
  <c r="S19" i="130"/>
  <c r="S107" i="130" s="1"/>
  <c r="AJ72" i="130"/>
  <c r="Q156" i="130"/>
  <c r="Q157" i="130" s="1"/>
  <c r="Q158" i="130" s="1"/>
  <c r="Q131" i="130"/>
  <c r="Q132" i="130" s="1"/>
  <c r="Q134" i="130" s="1"/>
  <c r="AH92" i="130"/>
  <c r="AH97" i="130"/>
  <c r="R121" i="130"/>
  <c r="R115" i="130"/>
  <c r="AB91" i="130"/>
  <c r="AB94" i="130" s="1"/>
  <c r="AB95" i="130"/>
  <c r="AB183" i="130"/>
  <c r="P185" i="130" l="1"/>
  <c r="AK66" i="130"/>
  <c r="AJ89" i="130"/>
  <c r="AJ88" i="130" s="1"/>
  <c r="AJ68" i="130"/>
  <c r="AC95" i="130"/>
  <c r="AC91" i="130"/>
  <c r="AC94" i="130" s="1"/>
  <c r="AC183" i="130"/>
  <c r="AI92" i="130"/>
  <c r="AI97" i="130"/>
  <c r="AJ75" i="130"/>
  <c r="AK69" i="130"/>
  <c r="AJ162" i="130"/>
  <c r="AJ164" i="130" s="1"/>
  <c r="AJ82" i="130"/>
  <c r="AJ80" i="130" s="1"/>
  <c r="R130" i="130"/>
  <c r="R122" i="130"/>
  <c r="R124" i="130" s="1"/>
  <c r="R171" i="130" s="1"/>
  <c r="R172" i="130" s="1"/>
  <c r="AG175" i="130"/>
  <c r="AH76" i="130"/>
  <c r="S114" i="130"/>
  <c r="S108" i="130"/>
  <c r="U5" i="130"/>
  <c r="AK72" i="130"/>
  <c r="T62" i="130"/>
  <c r="T170" i="130"/>
  <c r="T31" i="130"/>
  <c r="AD140" i="130"/>
  <c r="AD141" i="130" s="1"/>
  <c r="AD83" i="130"/>
  <c r="Q135" i="130"/>
  <c r="Q136" i="130"/>
  <c r="AF45" i="130"/>
  <c r="AE86" i="130"/>
  <c r="AK89" i="130" l="1"/>
  <c r="AK88" i="130" s="1"/>
  <c r="AK68" i="130"/>
  <c r="AL66" i="130"/>
  <c r="Q137" i="130"/>
  <c r="Q177" i="130" s="1"/>
  <c r="Q178" i="130" s="1"/>
  <c r="Q184" i="130" s="1"/>
  <c r="Q185" i="130" s="1"/>
  <c r="R176" i="130"/>
  <c r="R173" i="130"/>
  <c r="R156" i="130"/>
  <c r="R157" i="130" s="1"/>
  <c r="R158" i="130" s="1"/>
  <c r="R131" i="130"/>
  <c r="R132" i="130" s="1"/>
  <c r="R134" i="130" s="1"/>
  <c r="U10" i="130"/>
  <c r="U11" i="130"/>
  <c r="V4" i="130"/>
  <c r="AJ92" i="130"/>
  <c r="AJ97" i="130"/>
  <c r="AE140" i="130"/>
  <c r="AE141" i="130" s="1"/>
  <c r="AE83" i="130"/>
  <c r="AG45" i="130"/>
  <c r="AF86" i="130"/>
  <c r="T34" i="130"/>
  <c r="T19" i="130"/>
  <c r="T107" i="130" s="1"/>
  <c r="AL69" i="130"/>
  <c r="AK75" i="130"/>
  <c r="AK82" i="130"/>
  <c r="AK80" i="130" s="1"/>
  <c r="AK162" i="130"/>
  <c r="AK164" i="130" s="1"/>
  <c r="AD91" i="130"/>
  <c r="AD94" i="130" s="1"/>
  <c r="AD95" i="130"/>
  <c r="AD183" i="130"/>
  <c r="S121" i="130"/>
  <c r="S115" i="130"/>
  <c r="Q186" i="130"/>
  <c r="AH175" i="130"/>
  <c r="AI76" i="130"/>
  <c r="AL72" i="130"/>
  <c r="AL68" i="130" l="1"/>
  <c r="AL89" i="130"/>
  <c r="AL88" i="130" s="1"/>
  <c r="AH45" i="130"/>
  <c r="AG86" i="130"/>
  <c r="V5" i="130"/>
  <c r="AK92" i="130"/>
  <c r="AK97" i="130"/>
  <c r="S130" i="130"/>
  <c r="S122" i="130"/>
  <c r="S124" i="130" s="1"/>
  <c r="S171" i="130" s="1"/>
  <c r="S172" i="130" s="1"/>
  <c r="AL75" i="130"/>
  <c r="AL82" i="130"/>
  <c r="AL162" i="130"/>
  <c r="AL164" i="130" s="1"/>
  <c r="R136" i="130"/>
  <c r="R135" i="130"/>
  <c r="R137" i="130" s="1"/>
  <c r="R177" i="130" s="1"/>
  <c r="R178" i="130" s="1"/>
  <c r="R184" i="130" s="1"/>
  <c r="U62" i="130"/>
  <c r="U170" i="130"/>
  <c r="U31" i="130"/>
  <c r="AE95" i="130"/>
  <c r="AE91" i="130"/>
  <c r="AE94" i="130" s="1"/>
  <c r="AE183" i="130"/>
  <c r="AI175" i="130"/>
  <c r="AJ76" i="130"/>
  <c r="T114" i="130"/>
  <c r="T108" i="130"/>
  <c r="AF140" i="130"/>
  <c r="AF141" i="130" s="1"/>
  <c r="AF83" i="130"/>
  <c r="S176" i="130" l="1"/>
  <c r="S173" i="130"/>
  <c r="R186" i="130"/>
  <c r="R185" i="130"/>
  <c r="AF91" i="130"/>
  <c r="AF94" i="130" s="1"/>
  <c r="AF95" i="130"/>
  <c r="AF183" i="130"/>
  <c r="AM82" i="130"/>
  <c r="AL80" i="130"/>
  <c r="U34" i="130"/>
  <c r="U19" i="130"/>
  <c r="U107" i="130" s="1"/>
  <c r="W4" i="130"/>
  <c r="V11" i="130"/>
  <c r="V10" i="130"/>
  <c r="T121" i="130"/>
  <c r="T115" i="130"/>
  <c r="S156" i="130"/>
  <c r="S157" i="130" s="1"/>
  <c r="S158" i="130" s="1"/>
  <c r="S131" i="130"/>
  <c r="S132" i="130" s="1"/>
  <c r="S134" i="130" s="1"/>
  <c r="AG140" i="130"/>
  <c r="AG141" i="130" s="1"/>
  <c r="AG83" i="130"/>
  <c r="AJ175" i="130"/>
  <c r="AK76" i="130"/>
  <c r="AI45" i="130"/>
  <c r="AH86" i="130"/>
  <c r="W5" i="130" l="1"/>
  <c r="AL76" i="130"/>
  <c r="AL175" i="130" s="1"/>
  <c r="AK175" i="130"/>
  <c r="U114" i="130"/>
  <c r="U108" i="130"/>
  <c r="S135" i="130"/>
  <c r="S136" i="130"/>
  <c r="AL92" i="130"/>
  <c r="AM92" i="130" s="1"/>
  <c r="AL97" i="130"/>
  <c r="AH140" i="130"/>
  <c r="AH141" i="130" s="1"/>
  <c r="AH83" i="130"/>
  <c r="AJ45" i="130"/>
  <c r="AI86" i="130"/>
  <c r="T130" i="130"/>
  <c r="T122" i="130"/>
  <c r="T124" i="130" s="1"/>
  <c r="T171" i="130" s="1"/>
  <c r="T172" i="130" s="1"/>
  <c r="AG95" i="130"/>
  <c r="AG91" i="130"/>
  <c r="AG94" i="130" s="1"/>
  <c r="AG183" i="130"/>
  <c r="V62" i="130"/>
  <c r="V170" i="130"/>
  <c r="V31" i="130"/>
  <c r="T176" i="130" l="1"/>
  <c r="T173" i="130"/>
  <c r="T156" i="130"/>
  <c r="T157" i="130" s="1"/>
  <c r="T158" i="130" s="1"/>
  <c r="T131" i="130"/>
  <c r="T132" i="130" s="1"/>
  <c r="T134" i="130" s="1"/>
  <c r="AH91" i="130"/>
  <c r="AH94" i="130" s="1"/>
  <c r="AH95" i="130"/>
  <c r="AH183" i="130"/>
  <c r="U121" i="130"/>
  <c r="U115" i="130"/>
  <c r="W10" i="130"/>
  <c r="W11" i="130"/>
  <c r="X4" i="130"/>
  <c r="V34" i="130"/>
  <c r="V19" i="130"/>
  <c r="V107" i="130" s="1"/>
  <c r="AI140" i="130"/>
  <c r="AI141" i="130" s="1"/>
  <c r="AI83" i="130"/>
  <c r="S137" i="130"/>
  <c r="S177" i="130" s="1"/>
  <c r="S178" i="130" s="1"/>
  <c r="S184" i="130" s="1"/>
  <c r="AK45" i="130"/>
  <c r="AJ86" i="130"/>
  <c r="U130" i="130" l="1"/>
  <c r="U122" i="130"/>
  <c r="U124" i="130" s="1"/>
  <c r="U171" i="130" s="1"/>
  <c r="U172" i="130" s="1"/>
  <c r="AJ140" i="130"/>
  <c r="AJ141" i="130" s="1"/>
  <c r="AJ83" i="130"/>
  <c r="X5" i="130"/>
  <c r="AL45" i="130"/>
  <c r="AL86" i="130" s="1"/>
  <c r="AK86" i="130"/>
  <c r="W170" i="130"/>
  <c r="W62" i="130"/>
  <c r="W31" i="130"/>
  <c r="T135" i="130"/>
  <c r="T136" i="130"/>
  <c r="S186" i="130"/>
  <c r="S185" i="130"/>
  <c r="AI95" i="130"/>
  <c r="AI91" i="130"/>
  <c r="AI94" i="130" s="1"/>
  <c r="AI183" i="130"/>
  <c r="V114" i="130"/>
  <c r="V108" i="130"/>
  <c r="X11" i="130" l="1"/>
  <c r="Y4" i="130"/>
  <c r="X10" i="130"/>
  <c r="V121" i="130"/>
  <c r="V115" i="130"/>
  <c r="T137" i="130"/>
  <c r="T177" i="130" s="1"/>
  <c r="T178" i="130" s="1"/>
  <c r="T184" i="130" s="1"/>
  <c r="W34" i="130"/>
  <c r="W19" i="130"/>
  <c r="W107" i="130" s="1"/>
  <c r="AJ91" i="130"/>
  <c r="AJ94" i="130" s="1"/>
  <c r="AJ95" i="130"/>
  <c r="AJ183" i="130"/>
  <c r="AK140" i="130"/>
  <c r="AK141" i="130" s="1"/>
  <c r="AK83" i="130"/>
  <c r="U176" i="130"/>
  <c r="U173" i="130"/>
  <c r="AL140" i="130"/>
  <c r="AL141" i="130" s="1"/>
  <c r="AL83" i="130"/>
  <c r="U156" i="130"/>
  <c r="U157" i="130" s="1"/>
  <c r="U158" i="130" s="1"/>
  <c r="U131" i="130"/>
  <c r="U132" i="130" s="1"/>
  <c r="U134" i="130" s="1"/>
  <c r="U136" i="130" l="1"/>
  <c r="U135" i="130"/>
  <c r="V130" i="130"/>
  <c r="V122" i="130"/>
  <c r="V124" i="130" s="1"/>
  <c r="V171" i="130" s="1"/>
  <c r="V172" i="130" s="1"/>
  <c r="T185" i="130"/>
  <c r="T186" i="130"/>
  <c r="AL91" i="130"/>
  <c r="AL94" i="130" s="1"/>
  <c r="AL95" i="130"/>
  <c r="AL183" i="130"/>
  <c r="Y5" i="130"/>
  <c r="X170" i="130"/>
  <c r="X62" i="130"/>
  <c r="X31" i="130"/>
  <c r="W114" i="130"/>
  <c r="W108" i="130"/>
  <c r="AK91" i="130"/>
  <c r="AK94" i="130" s="1"/>
  <c r="AK95" i="130"/>
  <c r="AK183" i="130"/>
  <c r="U137" i="130" l="1"/>
  <c r="U177" i="130" s="1"/>
  <c r="U178" i="130" s="1"/>
  <c r="U184" i="130" s="1"/>
  <c r="U186" i="130" s="1"/>
  <c r="V176" i="130"/>
  <c r="V173" i="130"/>
  <c r="U185" i="130"/>
  <c r="Y11" i="130"/>
  <c r="Y10" i="130"/>
  <c r="Z4" i="130"/>
  <c r="W121" i="130"/>
  <c r="W115" i="130"/>
  <c r="V156" i="130"/>
  <c r="V157" i="130" s="1"/>
  <c r="V158" i="130" s="1"/>
  <c r="V131" i="130"/>
  <c r="V132" i="130" s="1"/>
  <c r="V134" i="130" s="1"/>
  <c r="X34" i="130"/>
  <c r="X19" i="130"/>
  <c r="X107" i="130" s="1"/>
  <c r="X114" i="130" l="1"/>
  <c r="X108" i="130"/>
  <c r="Z5" i="130"/>
  <c r="V136" i="130"/>
  <c r="V135" i="130"/>
  <c r="Y170" i="130"/>
  <c r="Y62" i="130"/>
  <c r="Y31" i="130"/>
  <c r="W130" i="130"/>
  <c r="W122" i="130"/>
  <c r="W124" i="130" s="1"/>
  <c r="W171" i="130" s="1"/>
  <c r="W172" i="130" s="1"/>
  <c r="V137" i="130" l="1"/>
  <c r="V177" i="130" s="1"/>
  <c r="V178" i="130" s="1"/>
  <c r="V184" i="130" s="1"/>
  <c r="V185" i="130" s="1"/>
  <c r="AA4" i="130"/>
  <c r="Z10" i="130"/>
  <c r="Z11" i="130"/>
  <c r="Y34" i="130"/>
  <c r="Y19" i="130"/>
  <c r="Y107" i="130" s="1"/>
  <c r="W176" i="130"/>
  <c r="W173" i="130"/>
  <c r="W156" i="130"/>
  <c r="W157" i="130" s="1"/>
  <c r="W158" i="130" s="1"/>
  <c r="W131" i="130"/>
  <c r="W132" i="130" s="1"/>
  <c r="W134" i="130" s="1"/>
  <c r="X121" i="130"/>
  <c r="X115" i="130"/>
  <c r="V186" i="130" l="1"/>
  <c r="X130" i="130"/>
  <c r="X122" i="130"/>
  <c r="X124" i="130" s="1"/>
  <c r="X171" i="130" s="1"/>
  <c r="X172" i="130" s="1"/>
  <c r="Z62" i="130"/>
  <c r="Z170" i="130"/>
  <c r="Z31" i="130"/>
  <c r="Y114" i="130"/>
  <c r="Y108" i="130"/>
  <c r="W136" i="130"/>
  <c r="W135" i="130"/>
  <c r="AA5" i="130"/>
  <c r="W137" i="130" l="1"/>
  <c r="W177" i="130" s="1"/>
  <c r="W178" i="130" s="1"/>
  <c r="W184" i="130" s="1"/>
  <c r="W185" i="130" s="1"/>
  <c r="X176" i="130"/>
  <c r="X173" i="130"/>
  <c r="Y121" i="130"/>
  <c r="Y115" i="130"/>
  <c r="Z34" i="130"/>
  <c r="Z19" i="130"/>
  <c r="Z107" i="130" s="1"/>
  <c r="AA11" i="130"/>
  <c r="AA10" i="130"/>
  <c r="AB4" i="130"/>
  <c r="X156" i="130"/>
  <c r="X157" i="130" s="1"/>
  <c r="X158" i="130" s="1"/>
  <c r="X131" i="130"/>
  <c r="X132" i="130" s="1"/>
  <c r="X134" i="130" s="1"/>
  <c r="W186" i="130" l="1"/>
  <c r="X136" i="130"/>
  <c r="X135" i="130"/>
  <c r="AB5" i="130"/>
  <c r="Y130" i="130"/>
  <c r="Y122" i="130"/>
  <c r="Y124" i="130" s="1"/>
  <c r="Y171" i="130" s="1"/>
  <c r="Y172" i="130" s="1"/>
  <c r="AA170" i="130"/>
  <c r="AA62" i="130"/>
  <c r="AA31" i="130"/>
  <c r="Z114" i="130"/>
  <c r="Z108" i="130"/>
  <c r="X137" i="130" l="1"/>
  <c r="X177" i="130" s="1"/>
  <c r="X178" i="130" s="1"/>
  <c r="X184" i="130" s="1"/>
  <c r="Y173" i="130"/>
  <c r="Y176" i="130"/>
  <c r="Y156" i="130"/>
  <c r="Y157" i="130" s="1"/>
  <c r="Y158" i="130" s="1"/>
  <c r="Y131" i="130"/>
  <c r="Y132" i="130" s="1"/>
  <c r="Y134" i="130" s="1"/>
  <c r="AB10" i="130"/>
  <c r="AC4" i="130"/>
  <c r="AB11" i="130"/>
  <c r="Z121" i="130"/>
  <c r="Z115" i="130"/>
  <c r="AA34" i="130"/>
  <c r="AA19" i="130"/>
  <c r="AA107" i="130" s="1"/>
  <c r="X179" i="130" l="1"/>
  <c r="AA114" i="130"/>
  <c r="AA108" i="130"/>
  <c r="AC5" i="130"/>
  <c r="X185" i="130"/>
  <c r="X186" i="130"/>
  <c r="Y135" i="130"/>
  <c r="Y136" i="130"/>
  <c r="AB170" i="130"/>
  <c r="AB62" i="130"/>
  <c r="AB31" i="130"/>
  <c r="Z130" i="130"/>
  <c r="Z122" i="130"/>
  <c r="Z124" i="130" s="1"/>
  <c r="Z171" i="130" s="1"/>
  <c r="Z172" i="130" s="1"/>
  <c r="Y137" i="130" l="1"/>
  <c r="Y177" i="130" s="1"/>
  <c r="Y178" i="130" s="1"/>
  <c r="Y179" i="130" s="1"/>
  <c r="Y184" i="130"/>
  <c r="Z176" i="130"/>
  <c r="Z173" i="130"/>
  <c r="Z156" i="130"/>
  <c r="Z157" i="130" s="1"/>
  <c r="Z158" i="130" s="1"/>
  <c r="Z131" i="130"/>
  <c r="Z132" i="130" s="1"/>
  <c r="Z134" i="130" s="1"/>
  <c r="AC10" i="130"/>
  <c r="AD4" i="130"/>
  <c r="AC11" i="130"/>
  <c r="AB34" i="130"/>
  <c r="AB19" i="130"/>
  <c r="AB107" i="130" s="1"/>
  <c r="AA121" i="130"/>
  <c r="AA115" i="130"/>
  <c r="Z135" i="130" l="1"/>
  <c r="Z136" i="130"/>
  <c r="AB114" i="130"/>
  <c r="AB108" i="130"/>
  <c r="AD5" i="130"/>
  <c r="AA130" i="130"/>
  <c r="AA122" i="130"/>
  <c r="AA124" i="130" s="1"/>
  <c r="AA171" i="130" s="1"/>
  <c r="AA172" i="130" s="1"/>
  <c r="Y185" i="130"/>
  <c r="Y186" i="130"/>
  <c r="AC170" i="130"/>
  <c r="AC62" i="130"/>
  <c r="AC31" i="130"/>
  <c r="AA176" i="130" l="1"/>
  <c r="AA173" i="130"/>
  <c r="AE4" i="130"/>
  <c r="AD10" i="130"/>
  <c r="AD11" i="130"/>
  <c r="AB121" i="130"/>
  <c r="AB115" i="130"/>
  <c r="AC34" i="130"/>
  <c r="AC19" i="130"/>
  <c r="AC107" i="130" s="1"/>
  <c r="AA156" i="130"/>
  <c r="AA157" i="130" s="1"/>
  <c r="AA158" i="130" s="1"/>
  <c r="AA131" i="130"/>
  <c r="AA132" i="130" s="1"/>
  <c r="AA134" i="130" s="1"/>
  <c r="Z137" i="130"/>
  <c r="Z177" i="130" s="1"/>
  <c r="Z178" i="130" s="1"/>
  <c r="Z179" i="130" l="1"/>
  <c r="Z184" i="130"/>
  <c r="AA135" i="130"/>
  <c r="AA136" i="130"/>
  <c r="AD170" i="130"/>
  <c r="AD62" i="130"/>
  <c r="AD31" i="130"/>
  <c r="AC114" i="130"/>
  <c r="AC108" i="130"/>
  <c r="AE5" i="130"/>
  <c r="AB130" i="130"/>
  <c r="AB122" i="130"/>
  <c r="AB124" i="130" s="1"/>
  <c r="AB171" i="130" s="1"/>
  <c r="AB172" i="130" s="1"/>
  <c r="AD34" i="130" l="1"/>
  <c r="AD19" i="130"/>
  <c r="AD107" i="130" s="1"/>
  <c r="AB173" i="130"/>
  <c r="AB176" i="130"/>
  <c r="AB156" i="130"/>
  <c r="AB157" i="130" s="1"/>
  <c r="AB158" i="130" s="1"/>
  <c r="AB131" i="130"/>
  <c r="AB132" i="130" s="1"/>
  <c r="AB134" i="130" s="1"/>
  <c r="AC121" i="130"/>
  <c r="AC115" i="130"/>
  <c r="AA137" i="130"/>
  <c r="AA177" i="130" s="1"/>
  <c r="AA178" i="130" s="1"/>
  <c r="AE10" i="130"/>
  <c r="AE11" i="130"/>
  <c r="AF4" i="130"/>
  <c r="Z186" i="130"/>
  <c r="Z185" i="130"/>
  <c r="AB135" i="130" l="1"/>
  <c r="AB136" i="130"/>
  <c r="AE170" i="130"/>
  <c r="AE62" i="130"/>
  <c r="AE31" i="130"/>
  <c r="AC130" i="130"/>
  <c r="AC122" i="130"/>
  <c r="AC124" i="130" s="1"/>
  <c r="AC171" i="130" s="1"/>
  <c r="AC172" i="130" s="1"/>
  <c r="AD114" i="130"/>
  <c r="AD108" i="130"/>
  <c r="AF5" i="130"/>
  <c r="AA179" i="130"/>
  <c r="AA184" i="130"/>
  <c r="AA186" i="130" l="1"/>
  <c r="AA185" i="130"/>
  <c r="AC156" i="130"/>
  <c r="AC157" i="130" s="1"/>
  <c r="AC158" i="130" s="1"/>
  <c r="AC131" i="130"/>
  <c r="AC132" i="130" s="1"/>
  <c r="AC134" i="130" s="1"/>
  <c r="AE34" i="130"/>
  <c r="AE19" i="130"/>
  <c r="AE107" i="130" s="1"/>
  <c r="AF11" i="130"/>
  <c r="AF10" i="130"/>
  <c r="AG4" i="130"/>
  <c r="AC173" i="130"/>
  <c r="AC176" i="130"/>
  <c r="AD121" i="130"/>
  <c r="AD115" i="130"/>
  <c r="AB137" i="130"/>
  <c r="AB177" i="130" s="1"/>
  <c r="AB178" i="130" s="1"/>
  <c r="AF170" i="130" l="1"/>
  <c r="AF62" i="130"/>
  <c r="AF31" i="130"/>
  <c r="AD130" i="130"/>
  <c r="AD122" i="130"/>
  <c r="AD124" i="130" s="1"/>
  <c r="AD171" i="130" s="1"/>
  <c r="AD172" i="130" s="1"/>
  <c r="AE114" i="130"/>
  <c r="AE108" i="130"/>
  <c r="AC136" i="130"/>
  <c r="AC135" i="130"/>
  <c r="AB179" i="130"/>
  <c r="F72" i="120" s="1"/>
  <c r="G72" i="120" s="1"/>
  <c r="AB184" i="130"/>
  <c r="AG5" i="130"/>
  <c r="AC137" i="130" l="1"/>
  <c r="AC177" i="130" s="1"/>
  <c r="AC178" i="130" s="1"/>
  <c r="AC184" i="130" s="1"/>
  <c r="AD173" i="130"/>
  <c r="AD176" i="130"/>
  <c r="AE121" i="130"/>
  <c r="AE115" i="130"/>
  <c r="AD156" i="130"/>
  <c r="AD157" i="130" s="1"/>
  <c r="AD158" i="130" s="1"/>
  <c r="AD131" i="130"/>
  <c r="AD132" i="130" s="1"/>
  <c r="AD134" i="130" s="1"/>
  <c r="AB185" i="130"/>
  <c r="AB186" i="130"/>
  <c r="AF34" i="130"/>
  <c r="AF19" i="130"/>
  <c r="AF107" i="130" s="1"/>
  <c r="AG11" i="130"/>
  <c r="AG10" i="130"/>
  <c r="AH4" i="130"/>
  <c r="AC179" i="130" l="1"/>
  <c r="AC185" i="130"/>
  <c r="AC186" i="130"/>
  <c r="AG170" i="130"/>
  <c r="AG62" i="130"/>
  <c r="AG31" i="130"/>
  <c r="AE130" i="130"/>
  <c r="AE122" i="130"/>
  <c r="AE124" i="130" s="1"/>
  <c r="AE171" i="130" s="1"/>
  <c r="AE172" i="130" s="1"/>
  <c r="AH5" i="130"/>
  <c r="AF114" i="130"/>
  <c r="AF108" i="130"/>
  <c r="AD136" i="130"/>
  <c r="AD135" i="130"/>
  <c r="AD137" i="130" l="1"/>
  <c r="AD177" i="130" s="1"/>
  <c r="AD178" i="130" s="1"/>
  <c r="AD179" i="130" s="1"/>
  <c r="AE176" i="130"/>
  <c r="AE173" i="130"/>
  <c r="AE156" i="130"/>
  <c r="AE157" i="130" s="1"/>
  <c r="AE158" i="130" s="1"/>
  <c r="AE131" i="130"/>
  <c r="AE132" i="130" s="1"/>
  <c r="AE134" i="130" s="1"/>
  <c r="AG34" i="130"/>
  <c r="AG19" i="130"/>
  <c r="AG107" i="130" s="1"/>
  <c r="AF121" i="130"/>
  <c r="AF115" i="130"/>
  <c r="AH11" i="130"/>
  <c r="AH10" i="130"/>
  <c r="AI4" i="130"/>
  <c r="AD184" i="130" l="1"/>
  <c r="AD185" i="130" s="1"/>
  <c r="AE136" i="130"/>
  <c r="AE135" i="130"/>
  <c r="AE137" i="130" s="1"/>
  <c r="AE177" i="130" s="1"/>
  <c r="AF130" i="130"/>
  <c r="AF122" i="130"/>
  <c r="AF124" i="130" s="1"/>
  <c r="AF171" i="130" s="1"/>
  <c r="AF172" i="130" s="1"/>
  <c r="AH170" i="130"/>
  <c r="AH62" i="130"/>
  <c r="AH31" i="130"/>
  <c r="AI5" i="130"/>
  <c r="AG114" i="130"/>
  <c r="AG108" i="130"/>
  <c r="AE178" i="130"/>
  <c r="AD186" i="130" l="1"/>
  <c r="AF176" i="130"/>
  <c r="AF173" i="130"/>
  <c r="AG121" i="130"/>
  <c r="AG115" i="130"/>
  <c r="AF156" i="130"/>
  <c r="AF157" i="130" s="1"/>
  <c r="AF158" i="130" s="1"/>
  <c r="AF131" i="130"/>
  <c r="AF132" i="130" s="1"/>
  <c r="AF134" i="130" s="1"/>
  <c r="AI11" i="130"/>
  <c r="AI10" i="130"/>
  <c r="AJ4" i="130"/>
  <c r="AE179" i="130"/>
  <c r="AE184" i="130"/>
  <c r="AH34" i="130"/>
  <c r="AH19" i="130"/>
  <c r="AH107" i="130" s="1"/>
  <c r="AH114" i="130" l="1"/>
  <c r="AH108" i="130"/>
  <c r="AE185" i="130"/>
  <c r="AE186" i="130"/>
  <c r="AG130" i="130"/>
  <c r="AG122" i="130"/>
  <c r="AG124" i="130" s="1"/>
  <c r="AG171" i="130" s="1"/>
  <c r="AG172" i="130" s="1"/>
  <c r="AJ5" i="130"/>
  <c r="AF136" i="130"/>
  <c r="AF135" i="130"/>
  <c r="AI170" i="130"/>
  <c r="AI62" i="130"/>
  <c r="AI31" i="130"/>
  <c r="AF137" i="130" l="1"/>
  <c r="AF177" i="130" s="1"/>
  <c r="AF178" i="130" s="1"/>
  <c r="AF179" i="130" s="1"/>
  <c r="AG176" i="130"/>
  <c r="AG173" i="130"/>
  <c r="AI34" i="130"/>
  <c r="AI19" i="130"/>
  <c r="AI107" i="130" s="1"/>
  <c r="AG156" i="130"/>
  <c r="AG157" i="130" s="1"/>
  <c r="AG158" i="130" s="1"/>
  <c r="AG131" i="130"/>
  <c r="AG132" i="130" s="1"/>
  <c r="AG134" i="130" s="1"/>
  <c r="AJ10" i="130"/>
  <c r="AJ11" i="130"/>
  <c r="AK4" i="130"/>
  <c r="AH121" i="130"/>
  <c r="AH115" i="130"/>
  <c r="AF184" i="130" l="1"/>
  <c r="AG135" i="130"/>
  <c r="AG136" i="130"/>
  <c r="AF185" i="130"/>
  <c r="AF186" i="130"/>
  <c r="AH130" i="130"/>
  <c r="AH122" i="130"/>
  <c r="AH124" i="130" s="1"/>
  <c r="AH171" i="130" s="1"/>
  <c r="AH172" i="130" s="1"/>
  <c r="AI114" i="130"/>
  <c r="AI108" i="130"/>
  <c r="AK5" i="130"/>
  <c r="AJ170" i="130"/>
  <c r="AJ62" i="130"/>
  <c r="AJ31" i="130"/>
  <c r="AH176" i="130" l="1"/>
  <c r="AH173" i="130"/>
  <c r="AH156" i="130"/>
  <c r="AH157" i="130" s="1"/>
  <c r="AH158" i="130" s="1"/>
  <c r="AH131" i="130"/>
  <c r="AH132" i="130" s="1"/>
  <c r="AH134" i="130" s="1"/>
  <c r="AI121" i="130"/>
  <c r="AI115" i="130"/>
  <c r="AK10" i="130"/>
  <c r="AK11" i="130"/>
  <c r="AL4" i="130"/>
  <c r="AG137" i="130"/>
  <c r="AG177" i="130" s="1"/>
  <c r="AG178" i="130" s="1"/>
  <c r="AJ34" i="130"/>
  <c r="AJ19" i="130"/>
  <c r="AJ107" i="130" s="1"/>
  <c r="AH136" i="130" l="1"/>
  <c r="AH135" i="130"/>
  <c r="AG179" i="130"/>
  <c r="F73" i="120" s="1"/>
  <c r="G73" i="120" s="1"/>
  <c r="AG184" i="130"/>
  <c r="AI130" i="130"/>
  <c r="AI122" i="130"/>
  <c r="AI124" i="130" s="1"/>
  <c r="AI171" i="130" s="1"/>
  <c r="AI172" i="130" s="1"/>
  <c r="AL5" i="130"/>
  <c r="AJ114" i="130"/>
  <c r="AJ108" i="130"/>
  <c r="AK170" i="130"/>
  <c r="AK62" i="130"/>
  <c r="AK31" i="130"/>
  <c r="AH137" i="130" l="1"/>
  <c r="AH177" i="130" s="1"/>
  <c r="AH178" i="130" s="1"/>
  <c r="AH179" i="130" s="1"/>
  <c r="AL10" i="130"/>
  <c r="AL11" i="130"/>
  <c r="AI176" i="130"/>
  <c r="AI173" i="130"/>
  <c r="AI156" i="130"/>
  <c r="AI157" i="130" s="1"/>
  <c r="AI158" i="130" s="1"/>
  <c r="AI131" i="130"/>
  <c r="AI132" i="130" s="1"/>
  <c r="AI134" i="130" s="1"/>
  <c r="AG186" i="130"/>
  <c r="AG185" i="130"/>
  <c r="AK34" i="130"/>
  <c r="AK19" i="130"/>
  <c r="AK107" i="130" s="1"/>
  <c r="AJ121" i="130"/>
  <c r="AJ115" i="130"/>
  <c r="AH184" i="130" l="1"/>
  <c r="AH186" i="130"/>
  <c r="AH185" i="130"/>
  <c r="AK114" i="130"/>
  <c r="AK108" i="130"/>
  <c r="AJ130" i="130"/>
  <c r="AJ122" i="130"/>
  <c r="AJ124" i="130" s="1"/>
  <c r="AJ171" i="130" s="1"/>
  <c r="AJ172" i="130" s="1"/>
  <c r="AL170" i="130"/>
  <c r="AL62" i="130"/>
  <c r="AL31" i="130"/>
  <c r="AM30" i="130"/>
  <c r="AM24" i="130"/>
  <c r="AI135" i="130"/>
  <c r="AI136" i="130"/>
  <c r="AI137" i="130" l="1"/>
  <c r="AI177" i="130" s="1"/>
  <c r="AI178" i="130" s="1"/>
  <c r="AI179" i="130" s="1"/>
  <c r="AJ176" i="130"/>
  <c r="AJ173" i="130"/>
  <c r="AK121" i="130"/>
  <c r="AK115" i="130"/>
  <c r="AL34" i="130"/>
  <c r="AL19" i="130"/>
  <c r="AL107" i="130" s="1"/>
  <c r="AJ156" i="130"/>
  <c r="AJ157" i="130" s="1"/>
  <c r="AJ158" i="130" s="1"/>
  <c r="AJ131" i="130"/>
  <c r="AJ132" i="130" s="1"/>
  <c r="AJ134" i="130" s="1"/>
  <c r="AI184" i="130" l="1"/>
  <c r="AI186" i="130" s="1"/>
  <c r="AJ135" i="130"/>
  <c r="AJ136" i="130"/>
  <c r="AK130" i="130"/>
  <c r="AK122" i="130"/>
  <c r="AK124" i="130" s="1"/>
  <c r="AK171" i="130" s="1"/>
  <c r="AK172" i="130" s="1"/>
  <c r="AL114" i="130"/>
  <c r="AL108" i="130"/>
  <c r="AI185" i="130" l="1"/>
  <c r="AK176" i="130"/>
  <c r="AK173" i="130"/>
  <c r="AL121" i="130"/>
  <c r="AL115" i="130"/>
  <c r="AK156" i="130"/>
  <c r="AK157" i="130" s="1"/>
  <c r="AK158" i="130" s="1"/>
  <c r="AK131" i="130"/>
  <c r="AK132" i="130" s="1"/>
  <c r="AK134" i="130" s="1"/>
  <c r="AJ137" i="130"/>
  <c r="AJ177" i="130" s="1"/>
  <c r="AJ178" i="130" s="1"/>
  <c r="AJ179" i="130" l="1"/>
  <c r="AJ184" i="130"/>
  <c r="AL130" i="130"/>
  <c r="AL122" i="130"/>
  <c r="AL124" i="130" s="1"/>
  <c r="AL171" i="130" s="1"/>
  <c r="AL172" i="130" s="1"/>
  <c r="AK136" i="130"/>
  <c r="AK135" i="130"/>
  <c r="AK137" i="130" l="1"/>
  <c r="AK177" i="130" s="1"/>
  <c r="AK178" i="130" s="1"/>
  <c r="AK179" i="130" s="1"/>
  <c r="AK184" i="130"/>
  <c r="AL176" i="130"/>
  <c r="AL173" i="130"/>
  <c r="AM172" i="130"/>
  <c r="AL156" i="130"/>
  <c r="AL157" i="130" s="1"/>
  <c r="AL158" i="130" s="1"/>
  <c r="AL131" i="130"/>
  <c r="AL132" i="130" s="1"/>
  <c r="AL134" i="130" s="1"/>
  <c r="AJ186" i="130"/>
  <c r="AJ185" i="130"/>
  <c r="AL135" i="130" l="1"/>
  <c r="AL136" i="130"/>
  <c r="AK186" i="130"/>
  <c r="AK185" i="130"/>
  <c r="AL137" i="130" l="1"/>
  <c r="AL177" i="130" s="1"/>
  <c r="AL178" i="130" s="1"/>
  <c r="AL179" i="130" l="1"/>
  <c r="F74" i="120" s="1"/>
  <c r="G74" i="120" s="1"/>
  <c r="AL184" i="130"/>
  <c r="AL186" i="130" l="1"/>
  <c r="AL185" i="130"/>
  <c r="AM184" i="130"/>
  <c r="L18" i="118" l="1"/>
  <c r="L23" i="118" s="1"/>
  <c r="M18" i="118"/>
  <c r="E134" i="120" s="1"/>
  <c r="N18" i="118"/>
  <c r="F134" i="120" s="1"/>
  <c r="O18" i="118"/>
  <c r="G134" i="120" s="1"/>
  <c r="P18" i="118"/>
  <c r="H134" i="120" s="1"/>
  <c r="Q18" i="118"/>
  <c r="I134" i="120" s="1"/>
  <c r="R18" i="118"/>
  <c r="J134" i="120" s="1"/>
  <c r="S18" i="118"/>
  <c r="K134" i="120" s="1"/>
  <c r="T18" i="118"/>
  <c r="L134" i="120" s="1"/>
  <c r="U18" i="118"/>
  <c r="M134" i="120" s="1"/>
  <c r="V18" i="118"/>
  <c r="N134" i="120" s="1"/>
  <c r="W18" i="118"/>
  <c r="O134" i="120" s="1"/>
  <c r="X18" i="118"/>
  <c r="P134" i="120" s="1"/>
  <c r="Y18" i="118"/>
  <c r="Q134" i="120" s="1"/>
  <c r="Z18" i="118"/>
  <c r="R134" i="120" s="1"/>
  <c r="AA18" i="118"/>
  <c r="S134" i="120" s="1"/>
  <c r="AB18" i="118"/>
  <c r="T134" i="120" s="1"/>
  <c r="K18" i="118"/>
  <c r="K23" i="118" s="1"/>
  <c r="F192" i="112"/>
  <c r="F182" i="112"/>
  <c r="N23" i="118" l="1"/>
  <c r="O23" i="118" s="1"/>
  <c r="P23" i="118" s="1"/>
  <c r="Q23" i="118" s="1"/>
  <c r="R23" i="118" s="1"/>
  <c r="M23" i="118"/>
  <c r="O77" i="118"/>
  <c r="O65" i="114"/>
  <c r="G28" i="120" s="1"/>
  <c r="N65" i="114"/>
  <c r="F28" i="120" s="1"/>
  <c r="M65" i="114"/>
  <c r="E28" i="120" s="1"/>
  <c r="O36" i="114"/>
  <c r="R8" i="128"/>
  <c r="S8" i="128"/>
  <c r="T8" i="128"/>
  <c r="U8" i="128"/>
  <c r="V8" i="128"/>
  <c r="W8" i="128"/>
  <c r="X8" i="128"/>
  <c r="Y8" i="128"/>
  <c r="Z8" i="128"/>
  <c r="AA8" i="128"/>
  <c r="P164" i="127"/>
  <c r="Q164" i="127" s="1"/>
  <c r="R164" i="127" s="1"/>
  <c r="S164" i="127" s="1"/>
  <c r="T164" i="127" s="1"/>
  <c r="U164" i="127" s="1"/>
  <c r="V164" i="127" s="1"/>
  <c r="W164" i="127" s="1"/>
  <c r="X164" i="127" s="1"/>
  <c r="Y164" i="127" s="1"/>
  <c r="Z164" i="127" s="1"/>
  <c r="AA164" i="127" s="1"/>
  <c r="AB164" i="127" s="1"/>
  <c r="AC164" i="127" s="1"/>
  <c r="AD164" i="127" s="1"/>
  <c r="AE164" i="127" s="1"/>
  <c r="AF164" i="127" s="1"/>
  <c r="AG164" i="127" s="1"/>
  <c r="AH164" i="127" s="1"/>
  <c r="AI164" i="127" s="1"/>
  <c r="AJ164" i="127" s="1"/>
  <c r="AK164" i="127" s="1"/>
  <c r="AL164" i="127" s="1"/>
  <c r="O164" i="127"/>
  <c r="N164" i="127"/>
  <c r="M164" i="127"/>
  <c r="L164" i="127"/>
  <c r="K164" i="127"/>
  <c r="K159" i="127"/>
  <c r="K160" i="127" s="1"/>
  <c r="K156" i="127"/>
  <c r="P138" i="127"/>
  <c r="Q138" i="127" s="1"/>
  <c r="R138" i="127" s="1"/>
  <c r="S138" i="127" s="1"/>
  <c r="T138" i="127" s="1"/>
  <c r="U138" i="127" s="1"/>
  <c r="V138" i="127" s="1"/>
  <c r="W138" i="127" s="1"/>
  <c r="X138" i="127" s="1"/>
  <c r="Y138" i="127" s="1"/>
  <c r="Z138" i="127" s="1"/>
  <c r="AA138" i="127" s="1"/>
  <c r="AB138" i="127" s="1"/>
  <c r="AC138" i="127" s="1"/>
  <c r="AD138" i="127" s="1"/>
  <c r="AE138" i="127" s="1"/>
  <c r="AF138" i="127" s="1"/>
  <c r="AG138" i="127" s="1"/>
  <c r="AH138" i="127" s="1"/>
  <c r="AI138" i="127" s="1"/>
  <c r="AJ138" i="127" s="1"/>
  <c r="AK138" i="127" s="1"/>
  <c r="AL138" i="127" s="1"/>
  <c r="O138" i="127"/>
  <c r="N138" i="127"/>
  <c r="M138" i="127"/>
  <c r="L138" i="127"/>
  <c r="K138" i="127"/>
  <c r="P129" i="127"/>
  <c r="Q129" i="127" s="1"/>
  <c r="R129" i="127" s="1"/>
  <c r="S129" i="127" s="1"/>
  <c r="T129" i="127" s="1"/>
  <c r="U129" i="127" s="1"/>
  <c r="V129" i="127" s="1"/>
  <c r="W129" i="127" s="1"/>
  <c r="X129" i="127" s="1"/>
  <c r="Y129" i="127" s="1"/>
  <c r="Z129" i="127" s="1"/>
  <c r="AA129" i="127" s="1"/>
  <c r="AB129" i="127" s="1"/>
  <c r="AC129" i="127" s="1"/>
  <c r="AD129" i="127" s="1"/>
  <c r="AE129" i="127" s="1"/>
  <c r="AF129" i="127" s="1"/>
  <c r="AG129" i="127" s="1"/>
  <c r="AH129" i="127" s="1"/>
  <c r="AI129" i="127" s="1"/>
  <c r="AJ129" i="127" s="1"/>
  <c r="AK129" i="127" s="1"/>
  <c r="AL129" i="127" s="1"/>
  <c r="O129" i="127"/>
  <c r="N129" i="127"/>
  <c r="M129" i="127"/>
  <c r="L129" i="127"/>
  <c r="K129" i="127"/>
  <c r="P122" i="127"/>
  <c r="Q122" i="127" s="1"/>
  <c r="R122" i="127" s="1"/>
  <c r="S122" i="127" s="1"/>
  <c r="T122" i="127" s="1"/>
  <c r="U122" i="127" s="1"/>
  <c r="V122" i="127" s="1"/>
  <c r="W122" i="127" s="1"/>
  <c r="X122" i="127" s="1"/>
  <c r="Y122" i="127" s="1"/>
  <c r="Z122" i="127" s="1"/>
  <c r="AA122" i="127" s="1"/>
  <c r="AB122" i="127" s="1"/>
  <c r="AC122" i="127" s="1"/>
  <c r="AD122" i="127" s="1"/>
  <c r="AE122" i="127" s="1"/>
  <c r="AF122" i="127" s="1"/>
  <c r="AG122" i="127" s="1"/>
  <c r="AH122" i="127" s="1"/>
  <c r="AI122" i="127" s="1"/>
  <c r="AJ122" i="127" s="1"/>
  <c r="AK122" i="127" s="1"/>
  <c r="AL122" i="127" s="1"/>
  <c r="O122" i="127"/>
  <c r="N122" i="127"/>
  <c r="M122" i="127"/>
  <c r="L122" i="127"/>
  <c r="K122" i="127"/>
  <c r="P115" i="127"/>
  <c r="Q115" i="127" s="1"/>
  <c r="R115" i="127" s="1"/>
  <c r="S115" i="127" s="1"/>
  <c r="T115" i="127" s="1"/>
  <c r="U115" i="127" s="1"/>
  <c r="V115" i="127" s="1"/>
  <c r="W115" i="127" s="1"/>
  <c r="X115" i="127" s="1"/>
  <c r="Y115" i="127" s="1"/>
  <c r="Z115" i="127" s="1"/>
  <c r="AA115" i="127" s="1"/>
  <c r="AB115" i="127" s="1"/>
  <c r="AC115" i="127" s="1"/>
  <c r="AD115" i="127" s="1"/>
  <c r="AE115" i="127" s="1"/>
  <c r="AF115" i="127" s="1"/>
  <c r="AG115" i="127" s="1"/>
  <c r="AH115" i="127" s="1"/>
  <c r="AI115" i="127" s="1"/>
  <c r="AJ115" i="127" s="1"/>
  <c r="AK115" i="127" s="1"/>
  <c r="AL115" i="127" s="1"/>
  <c r="O115" i="127"/>
  <c r="N115" i="127"/>
  <c r="M115" i="127"/>
  <c r="L115" i="127"/>
  <c r="K115" i="127"/>
  <c r="AL101" i="127"/>
  <c r="AL100" i="127" s="1"/>
  <c r="AK101" i="127"/>
  <c r="AK100" i="127" s="1"/>
  <c r="AJ101" i="127"/>
  <c r="AJ100" i="127" s="1"/>
  <c r="AI101" i="127"/>
  <c r="AI100" i="127" s="1"/>
  <c r="AH101" i="127"/>
  <c r="AH100" i="127" s="1"/>
  <c r="AG101" i="127"/>
  <c r="AG100" i="127" s="1"/>
  <c r="AF101" i="127"/>
  <c r="AF100" i="127" s="1"/>
  <c r="AE101" i="127"/>
  <c r="AE100" i="127" s="1"/>
  <c r="AD101" i="127"/>
  <c r="AD100" i="127" s="1"/>
  <c r="AC101" i="127"/>
  <c r="AC100" i="127" s="1"/>
  <c r="AB101" i="127"/>
  <c r="AB100" i="127" s="1"/>
  <c r="AA101" i="127"/>
  <c r="AA100" i="127" s="1"/>
  <c r="Z101" i="127"/>
  <c r="Z100" i="127" s="1"/>
  <c r="Y101" i="127"/>
  <c r="Y100" i="127" s="1"/>
  <c r="X101" i="127"/>
  <c r="X100" i="127" s="1"/>
  <c r="W101" i="127"/>
  <c r="V101" i="127"/>
  <c r="V100" i="127" s="1"/>
  <c r="U101" i="127"/>
  <c r="U100" i="127" s="1"/>
  <c r="T101" i="127"/>
  <c r="T100" i="127" s="1"/>
  <c r="S101" i="127"/>
  <c r="S100" i="127" s="1"/>
  <c r="R101" i="127"/>
  <c r="R100" i="127" s="1"/>
  <c r="Q101" i="127"/>
  <c r="Q100" i="127" s="1"/>
  <c r="W100" i="127"/>
  <c r="M81" i="127"/>
  <c r="M193" i="127" s="1"/>
  <c r="AB80" i="127"/>
  <c r="AC80" i="127" s="1"/>
  <c r="P80" i="127"/>
  <c r="O80" i="127"/>
  <c r="P79" i="127"/>
  <c r="Q79" i="127" s="1"/>
  <c r="R79" i="127" s="1"/>
  <c r="S79" i="127" s="1"/>
  <c r="T79" i="127" s="1"/>
  <c r="O79" i="127"/>
  <c r="N79" i="127"/>
  <c r="M79" i="127"/>
  <c r="L79" i="127"/>
  <c r="K79" i="127"/>
  <c r="P78" i="127"/>
  <c r="Q78" i="127" s="1"/>
  <c r="R78" i="127" s="1"/>
  <c r="S78" i="127" s="1"/>
  <c r="O78" i="127"/>
  <c r="N78" i="127"/>
  <c r="M78" i="127"/>
  <c r="L78" i="127"/>
  <c r="K78" i="127"/>
  <c r="P77" i="127"/>
  <c r="O77" i="127"/>
  <c r="N77" i="127"/>
  <c r="M77" i="127"/>
  <c r="L77" i="127"/>
  <c r="K77" i="127"/>
  <c r="P76" i="127"/>
  <c r="Q76" i="127" s="1"/>
  <c r="R76" i="127" s="1"/>
  <c r="S76" i="127" s="1"/>
  <c r="T76" i="127" s="1"/>
  <c r="U76" i="127" s="1"/>
  <c r="V76" i="127" s="1"/>
  <c r="W76" i="127" s="1"/>
  <c r="X76" i="127" s="1"/>
  <c r="Y76" i="127" s="1"/>
  <c r="Z76" i="127" s="1"/>
  <c r="AA76" i="127" s="1"/>
  <c r="AB76" i="127" s="1"/>
  <c r="AC76" i="127" s="1"/>
  <c r="AD76" i="127" s="1"/>
  <c r="AE76" i="127" s="1"/>
  <c r="AF76" i="127" s="1"/>
  <c r="AG76" i="127" s="1"/>
  <c r="AH76" i="127" s="1"/>
  <c r="AI76" i="127" s="1"/>
  <c r="AJ76" i="127" s="1"/>
  <c r="AK76" i="127" s="1"/>
  <c r="AL76" i="127" s="1"/>
  <c r="O76" i="127"/>
  <c r="N76" i="127"/>
  <c r="M76" i="127"/>
  <c r="L76" i="127"/>
  <c r="K76" i="127"/>
  <c r="P75" i="127"/>
  <c r="Q75" i="127" s="1"/>
  <c r="R75" i="127" s="1"/>
  <c r="S75" i="127" s="1"/>
  <c r="T75" i="127" s="1"/>
  <c r="U75" i="127" s="1"/>
  <c r="V75" i="127" s="1"/>
  <c r="W75" i="127" s="1"/>
  <c r="X75" i="127" s="1"/>
  <c r="Y75" i="127" s="1"/>
  <c r="Z75" i="127" s="1"/>
  <c r="AA75" i="127" s="1"/>
  <c r="AB75" i="127" s="1"/>
  <c r="AC75" i="127" s="1"/>
  <c r="AD75" i="127" s="1"/>
  <c r="AE75" i="127" s="1"/>
  <c r="AF75" i="127" s="1"/>
  <c r="AG75" i="127" s="1"/>
  <c r="AH75" i="127" s="1"/>
  <c r="AI75" i="127" s="1"/>
  <c r="AJ75" i="127" s="1"/>
  <c r="AK75" i="127" s="1"/>
  <c r="AL75" i="127" s="1"/>
  <c r="O75" i="127"/>
  <c r="N75" i="127"/>
  <c r="M75" i="127"/>
  <c r="L75" i="127"/>
  <c r="K75" i="127"/>
  <c r="P74" i="127"/>
  <c r="P101" i="127" s="1"/>
  <c r="P100" i="127" s="1"/>
  <c r="O74" i="127"/>
  <c r="O101" i="127" s="1"/>
  <c r="O100" i="127" s="1"/>
  <c r="N74" i="127"/>
  <c r="N101" i="127" s="1"/>
  <c r="N100" i="127" s="1"/>
  <c r="M74" i="127"/>
  <c r="M101" i="127" s="1"/>
  <c r="M100" i="127" s="1"/>
  <c r="L74" i="127"/>
  <c r="L101" i="127" s="1"/>
  <c r="L100" i="127" s="1"/>
  <c r="K74" i="127"/>
  <c r="K101" i="127" s="1"/>
  <c r="K100" i="127" s="1"/>
  <c r="N73" i="127"/>
  <c r="O73" i="127" s="1"/>
  <c r="P73" i="127" s="1"/>
  <c r="Q73" i="127" s="1"/>
  <c r="R73" i="127" s="1"/>
  <c r="S73" i="127" s="1"/>
  <c r="T73" i="127" s="1"/>
  <c r="U73" i="127" s="1"/>
  <c r="V73" i="127" s="1"/>
  <c r="W73" i="127" s="1"/>
  <c r="X73" i="127" s="1"/>
  <c r="Y73" i="127" s="1"/>
  <c r="Z73" i="127" s="1"/>
  <c r="AA73" i="127" s="1"/>
  <c r="AB73" i="127" s="1"/>
  <c r="AC73" i="127" s="1"/>
  <c r="AD73" i="127" s="1"/>
  <c r="AE73" i="127" s="1"/>
  <c r="AF73" i="127" s="1"/>
  <c r="AG73" i="127" s="1"/>
  <c r="AH73" i="127" s="1"/>
  <c r="AI73" i="127" s="1"/>
  <c r="AJ73" i="127" s="1"/>
  <c r="AK73" i="127" s="1"/>
  <c r="AL73" i="127" s="1"/>
  <c r="M73" i="127"/>
  <c r="L73" i="127"/>
  <c r="K73" i="127"/>
  <c r="N72" i="127"/>
  <c r="O72" i="127" s="1"/>
  <c r="P72" i="127" s="1"/>
  <c r="Q72" i="127" s="1"/>
  <c r="R72" i="127" s="1"/>
  <c r="S72" i="127" s="1"/>
  <c r="T72" i="127" s="1"/>
  <c r="U72" i="127" s="1"/>
  <c r="V72" i="127" s="1"/>
  <c r="W72" i="127" s="1"/>
  <c r="X72" i="127" s="1"/>
  <c r="Y72" i="127" s="1"/>
  <c r="Z72" i="127" s="1"/>
  <c r="AA72" i="127" s="1"/>
  <c r="AB72" i="127" s="1"/>
  <c r="AC72" i="127" s="1"/>
  <c r="AD72" i="127" s="1"/>
  <c r="AE72" i="127" s="1"/>
  <c r="AF72" i="127" s="1"/>
  <c r="AG72" i="127" s="1"/>
  <c r="AH72" i="127" s="1"/>
  <c r="AI72" i="127" s="1"/>
  <c r="AJ72" i="127" s="1"/>
  <c r="AK72" i="127" s="1"/>
  <c r="AL72" i="127" s="1"/>
  <c r="M72" i="127"/>
  <c r="L72" i="127"/>
  <c r="K72" i="127"/>
  <c r="N71" i="127"/>
  <c r="O71" i="127" s="1"/>
  <c r="P71" i="127" s="1"/>
  <c r="Q71" i="127" s="1"/>
  <c r="R71" i="127" s="1"/>
  <c r="S71" i="127" s="1"/>
  <c r="T71" i="127" s="1"/>
  <c r="U71" i="127" s="1"/>
  <c r="V71" i="127" s="1"/>
  <c r="W71" i="127" s="1"/>
  <c r="X71" i="127" s="1"/>
  <c r="Y71" i="127" s="1"/>
  <c r="Z71" i="127" s="1"/>
  <c r="AA71" i="127" s="1"/>
  <c r="AB71" i="127" s="1"/>
  <c r="AC71" i="127" s="1"/>
  <c r="AD71" i="127" s="1"/>
  <c r="AE71" i="127" s="1"/>
  <c r="AF71" i="127" s="1"/>
  <c r="AG71" i="127" s="1"/>
  <c r="AH71" i="127" s="1"/>
  <c r="AI71" i="127" s="1"/>
  <c r="AJ71" i="127" s="1"/>
  <c r="AK71" i="127" s="1"/>
  <c r="AL71" i="127" s="1"/>
  <c r="M71" i="127"/>
  <c r="L71" i="127"/>
  <c r="K71" i="127"/>
  <c r="AL68" i="127"/>
  <c r="AK68" i="127"/>
  <c r="AJ68" i="127"/>
  <c r="AI68" i="127"/>
  <c r="AH68" i="127"/>
  <c r="AG68" i="127"/>
  <c r="AF68" i="127"/>
  <c r="AE68" i="127"/>
  <c r="AD68" i="127"/>
  <c r="AC68" i="127"/>
  <c r="AB68" i="127"/>
  <c r="AA68" i="127"/>
  <c r="M68" i="127"/>
  <c r="L68" i="127"/>
  <c r="K68" i="127"/>
  <c r="AL67" i="127"/>
  <c r="AK67" i="127"/>
  <c r="AJ67" i="127"/>
  <c r="AI67" i="127"/>
  <c r="AH67" i="127"/>
  <c r="AG67" i="127"/>
  <c r="AF67" i="127"/>
  <c r="AE67" i="127"/>
  <c r="AD67" i="127"/>
  <c r="AC67" i="127"/>
  <c r="AB67" i="127"/>
  <c r="AA67" i="127"/>
  <c r="M67" i="127"/>
  <c r="L67" i="127"/>
  <c r="K67" i="127"/>
  <c r="K65" i="127"/>
  <c r="L65" i="127" s="1"/>
  <c r="P56" i="127"/>
  <c r="Q56" i="127" s="1"/>
  <c r="R56" i="127" s="1"/>
  <c r="S56" i="127" s="1"/>
  <c r="T56" i="127" s="1"/>
  <c r="U56" i="127" s="1"/>
  <c r="V56" i="127" s="1"/>
  <c r="W56" i="127" s="1"/>
  <c r="X56" i="127" s="1"/>
  <c r="Y56" i="127" s="1"/>
  <c r="Z56" i="127" s="1"/>
  <c r="AA56" i="127" s="1"/>
  <c r="AB56" i="127" s="1"/>
  <c r="AC56" i="127" s="1"/>
  <c r="AD56" i="127" s="1"/>
  <c r="AE56" i="127" s="1"/>
  <c r="AF56" i="127" s="1"/>
  <c r="AG56" i="127" s="1"/>
  <c r="AH56" i="127" s="1"/>
  <c r="AI56" i="127" s="1"/>
  <c r="AJ56" i="127" s="1"/>
  <c r="AK56" i="127" s="1"/>
  <c r="AL56" i="127" s="1"/>
  <c r="O56" i="127"/>
  <c r="N56" i="127"/>
  <c r="M19" i="127"/>
  <c r="L19" i="127"/>
  <c r="K19" i="127"/>
  <c r="M16" i="127"/>
  <c r="L16" i="127"/>
  <c r="K16" i="127"/>
  <c r="AD13" i="127"/>
  <c r="J5" i="127"/>
  <c r="K4" i="127" s="1"/>
  <c r="K5" i="127" s="1"/>
  <c r="K10" i="127" s="1"/>
  <c r="A2" i="127"/>
  <c r="P164" i="126"/>
  <c r="Q164" i="126" s="1"/>
  <c r="R164" i="126" s="1"/>
  <c r="S164" i="126" s="1"/>
  <c r="T164" i="126" s="1"/>
  <c r="U164" i="126" s="1"/>
  <c r="V164" i="126" s="1"/>
  <c r="W164" i="126" s="1"/>
  <c r="X164" i="126" s="1"/>
  <c r="Y164" i="126" s="1"/>
  <c r="Z164" i="126" s="1"/>
  <c r="AA164" i="126" s="1"/>
  <c r="AB164" i="126" s="1"/>
  <c r="AC164" i="126" s="1"/>
  <c r="AD164" i="126" s="1"/>
  <c r="AE164" i="126" s="1"/>
  <c r="AF164" i="126" s="1"/>
  <c r="AG164" i="126" s="1"/>
  <c r="AH164" i="126" s="1"/>
  <c r="AI164" i="126" s="1"/>
  <c r="AJ164" i="126" s="1"/>
  <c r="AK164" i="126" s="1"/>
  <c r="AL164" i="126" s="1"/>
  <c r="O164" i="126"/>
  <c r="N164" i="126"/>
  <c r="M164" i="126"/>
  <c r="L164" i="126"/>
  <c r="K164" i="126"/>
  <c r="K159" i="126"/>
  <c r="K160" i="126" s="1"/>
  <c r="K156" i="126"/>
  <c r="P138" i="126"/>
  <c r="Q138" i="126" s="1"/>
  <c r="R138" i="126" s="1"/>
  <c r="S138" i="126" s="1"/>
  <c r="T138" i="126" s="1"/>
  <c r="U138" i="126" s="1"/>
  <c r="V138" i="126" s="1"/>
  <c r="W138" i="126" s="1"/>
  <c r="X138" i="126" s="1"/>
  <c r="Y138" i="126" s="1"/>
  <c r="Z138" i="126" s="1"/>
  <c r="AA138" i="126" s="1"/>
  <c r="AB138" i="126" s="1"/>
  <c r="AC138" i="126" s="1"/>
  <c r="AD138" i="126" s="1"/>
  <c r="AE138" i="126" s="1"/>
  <c r="AF138" i="126" s="1"/>
  <c r="AG138" i="126" s="1"/>
  <c r="AH138" i="126" s="1"/>
  <c r="AI138" i="126" s="1"/>
  <c r="AJ138" i="126" s="1"/>
  <c r="AK138" i="126" s="1"/>
  <c r="AL138" i="126" s="1"/>
  <c r="O138" i="126"/>
  <c r="N138" i="126"/>
  <c r="M138" i="126"/>
  <c r="L138" i="126"/>
  <c r="K138" i="126"/>
  <c r="Q129" i="126"/>
  <c r="R129" i="126" s="1"/>
  <c r="S129" i="126" s="1"/>
  <c r="T129" i="126" s="1"/>
  <c r="U129" i="126" s="1"/>
  <c r="V129" i="126" s="1"/>
  <c r="W129" i="126" s="1"/>
  <c r="X129" i="126" s="1"/>
  <c r="Y129" i="126" s="1"/>
  <c r="Z129" i="126" s="1"/>
  <c r="AA129" i="126" s="1"/>
  <c r="AB129" i="126" s="1"/>
  <c r="AC129" i="126" s="1"/>
  <c r="AD129" i="126" s="1"/>
  <c r="AE129" i="126" s="1"/>
  <c r="AF129" i="126" s="1"/>
  <c r="AG129" i="126" s="1"/>
  <c r="AH129" i="126" s="1"/>
  <c r="AI129" i="126" s="1"/>
  <c r="AJ129" i="126" s="1"/>
  <c r="AK129" i="126" s="1"/>
  <c r="AL129" i="126" s="1"/>
  <c r="P129" i="126"/>
  <c r="O129" i="126"/>
  <c r="N129" i="126"/>
  <c r="M129" i="126"/>
  <c r="L129" i="126"/>
  <c r="K129" i="126"/>
  <c r="P122" i="126"/>
  <c r="Q122" i="126" s="1"/>
  <c r="R122" i="126" s="1"/>
  <c r="S122" i="126" s="1"/>
  <c r="T122" i="126" s="1"/>
  <c r="U122" i="126" s="1"/>
  <c r="V122" i="126" s="1"/>
  <c r="W122" i="126" s="1"/>
  <c r="X122" i="126" s="1"/>
  <c r="Y122" i="126" s="1"/>
  <c r="Z122" i="126" s="1"/>
  <c r="AA122" i="126" s="1"/>
  <c r="AB122" i="126" s="1"/>
  <c r="AC122" i="126" s="1"/>
  <c r="AD122" i="126" s="1"/>
  <c r="AE122" i="126" s="1"/>
  <c r="AF122" i="126" s="1"/>
  <c r="AG122" i="126" s="1"/>
  <c r="AH122" i="126" s="1"/>
  <c r="AI122" i="126" s="1"/>
  <c r="AJ122" i="126" s="1"/>
  <c r="AK122" i="126" s="1"/>
  <c r="AL122" i="126" s="1"/>
  <c r="O122" i="126"/>
  <c r="N122" i="126"/>
  <c r="M122" i="126"/>
  <c r="L122" i="126"/>
  <c r="K122" i="126"/>
  <c r="P115" i="126"/>
  <c r="Q115" i="126" s="1"/>
  <c r="R115" i="126" s="1"/>
  <c r="S115" i="126" s="1"/>
  <c r="T115" i="126" s="1"/>
  <c r="U115" i="126" s="1"/>
  <c r="V115" i="126" s="1"/>
  <c r="W115" i="126" s="1"/>
  <c r="X115" i="126" s="1"/>
  <c r="Y115" i="126" s="1"/>
  <c r="Z115" i="126" s="1"/>
  <c r="AA115" i="126" s="1"/>
  <c r="AB115" i="126" s="1"/>
  <c r="AC115" i="126" s="1"/>
  <c r="AD115" i="126" s="1"/>
  <c r="AE115" i="126" s="1"/>
  <c r="AF115" i="126" s="1"/>
  <c r="AG115" i="126" s="1"/>
  <c r="AH115" i="126" s="1"/>
  <c r="AI115" i="126" s="1"/>
  <c r="AJ115" i="126" s="1"/>
  <c r="AK115" i="126" s="1"/>
  <c r="AL115" i="126" s="1"/>
  <c r="O115" i="126"/>
  <c r="N115" i="126"/>
  <c r="M115" i="126"/>
  <c r="L115" i="126"/>
  <c r="K115" i="126"/>
  <c r="AL101" i="126"/>
  <c r="AK101" i="126"/>
  <c r="AK100" i="126" s="1"/>
  <c r="AJ101" i="126"/>
  <c r="AI101" i="126"/>
  <c r="AI100" i="126" s="1"/>
  <c r="AH101" i="126"/>
  <c r="AH100" i="126" s="1"/>
  <c r="AG101" i="126"/>
  <c r="AG100" i="126" s="1"/>
  <c r="AF101" i="126"/>
  <c r="AF100" i="126" s="1"/>
  <c r="AE101" i="126"/>
  <c r="AE100" i="126" s="1"/>
  <c r="AD101" i="126"/>
  <c r="AD100" i="126" s="1"/>
  <c r="AC101" i="126"/>
  <c r="AC100" i="126" s="1"/>
  <c r="AB101" i="126"/>
  <c r="AB100" i="126" s="1"/>
  <c r="AA101" i="126"/>
  <c r="AA100" i="126" s="1"/>
  <c r="Z101" i="126"/>
  <c r="Z100" i="126" s="1"/>
  <c r="Y101" i="126"/>
  <c r="Y100" i="126" s="1"/>
  <c r="X101" i="126"/>
  <c r="X100" i="126" s="1"/>
  <c r="W101" i="126"/>
  <c r="W100" i="126" s="1"/>
  <c r="V101" i="126"/>
  <c r="U101" i="126"/>
  <c r="U100" i="126" s="1"/>
  <c r="T101" i="126"/>
  <c r="T100" i="126" s="1"/>
  <c r="S101" i="126"/>
  <c r="S100" i="126" s="1"/>
  <c r="R101" i="126"/>
  <c r="Q101" i="126"/>
  <c r="Q100" i="126" s="1"/>
  <c r="AL100" i="126"/>
  <c r="AJ100" i="126"/>
  <c r="V100" i="126"/>
  <c r="R100" i="126"/>
  <c r="M81" i="126"/>
  <c r="M193" i="126" s="1"/>
  <c r="L81" i="126"/>
  <c r="L193" i="126" s="1"/>
  <c r="AB80" i="126"/>
  <c r="AC80" i="126" s="1"/>
  <c r="P80" i="126"/>
  <c r="Q80" i="126" s="1"/>
  <c r="R80" i="126" s="1"/>
  <c r="O80" i="126"/>
  <c r="P79" i="126"/>
  <c r="Q79" i="126" s="1"/>
  <c r="R79" i="126" s="1"/>
  <c r="S79" i="126" s="1"/>
  <c r="T79" i="126" s="1"/>
  <c r="U79" i="126" s="1"/>
  <c r="V79" i="126" s="1"/>
  <c r="W79" i="126" s="1"/>
  <c r="X79" i="126" s="1"/>
  <c r="Y79" i="126" s="1"/>
  <c r="Z79" i="126" s="1"/>
  <c r="AA79" i="126" s="1"/>
  <c r="AB79" i="126" s="1"/>
  <c r="AC79" i="126" s="1"/>
  <c r="AD79" i="126" s="1"/>
  <c r="AE79" i="126" s="1"/>
  <c r="AF79" i="126" s="1"/>
  <c r="AG79" i="126" s="1"/>
  <c r="AH79" i="126" s="1"/>
  <c r="AI79" i="126" s="1"/>
  <c r="AJ79" i="126" s="1"/>
  <c r="AK79" i="126" s="1"/>
  <c r="AL79" i="126" s="1"/>
  <c r="O79" i="126"/>
  <c r="N79" i="126"/>
  <c r="M79" i="126"/>
  <c r="L79" i="126"/>
  <c r="K79" i="126"/>
  <c r="P78" i="126"/>
  <c r="Q78" i="126" s="1"/>
  <c r="O78" i="126"/>
  <c r="N78" i="126"/>
  <c r="M78" i="126"/>
  <c r="L78" i="126"/>
  <c r="K78" i="126"/>
  <c r="P77" i="126"/>
  <c r="O77" i="126"/>
  <c r="N77" i="126"/>
  <c r="M77" i="126"/>
  <c r="L77" i="126"/>
  <c r="K77" i="126"/>
  <c r="Q76" i="126"/>
  <c r="R76" i="126" s="1"/>
  <c r="S76" i="126" s="1"/>
  <c r="T76" i="126" s="1"/>
  <c r="U76" i="126" s="1"/>
  <c r="V76" i="126" s="1"/>
  <c r="W76" i="126" s="1"/>
  <c r="X76" i="126" s="1"/>
  <c r="Y76" i="126" s="1"/>
  <c r="Z76" i="126" s="1"/>
  <c r="AA76" i="126" s="1"/>
  <c r="AB76" i="126" s="1"/>
  <c r="AC76" i="126" s="1"/>
  <c r="AD76" i="126" s="1"/>
  <c r="AE76" i="126" s="1"/>
  <c r="AF76" i="126" s="1"/>
  <c r="AG76" i="126" s="1"/>
  <c r="AH76" i="126" s="1"/>
  <c r="AI76" i="126" s="1"/>
  <c r="AJ76" i="126" s="1"/>
  <c r="AK76" i="126" s="1"/>
  <c r="AL76" i="126" s="1"/>
  <c r="P76" i="126"/>
  <c r="O76" i="126"/>
  <c r="N76" i="126"/>
  <c r="M76" i="126"/>
  <c r="L76" i="126"/>
  <c r="K76" i="126"/>
  <c r="P75" i="126"/>
  <c r="Q75" i="126" s="1"/>
  <c r="R75" i="126" s="1"/>
  <c r="S75" i="126" s="1"/>
  <c r="T75" i="126" s="1"/>
  <c r="U75" i="126" s="1"/>
  <c r="V75" i="126" s="1"/>
  <c r="W75" i="126" s="1"/>
  <c r="X75" i="126" s="1"/>
  <c r="Y75" i="126" s="1"/>
  <c r="Z75" i="126" s="1"/>
  <c r="AA75" i="126" s="1"/>
  <c r="AB75" i="126" s="1"/>
  <c r="AC75" i="126" s="1"/>
  <c r="AD75" i="126" s="1"/>
  <c r="AE75" i="126" s="1"/>
  <c r="AF75" i="126" s="1"/>
  <c r="AG75" i="126" s="1"/>
  <c r="AH75" i="126" s="1"/>
  <c r="AI75" i="126" s="1"/>
  <c r="AJ75" i="126" s="1"/>
  <c r="AK75" i="126" s="1"/>
  <c r="AL75" i="126" s="1"/>
  <c r="O75" i="126"/>
  <c r="N75" i="126"/>
  <c r="M75" i="126"/>
  <c r="L75" i="126"/>
  <c r="K75" i="126"/>
  <c r="P74" i="126"/>
  <c r="P101" i="126" s="1"/>
  <c r="P100" i="126" s="1"/>
  <c r="O74" i="126"/>
  <c r="O101" i="126" s="1"/>
  <c r="O100" i="126" s="1"/>
  <c r="N74" i="126"/>
  <c r="N101" i="126" s="1"/>
  <c r="N100" i="126" s="1"/>
  <c r="M74" i="126"/>
  <c r="M101" i="126" s="1"/>
  <c r="M100" i="126" s="1"/>
  <c r="L74" i="126"/>
  <c r="L101" i="126" s="1"/>
  <c r="L100" i="126" s="1"/>
  <c r="K74" i="126"/>
  <c r="K101" i="126" s="1"/>
  <c r="K100" i="126" s="1"/>
  <c r="N73" i="126"/>
  <c r="O73" i="126" s="1"/>
  <c r="P73" i="126" s="1"/>
  <c r="Q73" i="126" s="1"/>
  <c r="R73" i="126" s="1"/>
  <c r="S73" i="126" s="1"/>
  <c r="T73" i="126" s="1"/>
  <c r="U73" i="126" s="1"/>
  <c r="V73" i="126" s="1"/>
  <c r="W73" i="126" s="1"/>
  <c r="X73" i="126" s="1"/>
  <c r="Y73" i="126" s="1"/>
  <c r="Z73" i="126" s="1"/>
  <c r="AA73" i="126" s="1"/>
  <c r="AB73" i="126" s="1"/>
  <c r="AC73" i="126" s="1"/>
  <c r="AD73" i="126" s="1"/>
  <c r="AE73" i="126" s="1"/>
  <c r="AF73" i="126" s="1"/>
  <c r="AG73" i="126" s="1"/>
  <c r="AH73" i="126" s="1"/>
  <c r="AI73" i="126" s="1"/>
  <c r="AJ73" i="126" s="1"/>
  <c r="AK73" i="126" s="1"/>
  <c r="AL73" i="126" s="1"/>
  <c r="M73" i="126"/>
  <c r="L73" i="126"/>
  <c r="K73" i="126"/>
  <c r="N72" i="126"/>
  <c r="O72" i="126" s="1"/>
  <c r="P72" i="126" s="1"/>
  <c r="Q72" i="126" s="1"/>
  <c r="R72" i="126" s="1"/>
  <c r="S72" i="126" s="1"/>
  <c r="T72" i="126" s="1"/>
  <c r="U72" i="126" s="1"/>
  <c r="V72" i="126" s="1"/>
  <c r="W72" i="126" s="1"/>
  <c r="X72" i="126" s="1"/>
  <c r="Y72" i="126" s="1"/>
  <c r="Z72" i="126" s="1"/>
  <c r="AA72" i="126" s="1"/>
  <c r="AB72" i="126" s="1"/>
  <c r="AC72" i="126" s="1"/>
  <c r="AD72" i="126" s="1"/>
  <c r="AE72" i="126" s="1"/>
  <c r="AF72" i="126" s="1"/>
  <c r="AG72" i="126" s="1"/>
  <c r="AH72" i="126" s="1"/>
  <c r="AI72" i="126" s="1"/>
  <c r="AJ72" i="126" s="1"/>
  <c r="AK72" i="126" s="1"/>
  <c r="AL72" i="126" s="1"/>
  <c r="M72" i="126"/>
  <c r="L72" i="126"/>
  <c r="K72" i="126"/>
  <c r="N71" i="126"/>
  <c r="O71" i="126" s="1"/>
  <c r="P71" i="126" s="1"/>
  <c r="Q71" i="126" s="1"/>
  <c r="R71" i="126" s="1"/>
  <c r="S71" i="126" s="1"/>
  <c r="T71" i="126" s="1"/>
  <c r="U71" i="126" s="1"/>
  <c r="V71" i="126" s="1"/>
  <c r="W71" i="126" s="1"/>
  <c r="X71" i="126" s="1"/>
  <c r="Y71" i="126" s="1"/>
  <c r="M71" i="126"/>
  <c r="L71" i="126"/>
  <c r="K71" i="126"/>
  <c r="AL68" i="126"/>
  <c r="AK68" i="126"/>
  <c r="AJ68" i="126"/>
  <c r="AI68" i="126"/>
  <c r="AH68" i="126"/>
  <c r="AG68" i="126"/>
  <c r="AF68" i="126"/>
  <c r="AE68" i="126"/>
  <c r="AD68" i="126"/>
  <c r="AC68" i="126"/>
  <c r="AB68" i="126"/>
  <c r="AA68" i="126"/>
  <c r="M68" i="126"/>
  <c r="L68" i="126"/>
  <c r="K68" i="126"/>
  <c r="AL67" i="126"/>
  <c r="AK67" i="126"/>
  <c r="AJ67" i="126"/>
  <c r="AI67" i="126"/>
  <c r="AH67" i="126"/>
  <c r="AG67" i="126"/>
  <c r="AF67" i="126"/>
  <c r="AE67" i="126"/>
  <c r="AD67" i="126"/>
  <c r="AC67" i="126"/>
  <c r="AB67" i="126"/>
  <c r="AA67" i="126"/>
  <c r="M67" i="126"/>
  <c r="L67" i="126"/>
  <c r="K67" i="126"/>
  <c r="K65" i="126"/>
  <c r="L65" i="126" s="1"/>
  <c r="P56" i="126"/>
  <c r="Q56" i="126" s="1"/>
  <c r="R56" i="126" s="1"/>
  <c r="S56" i="126" s="1"/>
  <c r="T56" i="126" s="1"/>
  <c r="U56" i="126" s="1"/>
  <c r="V56" i="126" s="1"/>
  <c r="W56" i="126" s="1"/>
  <c r="X56" i="126" s="1"/>
  <c r="Y56" i="126" s="1"/>
  <c r="Z56" i="126" s="1"/>
  <c r="AA56" i="126" s="1"/>
  <c r="AB56" i="126" s="1"/>
  <c r="AC56" i="126" s="1"/>
  <c r="AD56" i="126" s="1"/>
  <c r="AE56" i="126" s="1"/>
  <c r="AF56" i="126" s="1"/>
  <c r="AG56" i="126" s="1"/>
  <c r="AH56" i="126" s="1"/>
  <c r="AI56" i="126" s="1"/>
  <c r="AJ56" i="126" s="1"/>
  <c r="AK56" i="126" s="1"/>
  <c r="AL56" i="126" s="1"/>
  <c r="O56" i="126"/>
  <c r="N56" i="126"/>
  <c r="M19" i="126"/>
  <c r="L19" i="126"/>
  <c r="K19" i="126"/>
  <c r="M16" i="126"/>
  <c r="L16" i="126"/>
  <c r="K16" i="126"/>
  <c r="AD13" i="126"/>
  <c r="J5" i="126"/>
  <c r="K4" i="126" s="1"/>
  <c r="K5" i="126" s="1"/>
  <c r="A2" i="126"/>
  <c r="Q164" i="125"/>
  <c r="R164" i="125" s="1"/>
  <c r="S164" i="125" s="1"/>
  <c r="T164" i="125" s="1"/>
  <c r="U164" i="125" s="1"/>
  <c r="V164" i="125" s="1"/>
  <c r="W164" i="125" s="1"/>
  <c r="X164" i="125" s="1"/>
  <c r="Y164" i="125" s="1"/>
  <c r="Z164" i="125" s="1"/>
  <c r="AA164" i="125" s="1"/>
  <c r="AB164" i="125" s="1"/>
  <c r="AC164" i="125" s="1"/>
  <c r="AD164" i="125" s="1"/>
  <c r="AE164" i="125" s="1"/>
  <c r="AF164" i="125" s="1"/>
  <c r="AG164" i="125" s="1"/>
  <c r="AH164" i="125" s="1"/>
  <c r="AI164" i="125" s="1"/>
  <c r="AJ164" i="125" s="1"/>
  <c r="AK164" i="125" s="1"/>
  <c r="AL164" i="125" s="1"/>
  <c r="P164" i="125"/>
  <c r="O164" i="125"/>
  <c r="N164" i="125"/>
  <c r="M164" i="125"/>
  <c r="L164" i="125"/>
  <c r="K164" i="125"/>
  <c r="K159" i="125"/>
  <c r="K160" i="125" s="1"/>
  <c r="K156" i="125"/>
  <c r="P138" i="125"/>
  <c r="Q138" i="125" s="1"/>
  <c r="R138" i="125" s="1"/>
  <c r="S138" i="125" s="1"/>
  <c r="T138" i="125" s="1"/>
  <c r="U138" i="125" s="1"/>
  <c r="V138" i="125" s="1"/>
  <c r="W138" i="125" s="1"/>
  <c r="X138" i="125" s="1"/>
  <c r="Y138" i="125" s="1"/>
  <c r="Z138" i="125" s="1"/>
  <c r="AA138" i="125" s="1"/>
  <c r="AB138" i="125" s="1"/>
  <c r="AC138" i="125" s="1"/>
  <c r="AD138" i="125" s="1"/>
  <c r="AE138" i="125" s="1"/>
  <c r="AF138" i="125" s="1"/>
  <c r="AG138" i="125" s="1"/>
  <c r="AH138" i="125" s="1"/>
  <c r="AI138" i="125" s="1"/>
  <c r="AJ138" i="125" s="1"/>
  <c r="AK138" i="125" s="1"/>
  <c r="AL138" i="125" s="1"/>
  <c r="O138" i="125"/>
  <c r="N138" i="125"/>
  <c r="M138" i="125"/>
  <c r="L138" i="125"/>
  <c r="K138" i="125"/>
  <c r="P129" i="125"/>
  <c r="Q129" i="125" s="1"/>
  <c r="R129" i="125" s="1"/>
  <c r="S129" i="125" s="1"/>
  <c r="T129" i="125" s="1"/>
  <c r="U129" i="125" s="1"/>
  <c r="V129" i="125" s="1"/>
  <c r="W129" i="125" s="1"/>
  <c r="X129" i="125" s="1"/>
  <c r="Y129" i="125" s="1"/>
  <c r="Z129" i="125" s="1"/>
  <c r="AA129" i="125" s="1"/>
  <c r="AB129" i="125" s="1"/>
  <c r="AC129" i="125" s="1"/>
  <c r="AD129" i="125" s="1"/>
  <c r="AE129" i="125" s="1"/>
  <c r="AF129" i="125" s="1"/>
  <c r="AG129" i="125" s="1"/>
  <c r="AH129" i="125" s="1"/>
  <c r="AI129" i="125" s="1"/>
  <c r="AJ129" i="125" s="1"/>
  <c r="AK129" i="125" s="1"/>
  <c r="AL129" i="125" s="1"/>
  <c r="O129" i="125"/>
  <c r="N129" i="125"/>
  <c r="M129" i="125"/>
  <c r="L129" i="125"/>
  <c r="K129" i="125"/>
  <c r="P122" i="125"/>
  <c r="Q122" i="125" s="1"/>
  <c r="R122" i="125" s="1"/>
  <c r="S122" i="125" s="1"/>
  <c r="T122" i="125" s="1"/>
  <c r="U122" i="125" s="1"/>
  <c r="V122" i="125" s="1"/>
  <c r="W122" i="125" s="1"/>
  <c r="X122" i="125" s="1"/>
  <c r="Y122" i="125" s="1"/>
  <c r="Z122" i="125" s="1"/>
  <c r="AA122" i="125" s="1"/>
  <c r="AB122" i="125" s="1"/>
  <c r="AC122" i="125" s="1"/>
  <c r="AD122" i="125" s="1"/>
  <c r="AE122" i="125" s="1"/>
  <c r="AF122" i="125" s="1"/>
  <c r="AG122" i="125" s="1"/>
  <c r="AH122" i="125" s="1"/>
  <c r="AI122" i="125" s="1"/>
  <c r="AJ122" i="125" s="1"/>
  <c r="AK122" i="125" s="1"/>
  <c r="AL122" i="125" s="1"/>
  <c r="O122" i="125"/>
  <c r="N122" i="125"/>
  <c r="M122" i="125"/>
  <c r="L122" i="125"/>
  <c r="K122" i="125"/>
  <c r="P115" i="125"/>
  <c r="Q115" i="125" s="1"/>
  <c r="R115" i="125" s="1"/>
  <c r="S115" i="125" s="1"/>
  <c r="T115" i="125" s="1"/>
  <c r="U115" i="125" s="1"/>
  <c r="V115" i="125" s="1"/>
  <c r="W115" i="125" s="1"/>
  <c r="X115" i="125" s="1"/>
  <c r="Y115" i="125" s="1"/>
  <c r="Z115" i="125" s="1"/>
  <c r="AA115" i="125" s="1"/>
  <c r="AB115" i="125" s="1"/>
  <c r="AC115" i="125" s="1"/>
  <c r="AD115" i="125" s="1"/>
  <c r="AE115" i="125" s="1"/>
  <c r="AF115" i="125" s="1"/>
  <c r="AG115" i="125" s="1"/>
  <c r="AH115" i="125" s="1"/>
  <c r="AI115" i="125" s="1"/>
  <c r="AJ115" i="125" s="1"/>
  <c r="AK115" i="125" s="1"/>
  <c r="AL115" i="125" s="1"/>
  <c r="O115" i="125"/>
  <c r="N115" i="125"/>
  <c r="M115" i="125"/>
  <c r="L115" i="125"/>
  <c r="K115" i="125"/>
  <c r="AL101" i="125"/>
  <c r="AL100" i="125" s="1"/>
  <c r="AK101" i="125"/>
  <c r="AK100" i="125" s="1"/>
  <c r="AJ101" i="125"/>
  <c r="AJ100" i="125" s="1"/>
  <c r="AI101" i="125"/>
  <c r="AI100" i="125" s="1"/>
  <c r="AH101" i="125"/>
  <c r="AH100" i="125" s="1"/>
  <c r="AG101" i="125"/>
  <c r="AG100" i="125" s="1"/>
  <c r="AF101" i="125"/>
  <c r="AE101" i="125"/>
  <c r="AD101" i="125"/>
  <c r="AD100" i="125" s="1"/>
  <c r="AC101" i="125"/>
  <c r="AC100" i="125" s="1"/>
  <c r="AB101" i="125"/>
  <c r="AB100" i="125" s="1"/>
  <c r="AA101" i="125"/>
  <c r="AA100" i="125" s="1"/>
  <c r="Z101" i="125"/>
  <c r="Z100" i="125" s="1"/>
  <c r="Y101" i="125"/>
  <c r="X101" i="125"/>
  <c r="W101" i="125"/>
  <c r="W100" i="125" s="1"/>
  <c r="V101" i="125"/>
  <c r="V100" i="125" s="1"/>
  <c r="U101" i="125"/>
  <c r="U100" i="125" s="1"/>
  <c r="T101" i="125"/>
  <c r="T100" i="125" s="1"/>
  <c r="S101" i="125"/>
  <c r="S100" i="125" s="1"/>
  <c r="R101" i="125"/>
  <c r="R100" i="125" s="1"/>
  <c r="Q101" i="125"/>
  <c r="AF100" i="125"/>
  <c r="AE100" i="125"/>
  <c r="Y100" i="125"/>
  <c r="X100" i="125"/>
  <c r="Q100" i="125"/>
  <c r="M81" i="125"/>
  <c r="M193" i="125" s="1"/>
  <c r="AB80" i="125"/>
  <c r="P80" i="125"/>
  <c r="O80" i="125"/>
  <c r="P79" i="125"/>
  <c r="Q79" i="125" s="1"/>
  <c r="R79" i="125" s="1"/>
  <c r="S79" i="125" s="1"/>
  <c r="T79" i="125" s="1"/>
  <c r="U79" i="125" s="1"/>
  <c r="V79" i="125" s="1"/>
  <c r="W79" i="125" s="1"/>
  <c r="X79" i="125" s="1"/>
  <c r="Y79" i="125" s="1"/>
  <c r="Z79" i="125" s="1"/>
  <c r="AA79" i="125" s="1"/>
  <c r="AB79" i="125" s="1"/>
  <c r="AC79" i="125" s="1"/>
  <c r="AD79" i="125" s="1"/>
  <c r="AE79" i="125" s="1"/>
  <c r="AF79" i="125" s="1"/>
  <c r="AG79" i="125" s="1"/>
  <c r="AH79" i="125" s="1"/>
  <c r="AI79" i="125" s="1"/>
  <c r="AJ79" i="125" s="1"/>
  <c r="AK79" i="125" s="1"/>
  <c r="AL79" i="125" s="1"/>
  <c r="O79" i="125"/>
  <c r="N79" i="125"/>
  <c r="M79" i="125"/>
  <c r="L79" i="125"/>
  <c r="K79" i="125"/>
  <c r="P78" i="125"/>
  <c r="P88" i="125" s="1"/>
  <c r="O78" i="125"/>
  <c r="N78" i="125"/>
  <c r="M78" i="125"/>
  <c r="L78" i="125"/>
  <c r="K78" i="125"/>
  <c r="P77" i="125"/>
  <c r="Q77" i="125" s="1"/>
  <c r="R77" i="125" s="1"/>
  <c r="O77" i="125"/>
  <c r="N77" i="125"/>
  <c r="M77" i="125"/>
  <c r="L77" i="125"/>
  <c r="K77" i="125"/>
  <c r="P76" i="125"/>
  <c r="Q76" i="125" s="1"/>
  <c r="R76" i="125" s="1"/>
  <c r="S76" i="125" s="1"/>
  <c r="T76" i="125" s="1"/>
  <c r="U76" i="125" s="1"/>
  <c r="V76" i="125" s="1"/>
  <c r="W76" i="125" s="1"/>
  <c r="X76" i="125" s="1"/>
  <c r="Y76" i="125" s="1"/>
  <c r="Z76" i="125" s="1"/>
  <c r="AA76" i="125" s="1"/>
  <c r="AB76" i="125" s="1"/>
  <c r="AC76" i="125" s="1"/>
  <c r="AD76" i="125" s="1"/>
  <c r="AE76" i="125" s="1"/>
  <c r="AF76" i="125" s="1"/>
  <c r="AG76" i="125" s="1"/>
  <c r="AH76" i="125" s="1"/>
  <c r="AI76" i="125" s="1"/>
  <c r="AJ76" i="125" s="1"/>
  <c r="AK76" i="125" s="1"/>
  <c r="AL76" i="125" s="1"/>
  <c r="O76" i="125"/>
  <c r="N76" i="125"/>
  <c r="M76" i="125"/>
  <c r="L76" i="125"/>
  <c r="K76" i="125"/>
  <c r="P75" i="125"/>
  <c r="Q75" i="125" s="1"/>
  <c r="R75" i="125" s="1"/>
  <c r="S75" i="125" s="1"/>
  <c r="T75" i="125" s="1"/>
  <c r="U75" i="125" s="1"/>
  <c r="V75" i="125" s="1"/>
  <c r="W75" i="125" s="1"/>
  <c r="X75" i="125" s="1"/>
  <c r="Y75" i="125" s="1"/>
  <c r="Z75" i="125" s="1"/>
  <c r="AA75" i="125" s="1"/>
  <c r="AB75" i="125" s="1"/>
  <c r="AC75" i="125" s="1"/>
  <c r="AD75" i="125" s="1"/>
  <c r="AE75" i="125" s="1"/>
  <c r="AF75" i="125" s="1"/>
  <c r="AG75" i="125" s="1"/>
  <c r="AH75" i="125" s="1"/>
  <c r="AI75" i="125" s="1"/>
  <c r="AJ75" i="125" s="1"/>
  <c r="AK75" i="125" s="1"/>
  <c r="AL75" i="125" s="1"/>
  <c r="O75" i="125"/>
  <c r="N75" i="125"/>
  <c r="M75" i="125"/>
  <c r="L75" i="125"/>
  <c r="K75" i="125"/>
  <c r="P74" i="125"/>
  <c r="P101" i="125" s="1"/>
  <c r="P100" i="125" s="1"/>
  <c r="O74" i="125"/>
  <c r="O101" i="125" s="1"/>
  <c r="O100" i="125" s="1"/>
  <c r="N74" i="125"/>
  <c r="N101" i="125" s="1"/>
  <c r="N100" i="125" s="1"/>
  <c r="M74" i="125"/>
  <c r="M101" i="125" s="1"/>
  <c r="M100" i="125" s="1"/>
  <c r="L74" i="125"/>
  <c r="L101" i="125" s="1"/>
  <c r="L100" i="125" s="1"/>
  <c r="K74" i="125"/>
  <c r="K101" i="125" s="1"/>
  <c r="K100" i="125" s="1"/>
  <c r="N73" i="125"/>
  <c r="O73" i="125" s="1"/>
  <c r="P73" i="125" s="1"/>
  <c r="Q73" i="125" s="1"/>
  <c r="R73" i="125" s="1"/>
  <c r="S73" i="125" s="1"/>
  <c r="T73" i="125" s="1"/>
  <c r="U73" i="125" s="1"/>
  <c r="V73" i="125" s="1"/>
  <c r="W73" i="125" s="1"/>
  <c r="X73" i="125" s="1"/>
  <c r="Y73" i="125" s="1"/>
  <c r="Z73" i="125" s="1"/>
  <c r="AA73" i="125" s="1"/>
  <c r="AB73" i="125" s="1"/>
  <c r="AC73" i="125" s="1"/>
  <c r="AD73" i="125" s="1"/>
  <c r="AE73" i="125" s="1"/>
  <c r="AF73" i="125" s="1"/>
  <c r="AG73" i="125" s="1"/>
  <c r="AH73" i="125" s="1"/>
  <c r="AI73" i="125" s="1"/>
  <c r="AJ73" i="125" s="1"/>
  <c r="AK73" i="125" s="1"/>
  <c r="AL73" i="125" s="1"/>
  <c r="M73" i="125"/>
  <c r="L73" i="125"/>
  <c r="K73" i="125"/>
  <c r="N72" i="125"/>
  <c r="O72" i="125" s="1"/>
  <c r="P72" i="125" s="1"/>
  <c r="Q72" i="125" s="1"/>
  <c r="R72" i="125" s="1"/>
  <c r="S72" i="125" s="1"/>
  <c r="T72" i="125" s="1"/>
  <c r="U72" i="125" s="1"/>
  <c r="V72" i="125" s="1"/>
  <c r="W72" i="125" s="1"/>
  <c r="X72" i="125" s="1"/>
  <c r="Y72" i="125" s="1"/>
  <c r="Z72" i="125" s="1"/>
  <c r="AA72" i="125" s="1"/>
  <c r="AB72" i="125" s="1"/>
  <c r="AC72" i="125" s="1"/>
  <c r="AD72" i="125" s="1"/>
  <c r="AE72" i="125" s="1"/>
  <c r="AF72" i="125" s="1"/>
  <c r="AG72" i="125" s="1"/>
  <c r="AH72" i="125" s="1"/>
  <c r="AI72" i="125" s="1"/>
  <c r="AJ72" i="125" s="1"/>
  <c r="AK72" i="125" s="1"/>
  <c r="AL72" i="125" s="1"/>
  <c r="M72" i="125"/>
  <c r="L72" i="125"/>
  <c r="K72" i="125"/>
  <c r="N71" i="125"/>
  <c r="O71" i="125" s="1"/>
  <c r="P71" i="125" s="1"/>
  <c r="Q71" i="125" s="1"/>
  <c r="R71" i="125" s="1"/>
  <c r="S71" i="125" s="1"/>
  <c r="T71" i="125" s="1"/>
  <c r="U71" i="125" s="1"/>
  <c r="V71" i="125" s="1"/>
  <c r="W71" i="125" s="1"/>
  <c r="X71" i="125" s="1"/>
  <c r="Y71" i="125" s="1"/>
  <c r="Z71" i="125" s="1"/>
  <c r="AA71" i="125" s="1"/>
  <c r="AB71" i="125" s="1"/>
  <c r="AC71" i="125" s="1"/>
  <c r="AD71" i="125" s="1"/>
  <c r="AE71" i="125" s="1"/>
  <c r="AF71" i="125" s="1"/>
  <c r="AG71" i="125" s="1"/>
  <c r="AH71" i="125" s="1"/>
  <c r="AI71" i="125" s="1"/>
  <c r="AJ71" i="125" s="1"/>
  <c r="AK71" i="125" s="1"/>
  <c r="AL71" i="125" s="1"/>
  <c r="M71" i="125"/>
  <c r="L71" i="125"/>
  <c r="K71" i="125"/>
  <c r="AL68" i="125"/>
  <c r="AK68" i="125"/>
  <c r="AJ68" i="125"/>
  <c r="AI68" i="125"/>
  <c r="AH68" i="125"/>
  <c r="AG68" i="125"/>
  <c r="AF68" i="125"/>
  <c r="AE68" i="125"/>
  <c r="AD68" i="125"/>
  <c r="AC68" i="125"/>
  <c r="AB68" i="125"/>
  <c r="AA68" i="125"/>
  <c r="M68" i="125"/>
  <c r="L68" i="125"/>
  <c r="K68" i="125"/>
  <c r="AL67" i="125"/>
  <c r="AK67" i="125"/>
  <c r="AJ67" i="125"/>
  <c r="AI67" i="125"/>
  <c r="AH67" i="125"/>
  <c r="AG67" i="125"/>
  <c r="AF67" i="125"/>
  <c r="AE67" i="125"/>
  <c r="AD67" i="125"/>
  <c r="AC67" i="125"/>
  <c r="AB67" i="125"/>
  <c r="AA67" i="125"/>
  <c r="M67" i="125"/>
  <c r="L67" i="125"/>
  <c r="K67" i="125"/>
  <c r="K65" i="125"/>
  <c r="L65" i="125" s="1"/>
  <c r="L66" i="125" s="1"/>
  <c r="P56" i="125"/>
  <c r="Q56" i="125" s="1"/>
  <c r="R56" i="125" s="1"/>
  <c r="S56" i="125" s="1"/>
  <c r="T56" i="125" s="1"/>
  <c r="U56" i="125" s="1"/>
  <c r="V56" i="125" s="1"/>
  <c r="W56" i="125" s="1"/>
  <c r="X56" i="125" s="1"/>
  <c r="Y56" i="125" s="1"/>
  <c r="Z56" i="125" s="1"/>
  <c r="AA56" i="125" s="1"/>
  <c r="AB56" i="125" s="1"/>
  <c r="AC56" i="125" s="1"/>
  <c r="AD56" i="125" s="1"/>
  <c r="O56" i="125"/>
  <c r="N56" i="125"/>
  <c r="M19" i="125"/>
  <c r="L19" i="125"/>
  <c r="K19" i="125"/>
  <c r="M16" i="125"/>
  <c r="L16" i="125"/>
  <c r="K16" i="125"/>
  <c r="AD13" i="125"/>
  <c r="J5" i="125"/>
  <c r="K4" i="125" s="1"/>
  <c r="A2" i="125"/>
  <c r="P164" i="124"/>
  <c r="Q164" i="124" s="1"/>
  <c r="R164" i="124" s="1"/>
  <c r="S164" i="124" s="1"/>
  <c r="T164" i="124" s="1"/>
  <c r="U164" i="124" s="1"/>
  <c r="V164" i="124" s="1"/>
  <c r="W164" i="124" s="1"/>
  <c r="X164" i="124" s="1"/>
  <c r="Y164" i="124" s="1"/>
  <c r="Z164" i="124" s="1"/>
  <c r="AA164" i="124" s="1"/>
  <c r="AB164" i="124" s="1"/>
  <c r="AC164" i="124" s="1"/>
  <c r="AD164" i="124" s="1"/>
  <c r="AE164" i="124" s="1"/>
  <c r="AF164" i="124" s="1"/>
  <c r="AG164" i="124" s="1"/>
  <c r="AH164" i="124" s="1"/>
  <c r="AI164" i="124" s="1"/>
  <c r="AJ164" i="124" s="1"/>
  <c r="AK164" i="124" s="1"/>
  <c r="AL164" i="124" s="1"/>
  <c r="O164" i="124"/>
  <c r="N164" i="124"/>
  <c r="M164" i="124"/>
  <c r="L164" i="124"/>
  <c r="K164" i="124"/>
  <c r="K159" i="124"/>
  <c r="K160" i="124" s="1"/>
  <c r="K156" i="124"/>
  <c r="P138" i="124"/>
  <c r="Q138" i="124" s="1"/>
  <c r="R138" i="124" s="1"/>
  <c r="S138" i="124" s="1"/>
  <c r="T138" i="124" s="1"/>
  <c r="U138" i="124" s="1"/>
  <c r="V138" i="124" s="1"/>
  <c r="W138" i="124" s="1"/>
  <c r="X138" i="124" s="1"/>
  <c r="Y138" i="124" s="1"/>
  <c r="Z138" i="124" s="1"/>
  <c r="AA138" i="124" s="1"/>
  <c r="AB138" i="124" s="1"/>
  <c r="AC138" i="124" s="1"/>
  <c r="AD138" i="124" s="1"/>
  <c r="AE138" i="124" s="1"/>
  <c r="AF138" i="124" s="1"/>
  <c r="AG138" i="124" s="1"/>
  <c r="AH138" i="124" s="1"/>
  <c r="AI138" i="124" s="1"/>
  <c r="AJ138" i="124" s="1"/>
  <c r="AK138" i="124" s="1"/>
  <c r="AL138" i="124" s="1"/>
  <c r="O138" i="124"/>
  <c r="N138" i="124"/>
  <c r="M138" i="124"/>
  <c r="L138" i="124"/>
  <c r="K138" i="124"/>
  <c r="P129" i="124"/>
  <c r="Q129" i="124" s="1"/>
  <c r="R129" i="124" s="1"/>
  <c r="S129" i="124" s="1"/>
  <c r="T129" i="124" s="1"/>
  <c r="U129" i="124" s="1"/>
  <c r="V129" i="124" s="1"/>
  <c r="W129" i="124" s="1"/>
  <c r="X129" i="124" s="1"/>
  <c r="Y129" i="124" s="1"/>
  <c r="Z129" i="124" s="1"/>
  <c r="AA129" i="124" s="1"/>
  <c r="AB129" i="124" s="1"/>
  <c r="AC129" i="124" s="1"/>
  <c r="AD129" i="124" s="1"/>
  <c r="AE129" i="124" s="1"/>
  <c r="AF129" i="124" s="1"/>
  <c r="AG129" i="124" s="1"/>
  <c r="AH129" i="124" s="1"/>
  <c r="AI129" i="124" s="1"/>
  <c r="AJ129" i="124" s="1"/>
  <c r="AK129" i="124" s="1"/>
  <c r="AL129" i="124" s="1"/>
  <c r="O129" i="124"/>
  <c r="N129" i="124"/>
  <c r="M129" i="124"/>
  <c r="L129" i="124"/>
  <c r="K129" i="124"/>
  <c r="P122" i="124"/>
  <c r="Q122" i="124" s="1"/>
  <c r="R122" i="124" s="1"/>
  <c r="S122" i="124" s="1"/>
  <c r="T122" i="124" s="1"/>
  <c r="U122" i="124" s="1"/>
  <c r="V122" i="124" s="1"/>
  <c r="W122" i="124" s="1"/>
  <c r="X122" i="124" s="1"/>
  <c r="Y122" i="124" s="1"/>
  <c r="Z122" i="124" s="1"/>
  <c r="AA122" i="124" s="1"/>
  <c r="AB122" i="124" s="1"/>
  <c r="AC122" i="124" s="1"/>
  <c r="AD122" i="124" s="1"/>
  <c r="AE122" i="124" s="1"/>
  <c r="AF122" i="124" s="1"/>
  <c r="AG122" i="124" s="1"/>
  <c r="AH122" i="124" s="1"/>
  <c r="AI122" i="124" s="1"/>
  <c r="AJ122" i="124" s="1"/>
  <c r="AK122" i="124" s="1"/>
  <c r="AL122" i="124" s="1"/>
  <c r="O122" i="124"/>
  <c r="N122" i="124"/>
  <c r="M122" i="124"/>
  <c r="L122" i="124"/>
  <c r="K122" i="124"/>
  <c r="P115" i="124"/>
  <c r="Q115" i="124" s="1"/>
  <c r="R115" i="124" s="1"/>
  <c r="S115" i="124" s="1"/>
  <c r="T115" i="124" s="1"/>
  <c r="U115" i="124" s="1"/>
  <c r="V115" i="124" s="1"/>
  <c r="W115" i="124" s="1"/>
  <c r="X115" i="124" s="1"/>
  <c r="Y115" i="124" s="1"/>
  <c r="Z115" i="124" s="1"/>
  <c r="AA115" i="124" s="1"/>
  <c r="AB115" i="124" s="1"/>
  <c r="AC115" i="124" s="1"/>
  <c r="AD115" i="124" s="1"/>
  <c r="AE115" i="124" s="1"/>
  <c r="AF115" i="124" s="1"/>
  <c r="AG115" i="124" s="1"/>
  <c r="AH115" i="124" s="1"/>
  <c r="AI115" i="124" s="1"/>
  <c r="AJ115" i="124" s="1"/>
  <c r="AK115" i="124" s="1"/>
  <c r="AL115" i="124" s="1"/>
  <c r="O115" i="124"/>
  <c r="N115" i="124"/>
  <c r="M115" i="124"/>
  <c r="L115" i="124"/>
  <c r="K115" i="124"/>
  <c r="AL101" i="124"/>
  <c r="AL100" i="124" s="1"/>
  <c r="AK101" i="124"/>
  <c r="AK100" i="124" s="1"/>
  <c r="AJ101" i="124"/>
  <c r="AJ100" i="124" s="1"/>
  <c r="AI101" i="124"/>
  <c r="AH101" i="124"/>
  <c r="AH100" i="124" s="1"/>
  <c r="AG101" i="124"/>
  <c r="AG100" i="124" s="1"/>
  <c r="AF101" i="124"/>
  <c r="AF100" i="124" s="1"/>
  <c r="AE101" i="124"/>
  <c r="AE100" i="124" s="1"/>
  <c r="AD101" i="124"/>
  <c r="AD100" i="124" s="1"/>
  <c r="AC101" i="124"/>
  <c r="AC100" i="124" s="1"/>
  <c r="AB101" i="124"/>
  <c r="AB100" i="124" s="1"/>
  <c r="AA101" i="124"/>
  <c r="AA100" i="124" s="1"/>
  <c r="Z101" i="124"/>
  <c r="Z100" i="124" s="1"/>
  <c r="Y101" i="124"/>
  <c r="Y100" i="124" s="1"/>
  <c r="X101" i="124"/>
  <c r="X100" i="124" s="1"/>
  <c r="W101" i="124"/>
  <c r="V101" i="124"/>
  <c r="V100" i="124" s="1"/>
  <c r="U101" i="124"/>
  <c r="U100" i="124" s="1"/>
  <c r="T101" i="124"/>
  <c r="T100" i="124" s="1"/>
  <c r="S101" i="124"/>
  <c r="S100" i="124" s="1"/>
  <c r="R101" i="124"/>
  <c r="R100" i="124" s="1"/>
  <c r="Q101" i="124"/>
  <c r="AI100" i="124"/>
  <c r="W100" i="124"/>
  <c r="Q100" i="124"/>
  <c r="M81" i="124"/>
  <c r="AB80" i="124"/>
  <c r="P80" i="124"/>
  <c r="O80" i="124"/>
  <c r="P79" i="124"/>
  <c r="Q79" i="124" s="1"/>
  <c r="R79" i="124" s="1"/>
  <c r="S79" i="124" s="1"/>
  <c r="T79" i="124" s="1"/>
  <c r="U79" i="124" s="1"/>
  <c r="V79" i="124" s="1"/>
  <c r="W79" i="124" s="1"/>
  <c r="X79" i="124" s="1"/>
  <c r="Y79" i="124" s="1"/>
  <c r="Z79" i="124" s="1"/>
  <c r="AA79" i="124" s="1"/>
  <c r="AB79" i="124" s="1"/>
  <c r="AC79" i="124" s="1"/>
  <c r="AD79" i="124" s="1"/>
  <c r="AE79" i="124" s="1"/>
  <c r="AF79" i="124" s="1"/>
  <c r="AG79" i="124" s="1"/>
  <c r="AH79" i="124" s="1"/>
  <c r="AI79" i="124" s="1"/>
  <c r="AJ79" i="124" s="1"/>
  <c r="AK79" i="124" s="1"/>
  <c r="AL79" i="124" s="1"/>
  <c r="O79" i="124"/>
  <c r="N79" i="124"/>
  <c r="M79" i="124"/>
  <c r="L79" i="124"/>
  <c r="K79" i="124"/>
  <c r="P78" i="124"/>
  <c r="O78" i="124"/>
  <c r="N78" i="124"/>
  <c r="M78" i="124"/>
  <c r="L78" i="124"/>
  <c r="K78" i="124"/>
  <c r="P77" i="124"/>
  <c r="O77" i="124"/>
  <c r="N77" i="124"/>
  <c r="M77" i="124"/>
  <c r="L77" i="124"/>
  <c r="K77" i="124"/>
  <c r="P76" i="124"/>
  <c r="Q76" i="124" s="1"/>
  <c r="R76" i="124" s="1"/>
  <c r="S76" i="124" s="1"/>
  <c r="T76" i="124" s="1"/>
  <c r="U76" i="124" s="1"/>
  <c r="V76" i="124" s="1"/>
  <c r="W76" i="124" s="1"/>
  <c r="X76" i="124" s="1"/>
  <c r="Y76" i="124" s="1"/>
  <c r="Z76" i="124" s="1"/>
  <c r="AA76" i="124" s="1"/>
  <c r="AB76" i="124" s="1"/>
  <c r="AC76" i="124" s="1"/>
  <c r="AD76" i="124" s="1"/>
  <c r="AE76" i="124" s="1"/>
  <c r="AF76" i="124" s="1"/>
  <c r="AG76" i="124" s="1"/>
  <c r="AH76" i="124" s="1"/>
  <c r="AI76" i="124" s="1"/>
  <c r="AJ76" i="124" s="1"/>
  <c r="AK76" i="124" s="1"/>
  <c r="AL76" i="124" s="1"/>
  <c r="O76" i="124"/>
  <c r="N76" i="124"/>
  <c r="M76" i="124"/>
  <c r="L76" i="124"/>
  <c r="K76" i="124"/>
  <c r="P75" i="124"/>
  <c r="Q75" i="124" s="1"/>
  <c r="O75" i="124"/>
  <c r="N75" i="124"/>
  <c r="M75" i="124"/>
  <c r="L75" i="124"/>
  <c r="K75" i="124"/>
  <c r="P74" i="124"/>
  <c r="P101" i="124" s="1"/>
  <c r="P100" i="124" s="1"/>
  <c r="O74" i="124"/>
  <c r="O101" i="124" s="1"/>
  <c r="O100" i="124" s="1"/>
  <c r="N74" i="124"/>
  <c r="N101" i="124" s="1"/>
  <c r="N100" i="124" s="1"/>
  <c r="M74" i="124"/>
  <c r="M101" i="124" s="1"/>
  <c r="M100" i="124" s="1"/>
  <c r="L74" i="124"/>
  <c r="L101" i="124" s="1"/>
  <c r="L100" i="124" s="1"/>
  <c r="K74" i="124"/>
  <c r="K101" i="124" s="1"/>
  <c r="K100" i="124" s="1"/>
  <c r="N73" i="124"/>
  <c r="O73" i="124" s="1"/>
  <c r="P73" i="124" s="1"/>
  <c r="Q73" i="124" s="1"/>
  <c r="R73" i="124" s="1"/>
  <c r="S73" i="124" s="1"/>
  <c r="T73" i="124" s="1"/>
  <c r="U73" i="124" s="1"/>
  <c r="V73" i="124" s="1"/>
  <c r="W73" i="124" s="1"/>
  <c r="X73" i="124" s="1"/>
  <c r="Y73" i="124" s="1"/>
  <c r="Z73" i="124" s="1"/>
  <c r="AA73" i="124" s="1"/>
  <c r="AB73" i="124" s="1"/>
  <c r="AC73" i="124" s="1"/>
  <c r="AD73" i="124" s="1"/>
  <c r="AE73" i="124" s="1"/>
  <c r="AF73" i="124" s="1"/>
  <c r="AG73" i="124" s="1"/>
  <c r="AH73" i="124" s="1"/>
  <c r="AI73" i="124" s="1"/>
  <c r="AJ73" i="124" s="1"/>
  <c r="AK73" i="124" s="1"/>
  <c r="AL73" i="124" s="1"/>
  <c r="M73" i="124"/>
  <c r="L73" i="124"/>
  <c r="K73" i="124"/>
  <c r="N72" i="124"/>
  <c r="O72" i="124" s="1"/>
  <c r="P72" i="124" s="1"/>
  <c r="Q72" i="124" s="1"/>
  <c r="R72" i="124" s="1"/>
  <c r="S72" i="124" s="1"/>
  <c r="T72" i="124" s="1"/>
  <c r="U72" i="124" s="1"/>
  <c r="V72" i="124" s="1"/>
  <c r="W72" i="124" s="1"/>
  <c r="X72" i="124" s="1"/>
  <c r="Y72" i="124" s="1"/>
  <c r="Z72" i="124" s="1"/>
  <c r="AA72" i="124" s="1"/>
  <c r="AB72" i="124" s="1"/>
  <c r="AC72" i="124" s="1"/>
  <c r="AD72" i="124" s="1"/>
  <c r="AE72" i="124" s="1"/>
  <c r="AF72" i="124" s="1"/>
  <c r="AG72" i="124" s="1"/>
  <c r="AH72" i="124" s="1"/>
  <c r="AI72" i="124" s="1"/>
  <c r="AJ72" i="124" s="1"/>
  <c r="AK72" i="124" s="1"/>
  <c r="AL72" i="124" s="1"/>
  <c r="M72" i="124"/>
  <c r="L72" i="124"/>
  <c r="K72" i="124"/>
  <c r="N71" i="124"/>
  <c r="O71" i="124" s="1"/>
  <c r="P71" i="124" s="1"/>
  <c r="Q71" i="124" s="1"/>
  <c r="M71" i="124"/>
  <c r="L71" i="124"/>
  <c r="K71" i="124"/>
  <c r="AL68" i="124"/>
  <c r="AK68" i="124"/>
  <c r="AJ68" i="124"/>
  <c r="AI68" i="124"/>
  <c r="AH68" i="124"/>
  <c r="AG68" i="124"/>
  <c r="AF68" i="124"/>
  <c r="AE68" i="124"/>
  <c r="AD68" i="124"/>
  <c r="AC68" i="124"/>
  <c r="AB68" i="124"/>
  <c r="AA68" i="124"/>
  <c r="M68" i="124"/>
  <c r="L68" i="124"/>
  <c r="K68" i="124"/>
  <c r="AL67" i="124"/>
  <c r="AK67" i="124"/>
  <c r="AJ67" i="124"/>
  <c r="AI67" i="124"/>
  <c r="AH67" i="124"/>
  <c r="AG67" i="124"/>
  <c r="AF67" i="124"/>
  <c r="AE67" i="124"/>
  <c r="AD67" i="124"/>
  <c r="AC67" i="124"/>
  <c r="AB67" i="124"/>
  <c r="AA67" i="124"/>
  <c r="M67" i="124"/>
  <c r="L67" i="124"/>
  <c r="K67" i="124"/>
  <c r="K65" i="124"/>
  <c r="L65" i="124" s="1"/>
  <c r="P56" i="124"/>
  <c r="Q56" i="124" s="1"/>
  <c r="R56" i="124" s="1"/>
  <c r="S56" i="124" s="1"/>
  <c r="T56" i="124" s="1"/>
  <c r="U56" i="124" s="1"/>
  <c r="V56" i="124" s="1"/>
  <c r="W56" i="124" s="1"/>
  <c r="X56" i="124" s="1"/>
  <c r="Y56" i="124" s="1"/>
  <c r="Z56" i="124" s="1"/>
  <c r="AA56" i="124" s="1"/>
  <c r="AB56" i="124" s="1"/>
  <c r="AC56" i="124" s="1"/>
  <c r="AD56" i="124" s="1"/>
  <c r="AE56" i="124" s="1"/>
  <c r="AF56" i="124" s="1"/>
  <c r="AG56" i="124" s="1"/>
  <c r="AH56" i="124" s="1"/>
  <c r="AI56" i="124" s="1"/>
  <c r="AJ56" i="124" s="1"/>
  <c r="AK56" i="124" s="1"/>
  <c r="AL56" i="124" s="1"/>
  <c r="O56" i="124"/>
  <c r="N56" i="124"/>
  <c r="AL29" i="124"/>
  <c r="AK29" i="124"/>
  <c r="AJ29" i="124"/>
  <c r="AI29" i="124"/>
  <c r="AH29" i="124"/>
  <c r="AG29" i="124"/>
  <c r="AF29" i="124"/>
  <c r="AE29" i="124"/>
  <c r="AD29" i="124"/>
  <c r="AC29" i="124"/>
  <c r="AB29" i="124"/>
  <c r="AA29" i="124"/>
  <c r="Z29" i="124"/>
  <c r="Y29" i="124"/>
  <c r="X29" i="124"/>
  <c r="W29" i="124"/>
  <c r="V29" i="124"/>
  <c r="U29" i="124"/>
  <c r="T29" i="124"/>
  <c r="S29" i="124"/>
  <c r="R29" i="124"/>
  <c r="Q29" i="124"/>
  <c r="P29" i="124"/>
  <c r="M19" i="124"/>
  <c r="L19" i="124"/>
  <c r="K19" i="124"/>
  <c r="M16" i="124"/>
  <c r="L16" i="124"/>
  <c r="K16" i="124"/>
  <c r="AD13" i="124"/>
  <c r="J5" i="124"/>
  <c r="K4" i="124" s="1"/>
  <c r="A2" i="124"/>
  <c r="S23" i="118" l="1"/>
  <c r="Q78" i="125"/>
  <c r="Q88" i="125" s="1"/>
  <c r="N81" i="127"/>
  <c r="O81" i="127" s="1"/>
  <c r="P81" i="127" s="1"/>
  <c r="P88" i="126"/>
  <c r="K81" i="126"/>
  <c r="K193" i="126" s="1"/>
  <c r="Q74" i="126"/>
  <c r="R74" i="126" s="1"/>
  <c r="S74" i="126" s="1"/>
  <c r="T74" i="126" s="1"/>
  <c r="U74" i="126" s="1"/>
  <c r="V74" i="126" s="1"/>
  <c r="W74" i="126" s="1"/>
  <c r="X74" i="126" s="1"/>
  <c r="Y74" i="126" s="1"/>
  <c r="Z74" i="126" s="1"/>
  <c r="AA74" i="126" s="1"/>
  <c r="AB74" i="126" s="1"/>
  <c r="AC74" i="126" s="1"/>
  <c r="AD74" i="126" s="1"/>
  <c r="AE74" i="126" s="1"/>
  <c r="AF74" i="126" s="1"/>
  <c r="AG74" i="126" s="1"/>
  <c r="AH74" i="126" s="1"/>
  <c r="AI74" i="126" s="1"/>
  <c r="AJ74" i="126" s="1"/>
  <c r="AK74" i="126" s="1"/>
  <c r="AL74" i="126" s="1"/>
  <c r="M65" i="125"/>
  <c r="N65" i="125" s="1"/>
  <c r="N67" i="125" s="1"/>
  <c r="N81" i="125"/>
  <c r="K66" i="126"/>
  <c r="Q74" i="124"/>
  <c r="R74" i="124" s="1"/>
  <c r="S74" i="124" s="1"/>
  <c r="T74" i="124" s="1"/>
  <c r="U74" i="124" s="1"/>
  <c r="V74" i="124" s="1"/>
  <c r="W74" i="124" s="1"/>
  <c r="X74" i="124" s="1"/>
  <c r="Y74" i="124" s="1"/>
  <c r="Z74" i="124" s="1"/>
  <c r="AA74" i="124" s="1"/>
  <c r="AB74" i="124" s="1"/>
  <c r="AC74" i="124" s="1"/>
  <c r="AD74" i="124" s="1"/>
  <c r="AE74" i="124" s="1"/>
  <c r="AF74" i="124" s="1"/>
  <c r="AG74" i="124" s="1"/>
  <c r="AH74" i="124" s="1"/>
  <c r="AI74" i="124" s="1"/>
  <c r="AJ74" i="124" s="1"/>
  <c r="AK74" i="124" s="1"/>
  <c r="AL74" i="124" s="1"/>
  <c r="U79" i="127"/>
  <c r="V79" i="127" s="1"/>
  <c r="W79" i="127" s="1"/>
  <c r="X79" i="127" s="1"/>
  <c r="Y79" i="127" s="1"/>
  <c r="Z79" i="127" s="1"/>
  <c r="AA79" i="127" s="1"/>
  <c r="AB79" i="127" s="1"/>
  <c r="AC79" i="127" s="1"/>
  <c r="AD79" i="127" s="1"/>
  <c r="AE79" i="127" s="1"/>
  <c r="AF79" i="127" s="1"/>
  <c r="AG79" i="127" s="1"/>
  <c r="AH79" i="127" s="1"/>
  <c r="AI79" i="127" s="1"/>
  <c r="AJ79" i="127" s="1"/>
  <c r="AK79" i="127" s="1"/>
  <c r="AL79" i="127" s="1"/>
  <c r="T89" i="127"/>
  <c r="AC165" i="127"/>
  <c r="AC166" i="127" s="1"/>
  <c r="AG139" i="127"/>
  <c r="AG140" i="127" s="1"/>
  <c r="U139" i="127"/>
  <c r="U140" i="127" s="1"/>
  <c r="AB123" i="127"/>
  <c r="AB124" i="127" s="1"/>
  <c r="N123" i="127"/>
  <c r="N124" i="127" s="1"/>
  <c r="U165" i="127"/>
  <c r="U166" i="127" s="1"/>
  <c r="AF139" i="127"/>
  <c r="AF140" i="127" s="1"/>
  <c r="R139" i="127"/>
  <c r="R140" i="127" s="1"/>
  <c r="AL123" i="127"/>
  <c r="AL124" i="127" s="1"/>
  <c r="AA123" i="127"/>
  <c r="AA124" i="127" s="1"/>
  <c r="M123" i="127"/>
  <c r="M124" i="127" s="1"/>
  <c r="O165" i="127"/>
  <c r="O166" i="127" s="1"/>
  <c r="AK123" i="127"/>
  <c r="AK124" i="127" s="1"/>
  <c r="Y123" i="127"/>
  <c r="Y124" i="127" s="1"/>
  <c r="L123" i="127"/>
  <c r="L124" i="127" s="1"/>
  <c r="AE165" i="127"/>
  <c r="AE166" i="127" s="1"/>
  <c r="AH139" i="127"/>
  <c r="AH140" i="127" s="1"/>
  <c r="M139" i="127"/>
  <c r="M140" i="127" s="1"/>
  <c r="AI123" i="127"/>
  <c r="AI124" i="127" s="1"/>
  <c r="Q123" i="127"/>
  <c r="Q124" i="127" s="1"/>
  <c r="W116" i="127"/>
  <c r="W117" i="127" s="1"/>
  <c r="M165" i="127"/>
  <c r="M166" i="127" s="1"/>
  <c r="AC139" i="127"/>
  <c r="AC140" i="127" s="1"/>
  <c r="AG123" i="127"/>
  <c r="AG124" i="127" s="1"/>
  <c r="K123" i="127"/>
  <c r="K124" i="127" s="1"/>
  <c r="U116" i="127"/>
  <c r="U117" i="127" s="1"/>
  <c r="Z139" i="127"/>
  <c r="Z140" i="127" s="1"/>
  <c r="AD123" i="127"/>
  <c r="AD124" i="127" s="1"/>
  <c r="AK116" i="127"/>
  <c r="AK117" i="127" s="1"/>
  <c r="O116" i="127"/>
  <c r="O117" i="127" s="1"/>
  <c r="AG130" i="127"/>
  <c r="AG131" i="127" s="1"/>
  <c r="AJ123" i="127"/>
  <c r="AJ124" i="127" s="1"/>
  <c r="Y116" i="127"/>
  <c r="Y117" i="127" s="1"/>
  <c r="AF130" i="127"/>
  <c r="AF131" i="127" s="1"/>
  <c r="AC123" i="127"/>
  <c r="AC124" i="127" s="1"/>
  <c r="X116" i="127"/>
  <c r="X117" i="127" s="1"/>
  <c r="AK139" i="127"/>
  <c r="AK140" i="127" s="1"/>
  <c r="AE130" i="127"/>
  <c r="AE131" i="127" s="1"/>
  <c r="V123" i="127"/>
  <c r="V124" i="127" s="1"/>
  <c r="M116" i="127"/>
  <c r="M117" i="127" s="1"/>
  <c r="Y139" i="127"/>
  <c r="Y140" i="127" s="1"/>
  <c r="U123" i="127"/>
  <c r="U124" i="127" s="1"/>
  <c r="AL165" i="127"/>
  <c r="AL166" i="127" s="1"/>
  <c r="X139" i="127"/>
  <c r="X140" i="127" s="1"/>
  <c r="Q130" i="127"/>
  <c r="Q131" i="127" s="1"/>
  <c r="T123" i="127"/>
  <c r="T124" i="127" s="1"/>
  <c r="W139" i="127"/>
  <c r="W140" i="127" s="1"/>
  <c r="P130" i="127"/>
  <c r="P131" i="127" s="1"/>
  <c r="S123" i="127"/>
  <c r="S124" i="127" s="1"/>
  <c r="AH116" i="127"/>
  <c r="AH117" i="127" s="1"/>
  <c r="AG116" i="127"/>
  <c r="AG117" i="127" s="1"/>
  <c r="P139" i="127"/>
  <c r="P140" i="127" s="1"/>
  <c r="Z116" i="127"/>
  <c r="Z117" i="127" s="1"/>
  <c r="O139" i="127"/>
  <c r="O140" i="127" s="1"/>
  <c r="O130" i="127"/>
  <c r="O131" i="127" s="1"/>
  <c r="Q81" i="127"/>
  <c r="L4" i="127"/>
  <c r="R88" i="127"/>
  <c r="AD80" i="127"/>
  <c r="K11" i="127"/>
  <c r="S88" i="127"/>
  <c r="T78" i="127"/>
  <c r="P88" i="127"/>
  <c r="Q88" i="127"/>
  <c r="M65" i="127"/>
  <c r="L66" i="127"/>
  <c r="Q74" i="127"/>
  <c r="R74" i="127" s="1"/>
  <c r="S74" i="127" s="1"/>
  <c r="T74" i="127" s="1"/>
  <c r="U74" i="127" s="1"/>
  <c r="V74" i="127" s="1"/>
  <c r="W74" i="127" s="1"/>
  <c r="X74" i="127" s="1"/>
  <c r="Y74" i="127" s="1"/>
  <c r="Z74" i="127" s="1"/>
  <c r="AA74" i="127" s="1"/>
  <c r="AB74" i="127" s="1"/>
  <c r="AC74" i="127" s="1"/>
  <c r="AD74" i="127" s="1"/>
  <c r="AE74" i="127" s="1"/>
  <c r="AF74" i="127" s="1"/>
  <c r="AG74" i="127" s="1"/>
  <c r="AH74" i="127" s="1"/>
  <c r="AI74" i="127" s="1"/>
  <c r="AJ74" i="127" s="1"/>
  <c r="AK74" i="127" s="1"/>
  <c r="AL74" i="127" s="1"/>
  <c r="K157" i="127"/>
  <c r="AL130" i="127"/>
  <c r="AL131" i="127" s="1"/>
  <c r="AD130" i="127"/>
  <c r="AD131" i="127" s="1"/>
  <c r="V130" i="127"/>
  <c r="V131" i="127" s="1"/>
  <c r="N130" i="127"/>
  <c r="N131" i="127" s="1"/>
  <c r="AJ130" i="127"/>
  <c r="AJ131" i="127" s="1"/>
  <c r="AB130" i="127"/>
  <c r="AB131" i="127" s="1"/>
  <c r="T130" i="127"/>
  <c r="T131" i="127" s="1"/>
  <c r="L130" i="127"/>
  <c r="L131" i="127" s="1"/>
  <c r="AI130" i="127"/>
  <c r="AI131" i="127" s="1"/>
  <c r="AA130" i="127"/>
  <c r="AA131" i="127" s="1"/>
  <c r="S130" i="127"/>
  <c r="S131" i="127" s="1"/>
  <c r="K130" i="127"/>
  <c r="K131" i="127" s="1"/>
  <c r="Y130" i="127"/>
  <c r="Y131" i="127" s="1"/>
  <c r="M130" i="127"/>
  <c r="M131" i="127" s="1"/>
  <c r="AK130" i="127"/>
  <c r="AK131" i="127" s="1"/>
  <c r="X130" i="127"/>
  <c r="X131" i="127" s="1"/>
  <c r="AH130" i="127"/>
  <c r="AH131" i="127" s="1"/>
  <c r="W130" i="127"/>
  <c r="W131" i="127" s="1"/>
  <c r="AC130" i="127"/>
  <c r="AC131" i="127" s="1"/>
  <c r="Z130" i="127"/>
  <c r="Z131" i="127" s="1"/>
  <c r="U130" i="127"/>
  <c r="U131" i="127" s="1"/>
  <c r="R130" i="127"/>
  <c r="R131" i="127" s="1"/>
  <c r="K66" i="127"/>
  <c r="L81" i="127"/>
  <c r="AC116" i="127"/>
  <c r="AC117" i="127" s="1"/>
  <c r="Q77" i="127"/>
  <c r="Q80" i="127"/>
  <c r="AH123" i="127"/>
  <c r="AH124" i="127" s="1"/>
  <c r="P116" i="127"/>
  <c r="P117" i="127" s="1"/>
  <c r="AL139" i="127"/>
  <c r="AL140" i="127" s="1"/>
  <c r="AD139" i="127"/>
  <c r="AD140" i="127" s="1"/>
  <c r="V139" i="127"/>
  <c r="V140" i="127" s="1"/>
  <c r="N139" i="127"/>
  <c r="N140" i="127" s="1"/>
  <c r="AJ139" i="127"/>
  <c r="AJ140" i="127" s="1"/>
  <c r="AB139" i="127"/>
  <c r="AB140" i="127" s="1"/>
  <c r="T139" i="127"/>
  <c r="T140" i="127" s="1"/>
  <c r="L139" i="127"/>
  <c r="L140" i="127" s="1"/>
  <c r="AI139" i="127"/>
  <c r="AI140" i="127" s="1"/>
  <c r="AA139" i="127"/>
  <c r="AA140" i="127" s="1"/>
  <c r="S139" i="127"/>
  <c r="S140" i="127" s="1"/>
  <c r="K139" i="127"/>
  <c r="K140" i="127" s="1"/>
  <c r="Q139" i="127"/>
  <c r="Q140" i="127" s="1"/>
  <c r="AE139" i="127"/>
  <c r="AE140" i="127" s="1"/>
  <c r="AL116" i="127"/>
  <c r="AL117" i="127" s="1"/>
  <c r="AD116" i="127"/>
  <c r="AD117" i="127" s="1"/>
  <c r="V116" i="127"/>
  <c r="V117" i="127" s="1"/>
  <c r="N116" i="127"/>
  <c r="N117" i="127" s="1"/>
  <c r="AJ116" i="127"/>
  <c r="AJ117" i="127" s="1"/>
  <c r="AB116" i="127"/>
  <c r="AB117" i="127" s="1"/>
  <c r="T116" i="127"/>
  <c r="T117" i="127" s="1"/>
  <c r="L116" i="127"/>
  <c r="L117" i="127" s="1"/>
  <c r="AI116" i="127"/>
  <c r="AI117" i="127" s="1"/>
  <c r="AA116" i="127"/>
  <c r="AA117" i="127" s="1"/>
  <c r="S116" i="127"/>
  <c r="S117" i="127" s="1"/>
  <c r="K116" i="127"/>
  <c r="K117" i="127" s="1"/>
  <c r="Q116" i="127"/>
  <c r="Q117" i="127" s="1"/>
  <c r="AE116" i="127"/>
  <c r="AE117" i="127" s="1"/>
  <c r="R116" i="127"/>
  <c r="R117" i="127" s="1"/>
  <c r="AF116" i="127"/>
  <c r="AF117" i="127" s="1"/>
  <c r="AJ165" i="127"/>
  <c r="AJ166" i="127" s="1"/>
  <c r="AB165" i="127"/>
  <c r="AB166" i="127" s="1"/>
  <c r="T165" i="127"/>
  <c r="T166" i="127" s="1"/>
  <c r="L165" i="127"/>
  <c r="L166" i="127" s="1"/>
  <c r="AI165" i="127"/>
  <c r="AI166" i="127" s="1"/>
  <c r="AA165" i="127"/>
  <c r="AA166" i="127" s="1"/>
  <c r="S165" i="127"/>
  <c r="S166" i="127" s="1"/>
  <c r="K165" i="127"/>
  <c r="K166" i="127" s="1"/>
  <c r="AH165" i="127"/>
  <c r="AH166" i="127" s="1"/>
  <c r="Z165" i="127"/>
  <c r="Z166" i="127" s="1"/>
  <c r="R165" i="127"/>
  <c r="R166" i="127" s="1"/>
  <c r="AG165" i="127"/>
  <c r="AG166" i="127" s="1"/>
  <c r="Y165" i="127"/>
  <c r="Y166" i="127" s="1"/>
  <c r="Q165" i="127"/>
  <c r="Q166" i="127" s="1"/>
  <c r="AF165" i="127"/>
  <c r="AF166" i="127" s="1"/>
  <c r="X165" i="127"/>
  <c r="X166" i="127" s="1"/>
  <c r="P165" i="127"/>
  <c r="P166" i="127" s="1"/>
  <c r="N165" i="127"/>
  <c r="N166" i="127" s="1"/>
  <c r="AK165" i="127"/>
  <c r="AK166" i="127" s="1"/>
  <c r="O123" i="127"/>
  <c r="O124" i="127" s="1"/>
  <c r="W123" i="127"/>
  <c r="W124" i="127" s="1"/>
  <c r="AE123" i="127"/>
  <c r="AE124" i="127" s="1"/>
  <c r="V165" i="127"/>
  <c r="V166" i="127" s="1"/>
  <c r="P123" i="127"/>
  <c r="P124" i="127" s="1"/>
  <c r="X123" i="127"/>
  <c r="X124" i="127" s="1"/>
  <c r="AF123" i="127"/>
  <c r="AF124" i="127" s="1"/>
  <c r="W165" i="127"/>
  <c r="W166" i="127" s="1"/>
  <c r="R123" i="127"/>
  <c r="R124" i="127" s="1"/>
  <c r="Z123" i="127"/>
  <c r="Z124" i="127" s="1"/>
  <c r="AD165" i="127"/>
  <c r="AD166" i="127" s="1"/>
  <c r="Z71" i="126"/>
  <c r="AA71" i="126" s="1"/>
  <c r="AB71" i="126" s="1"/>
  <c r="AC71" i="126" s="1"/>
  <c r="AD71" i="126" s="1"/>
  <c r="AE71" i="126" s="1"/>
  <c r="AF71" i="126" s="1"/>
  <c r="AG71" i="126" s="1"/>
  <c r="AH71" i="126" s="1"/>
  <c r="AI71" i="126" s="1"/>
  <c r="AJ71" i="126" s="1"/>
  <c r="AK71" i="126" s="1"/>
  <c r="AL71" i="126" s="1"/>
  <c r="K10" i="126"/>
  <c r="W130" i="126" s="1"/>
  <c r="W131" i="126" s="1"/>
  <c r="K11" i="126"/>
  <c r="L4" i="126"/>
  <c r="Q77" i="126"/>
  <c r="Q88" i="126"/>
  <c r="R78" i="126"/>
  <c r="M65" i="126"/>
  <c r="L66" i="126"/>
  <c r="AD80" i="126"/>
  <c r="S80" i="126"/>
  <c r="N81" i="126"/>
  <c r="S89" i="125"/>
  <c r="P90" i="125"/>
  <c r="K5" i="125"/>
  <c r="Q89" i="125"/>
  <c r="AE56" i="125"/>
  <c r="AF56" i="125" s="1"/>
  <c r="AG56" i="125" s="1"/>
  <c r="AH56" i="125" s="1"/>
  <c r="AI56" i="125" s="1"/>
  <c r="AJ56" i="125" s="1"/>
  <c r="AK56" i="125" s="1"/>
  <c r="AL56" i="125" s="1"/>
  <c r="Q74" i="125"/>
  <c r="R74" i="125" s="1"/>
  <c r="S74" i="125" s="1"/>
  <c r="T74" i="125" s="1"/>
  <c r="U74" i="125" s="1"/>
  <c r="V74" i="125" s="1"/>
  <c r="W74" i="125" s="1"/>
  <c r="X74" i="125" s="1"/>
  <c r="Y74" i="125" s="1"/>
  <c r="Z74" i="125" s="1"/>
  <c r="AA74" i="125" s="1"/>
  <c r="AB74" i="125" s="1"/>
  <c r="AC74" i="125" s="1"/>
  <c r="AD74" i="125" s="1"/>
  <c r="AE74" i="125" s="1"/>
  <c r="AF74" i="125" s="1"/>
  <c r="AG74" i="125" s="1"/>
  <c r="AH74" i="125" s="1"/>
  <c r="AI74" i="125" s="1"/>
  <c r="AJ74" i="125" s="1"/>
  <c r="AK74" i="125" s="1"/>
  <c r="AL74" i="125" s="1"/>
  <c r="R78" i="125"/>
  <c r="AC80" i="125"/>
  <c r="S77" i="125"/>
  <c r="O65" i="125"/>
  <c r="N68" i="125"/>
  <c r="O81" i="125"/>
  <c r="K66" i="125"/>
  <c r="L81" i="125"/>
  <c r="Q80" i="125"/>
  <c r="K5" i="124"/>
  <c r="R71" i="124"/>
  <c r="P88" i="124"/>
  <c r="M65" i="124"/>
  <c r="L66" i="124"/>
  <c r="Q78" i="124"/>
  <c r="R75" i="124"/>
  <c r="K66" i="124"/>
  <c r="Q80" i="124"/>
  <c r="Q77" i="124"/>
  <c r="AC80" i="124"/>
  <c r="M193" i="124"/>
  <c r="L81" i="124"/>
  <c r="N81" i="124"/>
  <c r="T23" i="118" l="1"/>
  <c r="M66" i="125"/>
  <c r="P139" i="126"/>
  <c r="P140" i="126" s="1"/>
  <c r="AJ139" i="126"/>
  <c r="AJ140" i="126" s="1"/>
  <c r="N130" i="126"/>
  <c r="N131" i="126" s="1"/>
  <c r="V116" i="126"/>
  <c r="V117" i="126" s="1"/>
  <c r="AK139" i="126"/>
  <c r="AK140" i="126" s="1"/>
  <c r="AL139" i="126"/>
  <c r="AL140" i="126" s="1"/>
  <c r="AA130" i="126"/>
  <c r="AA131" i="126" s="1"/>
  <c r="V139" i="126"/>
  <c r="V140" i="126" s="1"/>
  <c r="Y116" i="126"/>
  <c r="Y117" i="126" s="1"/>
  <c r="AF165" i="126"/>
  <c r="AF166" i="126" s="1"/>
  <c r="N193" i="125"/>
  <c r="AD165" i="126"/>
  <c r="AD166" i="126" s="1"/>
  <c r="L123" i="126"/>
  <c r="L124" i="126" s="1"/>
  <c r="O123" i="126"/>
  <c r="O124" i="126" s="1"/>
  <c r="Q165" i="126"/>
  <c r="Q166" i="126" s="1"/>
  <c r="X116" i="126"/>
  <c r="X117" i="126" s="1"/>
  <c r="AA116" i="126"/>
  <c r="AA117" i="126" s="1"/>
  <c r="O116" i="126"/>
  <c r="O117" i="126" s="1"/>
  <c r="K165" i="126"/>
  <c r="K166" i="126" s="1"/>
  <c r="AD130" i="126"/>
  <c r="AD131" i="126" s="1"/>
  <c r="W165" i="126"/>
  <c r="W166" i="126" s="1"/>
  <c r="AA165" i="126"/>
  <c r="AA166" i="126" s="1"/>
  <c r="K188" i="127"/>
  <c r="AE80" i="127"/>
  <c r="L5" i="127"/>
  <c r="X139" i="126"/>
  <c r="X140" i="126" s="1"/>
  <c r="AD139" i="126"/>
  <c r="AD140" i="126" s="1"/>
  <c r="AL165" i="126"/>
  <c r="AL166" i="126" s="1"/>
  <c r="S165" i="126"/>
  <c r="S166" i="126" s="1"/>
  <c r="M165" i="126"/>
  <c r="M166" i="126" s="1"/>
  <c r="Q130" i="126"/>
  <c r="Q131" i="126" s="1"/>
  <c r="AF116" i="126"/>
  <c r="AF117" i="126" s="1"/>
  <c r="AL130" i="126"/>
  <c r="AL131" i="126" s="1"/>
  <c r="V130" i="126"/>
  <c r="V131" i="126" s="1"/>
  <c r="N116" i="126"/>
  <c r="N117" i="126" s="1"/>
  <c r="AI116" i="126"/>
  <c r="AI117" i="126" s="1"/>
  <c r="AJ123" i="126"/>
  <c r="AJ124" i="126" s="1"/>
  <c r="AG116" i="126"/>
  <c r="AG117" i="126" s="1"/>
  <c r="Q89" i="127"/>
  <c r="R81" i="127"/>
  <c r="N139" i="126"/>
  <c r="N140" i="126" s="1"/>
  <c r="AH123" i="126"/>
  <c r="AH124" i="126" s="1"/>
  <c r="L90" i="127"/>
  <c r="U165" i="126"/>
  <c r="U166" i="126" s="1"/>
  <c r="Q116" i="126"/>
  <c r="Q117" i="126" s="1"/>
  <c r="AJ130" i="126"/>
  <c r="AJ131" i="126" s="1"/>
  <c r="AE139" i="126"/>
  <c r="AE140" i="126" s="1"/>
  <c r="AK165" i="126"/>
  <c r="AK166" i="126" s="1"/>
  <c r="AG165" i="126"/>
  <c r="AG166" i="126" s="1"/>
  <c r="L165" i="126"/>
  <c r="L166" i="126" s="1"/>
  <c r="T139" i="126"/>
  <c r="T140" i="126" s="1"/>
  <c r="Z130" i="126"/>
  <c r="Z131" i="126" s="1"/>
  <c r="Y130" i="126"/>
  <c r="Y131" i="126" s="1"/>
  <c r="X130" i="126"/>
  <c r="X131" i="126" s="1"/>
  <c r="Z123" i="126"/>
  <c r="Z124" i="126" s="1"/>
  <c r="S130" i="126"/>
  <c r="S131" i="126" s="1"/>
  <c r="K116" i="126"/>
  <c r="K117" i="126" s="1"/>
  <c r="M66" i="127"/>
  <c r="N65" i="127"/>
  <c r="T88" i="127"/>
  <c r="U78" i="127"/>
  <c r="R89" i="127"/>
  <c r="K90" i="127"/>
  <c r="K38" i="127"/>
  <c r="AB139" i="126"/>
  <c r="AB140" i="126" s="1"/>
  <c r="AG130" i="126"/>
  <c r="AG131" i="126" s="1"/>
  <c r="W139" i="126"/>
  <c r="W140" i="126" s="1"/>
  <c r="O165" i="126"/>
  <c r="O166" i="126" s="1"/>
  <c r="R165" i="126"/>
  <c r="R166" i="126" s="1"/>
  <c r="T165" i="126"/>
  <c r="T166" i="126" s="1"/>
  <c r="L139" i="126"/>
  <c r="L140" i="126" s="1"/>
  <c r="P130" i="126"/>
  <c r="P131" i="126" s="1"/>
  <c r="O130" i="126"/>
  <c r="O131" i="126" s="1"/>
  <c r="AF130" i="126"/>
  <c r="AF131" i="126" s="1"/>
  <c r="R123" i="126"/>
  <c r="R124" i="126" s="1"/>
  <c r="K130" i="126"/>
  <c r="K131" i="126" s="1"/>
  <c r="R80" i="127"/>
  <c r="S89" i="127"/>
  <c r="N90" i="127"/>
  <c r="K81" i="127"/>
  <c r="K193" i="127" s="1"/>
  <c r="L193" i="127"/>
  <c r="AI165" i="126"/>
  <c r="AI166" i="126" s="1"/>
  <c r="P116" i="126"/>
  <c r="P117" i="126" s="1"/>
  <c r="S116" i="126"/>
  <c r="S117" i="126" s="1"/>
  <c r="O139" i="126"/>
  <c r="O140" i="126" s="1"/>
  <c r="N165" i="126"/>
  <c r="N166" i="126" s="1"/>
  <c r="Z165" i="126"/>
  <c r="Z166" i="126" s="1"/>
  <c r="AB165" i="126"/>
  <c r="AB166" i="126" s="1"/>
  <c r="K157" i="126"/>
  <c r="AB123" i="126"/>
  <c r="AB124" i="126" s="1"/>
  <c r="AC130" i="126"/>
  <c r="AC131" i="126" s="1"/>
  <c r="AE116" i="126"/>
  <c r="AE117" i="126" s="1"/>
  <c r="AL116" i="126"/>
  <c r="AL117" i="126" s="1"/>
  <c r="AE123" i="126"/>
  <c r="AE124" i="126" s="1"/>
  <c r="R77" i="127"/>
  <c r="Y165" i="126"/>
  <c r="Y166" i="126" s="1"/>
  <c r="AE130" i="126"/>
  <c r="AE131" i="126" s="1"/>
  <c r="P165" i="126"/>
  <c r="P166" i="126" s="1"/>
  <c r="V165" i="126"/>
  <c r="V166" i="126" s="1"/>
  <c r="AH165" i="126"/>
  <c r="AH166" i="126" s="1"/>
  <c r="AJ165" i="126"/>
  <c r="AJ166" i="126" s="1"/>
  <c r="AF139" i="126"/>
  <c r="AF140" i="126" s="1"/>
  <c r="T123" i="126"/>
  <c r="T124" i="126" s="1"/>
  <c r="AK130" i="126"/>
  <c r="AK131" i="126" s="1"/>
  <c r="W116" i="126"/>
  <c r="W117" i="126" s="1"/>
  <c r="AD116" i="126"/>
  <c r="AD117" i="126" s="1"/>
  <c r="W123" i="126"/>
  <c r="W124" i="126" s="1"/>
  <c r="P89" i="127"/>
  <c r="R77" i="126"/>
  <c r="AE80" i="126"/>
  <c r="K188" i="126"/>
  <c r="AC139" i="126"/>
  <c r="AC140" i="126" s="1"/>
  <c r="U139" i="126"/>
  <c r="U140" i="126" s="1"/>
  <c r="M139" i="126"/>
  <c r="M140" i="126" s="1"/>
  <c r="AC165" i="126"/>
  <c r="AC166" i="126" s="1"/>
  <c r="R139" i="126"/>
  <c r="R140" i="126" s="1"/>
  <c r="AK123" i="126"/>
  <c r="AK124" i="126" s="1"/>
  <c r="AC123" i="126"/>
  <c r="AC124" i="126" s="1"/>
  <c r="U123" i="126"/>
  <c r="U124" i="126" s="1"/>
  <c r="M123" i="126"/>
  <c r="M124" i="126" s="1"/>
  <c r="AI139" i="126"/>
  <c r="AI140" i="126" s="1"/>
  <c r="Q139" i="126"/>
  <c r="Q140" i="126" s="1"/>
  <c r="AH139" i="126"/>
  <c r="AH140" i="126" s="1"/>
  <c r="K139" i="126"/>
  <c r="K140" i="126" s="1"/>
  <c r="AI123" i="126"/>
  <c r="AI124" i="126" s="1"/>
  <c r="AA123" i="126"/>
  <c r="AA124" i="126" s="1"/>
  <c r="S123" i="126"/>
  <c r="S124" i="126" s="1"/>
  <c r="K123" i="126"/>
  <c r="K124" i="126" s="1"/>
  <c r="AG139" i="126"/>
  <c r="AG140" i="126" s="1"/>
  <c r="Y139" i="126"/>
  <c r="Y140" i="126" s="1"/>
  <c r="X165" i="126"/>
  <c r="X166" i="126" s="1"/>
  <c r="AI130" i="126"/>
  <c r="AI131" i="126" s="1"/>
  <c r="AF123" i="126"/>
  <c r="AF124" i="126" s="1"/>
  <c r="AJ116" i="126"/>
  <c r="AJ117" i="126" s="1"/>
  <c r="M116" i="126"/>
  <c r="M117" i="126" s="1"/>
  <c r="AH130" i="126"/>
  <c r="AH131" i="126" s="1"/>
  <c r="AD123" i="126"/>
  <c r="AD124" i="126" s="1"/>
  <c r="AH116" i="126"/>
  <c r="AH117" i="126" s="1"/>
  <c r="L116" i="126"/>
  <c r="L117" i="126" s="1"/>
  <c r="AB130" i="126"/>
  <c r="AB131" i="126" s="1"/>
  <c r="Y123" i="126"/>
  <c r="Y124" i="126" s="1"/>
  <c r="AC116" i="126"/>
  <c r="AC117" i="126" s="1"/>
  <c r="U130" i="126"/>
  <c r="U131" i="126" s="1"/>
  <c r="X123" i="126"/>
  <c r="X124" i="126" s="1"/>
  <c r="AB116" i="126"/>
  <c r="AB117" i="126" s="1"/>
  <c r="Z139" i="126"/>
  <c r="Z140" i="126" s="1"/>
  <c r="M130" i="126"/>
  <c r="M131" i="126" s="1"/>
  <c r="AL123" i="126"/>
  <c r="AL124" i="126" s="1"/>
  <c r="P123" i="126"/>
  <c r="P124" i="126" s="1"/>
  <c r="T116" i="126"/>
  <c r="T117" i="126" s="1"/>
  <c r="AE165" i="126"/>
  <c r="AE166" i="126" s="1"/>
  <c r="S139" i="126"/>
  <c r="S140" i="126" s="1"/>
  <c r="L130" i="126"/>
  <c r="L131" i="126" s="1"/>
  <c r="AG123" i="126"/>
  <c r="AG124" i="126" s="1"/>
  <c r="N123" i="126"/>
  <c r="N124" i="126" s="1"/>
  <c r="Q123" i="126"/>
  <c r="Q124" i="126" s="1"/>
  <c r="Z116" i="126"/>
  <c r="Z117" i="126" s="1"/>
  <c r="AA139" i="126"/>
  <c r="AA140" i="126" s="1"/>
  <c r="U116" i="126"/>
  <c r="U117" i="126" s="1"/>
  <c r="R116" i="126"/>
  <c r="R117" i="126" s="1"/>
  <c r="V123" i="126"/>
  <c r="V124" i="126" s="1"/>
  <c r="AK116" i="126"/>
  <c r="AK117" i="126" s="1"/>
  <c r="T130" i="126"/>
  <c r="T131" i="126" s="1"/>
  <c r="R130" i="126"/>
  <c r="R131" i="126" s="1"/>
  <c r="T80" i="126"/>
  <c r="L5" i="126"/>
  <c r="O81" i="126"/>
  <c r="N65" i="126"/>
  <c r="M66" i="126"/>
  <c r="R88" i="126"/>
  <c r="S78" i="126"/>
  <c r="K10" i="125"/>
  <c r="K11" i="125"/>
  <c r="L4" i="125"/>
  <c r="Q90" i="125"/>
  <c r="R80" i="125"/>
  <c r="AD80" i="125"/>
  <c r="L193" i="125"/>
  <c r="K81" i="125"/>
  <c r="K193" i="125" s="1"/>
  <c r="R89" i="125"/>
  <c r="T89" i="125"/>
  <c r="O193" i="125"/>
  <c r="P81" i="125"/>
  <c r="O67" i="125"/>
  <c r="O68" i="125"/>
  <c r="P65" i="125"/>
  <c r="R88" i="125"/>
  <c r="S78" i="125"/>
  <c r="P89" i="125"/>
  <c r="T77" i="125"/>
  <c r="Q88" i="124"/>
  <c r="R78" i="124"/>
  <c r="O81" i="124"/>
  <c r="S75" i="124"/>
  <c r="R80" i="124"/>
  <c r="M66" i="124"/>
  <c r="N65" i="124"/>
  <c r="R77" i="124"/>
  <c r="L193" i="124"/>
  <c r="K81" i="124"/>
  <c r="K193" i="124" s="1"/>
  <c r="S71" i="124"/>
  <c r="K11" i="124"/>
  <c r="L4" i="124"/>
  <c r="K10" i="124"/>
  <c r="AD80" i="124"/>
  <c r="U23" i="118" l="1"/>
  <c r="S81" i="127"/>
  <c r="O90" i="127"/>
  <c r="S80" i="127"/>
  <c r="S77" i="127"/>
  <c r="AF80" i="127"/>
  <c r="L11" i="127"/>
  <c r="L10" i="127"/>
  <c r="M4" i="127"/>
  <c r="U88" i="127"/>
  <c r="V78" i="127"/>
  <c r="N68" i="127"/>
  <c r="N193" i="127"/>
  <c r="N67" i="127"/>
  <c r="O65" i="127"/>
  <c r="M90" i="127"/>
  <c r="L11" i="126"/>
  <c r="M4" i="126"/>
  <c r="L10" i="126"/>
  <c r="S77" i="126"/>
  <c r="O65" i="126"/>
  <c r="O193" i="126" s="1"/>
  <c r="N68" i="126"/>
  <c r="N67" i="126"/>
  <c r="S88" i="126"/>
  <c r="T78" i="126"/>
  <c r="P81" i="126"/>
  <c r="U80" i="126"/>
  <c r="N193" i="126"/>
  <c r="AF80" i="126"/>
  <c r="S88" i="125"/>
  <c r="T78" i="125"/>
  <c r="P67" i="125"/>
  <c r="Q65" i="125"/>
  <c r="P68" i="125"/>
  <c r="U77" i="125"/>
  <c r="AE80" i="125"/>
  <c r="R90" i="125"/>
  <c r="S80" i="125"/>
  <c r="L5" i="125"/>
  <c r="P193" i="125"/>
  <c r="Q81" i="125"/>
  <c r="K188" i="125"/>
  <c r="AA139" i="125"/>
  <c r="AA140" i="125" s="1"/>
  <c r="K139" i="125"/>
  <c r="K140" i="125" s="1"/>
  <c r="Z139" i="125"/>
  <c r="Z140" i="125" s="1"/>
  <c r="Y139" i="125"/>
  <c r="Y140" i="125" s="1"/>
  <c r="AK139" i="125"/>
  <c r="AK140" i="125" s="1"/>
  <c r="U139" i="125"/>
  <c r="U140" i="125" s="1"/>
  <c r="AI139" i="125"/>
  <c r="AI140" i="125" s="1"/>
  <c r="S139" i="125"/>
  <c r="S140" i="125" s="1"/>
  <c r="AJ130" i="125"/>
  <c r="AJ131" i="125" s="1"/>
  <c r="T130" i="125"/>
  <c r="T131" i="125" s="1"/>
  <c r="X123" i="125"/>
  <c r="X124" i="125" s="1"/>
  <c r="AG116" i="125"/>
  <c r="AG117" i="125" s="1"/>
  <c r="U116" i="125"/>
  <c r="U117" i="125" s="1"/>
  <c r="AH139" i="125"/>
  <c r="AH140" i="125" s="1"/>
  <c r="AF130" i="125"/>
  <c r="AF131" i="125" s="1"/>
  <c r="P130" i="125"/>
  <c r="P131" i="125" s="1"/>
  <c r="AJ123" i="125"/>
  <c r="AJ124" i="125" s="1"/>
  <c r="T123" i="125"/>
  <c r="T124" i="125" s="1"/>
  <c r="AF116" i="125"/>
  <c r="AF117" i="125" s="1"/>
  <c r="T116" i="125"/>
  <c r="T117" i="125" s="1"/>
  <c r="AG139" i="125"/>
  <c r="AG140" i="125" s="1"/>
  <c r="AD130" i="125"/>
  <c r="AD131" i="125" s="1"/>
  <c r="N130" i="125"/>
  <c r="N131" i="125" s="1"/>
  <c r="AH123" i="125"/>
  <c r="AH124" i="125" s="1"/>
  <c r="R123" i="125"/>
  <c r="R124" i="125" s="1"/>
  <c r="AD116" i="125"/>
  <c r="AD117" i="125" s="1"/>
  <c r="Q116" i="125"/>
  <c r="Q117" i="125" s="1"/>
  <c r="AC139" i="125"/>
  <c r="AC140" i="125" s="1"/>
  <c r="AC130" i="125"/>
  <c r="AC131" i="125" s="1"/>
  <c r="M130" i="125"/>
  <c r="M131" i="125" s="1"/>
  <c r="AG123" i="125"/>
  <c r="AG124" i="125" s="1"/>
  <c r="Q123" i="125"/>
  <c r="Q124" i="125" s="1"/>
  <c r="AC116" i="125"/>
  <c r="AC117" i="125" s="1"/>
  <c r="P116" i="125"/>
  <c r="P117" i="125" s="1"/>
  <c r="K157" i="125"/>
  <c r="R139" i="125"/>
  <c r="R140" i="125" s="1"/>
  <c r="AB130" i="125"/>
  <c r="AB131" i="125" s="1"/>
  <c r="L130" i="125"/>
  <c r="L131" i="125" s="1"/>
  <c r="AF123" i="125"/>
  <c r="AF124" i="125" s="1"/>
  <c r="P123" i="125"/>
  <c r="P124" i="125" s="1"/>
  <c r="AB116" i="125"/>
  <c r="AB117" i="125" s="1"/>
  <c r="N116" i="125"/>
  <c r="N117" i="125" s="1"/>
  <c r="M139" i="125"/>
  <c r="M140" i="125" s="1"/>
  <c r="AL130" i="125"/>
  <c r="AL131" i="125" s="1"/>
  <c r="V130" i="125"/>
  <c r="V131" i="125" s="1"/>
  <c r="Z123" i="125"/>
  <c r="Z124" i="125" s="1"/>
  <c r="AK116" i="125"/>
  <c r="AK117" i="125" s="1"/>
  <c r="X116" i="125"/>
  <c r="X117" i="125" s="1"/>
  <c r="L116" i="125"/>
  <c r="L117" i="125" s="1"/>
  <c r="Q139" i="125"/>
  <c r="Q140" i="125" s="1"/>
  <c r="AK130" i="125"/>
  <c r="AK131" i="125" s="1"/>
  <c r="AB123" i="125"/>
  <c r="AB124" i="125" s="1"/>
  <c r="AL116" i="125"/>
  <c r="AL117" i="125" s="1"/>
  <c r="X130" i="125"/>
  <c r="X131" i="125" s="1"/>
  <c r="Y123" i="125"/>
  <c r="Y124" i="125" s="1"/>
  <c r="AJ116" i="125"/>
  <c r="AJ117" i="125" s="1"/>
  <c r="M116" i="125"/>
  <c r="M117" i="125" s="1"/>
  <c r="L123" i="125"/>
  <c r="L124" i="125" s="1"/>
  <c r="U130" i="125"/>
  <c r="U131" i="125" s="1"/>
  <c r="Y116" i="125"/>
  <c r="Y117" i="125" s="1"/>
  <c r="V116" i="125"/>
  <c r="V117" i="125" s="1"/>
  <c r="AI116" i="125"/>
  <c r="AI117" i="125" s="1"/>
  <c r="K165" i="125"/>
  <c r="K166" i="125" s="1"/>
  <c r="AD165" i="125"/>
  <c r="AD166" i="125" s="1"/>
  <c r="AF165" i="125"/>
  <c r="AF166" i="125" s="1"/>
  <c r="K123" i="125"/>
  <c r="K124" i="125" s="1"/>
  <c r="U123" i="125"/>
  <c r="U124" i="125" s="1"/>
  <c r="AH116" i="125"/>
  <c r="AH117" i="125" s="1"/>
  <c r="AF139" i="125"/>
  <c r="AF140" i="125" s="1"/>
  <c r="AA130" i="125"/>
  <c r="AA131" i="125" s="1"/>
  <c r="AL139" i="125"/>
  <c r="AL140" i="125" s="1"/>
  <c r="L165" i="125"/>
  <c r="L166" i="125" s="1"/>
  <c r="O130" i="125"/>
  <c r="O131" i="125" s="1"/>
  <c r="AJ139" i="125"/>
  <c r="AJ140" i="125" s="1"/>
  <c r="W165" i="125"/>
  <c r="W166" i="125" s="1"/>
  <c r="R130" i="125"/>
  <c r="R131" i="125" s="1"/>
  <c r="S165" i="125"/>
  <c r="S166" i="125" s="1"/>
  <c r="Z116" i="125"/>
  <c r="Z117" i="125" s="1"/>
  <c r="AJ165" i="125"/>
  <c r="AJ166" i="125" s="1"/>
  <c r="AH165" i="125"/>
  <c r="AH166" i="125" s="1"/>
  <c r="V165" i="125"/>
  <c r="V166" i="125" s="1"/>
  <c r="M165" i="125"/>
  <c r="M166" i="125" s="1"/>
  <c r="S123" i="125"/>
  <c r="S124" i="125" s="1"/>
  <c r="AC123" i="125"/>
  <c r="AC124" i="125" s="1"/>
  <c r="N123" i="125"/>
  <c r="N124" i="125" s="1"/>
  <c r="K116" i="125"/>
  <c r="K117" i="125" s="1"/>
  <c r="L139" i="125"/>
  <c r="L140" i="125" s="1"/>
  <c r="O139" i="125"/>
  <c r="O140" i="125" s="1"/>
  <c r="AG165" i="125"/>
  <c r="AG166" i="125" s="1"/>
  <c r="Y130" i="125"/>
  <c r="Y131" i="125" s="1"/>
  <c r="AI165" i="125"/>
  <c r="AI166" i="125" s="1"/>
  <c r="O116" i="125"/>
  <c r="O117" i="125" s="1"/>
  <c r="AG130" i="125"/>
  <c r="AG131" i="125" s="1"/>
  <c r="N139" i="125"/>
  <c r="N140" i="125" s="1"/>
  <c r="AD139" i="125"/>
  <c r="AD140" i="125" s="1"/>
  <c r="AI130" i="125"/>
  <c r="AI131" i="125" s="1"/>
  <c r="AB165" i="125"/>
  <c r="AB166" i="125" s="1"/>
  <c r="Z165" i="125"/>
  <c r="Z166" i="125" s="1"/>
  <c r="N165" i="125"/>
  <c r="N166" i="125" s="1"/>
  <c r="AK165" i="125"/>
  <c r="AK166" i="125" s="1"/>
  <c r="AA123" i="125"/>
  <c r="AA124" i="125" s="1"/>
  <c r="AK123" i="125"/>
  <c r="AK124" i="125" s="1"/>
  <c r="V123" i="125"/>
  <c r="V124" i="125" s="1"/>
  <c r="S116" i="125"/>
  <c r="S117" i="125" s="1"/>
  <c r="T139" i="125"/>
  <c r="T140" i="125" s="1"/>
  <c r="W139" i="125"/>
  <c r="W140" i="125" s="1"/>
  <c r="X165" i="125"/>
  <c r="X166" i="125" s="1"/>
  <c r="O123" i="125"/>
  <c r="O124" i="125" s="1"/>
  <c r="Y165" i="125"/>
  <c r="Y166" i="125" s="1"/>
  <c r="W123" i="125"/>
  <c r="W124" i="125" s="1"/>
  <c r="P165" i="125"/>
  <c r="P166" i="125" s="1"/>
  <c r="S130" i="125"/>
  <c r="S131" i="125" s="1"/>
  <c r="T165" i="125"/>
  <c r="T166" i="125" s="1"/>
  <c r="R165" i="125"/>
  <c r="R166" i="125" s="1"/>
  <c r="AC165" i="125"/>
  <c r="AC166" i="125" s="1"/>
  <c r="AE165" i="125"/>
  <c r="AE166" i="125" s="1"/>
  <c r="AI123" i="125"/>
  <c r="AI124" i="125" s="1"/>
  <c r="Q130" i="125"/>
  <c r="Q131" i="125" s="1"/>
  <c r="AD123" i="125"/>
  <c r="AD124" i="125" s="1"/>
  <c r="AA116" i="125"/>
  <c r="AA117" i="125" s="1"/>
  <c r="AB139" i="125"/>
  <c r="AB140" i="125" s="1"/>
  <c r="AE139" i="125"/>
  <c r="AE140" i="125" s="1"/>
  <c r="O165" i="125"/>
  <c r="O166" i="125" s="1"/>
  <c r="AL123" i="125"/>
  <c r="AL124" i="125" s="1"/>
  <c r="P139" i="125"/>
  <c r="P140" i="125" s="1"/>
  <c r="W130" i="125"/>
  <c r="W131" i="125" s="1"/>
  <c r="X139" i="125"/>
  <c r="X140" i="125" s="1"/>
  <c r="AE123" i="125"/>
  <c r="AE124" i="125" s="1"/>
  <c r="AL165" i="125"/>
  <c r="AL166" i="125" s="1"/>
  <c r="M123" i="125"/>
  <c r="M124" i="125" s="1"/>
  <c r="AA165" i="125"/>
  <c r="AA166" i="125" s="1"/>
  <c r="Q165" i="125"/>
  <c r="Q166" i="125" s="1"/>
  <c r="U165" i="125"/>
  <c r="U166" i="125" s="1"/>
  <c r="W116" i="125"/>
  <c r="W117" i="125" s="1"/>
  <c r="AE130" i="125"/>
  <c r="AE131" i="125" s="1"/>
  <c r="R116" i="125"/>
  <c r="R117" i="125" s="1"/>
  <c r="Z130" i="125"/>
  <c r="Z131" i="125" s="1"/>
  <c r="K130" i="125"/>
  <c r="K131" i="125" s="1"/>
  <c r="V139" i="125"/>
  <c r="V140" i="125" s="1"/>
  <c r="AE116" i="125"/>
  <c r="AE117" i="125" s="1"/>
  <c r="AH130" i="125"/>
  <c r="AH131" i="125" s="1"/>
  <c r="K188" i="124"/>
  <c r="S80" i="124"/>
  <c r="P81" i="124"/>
  <c r="N68" i="124"/>
  <c r="N67" i="124"/>
  <c r="O65" i="124"/>
  <c r="N193" i="124"/>
  <c r="AJ139" i="124"/>
  <c r="AJ140" i="124" s="1"/>
  <c r="X139" i="124"/>
  <c r="X140" i="124" s="1"/>
  <c r="T139" i="124"/>
  <c r="T140" i="124" s="1"/>
  <c r="S139" i="124"/>
  <c r="S140" i="124" s="1"/>
  <c r="P139" i="124"/>
  <c r="P140" i="124" s="1"/>
  <c r="AI139" i="124"/>
  <c r="AI140" i="124" s="1"/>
  <c r="L139" i="124"/>
  <c r="L140" i="124" s="1"/>
  <c r="AF139" i="124"/>
  <c r="AF140" i="124" s="1"/>
  <c r="K139" i="124"/>
  <c r="K140" i="124" s="1"/>
  <c r="AB139" i="124"/>
  <c r="AB140" i="124" s="1"/>
  <c r="T130" i="124"/>
  <c r="T131" i="124" s="1"/>
  <c r="S116" i="124"/>
  <c r="S117" i="124" s="1"/>
  <c r="AA139" i="124"/>
  <c r="AA140" i="124" s="1"/>
  <c r="AJ116" i="124"/>
  <c r="AJ117" i="124" s="1"/>
  <c r="O116" i="124"/>
  <c r="O117" i="124" s="1"/>
  <c r="O130" i="124"/>
  <c r="O131" i="124" s="1"/>
  <c r="AI116" i="124"/>
  <c r="AI117" i="124" s="1"/>
  <c r="L116" i="124"/>
  <c r="L117" i="124" s="1"/>
  <c r="AJ130" i="124"/>
  <c r="AJ131" i="124" s="1"/>
  <c r="AI130" i="124"/>
  <c r="AI131" i="124" s="1"/>
  <c r="K130" i="124"/>
  <c r="K131" i="124" s="1"/>
  <c r="AE123" i="124"/>
  <c r="AE124" i="124" s="1"/>
  <c r="AA123" i="124"/>
  <c r="AA124" i="124" s="1"/>
  <c r="AB116" i="124"/>
  <c r="AB117" i="124" s="1"/>
  <c r="AA116" i="124"/>
  <c r="AA117" i="124" s="1"/>
  <c r="AD165" i="124"/>
  <c r="AD166" i="124" s="1"/>
  <c r="R165" i="124"/>
  <c r="R166" i="124" s="1"/>
  <c r="X165" i="124"/>
  <c r="X166" i="124" s="1"/>
  <c r="Z116" i="124"/>
  <c r="Z117" i="124" s="1"/>
  <c r="AL116" i="124"/>
  <c r="AL117" i="124" s="1"/>
  <c r="K116" i="124"/>
  <c r="K117" i="124" s="1"/>
  <c r="N123" i="124"/>
  <c r="N124" i="124" s="1"/>
  <c r="L123" i="124"/>
  <c r="L124" i="124" s="1"/>
  <c r="K157" i="124"/>
  <c r="X130" i="124"/>
  <c r="X131" i="124" s="1"/>
  <c r="AK130" i="124"/>
  <c r="AK131" i="124" s="1"/>
  <c r="AA130" i="124"/>
  <c r="AA131" i="124" s="1"/>
  <c r="AK139" i="124"/>
  <c r="AK140" i="124" s="1"/>
  <c r="Q139" i="124"/>
  <c r="Q140" i="124" s="1"/>
  <c r="AH130" i="124"/>
  <c r="AH131" i="124" s="1"/>
  <c r="P130" i="124"/>
  <c r="P131" i="124" s="1"/>
  <c r="AC130" i="124"/>
  <c r="AC131" i="124" s="1"/>
  <c r="W116" i="124"/>
  <c r="W117" i="124" s="1"/>
  <c r="N139" i="124"/>
  <c r="N140" i="124" s="1"/>
  <c r="Y139" i="124"/>
  <c r="Y140" i="124" s="1"/>
  <c r="AF116" i="124"/>
  <c r="AF117" i="124" s="1"/>
  <c r="AL123" i="124"/>
  <c r="AL124" i="124" s="1"/>
  <c r="AD130" i="124"/>
  <c r="AD131" i="124" s="1"/>
  <c r="M139" i="124"/>
  <c r="M140" i="124" s="1"/>
  <c r="AF130" i="124"/>
  <c r="AF131" i="124" s="1"/>
  <c r="V165" i="124"/>
  <c r="V166" i="124" s="1"/>
  <c r="AB165" i="124"/>
  <c r="AB166" i="124" s="1"/>
  <c r="K165" i="124"/>
  <c r="K166" i="124" s="1"/>
  <c r="R116" i="124"/>
  <c r="R117" i="124" s="1"/>
  <c r="AD116" i="124"/>
  <c r="AD117" i="124" s="1"/>
  <c r="AE116" i="124"/>
  <c r="AE117" i="124" s="1"/>
  <c r="AK123" i="124"/>
  <c r="AK124" i="124" s="1"/>
  <c r="AH123" i="124"/>
  <c r="AH124" i="124" s="1"/>
  <c r="N165" i="124"/>
  <c r="N166" i="124" s="1"/>
  <c r="P165" i="124"/>
  <c r="P166" i="124" s="1"/>
  <c r="AI165" i="124"/>
  <c r="AI166" i="124" s="1"/>
  <c r="AG116" i="124"/>
  <c r="AG117" i="124" s="1"/>
  <c r="V116" i="124"/>
  <c r="V117" i="124" s="1"/>
  <c r="K123" i="124"/>
  <c r="K124" i="124" s="1"/>
  <c r="AC123" i="124"/>
  <c r="AC124" i="124" s="1"/>
  <c r="Z123" i="124"/>
  <c r="Z124" i="124" s="1"/>
  <c r="Z130" i="124"/>
  <c r="Z131" i="124" s="1"/>
  <c r="AE130" i="124"/>
  <c r="AE131" i="124" s="1"/>
  <c r="U130" i="124"/>
  <c r="U131" i="124" s="1"/>
  <c r="X123" i="124"/>
  <c r="X124" i="124" s="1"/>
  <c r="V139" i="124"/>
  <c r="V140" i="124" s="1"/>
  <c r="AG139" i="124"/>
  <c r="AG140" i="124" s="1"/>
  <c r="AL130" i="124"/>
  <c r="AL131" i="124" s="1"/>
  <c r="AL139" i="124"/>
  <c r="AL140" i="124" s="1"/>
  <c r="T165" i="124"/>
  <c r="T166" i="124" s="1"/>
  <c r="AJ123" i="124"/>
  <c r="AJ124" i="124" s="1"/>
  <c r="S123" i="124"/>
  <c r="S124" i="124" s="1"/>
  <c r="AH116" i="124"/>
  <c r="AH117" i="124" s="1"/>
  <c r="N130" i="124"/>
  <c r="N131" i="124" s="1"/>
  <c r="AK165" i="124"/>
  <c r="AK166" i="124" s="1"/>
  <c r="AA165" i="124"/>
  <c r="AA166" i="124" s="1"/>
  <c r="W165" i="124"/>
  <c r="W166" i="124" s="1"/>
  <c r="Y116" i="124"/>
  <c r="Y117" i="124" s="1"/>
  <c r="N116" i="124"/>
  <c r="N117" i="124" s="1"/>
  <c r="AF123" i="124"/>
  <c r="AF124" i="124" s="1"/>
  <c r="U123" i="124"/>
  <c r="U124" i="124" s="1"/>
  <c r="R123" i="124"/>
  <c r="R124" i="124" s="1"/>
  <c r="R130" i="124"/>
  <c r="R131" i="124" s="1"/>
  <c r="W130" i="124"/>
  <c r="W131" i="124" s="1"/>
  <c r="M130" i="124"/>
  <c r="M131" i="124" s="1"/>
  <c r="AB130" i="124"/>
  <c r="AB131" i="124" s="1"/>
  <c r="AD139" i="124"/>
  <c r="AD140" i="124" s="1"/>
  <c r="R139" i="124"/>
  <c r="R140" i="124" s="1"/>
  <c r="Y165" i="124"/>
  <c r="Y166" i="124" s="1"/>
  <c r="U165" i="124"/>
  <c r="U166" i="124" s="1"/>
  <c r="AC116" i="124"/>
  <c r="AC117" i="124" s="1"/>
  <c r="Y123" i="124"/>
  <c r="Y124" i="124" s="1"/>
  <c r="O139" i="124"/>
  <c r="O140" i="124" s="1"/>
  <c r="AE139" i="124"/>
  <c r="AE140" i="124" s="1"/>
  <c r="AG165" i="124"/>
  <c r="AG166" i="124" s="1"/>
  <c r="AC165" i="124"/>
  <c r="AC166" i="124" s="1"/>
  <c r="O165" i="124"/>
  <c r="O166" i="124" s="1"/>
  <c r="AH165" i="124"/>
  <c r="AH166" i="124" s="1"/>
  <c r="L130" i="124"/>
  <c r="L131" i="124" s="1"/>
  <c r="Q116" i="124"/>
  <c r="Q117" i="124" s="1"/>
  <c r="AK116" i="124"/>
  <c r="AK117" i="124" s="1"/>
  <c r="O123" i="124"/>
  <c r="O124" i="124" s="1"/>
  <c r="M123" i="124"/>
  <c r="M124" i="124" s="1"/>
  <c r="AG123" i="124"/>
  <c r="AG124" i="124" s="1"/>
  <c r="AG130" i="124"/>
  <c r="AG131" i="124" s="1"/>
  <c r="S130" i="124"/>
  <c r="S131" i="124" s="1"/>
  <c r="AH139" i="124"/>
  <c r="AH140" i="124" s="1"/>
  <c r="Z139" i="124"/>
  <c r="Z140" i="124" s="1"/>
  <c r="Z165" i="124"/>
  <c r="Z166" i="124" s="1"/>
  <c r="Y130" i="124"/>
  <c r="Y131" i="124" s="1"/>
  <c r="M116" i="124"/>
  <c r="M117" i="124" s="1"/>
  <c r="W123" i="124"/>
  <c r="W124" i="124" s="1"/>
  <c r="Q165" i="124"/>
  <c r="Q166" i="124" s="1"/>
  <c r="M165" i="124"/>
  <c r="M166" i="124" s="1"/>
  <c r="L165" i="124"/>
  <c r="L166" i="124" s="1"/>
  <c r="AF165" i="124"/>
  <c r="AF166" i="124" s="1"/>
  <c r="AI123" i="124"/>
  <c r="AI124" i="124" s="1"/>
  <c r="X116" i="124"/>
  <c r="X117" i="124" s="1"/>
  <c r="U116" i="124"/>
  <c r="U117" i="124" s="1"/>
  <c r="AD123" i="124"/>
  <c r="AD124" i="124" s="1"/>
  <c r="AB123" i="124"/>
  <c r="AB124" i="124" s="1"/>
  <c r="Q123" i="124"/>
  <c r="Q124" i="124" s="1"/>
  <c r="Q130" i="124"/>
  <c r="Q131" i="124" s="1"/>
  <c r="V130" i="124"/>
  <c r="V131" i="124" s="1"/>
  <c r="T116" i="124"/>
  <c r="T117" i="124" s="1"/>
  <c r="U139" i="124"/>
  <c r="U140" i="124" s="1"/>
  <c r="W139" i="124"/>
  <c r="W140" i="124" s="1"/>
  <c r="AL165" i="124"/>
  <c r="AL166" i="124" s="1"/>
  <c r="AE165" i="124"/>
  <c r="AE166" i="124" s="1"/>
  <c r="S165" i="124"/>
  <c r="S166" i="124" s="1"/>
  <c r="P116" i="124"/>
  <c r="P117" i="124" s="1"/>
  <c r="T123" i="124"/>
  <c r="T124" i="124" s="1"/>
  <c r="AC139" i="124"/>
  <c r="AC140" i="124" s="1"/>
  <c r="AJ165" i="124"/>
  <c r="AJ166" i="124" s="1"/>
  <c r="V123" i="124"/>
  <c r="V124" i="124" s="1"/>
  <c r="P123" i="124"/>
  <c r="P124" i="124" s="1"/>
  <c r="L5" i="124"/>
  <c r="R88" i="124"/>
  <c r="S78" i="124"/>
  <c r="T75" i="124"/>
  <c r="AE80" i="124"/>
  <c r="T71" i="124"/>
  <c r="S77" i="124"/>
  <c r="V23" i="118" l="1"/>
  <c r="P65" i="127"/>
  <c r="O67" i="127"/>
  <c r="O68" i="127"/>
  <c r="O193" i="127"/>
  <c r="M5" i="127"/>
  <c r="L188" i="127"/>
  <c r="L38" i="127"/>
  <c r="W78" i="127"/>
  <c r="V88" i="127"/>
  <c r="T77" i="127"/>
  <c r="T80" i="127"/>
  <c r="AG80" i="127"/>
  <c r="T81" i="127"/>
  <c r="T77" i="126"/>
  <c r="T88" i="126"/>
  <c r="U78" i="126"/>
  <c r="V80" i="126"/>
  <c r="AG80" i="126"/>
  <c r="O68" i="126"/>
  <c r="O67" i="126"/>
  <c r="P65" i="126"/>
  <c r="P193" i="126" s="1"/>
  <c r="M5" i="126"/>
  <c r="Q81" i="126"/>
  <c r="L188" i="126"/>
  <c r="S90" i="125"/>
  <c r="T80" i="125"/>
  <c r="L11" i="125"/>
  <c r="M4" i="125"/>
  <c r="L10" i="125"/>
  <c r="Q67" i="125"/>
  <c r="R65" i="125"/>
  <c r="Q68" i="125"/>
  <c r="T88" i="125"/>
  <c r="U78" i="125"/>
  <c r="Q193" i="125"/>
  <c r="R81" i="125"/>
  <c r="V77" i="125"/>
  <c r="AF80" i="125"/>
  <c r="AF80" i="124"/>
  <c r="U75" i="124"/>
  <c r="T77" i="124"/>
  <c r="U71" i="124"/>
  <c r="S88" i="124"/>
  <c r="T78" i="124"/>
  <c r="T80" i="124"/>
  <c r="L11" i="124"/>
  <c r="M4" i="124"/>
  <c r="L10" i="124"/>
  <c r="O67" i="124"/>
  <c r="P65" i="124"/>
  <c r="P193" i="124" s="1"/>
  <c r="O68" i="124"/>
  <c r="Q81" i="124"/>
  <c r="O193" i="124"/>
  <c r="W23" i="118" l="1"/>
  <c r="AH80" i="127"/>
  <c r="U80" i="127"/>
  <c r="W88" i="127"/>
  <c r="X78" i="127"/>
  <c r="P67" i="127"/>
  <c r="P68" i="127"/>
  <c r="Q65" i="127"/>
  <c r="P193" i="127"/>
  <c r="U77" i="127"/>
  <c r="U81" i="127"/>
  <c r="M11" i="127"/>
  <c r="M10" i="127"/>
  <c r="N4" i="127"/>
  <c r="R81" i="126"/>
  <c r="W80" i="126"/>
  <c r="U88" i="126"/>
  <c r="V78" i="126"/>
  <c r="AH80" i="126"/>
  <c r="M11" i="126"/>
  <c r="N4" i="126"/>
  <c r="M10" i="126"/>
  <c r="U77" i="126"/>
  <c r="P68" i="126"/>
  <c r="Q65" i="126"/>
  <c r="P67" i="126"/>
  <c r="L188" i="125"/>
  <c r="U88" i="125"/>
  <c r="V78" i="125"/>
  <c r="T90" i="125"/>
  <c r="U80" i="125"/>
  <c r="AG80" i="125"/>
  <c r="R193" i="125"/>
  <c r="S81" i="125"/>
  <c r="S65" i="125"/>
  <c r="R67" i="125"/>
  <c r="R68" i="125"/>
  <c r="W77" i="125"/>
  <c r="M5" i="125"/>
  <c r="AG80" i="124"/>
  <c r="U78" i="124"/>
  <c r="T88" i="124"/>
  <c r="M5" i="124"/>
  <c r="U80" i="124"/>
  <c r="L188" i="124"/>
  <c r="U77" i="124"/>
  <c r="V75" i="124"/>
  <c r="P67" i="124"/>
  <c r="Q65" i="124"/>
  <c r="Q193" i="124" s="1"/>
  <c r="P68" i="124"/>
  <c r="V71" i="124"/>
  <c r="R81" i="124"/>
  <c r="X23" i="118" l="1"/>
  <c r="N5" i="127"/>
  <c r="V81" i="127"/>
  <c r="M188" i="127"/>
  <c r="M38" i="127"/>
  <c r="V77" i="127"/>
  <c r="X88" i="127"/>
  <c r="Y78" i="127"/>
  <c r="Q67" i="127"/>
  <c r="Q68" i="127"/>
  <c r="R65" i="127"/>
  <c r="Q193" i="127"/>
  <c r="U90" i="127"/>
  <c r="V80" i="127"/>
  <c r="AI80" i="127"/>
  <c r="Q67" i="126"/>
  <c r="R65" i="126"/>
  <c r="R193" i="126" s="1"/>
  <c r="Q68" i="126"/>
  <c r="X80" i="126"/>
  <c r="Q193" i="126"/>
  <c r="S81" i="126"/>
  <c r="V88" i="126"/>
  <c r="W78" i="126"/>
  <c r="N5" i="126"/>
  <c r="AI80" i="126"/>
  <c r="V77" i="126"/>
  <c r="M188" i="126"/>
  <c r="T65" i="125"/>
  <c r="S68" i="125"/>
  <c r="S67" i="125"/>
  <c r="V88" i="125"/>
  <c r="W78" i="125"/>
  <c r="AH80" i="125"/>
  <c r="M11" i="125"/>
  <c r="M10" i="125"/>
  <c r="N4" i="125"/>
  <c r="S193" i="125"/>
  <c r="T81" i="125"/>
  <c r="U90" i="125"/>
  <c r="V80" i="125"/>
  <c r="X77" i="125"/>
  <c r="S81" i="124"/>
  <c r="V77" i="124"/>
  <c r="W75" i="124"/>
  <c r="Q67" i="124"/>
  <c r="R65" i="124"/>
  <c r="Q68" i="124"/>
  <c r="U90" i="124"/>
  <c r="V80" i="124"/>
  <c r="M11" i="124"/>
  <c r="M10" i="124"/>
  <c r="N4" i="124"/>
  <c r="V78" i="124"/>
  <c r="U88" i="124"/>
  <c r="W71" i="124"/>
  <c r="AH80" i="124"/>
  <c r="Q101" i="123"/>
  <c r="Q100" i="123" s="1"/>
  <c r="F161" i="112"/>
  <c r="P164" i="123"/>
  <c r="Q164" i="123" s="1"/>
  <c r="R164" i="123" s="1"/>
  <c r="S164" i="123" s="1"/>
  <c r="T164" i="123" s="1"/>
  <c r="U164" i="123" s="1"/>
  <c r="V164" i="123" s="1"/>
  <c r="W164" i="123" s="1"/>
  <c r="X164" i="123" s="1"/>
  <c r="Y164" i="123" s="1"/>
  <c r="Z164" i="123" s="1"/>
  <c r="AA164" i="123" s="1"/>
  <c r="AB164" i="123" s="1"/>
  <c r="AC164" i="123" s="1"/>
  <c r="AD164" i="123" s="1"/>
  <c r="AE164" i="123" s="1"/>
  <c r="AF164" i="123" s="1"/>
  <c r="AG164" i="123" s="1"/>
  <c r="AH164" i="123" s="1"/>
  <c r="AI164" i="123" s="1"/>
  <c r="AJ164" i="123" s="1"/>
  <c r="AK164" i="123" s="1"/>
  <c r="AL164" i="123" s="1"/>
  <c r="O164" i="123"/>
  <c r="N164" i="123"/>
  <c r="M164" i="123"/>
  <c r="L164" i="123"/>
  <c r="K164" i="123"/>
  <c r="K159" i="123"/>
  <c r="K160" i="123" s="1"/>
  <c r="K156" i="123"/>
  <c r="P138" i="123"/>
  <c r="Q138" i="123" s="1"/>
  <c r="R138" i="123" s="1"/>
  <c r="S138" i="123" s="1"/>
  <c r="T138" i="123" s="1"/>
  <c r="U138" i="123" s="1"/>
  <c r="V138" i="123" s="1"/>
  <c r="W138" i="123" s="1"/>
  <c r="X138" i="123" s="1"/>
  <c r="Y138" i="123" s="1"/>
  <c r="Z138" i="123" s="1"/>
  <c r="AA138" i="123" s="1"/>
  <c r="AB138" i="123" s="1"/>
  <c r="AC138" i="123" s="1"/>
  <c r="AD138" i="123" s="1"/>
  <c r="AE138" i="123" s="1"/>
  <c r="AF138" i="123" s="1"/>
  <c r="AG138" i="123" s="1"/>
  <c r="AH138" i="123" s="1"/>
  <c r="AI138" i="123" s="1"/>
  <c r="AJ138" i="123" s="1"/>
  <c r="AK138" i="123" s="1"/>
  <c r="AL138" i="123" s="1"/>
  <c r="O138" i="123"/>
  <c r="N138" i="123"/>
  <c r="M138" i="123"/>
  <c r="L138" i="123"/>
  <c r="K138" i="123"/>
  <c r="P129" i="123"/>
  <c r="Q129" i="123" s="1"/>
  <c r="R129" i="123" s="1"/>
  <c r="S129" i="123" s="1"/>
  <c r="T129" i="123" s="1"/>
  <c r="U129" i="123" s="1"/>
  <c r="V129" i="123" s="1"/>
  <c r="W129" i="123" s="1"/>
  <c r="X129" i="123" s="1"/>
  <c r="Y129" i="123" s="1"/>
  <c r="Z129" i="123" s="1"/>
  <c r="AA129" i="123" s="1"/>
  <c r="AB129" i="123" s="1"/>
  <c r="AC129" i="123" s="1"/>
  <c r="AD129" i="123" s="1"/>
  <c r="AE129" i="123" s="1"/>
  <c r="AF129" i="123" s="1"/>
  <c r="AG129" i="123" s="1"/>
  <c r="AH129" i="123" s="1"/>
  <c r="AI129" i="123" s="1"/>
  <c r="AJ129" i="123" s="1"/>
  <c r="AK129" i="123" s="1"/>
  <c r="AL129" i="123" s="1"/>
  <c r="O129" i="123"/>
  <c r="N129" i="123"/>
  <c r="M129" i="123"/>
  <c r="L129" i="123"/>
  <c r="K129" i="123"/>
  <c r="P122" i="123"/>
  <c r="Q122" i="123" s="1"/>
  <c r="R122" i="123" s="1"/>
  <c r="S122" i="123" s="1"/>
  <c r="T122" i="123" s="1"/>
  <c r="U122" i="123" s="1"/>
  <c r="V122" i="123" s="1"/>
  <c r="W122" i="123" s="1"/>
  <c r="X122" i="123" s="1"/>
  <c r="Y122" i="123" s="1"/>
  <c r="Z122" i="123" s="1"/>
  <c r="AA122" i="123" s="1"/>
  <c r="AB122" i="123" s="1"/>
  <c r="AC122" i="123" s="1"/>
  <c r="AD122" i="123" s="1"/>
  <c r="AE122" i="123" s="1"/>
  <c r="AF122" i="123" s="1"/>
  <c r="AG122" i="123" s="1"/>
  <c r="AH122" i="123" s="1"/>
  <c r="AI122" i="123" s="1"/>
  <c r="AJ122" i="123" s="1"/>
  <c r="AK122" i="123" s="1"/>
  <c r="AL122" i="123" s="1"/>
  <c r="O122" i="123"/>
  <c r="N122" i="123"/>
  <c r="M122" i="123"/>
  <c r="L122" i="123"/>
  <c r="K122" i="123"/>
  <c r="Q115" i="123"/>
  <c r="R115" i="123" s="1"/>
  <c r="S115" i="123" s="1"/>
  <c r="T115" i="123" s="1"/>
  <c r="U115" i="123" s="1"/>
  <c r="V115" i="123" s="1"/>
  <c r="W115" i="123" s="1"/>
  <c r="X115" i="123" s="1"/>
  <c r="Y115" i="123" s="1"/>
  <c r="Z115" i="123" s="1"/>
  <c r="AA115" i="123" s="1"/>
  <c r="AB115" i="123" s="1"/>
  <c r="AC115" i="123" s="1"/>
  <c r="AD115" i="123" s="1"/>
  <c r="AE115" i="123" s="1"/>
  <c r="AF115" i="123" s="1"/>
  <c r="AG115" i="123" s="1"/>
  <c r="AH115" i="123" s="1"/>
  <c r="AI115" i="123" s="1"/>
  <c r="AJ115" i="123" s="1"/>
  <c r="AK115" i="123" s="1"/>
  <c r="AL115" i="123" s="1"/>
  <c r="P115" i="123"/>
  <c r="O115" i="123"/>
  <c r="N115" i="123"/>
  <c r="M115" i="123"/>
  <c r="L115" i="123"/>
  <c r="K115" i="123"/>
  <c r="AL101" i="123"/>
  <c r="AL100" i="123" s="1"/>
  <c r="AK101" i="123"/>
  <c r="AK100" i="123" s="1"/>
  <c r="AJ101" i="123"/>
  <c r="AJ100" i="123" s="1"/>
  <c r="AI101" i="123"/>
  <c r="AI100" i="123" s="1"/>
  <c r="AH101" i="123"/>
  <c r="AH100" i="123" s="1"/>
  <c r="AG101" i="123"/>
  <c r="AF101" i="123"/>
  <c r="AF100" i="123" s="1"/>
  <c r="AE101" i="123"/>
  <c r="AE100" i="123" s="1"/>
  <c r="AD101" i="123"/>
  <c r="AD100" i="123" s="1"/>
  <c r="AC101" i="123"/>
  <c r="AC100" i="123" s="1"/>
  <c r="AB101" i="123"/>
  <c r="AA101" i="123"/>
  <c r="AA100" i="123" s="1"/>
  <c r="Z101" i="123"/>
  <c r="Z100" i="123" s="1"/>
  <c r="Y101" i="123"/>
  <c r="Y100" i="123" s="1"/>
  <c r="X101" i="123"/>
  <c r="X100" i="123" s="1"/>
  <c r="W101" i="123"/>
  <c r="W100" i="123" s="1"/>
  <c r="V101" i="123"/>
  <c r="V100" i="123" s="1"/>
  <c r="U101" i="123"/>
  <c r="U100" i="123" s="1"/>
  <c r="T101" i="123"/>
  <c r="S101" i="123"/>
  <c r="S100" i="123" s="1"/>
  <c r="R101" i="123"/>
  <c r="R100" i="123" s="1"/>
  <c r="AG100" i="123"/>
  <c r="AB100" i="123"/>
  <c r="T100" i="123"/>
  <c r="M81" i="123"/>
  <c r="M193" i="123" s="1"/>
  <c r="AB80" i="123"/>
  <c r="AC80" i="123" s="1"/>
  <c r="AD80" i="123" s="1"/>
  <c r="AE80" i="123" s="1"/>
  <c r="P80" i="123"/>
  <c r="O80" i="123"/>
  <c r="P79" i="123"/>
  <c r="Q79" i="123" s="1"/>
  <c r="R79" i="123" s="1"/>
  <c r="S79" i="123" s="1"/>
  <c r="T79" i="123" s="1"/>
  <c r="U79" i="123" s="1"/>
  <c r="V79" i="123" s="1"/>
  <c r="W79" i="123" s="1"/>
  <c r="X79" i="123" s="1"/>
  <c r="Y79" i="123" s="1"/>
  <c r="Z79" i="123" s="1"/>
  <c r="AA79" i="123" s="1"/>
  <c r="AB79" i="123" s="1"/>
  <c r="AC79" i="123" s="1"/>
  <c r="AD79" i="123" s="1"/>
  <c r="AE79" i="123" s="1"/>
  <c r="AF79" i="123" s="1"/>
  <c r="AG79" i="123" s="1"/>
  <c r="AH79" i="123" s="1"/>
  <c r="AI79" i="123" s="1"/>
  <c r="AJ79" i="123" s="1"/>
  <c r="AK79" i="123" s="1"/>
  <c r="AL79" i="123" s="1"/>
  <c r="O79" i="123"/>
  <c r="N79" i="123"/>
  <c r="M79" i="123"/>
  <c r="L79" i="123"/>
  <c r="K79" i="123"/>
  <c r="P78" i="123"/>
  <c r="P88" i="123" s="1"/>
  <c r="O78" i="123"/>
  <c r="N78" i="123"/>
  <c r="M78" i="123"/>
  <c r="L78" i="123"/>
  <c r="K78" i="123"/>
  <c r="P77" i="123"/>
  <c r="O77" i="123"/>
  <c r="N77" i="123"/>
  <c r="M77" i="123"/>
  <c r="L77" i="123"/>
  <c r="K77" i="123"/>
  <c r="P76" i="123"/>
  <c r="Q76" i="123" s="1"/>
  <c r="R76" i="123" s="1"/>
  <c r="S76" i="123" s="1"/>
  <c r="T76" i="123" s="1"/>
  <c r="U76" i="123" s="1"/>
  <c r="V76" i="123" s="1"/>
  <c r="W76" i="123" s="1"/>
  <c r="X76" i="123" s="1"/>
  <c r="Y76" i="123" s="1"/>
  <c r="Z76" i="123" s="1"/>
  <c r="AA76" i="123" s="1"/>
  <c r="AB76" i="123" s="1"/>
  <c r="AC76" i="123" s="1"/>
  <c r="AD76" i="123" s="1"/>
  <c r="AE76" i="123" s="1"/>
  <c r="AF76" i="123" s="1"/>
  <c r="AG76" i="123" s="1"/>
  <c r="AH76" i="123" s="1"/>
  <c r="AI76" i="123" s="1"/>
  <c r="AJ76" i="123" s="1"/>
  <c r="AK76" i="123" s="1"/>
  <c r="AL76" i="123" s="1"/>
  <c r="O76" i="123"/>
  <c r="N76" i="123"/>
  <c r="M76" i="123"/>
  <c r="L76" i="123"/>
  <c r="K76" i="123"/>
  <c r="AL75" i="123"/>
  <c r="P75" i="123"/>
  <c r="Q75" i="123" s="1"/>
  <c r="R75" i="123" s="1"/>
  <c r="S75" i="123" s="1"/>
  <c r="T75" i="123" s="1"/>
  <c r="U75" i="123" s="1"/>
  <c r="V75" i="123" s="1"/>
  <c r="W75" i="123" s="1"/>
  <c r="X75" i="123" s="1"/>
  <c r="Y75" i="123" s="1"/>
  <c r="Z75" i="123" s="1"/>
  <c r="AA75" i="123" s="1"/>
  <c r="AB75" i="123" s="1"/>
  <c r="AC75" i="123" s="1"/>
  <c r="AD75" i="123" s="1"/>
  <c r="AE75" i="123" s="1"/>
  <c r="AF75" i="123" s="1"/>
  <c r="AG75" i="123" s="1"/>
  <c r="AH75" i="123" s="1"/>
  <c r="AI75" i="123" s="1"/>
  <c r="AJ75" i="123" s="1"/>
  <c r="AK75" i="123" s="1"/>
  <c r="O75" i="123"/>
  <c r="N75" i="123"/>
  <c r="M75" i="123"/>
  <c r="L75" i="123"/>
  <c r="K75" i="123"/>
  <c r="P74" i="123"/>
  <c r="P101" i="123" s="1"/>
  <c r="P100" i="123" s="1"/>
  <c r="O74" i="123"/>
  <c r="O101" i="123" s="1"/>
  <c r="O100" i="123" s="1"/>
  <c r="N74" i="123"/>
  <c r="N101" i="123" s="1"/>
  <c r="N100" i="123" s="1"/>
  <c r="M74" i="123"/>
  <c r="M101" i="123" s="1"/>
  <c r="M100" i="123" s="1"/>
  <c r="L74" i="123"/>
  <c r="L101" i="123" s="1"/>
  <c r="L100" i="123" s="1"/>
  <c r="K74" i="123"/>
  <c r="K101" i="123" s="1"/>
  <c r="N73" i="123"/>
  <c r="O73" i="123" s="1"/>
  <c r="P73" i="123" s="1"/>
  <c r="Q73" i="123" s="1"/>
  <c r="R73" i="123" s="1"/>
  <c r="S73" i="123" s="1"/>
  <c r="T73" i="123" s="1"/>
  <c r="U73" i="123" s="1"/>
  <c r="V73" i="123" s="1"/>
  <c r="W73" i="123" s="1"/>
  <c r="X73" i="123" s="1"/>
  <c r="Y73" i="123" s="1"/>
  <c r="Z73" i="123" s="1"/>
  <c r="AA73" i="123" s="1"/>
  <c r="AB73" i="123" s="1"/>
  <c r="AC73" i="123" s="1"/>
  <c r="AD73" i="123" s="1"/>
  <c r="AE73" i="123" s="1"/>
  <c r="AF73" i="123" s="1"/>
  <c r="AG73" i="123" s="1"/>
  <c r="AH73" i="123" s="1"/>
  <c r="AI73" i="123" s="1"/>
  <c r="AJ73" i="123" s="1"/>
  <c r="AK73" i="123" s="1"/>
  <c r="AL73" i="123" s="1"/>
  <c r="M73" i="123"/>
  <c r="L73" i="123"/>
  <c r="K73" i="123"/>
  <c r="N72" i="123"/>
  <c r="O72" i="123" s="1"/>
  <c r="P72" i="123" s="1"/>
  <c r="Q72" i="123" s="1"/>
  <c r="R72" i="123" s="1"/>
  <c r="S72" i="123" s="1"/>
  <c r="T72" i="123" s="1"/>
  <c r="U72" i="123" s="1"/>
  <c r="V72" i="123" s="1"/>
  <c r="W72" i="123" s="1"/>
  <c r="X72" i="123" s="1"/>
  <c r="Y72" i="123" s="1"/>
  <c r="Z72" i="123" s="1"/>
  <c r="AA72" i="123" s="1"/>
  <c r="AB72" i="123" s="1"/>
  <c r="AC72" i="123" s="1"/>
  <c r="AD72" i="123" s="1"/>
  <c r="AE72" i="123" s="1"/>
  <c r="AF72" i="123" s="1"/>
  <c r="AG72" i="123" s="1"/>
  <c r="AH72" i="123" s="1"/>
  <c r="AI72" i="123" s="1"/>
  <c r="AJ72" i="123" s="1"/>
  <c r="AK72" i="123" s="1"/>
  <c r="AL72" i="123" s="1"/>
  <c r="M72" i="123"/>
  <c r="L72" i="123"/>
  <c r="K72" i="123"/>
  <c r="N71" i="123"/>
  <c r="O71" i="123" s="1"/>
  <c r="P71" i="123" s="1"/>
  <c r="Q71" i="123" s="1"/>
  <c r="R71" i="123" s="1"/>
  <c r="S71" i="123" s="1"/>
  <c r="T71" i="123" s="1"/>
  <c r="U71" i="123" s="1"/>
  <c r="V71" i="123" s="1"/>
  <c r="W71" i="123" s="1"/>
  <c r="X71" i="123" s="1"/>
  <c r="Y71" i="123" s="1"/>
  <c r="Z71" i="123" s="1"/>
  <c r="AA71" i="123" s="1"/>
  <c r="AB71" i="123" s="1"/>
  <c r="AC71" i="123" s="1"/>
  <c r="AD71" i="123" s="1"/>
  <c r="AE71" i="123" s="1"/>
  <c r="AF71" i="123" s="1"/>
  <c r="AG71" i="123" s="1"/>
  <c r="AH71" i="123" s="1"/>
  <c r="AI71" i="123" s="1"/>
  <c r="AJ71" i="123" s="1"/>
  <c r="AK71" i="123" s="1"/>
  <c r="AL71" i="123" s="1"/>
  <c r="M71" i="123"/>
  <c r="L71" i="123"/>
  <c r="K71" i="123"/>
  <c r="AL68" i="123"/>
  <c r="AK68" i="123"/>
  <c r="AJ68" i="123"/>
  <c r="AI68" i="123"/>
  <c r="AH68" i="123"/>
  <c r="AG68" i="123"/>
  <c r="AF68" i="123"/>
  <c r="AE68" i="123"/>
  <c r="AD68" i="123"/>
  <c r="AC68" i="123"/>
  <c r="AB68" i="123"/>
  <c r="AA68" i="123"/>
  <c r="M68" i="123"/>
  <c r="L68" i="123"/>
  <c r="K68" i="123"/>
  <c r="AL67" i="123"/>
  <c r="AK67" i="123"/>
  <c r="AJ67" i="123"/>
  <c r="AI67" i="123"/>
  <c r="AH67" i="123"/>
  <c r="AG67" i="123"/>
  <c r="AF67" i="123"/>
  <c r="AE67" i="123"/>
  <c r="AD67" i="123"/>
  <c r="AC67" i="123"/>
  <c r="AB67" i="123"/>
  <c r="AA67" i="123"/>
  <c r="M67" i="123"/>
  <c r="L67" i="123"/>
  <c r="K67" i="123"/>
  <c r="K65" i="123"/>
  <c r="L65" i="123" s="1"/>
  <c r="P56" i="123"/>
  <c r="Q56" i="123" s="1"/>
  <c r="R56" i="123" s="1"/>
  <c r="S56" i="123" s="1"/>
  <c r="T56" i="123" s="1"/>
  <c r="U56" i="123" s="1"/>
  <c r="V56" i="123" s="1"/>
  <c r="W56" i="123" s="1"/>
  <c r="X56" i="123" s="1"/>
  <c r="Y56" i="123" s="1"/>
  <c r="Z56" i="123" s="1"/>
  <c r="AA56" i="123" s="1"/>
  <c r="AB56" i="123" s="1"/>
  <c r="AC56" i="123" s="1"/>
  <c r="AD56" i="123" s="1"/>
  <c r="AE56" i="123" s="1"/>
  <c r="AF56" i="123" s="1"/>
  <c r="AG56" i="123" s="1"/>
  <c r="AH56" i="123" s="1"/>
  <c r="AI56" i="123" s="1"/>
  <c r="AJ56" i="123" s="1"/>
  <c r="AK56" i="123" s="1"/>
  <c r="AL56" i="123" s="1"/>
  <c r="O56" i="123"/>
  <c r="N56" i="123"/>
  <c r="M19" i="123"/>
  <c r="L19" i="123"/>
  <c r="K19" i="123"/>
  <c r="M16" i="123"/>
  <c r="L16" i="123"/>
  <c r="K16" i="123"/>
  <c r="AD13" i="123"/>
  <c r="J5" i="123"/>
  <c r="K4" i="123" s="1"/>
  <c r="A2" i="123"/>
  <c r="Y23" i="118" l="1"/>
  <c r="Q78" i="123"/>
  <c r="R78" i="123" s="1"/>
  <c r="S78" i="123" s="1"/>
  <c r="S88" i="123" s="1"/>
  <c r="Q74" i="123"/>
  <c r="R74" i="123" s="1"/>
  <c r="S74" i="123" s="1"/>
  <c r="T74" i="123" s="1"/>
  <c r="U74" i="123" s="1"/>
  <c r="V74" i="123" s="1"/>
  <c r="W74" i="123" s="1"/>
  <c r="X74" i="123" s="1"/>
  <c r="Y74" i="123" s="1"/>
  <c r="Z74" i="123" s="1"/>
  <c r="AA74" i="123" s="1"/>
  <c r="AB74" i="123" s="1"/>
  <c r="AC74" i="123" s="1"/>
  <c r="AD74" i="123" s="1"/>
  <c r="AE74" i="123" s="1"/>
  <c r="AF74" i="123" s="1"/>
  <c r="AG74" i="123" s="1"/>
  <c r="AH74" i="123" s="1"/>
  <c r="AI74" i="123" s="1"/>
  <c r="AJ74" i="123" s="1"/>
  <c r="AK74" i="123" s="1"/>
  <c r="AL74" i="123" s="1"/>
  <c r="N81" i="123"/>
  <c r="O81" i="123" s="1"/>
  <c r="K100" i="123"/>
  <c r="K66" i="123"/>
  <c r="L81" i="123"/>
  <c r="L193" i="123" s="1"/>
  <c r="AJ80" i="127"/>
  <c r="R67" i="127"/>
  <c r="S65" i="127"/>
  <c r="R68" i="127"/>
  <c r="R193" i="127"/>
  <c r="Y88" i="127"/>
  <c r="Z78" i="127"/>
  <c r="W77" i="127"/>
  <c r="W81" i="127"/>
  <c r="N10" i="127"/>
  <c r="O4" i="127"/>
  <c r="N11" i="127"/>
  <c r="V90" i="127"/>
  <c r="W80" i="127"/>
  <c r="AJ80" i="126"/>
  <c r="T81" i="126"/>
  <c r="R67" i="126"/>
  <c r="R68" i="126"/>
  <c r="S65" i="126"/>
  <c r="W88" i="126"/>
  <c r="X78" i="126"/>
  <c r="N11" i="126"/>
  <c r="O4" i="126"/>
  <c r="N10" i="126"/>
  <c r="W77" i="126"/>
  <c r="Y80" i="126"/>
  <c r="V90" i="125"/>
  <c r="W80" i="125"/>
  <c r="M188" i="125"/>
  <c r="T68" i="125"/>
  <c r="T67" i="125"/>
  <c r="U65" i="125"/>
  <c r="Y77" i="125"/>
  <c r="AI80" i="125"/>
  <c r="N5" i="125"/>
  <c r="T193" i="125"/>
  <c r="U81" i="125"/>
  <c r="X78" i="125"/>
  <c r="W88" i="125"/>
  <c r="X71" i="124"/>
  <c r="AI80" i="124"/>
  <c r="M188" i="124"/>
  <c r="R67" i="124"/>
  <c r="S65" i="124"/>
  <c r="S193" i="124" s="1"/>
  <c r="R68" i="124"/>
  <c r="V88" i="124"/>
  <c r="W78" i="124"/>
  <c r="V90" i="124"/>
  <c r="W80" i="124"/>
  <c r="T81" i="124"/>
  <c r="W77" i="124"/>
  <c r="N5" i="124"/>
  <c r="X75" i="124"/>
  <c r="R193" i="124"/>
  <c r="K5" i="123"/>
  <c r="K81" i="123"/>
  <c r="K193" i="123" s="1"/>
  <c r="Q88" i="123"/>
  <c r="M65" i="123"/>
  <c r="L66" i="123"/>
  <c r="R88" i="123"/>
  <c r="Q77" i="123"/>
  <c r="AF80" i="123"/>
  <c r="T78" i="123"/>
  <c r="Q80" i="123"/>
  <c r="G180" i="112"/>
  <c r="Z23" i="118" l="1"/>
  <c r="T65" i="127"/>
  <c r="S68" i="127"/>
  <c r="S67" i="127"/>
  <c r="S193" i="127"/>
  <c r="Z88" i="127"/>
  <c r="AA78" i="127"/>
  <c r="N38" i="127"/>
  <c r="N188" i="127"/>
  <c r="X77" i="127"/>
  <c r="X80" i="127"/>
  <c r="W90" i="127"/>
  <c r="O5" i="127"/>
  <c r="X81" i="127"/>
  <c r="AK80" i="127"/>
  <c r="X77" i="126"/>
  <c r="O5" i="126"/>
  <c r="N188" i="126"/>
  <c r="X88" i="126"/>
  <c r="Y78" i="126"/>
  <c r="U81" i="126"/>
  <c r="Z80" i="126"/>
  <c r="S67" i="126"/>
  <c r="T65" i="126"/>
  <c r="S68" i="126"/>
  <c r="S193" i="126"/>
  <c r="AK80" i="126"/>
  <c r="Y78" i="125"/>
  <c r="X88" i="125"/>
  <c r="U68" i="125"/>
  <c r="V65" i="125"/>
  <c r="U67" i="125"/>
  <c r="U193" i="125"/>
  <c r="V81" i="125"/>
  <c r="Z77" i="125"/>
  <c r="N11" i="125"/>
  <c r="O4" i="125"/>
  <c r="N10" i="125"/>
  <c r="AJ80" i="125"/>
  <c r="X80" i="125"/>
  <c r="W90" i="125"/>
  <c r="X77" i="124"/>
  <c r="W88" i="124"/>
  <c r="X78" i="124"/>
  <c r="Y75" i="124"/>
  <c r="U81" i="124"/>
  <c r="AJ80" i="124"/>
  <c r="Y71" i="124"/>
  <c r="X80" i="124"/>
  <c r="W90" i="124"/>
  <c r="T65" i="124"/>
  <c r="S68" i="124"/>
  <c r="S67" i="124"/>
  <c r="N10" i="124"/>
  <c r="O4" i="124"/>
  <c r="N11" i="124"/>
  <c r="M66" i="123"/>
  <c r="N65" i="123"/>
  <c r="T88" i="123"/>
  <c r="U78" i="123"/>
  <c r="AG80" i="123"/>
  <c r="P81" i="123"/>
  <c r="K10" i="123"/>
  <c r="K11" i="123"/>
  <c r="L4" i="123"/>
  <c r="R80" i="123"/>
  <c r="R77" i="123"/>
  <c r="E184" i="112"/>
  <c r="AA23" i="118" l="1"/>
  <c r="V31" i="126"/>
  <c r="V90" i="126" s="1"/>
  <c r="X31" i="126"/>
  <c r="X90" i="126" s="1"/>
  <c r="U31" i="126"/>
  <c r="U90" i="126" s="1"/>
  <c r="AA31" i="126"/>
  <c r="Y31" i="126"/>
  <c r="Y90" i="126" s="1"/>
  <c r="W31" i="126"/>
  <c r="W90" i="126" s="1"/>
  <c r="Z31" i="126"/>
  <c r="Z90" i="126" s="1"/>
  <c r="X31" i="123"/>
  <c r="U31" i="123"/>
  <c r="W31" i="123"/>
  <c r="V31" i="123"/>
  <c r="Z31" i="123"/>
  <c r="AA31" i="123"/>
  <c r="Y31" i="123"/>
  <c r="P4" i="127"/>
  <c r="O11" i="127"/>
  <c r="O10" i="127"/>
  <c r="Y80" i="127"/>
  <c r="X90" i="127"/>
  <c r="AL80" i="127"/>
  <c r="AA88" i="127"/>
  <c r="AB78" i="127"/>
  <c r="Y81" i="127"/>
  <c r="U65" i="127"/>
  <c r="T68" i="127"/>
  <c r="T67" i="127"/>
  <c r="T193" i="127"/>
  <c r="Y77" i="127"/>
  <c r="O11" i="126"/>
  <c r="P4" i="126"/>
  <c r="O10" i="126"/>
  <c r="AA80" i="126"/>
  <c r="AA90" i="126" s="1"/>
  <c r="T67" i="126"/>
  <c r="U65" i="126"/>
  <c r="U193" i="126" s="1"/>
  <c r="T68" i="126"/>
  <c r="V81" i="126"/>
  <c r="Y88" i="126"/>
  <c r="Z78" i="126"/>
  <c r="T193" i="126"/>
  <c r="Y77" i="126"/>
  <c r="AL80" i="126"/>
  <c r="X90" i="125"/>
  <c r="Y80" i="125"/>
  <c r="N188" i="125"/>
  <c r="AA77" i="125"/>
  <c r="Z78" i="125"/>
  <c r="Y88" i="125"/>
  <c r="O5" i="125"/>
  <c r="V67" i="125"/>
  <c r="V68" i="125"/>
  <c r="W65" i="125"/>
  <c r="AK80" i="125"/>
  <c r="V193" i="125"/>
  <c r="W81" i="125"/>
  <c r="X88" i="124"/>
  <c r="Y78" i="124"/>
  <c r="U65" i="124"/>
  <c r="U193" i="124" s="1"/>
  <c r="T68" i="124"/>
  <c r="T67" i="124"/>
  <c r="AK80" i="124"/>
  <c r="Z71" i="124"/>
  <c r="Y77" i="124"/>
  <c r="O5" i="124"/>
  <c r="T193" i="124"/>
  <c r="Y80" i="124"/>
  <c r="X90" i="124"/>
  <c r="N188" i="124"/>
  <c r="V81" i="124"/>
  <c r="Z75" i="124"/>
  <c r="S80" i="123"/>
  <c r="O65" i="123"/>
  <c r="N68" i="123"/>
  <c r="N67" i="123"/>
  <c r="N193" i="123"/>
  <c r="U88" i="123"/>
  <c r="V78" i="123"/>
  <c r="S77" i="123"/>
  <c r="L5" i="123"/>
  <c r="Q81" i="123"/>
  <c r="K188" i="123"/>
  <c r="AH80" i="123"/>
  <c r="AL165" i="123"/>
  <c r="AL166" i="123" s="1"/>
  <c r="AJ165" i="123"/>
  <c r="AJ166" i="123" s="1"/>
  <c r="Y165" i="123"/>
  <c r="Y166" i="123" s="1"/>
  <c r="AD165" i="123"/>
  <c r="AD166" i="123" s="1"/>
  <c r="O165" i="123"/>
  <c r="O166" i="123" s="1"/>
  <c r="AB165" i="123"/>
  <c r="AB166" i="123" s="1"/>
  <c r="L165" i="123"/>
  <c r="L166" i="123" s="1"/>
  <c r="Z165" i="123"/>
  <c r="Z166" i="123" s="1"/>
  <c r="W165" i="123"/>
  <c r="W166" i="123" s="1"/>
  <c r="V165" i="123"/>
  <c r="V166" i="123" s="1"/>
  <c r="AG165" i="123"/>
  <c r="AG166" i="123" s="1"/>
  <c r="Q165" i="123"/>
  <c r="Q166" i="123" s="1"/>
  <c r="AF165" i="123"/>
  <c r="AF166" i="123" s="1"/>
  <c r="AB130" i="123"/>
  <c r="AB131" i="123" s="1"/>
  <c r="P130" i="123"/>
  <c r="P131" i="123" s="1"/>
  <c r="AD123" i="123"/>
  <c r="AD124" i="123" s="1"/>
  <c r="R123" i="123"/>
  <c r="R124" i="123" s="1"/>
  <c r="R165" i="123"/>
  <c r="R166" i="123" s="1"/>
  <c r="Z130" i="123"/>
  <c r="Z131" i="123" s="1"/>
  <c r="N130" i="123"/>
  <c r="N131" i="123" s="1"/>
  <c r="P165" i="123"/>
  <c r="P166" i="123" s="1"/>
  <c r="AJ130" i="123"/>
  <c r="AJ131" i="123" s="1"/>
  <c r="X130" i="123"/>
  <c r="X131" i="123" s="1"/>
  <c r="AL123" i="123"/>
  <c r="AL124" i="123" s="1"/>
  <c r="Z123" i="123"/>
  <c r="Z124" i="123" s="1"/>
  <c r="M123" i="123"/>
  <c r="M124" i="123" s="1"/>
  <c r="AG130" i="123"/>
  <c r="AG131" i="123" s="1"/>
  <c r="T130" i="123"/>
  <c r="T131" i="123" s="1"/>
  <c r="AJ123" i="123"/>
  <c r="AJ124" i="123" s="1"/>
  <c r="V123" i="123"/>
  <c r="V124" i="123" s="1"/>
  <c r="AD130" i="123"/>
  <c r="AD131" i="123" s="1"/>
  <c r="AB123" i="123"/>
  <c r="AB124" i="123" s="1"/>
  <c r="AH116" i="123"/>
  <c r="AH117" i="123" s="1"/>
  <c r="U116" i="123"/>
  <c r="U117" i="123" s="1"/>
  <c r="Y130" i="123"/>
  <c r="Y131" i="123" s="1"/>
  <c r="X123" i="123"/>
  <c r="X124" i="123" s="1"/>
  <c r="V130" i="123"/>
  <c r="V131" i="123" s="1"/>
  <c r="U123" i="123"/>
  <c r="U124" i="123" s="1"/>
  <c r="R130" i="123"/>
  <c r="R131" i="123" s="1"/>
  <c r="T123" i="123"/>
  <c r="T124" i="123" s="1"/>
  <c r="Q130" i="123"/>
  <c r="Q131" i="123" s="1"/>
  <c r="AK123" i="123"/>
  <c r="AK124" i="123" s="1"/>
  <c r="P123" i="123"/>
  <c r="P124" i="123" s="1"/>
  <c r="AB116" i="123"/>
  <c r="AB117" i="123" s="1"/>
  <c r="O116" i="123"/>
  <c r="O117" i="123" s="1"/>
  <c r="AL130" i="123"/>
  <c r="AL131" i="123" s="1"/>
  <c r="L130" i="123"/>
  <c r="L131" i="123" s="1"/>
  <c r="AH123" i="123"/>
  <c r="AH124" i="123" s="1"/>
  <c r="N123" i="123"/>
  <c r="N124" i="123" s="1"/>
  <c r="Z116" i="123"/>
  <c r="Z117" i="123" s="1"/>
  <c r="M116" i="123"/>
  <c r="M117" i="123" s="1"/>
  <c r="AH130" i="123"/>
  <c r="AH131" i="123" s="1"/>
  <c r="AF123" i="123"/>
  <c r="AF124" i="123" s="1"/>
  <c r="L123" i="123"/>
  <c r="L124" i="123" s="1"/>
  <c r="K157" i="123"/>
  <c r="AJ116" i="123"/>
  <c r="AJ117" i="123" s="1"/>
  <c r="AC123" i="123"/>
  <c r="AC124" i="123" s="1"/>
  <c r="W116" i="123"/>
  <c r="W117" i="123" s="1"/>
  <c r="AF130" i="123"/>
  <c r="AF131" i="123" s="1"/>
  <c r="AJ139" i="123"/>
  <c r="AJ140" i="123" s="1"/>
  <c r="AI116" i="123"/>
  <c r="AI117" i="123" s="1"/>
  <c r="AF139" i="123"/>
  <c r="AF140" i="123" s="1"/>
  <c r="AA165" i="123"/>
  <c r="AA166" i="123" s="1"/>
  <c r="AA116" i="123"/>
  <c r="AA117" i="123" s="1"/>
  <c r="M139" i="123"/>
  <c r="M140" i="123" s="1"/>
  <c r="K123" i="123"/>
  <c r="K124" i="123" s="1"/>
  <c r="AE130" i="123"/>
  <c r="AE131" i="123" s="1"/>
  <c r="Q139" i="123"/>
  <c r="Q140" i="123" s="1"/>
  <c r="S165" i="123"/>
  <c r="S166" i="123" s="1"/>
  <c r="X139" i="123"/>
  <c r="X140" i="123" s="1"/>
  <c r="U165" i="123"/>
  <c r="U166" i="123" s="1"/>
  <c r="Y139" i="123"/>
  <c r="Y140" i="123" s="1"/>
  <c r="S116" i="123"/>
  <c r="S117" i="123" s="1"/>
  <c r="N116" i="123"/>
  <c r="N117" i="123" s="1"/>
  <c r="Z139" i="123"/>
  <c r="Z140" i="123" s="1"/>
  <c r="AL139" i="123"/>
  <c r="AL140" i="123" s="1"/>
  <c r="AD139" i="123"/>
  <c r="AD140" i="123" s="1"/>
  <c r="O123" i="123"/>
  <c r="O124" i="123" s="1"/>
  <c r="Q123" i="123"/>
  <c r="Q124" i="123" s="1"/>
  <c r="S123" i="123"/>
  <c r="S124" i="123" s="1"/>
  <c r="K165" i="123"/>
  <c r="K166" i="123" s="1"/>
  <c r="L116" i="123"/>
  <c r="L117" i="123" s="1"/>
  <c r="R116" i="123"/>
  <c r="R117" i="123" s="1"/>
  <c r="AC139" i="123"/>
  <c r="AC140" i="123" s="1"/>
  <c r="W123" i="123"/>
  <c r="W124" i="123" s="1"/>
  <c r="AA123" i="123"/>
  <c r="AA124" i="123" s="1"/>
  <c r="AK165" i="123"/>
  <c r="AK166" i="123" s="1"/>
  <c r="K130" i="123"/>
  <c r="K131" i="123" s="1"/>
  <c r="K116" i="123"/>
  <c r="K117" i="123" s="1"/>
  <c r="R139" i="123"/>
  <c r="R140" i="123" s="1"/>
  <c r="P139" i="123"/>
  <c r="P140" i="123" s="1"/>
  <c r="Y123" i="123"/>
  <c r="Y124" i="123" s="1"/>
  <c r="AC165" i="123"/>
  <c r="AC166" i="123" s="1"/>
  <c r="K139" i="123"/>
  <c r="K140" i="123" s="1"/>
  <c r="Y116" i="123"/>
  <c r="Y117" i="123" s="1"/>
  <c r="AF116" i="123"/>
  <c r="AF117" i="123" s="1"/>
  <c r="AE116" i="123"/>
  <c r="AE117" i="123" s="1"/>
  <c r="AG139" i="123"/>
  <c r="AG140" i="123" s="1"/>
  <c r="T139" i="123"/>
  <c r="T140" i="123" s="1"/>
  <c r="AA139" i="123"/>
  <c r="AA140" i="123" s="1"/>
  <c r="AE123" i="123"/>
  <c r="AE124" i="123" s="1"/>
  <c r="AG123" i="123"/>
  <c r="AG124" i="123" s="1"/>
  <c r="O130" i="123"/>
  <c r="O131" i="123" s="1"/>
  <c r="L139" i="123"/>
  <c r="L140" i="123" s="1"/>
  <c r="Q116" i="123"/>
  <c r="Q117" i="123" s="1"/>
  <c r="P116" i="123"/>
  <c r="P117" i="123" s="1"/>
  <c r="U139" i="123"/>
  <c r="U140" i="123" s="1"/>
  <c r="O139" i="123"/>
  <c r="O140" i="123" s="1"/>
  <c r="AI139" i="123"/>
  <c r="AI140" i="123" s="1"/>
  <c r="AK139" i="123"/>
  <c r="AK140" i="123" s="1"/>
  <c r="S130" i="123"/>
  <c r="S131" i="123" s="1"/>
  <c r="U130" i="123"/>
  <c r="U131" i="123" s="1"/>
  <c r="T165" i="123"/>
  <c r="T166" i="123" s="1"/>
  <c r="M165" i="123"/>
  <c r="M166" i="123" s="1"/>
  <c r="AL116" i="123"/>
  <c r="AL117" i="123" s="1"/>
  <c r="T116" i="123"/>
  <c r="T117" i="123" s="1"/>
  <c r="S139" i="123"/>
  <c r="S140" i="123" s="1"/>
  <c r="W139" i="123"/>
  <c r="W140" i="123" s="1"/>
  <c r="AA130" i="123"/>
  <c r="AA131" i="123" s="1"/>
  <c r="AI165" i="123"/>
  <c r="AI166" i="123" s="1"/>
  <c r="N165" i="123"/>
  <c r="N166" i="123" s="1"/>
  <c r="AD116" i="123"/>
  <c r="AD117" i="123" s="1"/>
  <c r="AB139" i="123"/>
  <c r="AB140" i="123" s="1"/>
  <c r="AK130" i="123"/>
  <c r="AK131" i="123" s="1"/>
  <c r="V116" i="123"/>
  <c r="V117" i="123" s="1"/>
  <c r="AE165" i="123"/>
  <c r="AE166" i="123" s="1"/>
  <c r="AK116" i="123"/>
  <c r="AK117" i="123" s="1"/>
  <c r="M130" i="123"/>
  <c r="M131" i="123" s="1"/>
  <c r="N139" i="123"/>
  <c r="N140" i="123" s="1"/>
  <c r="AE139" i="123"/>
  <c r="AE140" i="123" s="1"/>
  <c r="AC130" i="123"/>
  <c r="AC131" i="123" s="1"/>
  <c r="AC116" i="123"/>
  <c r="AC117" i="123" s="1"/>
  <c r="AG116" i="123"/>
  <c r="AG117" i="123" s="1"/>
  <c r="V139" i="123"/>
  <c r="V140" i="123" s="1"/>
  <c r="AI130" i="123"/>
  <c r="AI131" i="123" s="1"/>
  <c r="X165" i="123"/>
  <c r="X166" i="123" s="1"/>
  <c r="AH139" i="123"/>
  <c r="AH140" i="123" s="1"/>
  <c r="AI123" i="123"/>
  <c r="AI124" i="123" s="1"/>
  <c r="AH165" i="123"/>
  <c r="AH166" i="123" s="1"/>
  <c r="X116" i="123"/>
  <c r="X117" i="123" s="1"/>
  <c r="W130" i="123"/>
  <c r="W131" i="123" s="1"/>
  <c r="E170" i="112"/>
  <c r="E171" i="112" s="1"/>
  <c r="E194" i="112"/>
  <c r="F184" i="112"/>
  <c r="F180" i="112" s="1"/>
  <c r="AB23" i="118" l="1"/>
  <c r="U68" i="127"/>
  <c r="V65" i="127"/>
  <c r="U67" i="127"/>
  <c r="U193" i="127"/>
  <c r="Z77" i="127"/>
  <c r="Z80" i="127"/>
  <c r="Y90" i="127"/>
  <c r="Z81" i="127"/>
  <c r="O38" i="127"/>
  <c r="O188" i="127"/>
  <c r="AB88" i="127"/>
  <c r="AC78" i="127"/>
  <c r="P5" i="127"/>
  <c r="AA78" i="126"/>
  <c r="Z88" i="126"/>
  <c r="P5" i="126"/>
  <c r="V65" i="126"/>
  <c r="V193" i="126" s="1"/>
  <c r="U68" i="126"/>
  <c r="U67" i="126"/>
  <c r="O188" i="126"/>
  <c r="Z77" i="126"/>
  <c r="W81" i="126"/>
  <c r="W67" i="125"/>
  <c r="W68" i="125"/>
  <c r="X65" i="125"/>
  <c r="W193" i="125"/>
  <c r="X81" i="125"/>
  <c r="O11" i="125"/>
  <c r="P4" i="125"/>
  <c r="O10" i="125"/>
  <c r="Y90" i="125"/>
  <c r="Z80" i="125"/>
  <c r="AL80" i="125"/>
  <c r="Z88" i="125"/>
  <c r="AA78" i="125"/>
  <c r="AB77" i="125"/>
  <c r="W81" i="124"/>
  <c r="U68" i="124"/>
  <c r="U67" i="124"/>
  <c r="V65" i="124"/>
  <c r="AA75" i="124"/>
  <c r="AA71" i="124"/>
  <c r="O10" i="124"/>
  <c r="P4" i="124"/>
  <c r="O11" i="124"/>
  <c r="Y88" i="124"/>
  <c r="Z78" i="124"/>
  <c r="Z77" i="124"/>
  <c r="AL80" i="124"/>
  <c r="Y90" i="124"/>
  <c r="Z80" i="124"/>
  <c r="V88" i="123"/>
  <c r="W78" i="123"/>
  <c r="T77" i="123"/>
  <c r="R81" i="123"/>
  <c r="P65" i="123"/>
  <c r="O67" i="123"/>
  <c r="O68" i="123"/>
  <c r="O193" i="123"/>
  <c r="L10" i="123"/>
  <c r="M4" i="123"/>
  <c r="L11" i="123"/>
  <c r="AI80" i="123"/>
  <c r="T80" i="123"/>
  <c r="AD13" i="118"/>
  <c r="AC23" i="118" l="1"/>
  <c r="Z90" i="127"/>
  <c r="AA80" i="127"/>
  <c r="AA90" i="127" s="1"/>
  <c r="AA77" i="127"/>
  <c r="V68" i="127"/>
  <c r="V67" i="127"/>
  <c r="W65" i="127"/>
  <c r="V193" i="127"/>
  <c r="AA81" i="127"/>
  <c r="P10" i="127"/>
  <c r="Q4" i="127"/>
  <c r="P11" i="127"/>
  <c r="AC88" i="127"/>
  <c r="AD78" i="127"/>
  <c r="X81" i="126"/>
  <c r="AA77" i="126"/>
  <c r="W65" i="126"/>
  <c r="V68" i="126"/>
  <c r="V67" i="126"/>
  <c r="AB78" i="126"/>
  <c r="AA88" i="126"/>
  <c r="P10" i="126"/>
  <c r="P11" i="126"/>
  <c r="Q4" i="126"/>
  <c r="P5" i="125"/>
  <c r="X67" i="125"/>
  <c r="Y65" i="125"/>
  <c r="X68" i="125"/>
  <c r="O188" i="125"/>
  <c r="AA88" i="125"/>
  <c r="AB78" i="125"/>
  <c r="Z90" i="125"/>
  <c r="AA80" i="125"/>
  <c r="AA90" i="125" s="1"/>
  <c r="X193" i="125"/>
  <c r="Y81" i="125"/>
  <c r="AC77" i="125"/>
  <c r="AB75" i="124"/>
  <c r="V68" i="124"/>
  <c r="V67" i="124"/>
  <c r="W65" i="124"/>
  <c r="AA80" i="124"/>
  <c r="AA90" i="124" s="1"/>
  <c r="Z90" i="124"/>
  <c r="Z88" i="124"/>
  <c r="AA78" i="124"/>
  <c r="O188" i="124"/>
  <c r="AB71" i="124"/>
  <c r="P5" i="124"/>
  <c r="X81" i="124"/>
  <c r="V193" i="124"/>
  <c r="AA77" i="124"/>
  <c r="U80" i="123"/>
  <c r="P68" i="123"/>
  <c r="P67" i="123"/>
  <c r="Q65" i="123"/>
  <c r="P193" i="123"/>
  <c r="U77" i="123"/>
  <c r="W88" i="123"/>
  <c r="X78" i="123"/>
  <c r="AJ80" i="123"/>
  <c r="S81" i="123"/>
  <c r="L188" i="123"/>
  <c r="M5" i="123"/>
  <c r="A2" i="120"/>
  <c r="R107" i="118"/>
  <c r="R106" i="118" s="1"/>
  <c r="S107" i="118"/>
  <c r="S106" i="118" s="1"/>
  <c r="T107" i="118"/>
  <c r="T106" i="118" s="1"/>
  <c r="U107" i="118"/>
  <c r="U106" i="118" s="1"/>
  <c r="V107" i="118"/>
  <c r="V106" i="118" s="1"/>
  <c r="W107" i="118"/>
  <c r="W106" i="118" s="1"/>
  <c r="X107" i="118"/>
  <c r="X106" i="118" s="1"/>
  <c r="Y107" i="118"/>
  <c r="Y106" i="118" s="1"/>
  <c r="Z107" i="118"/>
  <c r="Z106" i="118" s="1"/>
  <c r="AA107" i="118"/>
  <c r="AA106" i="118" s="1"/>
  <c r="AB107" i="118"/>
  <c r="AB106" i="118" s="1"/>
  <c r="AC107" i="118"/>
  <c r="AC106" i="118" s="1"/>
  <c r="AD107" i="118"/>
  <c r="AD106" i="118" s="1"/>
  <c r="AE107" i="118"/>
  <c r="AE106" i="118" s="1"/>
  <c r="AF107" i="118"/>
  <c r="AF106" i="118" s="1"/>
  <c r="AG107" i="118"/>
  <c r="AG106" i="118" s="1"/>
  <c r="AH107" i="118"/>
  <c r="AH106" i="118" s="1"/>
  <c r="AI107" i="118"/>
  <c r="AI106" i="118" s="1"/>
  <c r="AJ107" i="118"/>
  <c r="AJ106" i="118" s="1"/>
  <c r="AK107" i="118"/>
  <c r="AK106" i="118" s="1"/>
  <c r="AL107" i="118"/>
  <c r="AL106" i="118" s="1"/>
  <c r="Q107" i="118"/>
  <c r="Q106" i="118" s="1"/>
  <c r="I25" i="112"/>
  <c r="J25" i="112" s="1"/>
  <c r="L18" i="114"/>
  <c r="M18" i="114"/>
  <c r="N18" i="114"/>
  <c r="O18" i="114"/>
  <c r="P18" i="114"/>
  <c r="K18" i="114"/>
  <c r="AD23" i="118" l="1"/>
  <c r="K21" i="126"/>
  <c r="K21" i="127"/>
  <c r="K21" i="125"/>
  <c r="K21" i="124"/>
  <c r="K21" i="123"/>
  <c r="O21" i="125"/>
  <c r="O21" i="126"/>
  <c r="O21" i="124"/>
  <c r="O21" i="127"/>
  <c r="O21" i="123"/>
  <c r="N21" i="125"/>
  <c r="N21" i="126"/>
  <c r="N21" i="124"/>
  <c r="N21" i="127"/>
  <c r="N21" i="123"/>
  <c r="L21" i="127"/>
  <c r="L21" i="125"/>
  <c r="L21" i="124"/>
  <c r="L21" i="126"/>
  <c r="L21" i="123"/>
  <c r="P21" i="125"/>
  <c r="P21" i="126"/>
  <c r="Q21" i="126" s="1"/>
  <c r="R21" i="126" s="1"/>
  <c r="S21" i="126" s="1"/>
  <c r="T21" i="126" s="1"/>
  <c r="U21" i="126" s="1"/>
  <c r="V21" i="126" s="1"/>
  <c r="W21" i="126" s="1"/>
  <c r="X21" i="126" s="1"/>
  <c r="Y21" i="126" s="1"/>
  <c r="Z21" i="126" s="1"/>
  <c r="AA21" i="126" s="1"/>
  <c r="AB21" i="126" s="1"/>
  <c r="AC21" i="126" s="1"/>
  <c r="AD21" i="126" s="1"/>
  <c r="AE21" i="126" s="1"/>
  <c r="AF21" i="126" s="1"/>
  <c r="AG21" i="126" s="1"/>
  <c r="AH21" i="126" s="1"/>
  <c r="AI21" i="126" s="1"/>
  <c r="AJ21" i="126" s="1"/>
  <c r="AK21" i="126" s="1"/>
  <c r="AL21" i="126" s="1"/>
  <c r="P21" i="127"/>
  <c r="Q21" i="127" s="1"/>
  <c r="R21" i="127" s="1"/>
  <c r="S21" i="127" s="1"/>
  <c r="T21" i="127" s="1"/>
  <c r="U21" i="127" s="1"/>
  <c r="V21" i="127" s="1"/>
  <c r="W21" i="127" s="1"/>
  <c r="X21" i="127" s="1"/>
  <c r="Y21" i="127" s="1"/>
  <c r="Z21" i="127" s="1"/>
  <c r="AA21" i="127" s="1"/>
  <c r="AB21" i="127" s="1"/>
  <c r="AC21" i="127" s="1"/>
  <c r="AD21" i="127" s="1"/>
  <c r="AE21" i="127" s="1"/>
  <c r="AF21" i="127" s="1"/>
  <c r="AG21" i="127" s="1"/>
  <c r="AH21" i="127" s="1"/>
  <c r="AI21" i="127" s="1"/>
  <c r="AJ21" i="127" s="1"/>
  <c r="AK21" i="127" s="1"/>
  <c r="AL21" i="127" s="1"/>
  <c r="P21" i="124"/>
  <c r="P21" i="123"/>
  <c r="E178" i="120"/>
  <c r="M21" i="127"/>
  <c r="M21" i="125"/>
  <c r="M21" i="126"/>
  <c r="M21" i="124"/>
  <c r="M21" i="123"/>
  <c r="W68" i="127"/>
  <c r="X65" i="127"/>
  <c r="W67" i="127"/>
  <c r="W193" i="127"/>
  <c r="AA193" i="127"/>
  <c r="AB81" i="127"/>
  <c r="P36" i="127"/>
  <c r="P37" i="127"/>
  <c r="P188" i="127"/>
  <c r="Q5" i="127"/>
  <c r="AB77" i="127"/>
  <c r="AE78" i="127"/>
  <c r="AD88" i="127"/>
  <c r="Q5" i="126"/>
  <c r="W68" i="126"/>
  <c r="W67" i="126"/>
  <c r="X65" i="126"/>
  <c r="X193" i="126" s="1"/>
  <c r="AB77" i="126"/>
  <c r="AB88" i="126"/>
  <c r="AC78" i="126"/>
  <c r="P36" i="126"/>
  <c r="P188" i="126"/>
  <c r="W193" i="126"/>
  <c r="Y81" i="126"/>
  <c r="AD77" i="125"/>
  <c r="Y193" i="125"/>
  <c r="Z81" i="125"/>
  <c r="P10" i="125"/>
  <c r="P11" i="125"/>
  <c r="Q4" i="125"/>
  <c r="AB88" i="125"/>
  <c r="AC78" i="125"/>
  <c r="Y67" i="125"/>
  <c r="Z65" i="125"/>
  <c r="Y68" i="125"/>
  <c r="W68" i="124"/>
  <c r="W67" i="124"/>
  <c r="X65" i="124"/>
  <c r="X193" i="124" s="1"/>
  <c r="P10" i="124"/>
  <c r="P11" i="124"/>
  <c r="Q4" i="124"/>
  <c r="AB77" i="124"/>
  <c r="AC71" i="124"/>
  <c r="AA88" i="124"/>
  <c r="AB78" i="124"/>
  <c r="Y81" i="124"/>
  <c r="W193" i="124"/>
  <c r="AC75" i="124"/>
  <c r="U90" i="123"/>
  <c r="V80" i="123"/>
  <c r="M10" i="123"/>
  <c r="N4" i="123"/>
  <c r="M11" i="123"/>
  <c r="T81" i="123"/>
  <c r="Q67" i="123"/>
  <c r="Q68" i="123"/>
  <c r="R65" i="123"/>
  <c r="Q193" i="123"/>
  <c r="V77" i="123"/>
  <c r="AK80" i="123"/>
  <c r="Y78" i="123"/>
  <c r="X88" i="123"/>
  <c r="N20" i="114"/>
  <c r="F178" i="120"/>
  <c r="K26" i="118"/>
  <c r="P26" i="118"/>
  <c r="H179" i="120" s="1"/>
  <c r="H178" i="120"/>
  <c r="O26" i="118"/>
  <c r="G179" i="120" s="1"/>
  <c r="G178" i="120"/>
  <c r="Q18" i="114"/>
  <c r="N26" i="118"/>
  <c r="F179" i="120" s="1"/>
  <c r="M26" i="118"/>
  <c r="E179" i="120" s="1"/>
  <c r="L26" i="118"/>
  <c r="AE23" i="118" l="1"/>
  <c r="Q21" i="125"/>
  <c r="Q21" i="124"/>
  <c r="Q21" i="123"/>
  <c r="R21" i="123" s="1"/>
  <c r="S21" i="123" s="1"/>
  <c r="T21" i="123" s="1"/>
  <c r="U21" i="123" s="1"/>
  <c r="V21" i="123" s="1"/>
  <c r="W21" i="123" s="1"/>
  <c r="X21" i="123" s="1"/>
  <c r="Y21" i="123" s="1"/>
  <c r="Z21" i="123" s="1"/>
  <c r="AA21" i="123" s="1"/>
  <c r="AB21" i="123" s="1"/>
  <c r="AC21" i="123" s="1"/>
  <c r="AD21" i="123" s="1"/>
  <c r="AE21" i="123" s="1"/>
  <c r="AF21" i="123" s="1"/>
  <c r="AG21" i="123" s="1"/>
  <c r="AH21" i="123" s="1"/>
  <c r="AI21" i="123" s="1"/>
  <c r="AJ21" i="123" s="1"/>
  <c r="AK21" i="123" s="1"/>
  <c r="AL21" i="123" s="1"/>
  <c r="AC77" i="127"/>
  <c r="AC81" i="127"/>
  <c r="AB193" i="127"/>
  <c r="AE88" i="127"/>
  <c r="AF78" i="127"/>
  <c r="X67" i="127"/>
  <c r="Y65" i="127"/>
  <c r="X68" i="127"/>
  <c r="X193" i="127"/>
  <c r="Q11" i="127"/>
  <c r="R4" i="127"/>
  <c r="Q10" i="127"/>
  <c r="AC77" i="126"/>
  <c r="Y193" i="126"/>
  <c r="Z81" i="126"/>
  <c r="X68" i="126"/>
  <c r="Y65" i="126"/>
  <c r="X67" i="126"/>
  <c r="Q10" i="126"/>
  <c r="Q11" i="126"/>
  <c r="R4" i="126"/>
  <c r="AC88" i="126"/>
  <c r="AD78" i="126"/>
  <c r="Q5" i="125"/>
  <c r="AE77" i="125"/>
  <c r="AC88" i="125"/>
  <c r="AD78" i="125"/>
  <c r="P36" i="125"/>
  <c r="P38" i="125"/>
  <c r="P37" i="125"/>
  <c r="P188" i="125"/>
  <c r="Z67" i="125"/>
  <c r="Z68" i="125"/>
  <c r="Z193" i="125"/>
  <c r="AA81" i="125"/>
  <c r="Z81" i="124"/>
  <c r="AC77" i="124"/>
  <c r="AD71" i="124"/>
  <c r="AD75" i="124"/>
  <c r="Q5" i="124"/>
  <c r="X67" i="124"/>
  <c r="Y65" i="124"/>
  <c r="Y193" i="124" s="1"/>
  <c r="X68" i="124"/>
  <c r="AB88" i="124"/>
  <c r="AC78" i="124"/>
  <c r="P36" i="124"/>
  <c r="P188" i="124"/>
  <c r="R67" i="123"/>
  <c r="R68" i="123"/>
  <c r="S65" i="123"/>
  <c r="R193" i="123"/>
  <c r="U81" i="123"/>
  <c r="N5" i="123"/>
  <c r="M188" i="123"/>
  <c r="W77" i="123"/>
  <c r="Y88" i="123"/>
  <c r="Z78" i="123"/>
  <c r="V90" i="123"/>
  <c r="W80" i="123"/>
  <c r="AL80" i="123"/>
  <c r="I179" i="120"/>
  <c r="I178" i="120"/>
  <c r="R18" i="114"/>
  <c r="AF23" i="118" l="1"/>
  <c r="R21" i="124"/>
  <c r="R21" i="125"/>
  <c r="AG78" i="127"/>
  <c r="AF88" i="127"/>
  <c r="R5" i="127"/>
  <c r="Y67" i="127"/>
  <c r="Y68" i="127"/>
  <c r="Z65" i="127"/>
  <c r="Y193" i="127"/>
  <c r="AC193" i="127"/>
  <c r="AD81" i="127"/>
  <c r="Q36" i="127"/>
  <c r="Q37" i="127"/>
  <c r="Q188" i="127"/>
  <c r="AD77" i="127"/>
  <c r="AD77" i="126"/>
  <c r="R5" i="126"/>
  <c r="Q36" i="126"/>
  <c r="Q188" i="126"/>
  <c r="AD88" i="126"/>
  <c r="AE78" i="126"/>
  <c r="Y67" i="126"/>
  <c r="Y68" i="126"/>
  <c r="Z65" i="126"/>
  <c r="Z193" i="126" s="1"/>
  <c r="AA81" i="126"/>
  <c r="Q10" i="125"/>
  <c r="Q11" i="125"/>
  <c r="R4" i="125"/>
  <c r="AF77" i="125"/>
  <c r="AA193" i="125"/>
  <c r="AB81" i="125"/>
  <c r="AD88" i="125"/>
  <c r="AE78" i="125"/>
  <c r="AE71" i="124"/>
  <c r="AE75" i="124"/>
  <c r="AA81" i="124"/>
  <c r="AD77" i="124"/>
  <c r="Y67" i="124"/>
  <c r="Z65" i="124"/>
  <c r="Z193" i="124" s="1"/>
  <c r="Y68" i="124"/>
  <c r="AC88" i="124"/>
  <c r="AD78" i="124"/>
  <c r="Q10" i="124"/>
  <c r="R4" i="124"/>
  <c r="Q11" i="124"/>
  <c r="V81" i="123"/>
  <c r="T65" i="123"/>
  <c r="S67" i="123"/>
  <c r="S68" i="123"/>
  <c r="S193" i="123"/>
  <c r="Z88" i="123"/>
  <c r="AA78" i="123"/>
  <c r="N10" i="123"/>
  <c r="N11" i="123"/>
  <c r="O4" i="123"/>
  <c r="X77" i="123"/>
  <c r="W90" i="123"/>
  <c r="X80" i="123"/>
  <c r="S18" i="114"/>
  <c r="T18" i="114" s="1"/>
  <c r="J178" i="120"/>
  <c r="J179" i="120"/>
  <c r="AG23" i="118" l="1"/>
  <c r="K178" i="120"/>
  <c r="S21" i="124"/>
  <c r="S21" i="125"/>
  <c r="L178" i="120"/>
  <c r="T21" i="125"/>
  <c r="T21" i="124"/>
  <c r="K179" i="120"/>
  <c r="Z67" i="127"/>
  <c r="Z68" i="127"/>
  <c r="Z193" i="127"/>
  <c r="R11" i="127"/>
  <c r="R10" i="127"/>
  <c r="S4" i="127"/>
  <c r="AH78" i="127"/>
  <c r="AG88" i="127"/>
  <c r="AE77" i="127"/>
  <c r="AD193" i="127"/>
  <c r="AE81" i="127"/>
  <c r="AA193" i="126"/>
  <c r="AB81" i="126"/>
  <c r="AE77" i="126"/>
  <c r="AE88" i="126"/>
  <c r="AF78" i="126"/>
  <c r="R10" i="126"/>
  <c r="R11" i="126"/>
  <c r="S4" i="126"/>
  <c r="Z67" i="126"/>
  <c r="Z68" i="126"/>
  <c r="R5" i="125"/>
  <c r="Q36" i="125"/>
  <c r="Q37" i="125"/>
  <c r="Q38" i="125"/>
  <c r="Q188" i="125"/>
  <c r="AG77" i="125"/>
  <c r="AF78" i="125"/>
  <c r="AE88" i="125"/>
  <c r="AB193" i="125"/>
  <c r="AC81" i="125"/>
  <c r="R5" i="124"/>
  <c r="AE77" i="124"/>
  <c r="AD88" i="124"/>
  <c r="AE78" i="124"/>
  <c r="Z67" i="124"/>
  <c r="Z68" i="124"/>
  <c r="AF75" i="124"/>
  <c r="Q36" i="124"/>
  <c r="Q188" i="124"/>
  <c r="AA193" i="124"/>
  <c r="AB81" i="124"/>
  <c r="AF71" i="124"/>
  <c r="AA88" i="123"/>
  <c r="AB78" i="123"/>
  <c r="Y77" i="123"/>
  <c r="O5" i="123"/>
  <c r="T67" i="123"/>
  <c r="U65" i="123"/>
  <c r="T68" i="123"/>
  <c r="T193" i="123"/>
  <c r="W81" i="123"/>
  <c r="X90" i="123"/>
  <c r="Y80" i="123"/>
  <c r="N188" i="123"/>
  <c r="U18" i="114"/>
  <c r="L179" i="120"/>
  <c r="AH23" i="118" l="1"/>
  <c r="M178" i="120"/>
  <c r="U21" i="124"/>
  <c r="U21" i="125"/>
  <c r="R36" i="127"/>
  <c r="R37" i="127"/>
  <c r="R188" i="127"/>
  <c r="AF77" i="127"/>
  <c r="AE193" i="127"/>
  <c r="AF81" i="127"/>
  <c r="AH88" i="127"/>
  <c r="AI78" i="127"/>
  <c r="S5" i="127"/>
  <c r="S5" i="126"/>
  <c r="R36" i="126"/>
  <c r="R188" i="126"/>
  <c r="AB193" i="126"/>
  <c r="AC81" i="126"/>
  <c r="AG78" i="126"/>
  <c r="AF88" i="126"/>
  <c r="AF77" i="126"/>
  <c r="AF88" i="125"/>
  <c r="AG78" i="125"/>
  <c r="R10" i="125"/>
  <c r="R11" i="125"/>
  <c r="S4" i="125"/>
  <c r="AC193" i="125"/>
  <c r="AD81" i="125"/>
  <c r="AH77" i="125"/>
  <c r="AF77" i="124"/>
  <c r="R11" i="124"/>
  <c r="S4" i="124"/>
  <c r="R10" i="124"/>
  <c r="AG71" i="124"/>
  <c r="AB193" i="124"/>
  <c r="AC81" i="124"/>
  <c r="AG75" i="124"/>
  <c r="AF78" i="124"/>
  <c r="AE88" i="124"/>
  <c r="U68" i="123"/>
  <c r="U67" i="123"/>
  <c r="V65" i="123"/>
  <c r="U193" i="123"/>
  <c r="X81" i="123"/>
  <c r="AB88" i="123"/>
  <c r="AC78" i="123"/>
  <c r="O11" i="123"/>
  <c r="O10" i="123"/>
  <c r="P4" i="123"/>
  <c r="Y90" i="123"/>
  <c r="Z80" i="123"/>
  <c r="Z77" i="123"/>
  <c r="V18" i="114"/>
  <c r="M179" i="120"/>
  <c r="AI23" i="118" l="1"/>
  <c r="N178" i="120"/>
  <c r="V21" i="125"/>
  <c r="V21" i="124"/>
  <c r="T4" i="127"/>
  <c r="S10" i="127"/>
  <c r="S11" i="127"/>
  <c r="AF193" i="127"/>
  <c r="AG81" i="127"/>
  <c r="AG77" i="127"/>
  <c r="AJ78" i="127"/>
  <c r="AI88" i="127"/>
  <c r="AG88" i="126"/>
  <c r="AH78" i="126"/>
  <c r="AC193" i="126"/>
  <c r="AD81" i="126"/>
  <c r="S10" i="126"/>
  <c r="T4" i="126"/>
  <c r="S11" i="126"/>
  <c r="AG77" i="126"/>
  <c r="AI77" i="125"/>
  <c r="R36" i="125"/>
  <c r="R37" i="125"/>
  <c r="R38" i="125"/>
  <c r="R188" i="125"/>
  <c r="AG88" i="125"/>
  <c r="AH78" i="125"/>
  <c r="S5" i="125"/>
  <c r="AD193" i="125"/>
  <c r="AE81" i="125"/>
  <c r="AC193" i="124"/>
  <c r="AD81" i="124"/>
  <c r="S5" i="124"/>
  <c r="R36" i="124"/>
  <c r="R188" i="124"/>
  <c r="AH75" i="124"/>
  <c r="AH71" i="124"/>
  <c r="AG77" i="124"/>
  <c r="AG78" i="124"/>
  <c r="AF88" i="124"/>
  <c r="O188" i="123"/>
  <c r="AA77" i="123"/>
  <c r="W65" i="123"/>
  <c r="V68" i="123"/>
  <c r="V67" i="123"/>
  <c r="V193" i="123"/>
  <c r="Z90" i="123"/>
  <c r="AA80" i="123"/>
  <c r="AA90" i="123" s="1"/>
  <c r="AD78" i="123"/>
  <c r="AC88" i="123"/>
  <c r="P5" i="123"/>
  <c r="Y81" i="123"/>
  <c r="W18" i="114"/>
  <c r="N179" i="120"/>
  <c r="AJ23" i="118" l="1"/>
  <c r="O178" i="120"/>
  <c r="W21" i="125"/>
  <c r="W21" i="124"/>
  <c r="AG193" i="127"/>
  <c r="AH81" i="127"/>
  <c r="AK78" i="127"/>
  <c r="AJ88" i="127"/>
  <c r="S36" i="127"/>
  <c r="S37" i="127"/>
  <c r="S188" i="127"/>
  <c r="AH77" i="127"/>
  <c r="T5" i="127"/>
  <c r="AD193" i="126"/>
  <c r="AE81" i="126"/>
  <c r="AH77" i="126"/>
  <c r="AI78" i="126"/>
  <c r="AH88" i="126"/>
  <c r="S36" i="126"/>
  <c r="S188" i="126"/>
  <c r="T5" i="126"/>
  <c r="S10" i="125"/>
  <c r="S11" i="125"/>
  <c r="T4" i="125"/>
  <c r="AE193" i="125"/>
  <c r="AF81" i="125"/>
  <c r="AH88" i="125"/>
  <c r="AI78" i="125"/>
  <c r="AJ77" i="125"/>
  <c r="S11" i="124"/>
  <c r="T4" i="124"/>
  <c r="S10" i="124"/>
  <c r="AI75" i="124"/>
  <c r="AH77" i="124"/>
  <c r="AD193" i="124"/>
  <c r="AE81" i="124"/>
  <c r="AI71" i="124"/>
  <c r="AG88" i="124"/>
  <c r="AH78" i="124"/>
  <c r="P11" i="123"/>
  <c r="P10" i="123"/>
  <c r="Q4" i="123"/>
  <c r="Z81" i="123"/>
  <c r="AE78" i="123"/>
  <c r="AD88" i="123"/>
  <c r="W68" i="123"/>
  <c r="X65" i="123"/>
  <c r="W67" i="123"/>
  <c r="W193" i="123"/>
  <c r="AB77" i="123"/>
  <c r="X18" i="114"/>
  <c r="O179" i="120"/>
  <c r="AA36" i="118"/>
  <c r="Z36" i="118"/>
  <c r="Y36" i="118"/>
  <c r="X36" i="118"/>
  <c r="W36" i="118"/>
  <c r="V36" i="118"/>
  <c r="U36" i="118"/>
  <c r="P86" i="118"/>
  <c r="O86" i="118"/>
  <c r="F194" i="112"/>
  <c r="F190" i="112" s="1"/>
  <c r="K16" i="118"/>
  <c r="P170" i="118"/>
  <c r="Q170" i="118" s="1"/>
  <c r="R170" i="118" s="1"/>
  <c r="S170" i="118" s="1"/>
  <c r="T170" i="118" s="1"/>
  <c r="U170" i="118" s="1"/>
  <c r="V170" i="118" s="1"/>
  <c r="W170" i="118" s="1"/>
  <c r="X170" i="118" s="1"/>
  <c r="Y170" i="118" s="1"/>
  <c r="Z170" i="118" s="1"/>
  <c r="AA170" i="118" s="1"/>
  <c r="AB170" i="118" s="1"/>
  <c r="AC170" i="118" s="1"/>
  <c r="AD170" i="118" s="1"/>
  <c r="AE170" i="118" s="1"/>
  <c r="AF170" i="118" s="1"/>
  <c r="AG170" i="118" s="1"/>
  <c r="AH170" i="118" s="1"/>
  <c r="AI170" i="118" s="1"/>
  <c r="AJ170" i="118" s="1"/>
  <c r="AK170" i="118" s="1"/>
  <c r="AL170" i="118" s="1"/>
  <c r="O170" i="118"/>
  <c r="N170" i="118"/>
  <c r="M170" i="118"/>
  <c r="L170" i="118"/>
  <c r="K170" i="118"/>
  <c r="K165" i="118"/>
  <c r="K166" i="118" s="1"/>
  <c r="K162" i="118"/>
  <c r="P144" i="118"/>
  <c r="Q144" i="118" s="1"/>
  <c r="R144" i="118" s="1"/>
  <c r="S144" i="118" s="1"/>
  <c r="T144" i="118" s="1"/>
  <c r="U144" i="118" s="1"/>
  <c r="V144" i="118" s="1"/>
  <c r="W144" i="118" s="1"/>
  <c r="X144" i="118" s="1"/>
  <c r="Y144" i="118" s="1"/>
  <c r="Z144" i="118" s="1"/>
  <c r="AA144" i="118" s="1"/>
  <c r="AB144" i="118" s="1"/>
  <c r="AC144" i="118" s="1"/>
  <c r="AD144" i="118" s="1"/>
  <c r="AE144" i="118" s="1"/>
  <c r="AF144" i="118" s="1"/>
  <c r="AG144" i="118" s="1"/>
  <c r="AH144" i="118" s="1"/>
  <c r="AI144" i="118" s="1"/>
  <c r="AJ144" i="118" s="1"/>
  <c r="AK144" i="118" s="1"/>
  <c r="AL144" i="118" s="1"/>
  <c r="O144" i="118"/>
  <c r="N144" i="118"/>
  <c r="M144" i="118"/>
  <c r="L144" i="118"/>
  <c r="K144" i="118"/>
  <c r="P135" i="118"/>
  <c r="Q135" i="118" s="1"/>
  <c r="R135" i="118" s="1"/>
  <c r="S135" i="118" s="1"/>
  <c r="T135" i="118" s="1"/>
  <c r="U135" i="118" s="1"/>
  <c r="V135" i="118" s="1"/>
  <c r="W135" i="118" s="1"/>
  <c r="X135" i="118" s="1"/>
  <c r="Y135" i="118" s="1"/>
  <c r="Z135" i="118" s="1"/>
  <c r="AA135" i="118" s="1"/>
  <c r="AB135" i="118" s="1"/>
  <c r="AC135" i="118" s="1"/>
  <c r="AD135" i="118" s="1"/>
  <c r="AE135" i="118" s="1"/>
  <c r="AF135" i="118" s="1"/>
  <c r="AG135" i="118" s="1"/>
  <c r="AH135" i="118" s="1"/>
  <c r="AI135" i="118" s="1"/>
  <c r="AJ135" i="118" s="1"/>
  <c r="AK135" i="118" s="1"/>
  <c r="AL135" i="118" s="1"/>
  <c r="O135" i="118"/>
  <c r="N135" i="118"/>
  <c r="M135" i="118"/>
  <c r="L135" i="118"/>
  <c r="K135" i="118"/>
  <c r="P128" i="118"/>
  <c r="Q128" i="118" s="1"/>
  <c r="R128" i="118" s="1"/>
  <c r="S128" i="118" s="1"/>
  <c r="T128" i="118" s="1"/>
  <c r="U128" i="118" s="1"/>
  <c r="V128" i="118" s="1"/>
  <c r="W128" i="118" s="1"/>
  <c r="X128" i="118" s="1"/>
  <c r="Y128" i="118" s="1"/>
  <c r="Z128" i="118" s="1"/>
  <c r="AA128" i="118" s="1"/>
  <c r="AB128" i="118" s="1"/>
  <c r="AC128" i="118" s="1"/>
  <c r="AD128" i="118" s="1"/>
  <c r="AE128" i="118" s="1"/>
  <c r="AF128" i="118" s="1"/>
  <c r="AG128" i="118" s="1"/>
  <c r="AH128" i="118" s="1"/>
  <c r="AI128" i="118" s="1"/>
  <c r="AJ128" i="118" s="1"/>
  <c r="AK128" i="118" s="1"/>
  <c r="AL128" i="118" s="1"/>
  <c r="O128" i="118"/>
  <c r="N128" i="118"/>
  <c r="M128" i="118"/>
  <c r="L128" i="118"/>
  <c r="K128" i="118"/>
  <c r="P121" i="118"/>
  <c r="Q121" i="118" s="1"/>
  <c r="R121" i="118" s="1"/>
  <c r="S121" i="118" s="1"/>
  <c r="T121" i="118" s="1"/>
  <c r="U121" i="118" s="1"/>
  <c r="V121" i="118" s="1"/>
  <c r="W121" i="118" s="1"/>
  <c r="X121" i="118" s="1"/>
  <c r="Y121" i="118" s="1"/>
  <c r="Z121" i="118" s="1"/>
  <c r="AA121" i="118" s="1"/>
  <c r="AB121" i="118" s="1"/>
  <c r="AC121" i="118" s="1"/>
  <c r="AD121" i="118" s="1"/>
  <c r="AE121" i="118" s="1"/>
  <c r="AF121" i="118" s="1"/>
  <c r="AG121" i="118" s="1"/>
  <c r="AH121" i="118" s="1"/>
  <c r="AI121" i="118" s="1"/>
  <c r="AJ121" i="118" s="1"/>
  <c r="AK121" i="118" s="1"/>
  <c r="AL121" i="118" s="1"/>
  <c r="O121" i="118"/>
  <c r="N121" i="118"/>
  <c r="M121" i="118"/>
  <c r="L121" i="118"/>
  <c r="K121" i="118"/>
  <c r="M87" i="118"/>
  <c r="L87" i="118" s="1"/>
  <c r="Q85" i="118"/>
  <c r="R85" i="118" s="1"/>
  <c r="S85" i="118" s="1"/>
  <c r="U85" i="118" s="1"/>
  <c r="O85" i="118"/>
  <c r="N85" i="118"/>
  <c r="M85" i="118"/>
  <c r="L85" i="118"/>
  <c r="K85" i="118"/>
  <c r="L84" i="118"/>
  <c r="K84" i="118"/>
  <c r="P83" i="118"/>
  <c r="O83" i="118"/>
  <c r="N83" i="118"/>
  <c r="M83" i="118"/>
  <c r="L83" i="118"/>
  <c r="K83" i="118"/>
  <c r="P82" i="118"/>
  <c r="Q82" i="118" s="1"/>
  <c r="R82" i="118" s="1"/>
  <c r="S82" i="118" s="1"/>
  <c r="T82" i="118" s="1"/>
  <c r="U82" i="118" s="1"/>
  <c r="V82" i="118" s="1"/>
  <c r="W82" i="118" s="1"/>
  <c r="X82" i="118" s="1"/>
  <c r="Y82" i="118" s="1"/>
  <c r="Z82" i="118" s="1"/>
  <c r="AA82" i="118" s="1"/>
  <c r="AB82" i="118" s="1"/>
  <c r="AC82" i="118" s="1"/>
  <c r="AD82" i="118" s="1"/>
  <c r="AE82" i="118" s="1"/>
  <c r="AF82" i="118" s="1"/>
  <c r="AG82" i="118" s="1"/>
  <c r="AH82" i="118" s="1"/>
  <c r="AI82" i="118" s="1"/>
  <c r="AJ82" i="118" s="1"/>
  <c r="AK82" i="118" s="1"/>
  <c r="AL82" i="118" s="1"/>
  <c r="O82" i="118"/>
  <c r="N82" i="118"/>
  <c r="M82" i="118"/>
  <c r="L82" i="118"/>
  <c r="K82" i="118"/>
  <c r="P81" i="118"/>
  <c r="Q81" i="118" s="1"/>
  <c r="R81" i="118" s="1"/>
  <c r="S81" i="118" s="1"/>
  <c r="T81" i="118" s="1"/>
  <c r="U81" i="118" s="1"/>
  <c r="V81" i="118" s="1"/>
  <c r="W81" i="118" s="1"/>
  <c r="X81" i="118" s="1"/>
  <c r="Y81" i="118" s="1"/>
  <c r="Z81" i="118" s="1"/>
  <c r="AA81" i="118" s="1"/>
  <c r="AB81" i="118" s="1"/>
  <c r="AC81" i="118" s="1"/>
  <c r="AD81" i="118" s="1"/>
  <c r="AE81" i="118" s="1"/>
  <c r="AF81" i="118" s="1"/>
  <c r="AG81" i="118" s="1"/>
  <c r="AH81" i="118" s="1"/>
  <c r="AI81" i="118" s="1"/>
  <c r="AJ81" i="118" s="1"/>
  <c r="AK81" i="118" s="1"/>
  <c r="AL81" i="118" s="1"/>
  <c r="O81" i="118"/>
  <c r="N81" i="118"/>
  <c r="M81" i="118"/>
  <c r="L81" i="118"/>
  <c r="K81" i="118"/>
  <c r="P80" i="118"/>
  <c r="O80" i="118"/>
  <c r="N80" i="118"/>
  <c r="M80" i="118"/>
  <c r="L80" i="118"/>
  <c r="L107" i="118" s="1"/>
  <c r="L106" i="118" s="1"/>
  <c r="K80" i="118"/>
  <c r="K107" i="118" s="1"/>
  <c r="K106" i="118" s="1"/>
  <c r="N79" i="118"/>
  <c r="O79" i="118" s="1"/>
  <c r="P79" i="118" s="1"/>
  <c r="Q79" i="118" s="1"/>
  <c r="R79" i="118" s="1"/>
  <c r="S79" i="118" s="1"/>
  <c r="T79" i="118" s="1"/>
  <c r="U79" i="118" s="1"/>
  <c r="V79" i="118" s="1"/>
  <c r="W79" i="118" s="1"/>
  <c r="X79" i="118" s="1"/>
  <c r="Y79" i="118" s="1"/>
  <c r="Z79" i="118" s="1"/>
  <c r="AA79" i="118" s="1"/>
  <c r="AB79" i="118" s="1"/>
  <c r="AC79" i="118" s="1"/>
  <c r="AD79" i="118" s="1"/>
  <c r="AE79" i="118" s="1"/>
  <c r="AF79" i="118" s="1"/>
  <c r="AG79" i="118" s="1"/>
  <c r="AH79" i="118" s="1"/>
  <c r="AI79" i="118" s="1"/>
  <c r="AJ79" i="118" s="1"/>
  <c r="AK79" i="118" s="1"/>
  <c r="AL79" i="118" s="1"/>
  <c r="M79" i="118"/>
  <c r="L79" i="118"/>
  <c r="K79" i="118"/>
  <c r="N78" i="118"/>
  <c r="O78" i="118" s="1"/>
  <c r="P78" i="118" s="1"/>
  <c r="Q78" i="118" s="1"/>
  <c r="R78" i="118" s="1"/>
  <c r="S78" i="118" s="1"/>
  <c r="T78" i="118" s="1"/>
  <c r="U78" i="118" s="1"/>
  <c r="V78" i="118" s="1"/>
  <c r="W78" i="118" s="1"/>
  <c r="X78" i="118" s="1"/>
  <c r="Y78" i="118" s="1"/>
  <c r="Z78" i="118" s="1"/>
  <c r="AA78" i="118" s="1"/>
  <c r="AB78" i="118" s="1"/>
  <c r="AC78" i="118" s="1"/>
  <c r="AD78" i="118" s="1"/>
  <c r="AE78" i="118" s="1"/>
  <c r="AF78" i="118" s="1"/>
  <c r="AG78" i="118" s="1"/>
  <c r="AH78" i="118" s="1"/>
  <c r="AI78" i="118" s="1"/>
  <c r="AJ78" i="118" s="1"/>
  <c r="AK78" i="118" s="1"/>
  <c r="AL78" i="118" s="1"/>
  <c r="M78" i="118"/>
  <c r="L78" i="118"/>
  <c r="K78" i="118"/>
  <c r="N77" i="118"/>
  <c r="P77" i="118" s="1"/>
  <c r="Q77" i="118" s="1"/>
  <c r="R77" i="118" s="1"/>
  <c r="S77" i="118" s="1"/>
  <c r="T77" i="118" s="1"/>
  <c r="U77" i="118" s="1"/>
  <c r="V77" i="118" s="1"/>
  <c r="W77" i="118" s="1"/>
  <c r="X77" i="118" s="1"/>
  <c r="Y77" i="118" s="1"/>
  <c r="Z77" i="118" s="1"/>
  <c r="AA77" i="118" s="1"/>
  <c r="AB77" i="118" s="1"/>
  <c r="AC77" i="118" s="1"/>
  <c r="M77" i="118"/>
  <c r="L77" i="118"/>
  <c r="K77" i="118"/>
  <c r="M74" i="118"/>
  <c r="L74" i="118"/>
  <c r="K74" i="118"/>
  <c r="M73" i="118"/>
  <c r="L73" i="118"/>
  <c r="K73" i="118"/>
  <c r="P62" i="118"/>
  <c r="Q62" i="118" s="1"/>
  <c r="R62" i="118" s="1"/>
  <c r="S62" i="118" s="1"/>
  <c r="T62" i="118" s="1"/>
  <c r="U62" i="118" s="1"/>
  <c r="V62" i="118" s="1"/>
  <c r="W62" i="118" s="1"/>
  <c r="X62" i="118" s="1"/>
  <c r="Y62" i="118" s="1"/>
  <c r="Z62" i="118" s="1"/>
  <c r="AA62" i="118" s="1"/>
  <c r="AB62" i="118" s="1"/>
  <c r="AC62" i="118" s="1"/>
  <c r="AD62" i="118" s="1"/>
  <c r="AE62" i="118" s="1"/>
  <c r="O62" i="118"/>
  <c r="N62" i="118"/>
  <c r="M16" i="118"/>
  <c r="L16" i="118"/>
  <c r="J5" i="118"/>
  <c r="K4" i="118" s="1"/>
  <c r="A2" i="118"/>
  <c r="X85" i="118" l="1"/>
  <c r="Y85" i="118" s="1"/>
  <c r="Z85" i="118" s="1"/>
  <c r="AA85" i="118" s="1"/>
  <c r="AB85" i="118" s="1"/>
  <c r="AC85" i="118" s="1"/>
  <c r="AD85" i="118" s="1"/>
  <c r="AE85" i="118" s="1"/>
  <c r="AF85" i="118" s="1"/>
  <c r="AG85" i="118" s="1"/>
  <c r="AH85" i="118" s="1"/>
  <c r="AI85" i="118" s="1"/>
  <c r="AJ85" i="118" s="1"/>
  <c r="AK85" i="118" s="1"/>
  <c r="AL85" i="118" s="1"/>
  <c r="AK23" i="118"/>
  <c r="K17" i="118"/>
  <c r="K22" i="118" s="1"/>
  <c r="K21" i="118"/>
  <c r="L17" i="118"/>
  <c r="L22" i="118" s="1"/>
  <c r="L21" i="118"/>
  <c r="M17" i="118"/>
  <c r="M21" i="118"/>
  <c r="P178" i="120"/>
  <c r="X21" i="125"/>
  <c r="X21" i="124"/>
  <c r="T10" i="127"/>
  <c r="T11" i="127"/>
  <c r="U4" i="127"/>
  <c r="AL78" i="127"/>
  <c r="AL88" i="127" s="1"/>
  <c r="AK88" i="127"/>
  <c r="AH193" i="127"/>
  <c r="AI81" i="127"/>
  <c r="AI77" i="127"/>
  <c r="AI88" i="126"/>
  <c r="AJ78" i="126"/>
  <c r="AE193" i="126"/>
  <c r="AF81" i="126"/>
  <c r="AI77" i="126"/>
  <c r="T11" i="126"/>
  <c r="U4" i="126"/>
  <c r="T10" i="126"/>
  <c r="AI88" i="125"/>
  <c r="AJ78" i="125"/>
  <c r="T5" i="125"/>
  <c r="S36" i="125"/>
  <c r="S37" i="125"/>
  <c r="S38" i="125"/>
  <c r="S188" i="125"/>
  <c r="AK77" i="125"/>
  <c r="AF193" i="125"/>
  <c r="AG81" i="125"/>
  <c r="T5" i="124"/>
  <c r="AE193" i="124"/>
  <c r="AF81" i="124"/>
  <c r="AH88" i="124"/>
  <c r="AI78" i="124"/>
  <c r="AJ75" i="124"/>
  <c r="S36" i="124"/>
  <c r="S188" i="124"/>
  <c r="AI77" i="124"/>
  <c r="AJ71" i="124"/>
  <c r="P36" i="123"/>
  <c r="P188" i="123"/>
  <c r="AE88" i="123"/>
  <c r="AF78" i="123"/>
  <c r="X68" i="123"/>
  <c r="Y65" i="123"/>
  <c r="X67" i="123"/>
  <c r="X193" i="123"/>
  <c r="AA81" i="123"/>
  <c r="Q5" i="123"/>
  <c r="AC77" i="123"/>
  <c r="Y96" i="120"/>
  <c r="Q96" i="120"/>
  <c r="I96" i="120"/>
  <c r="X96" i="120"/>
  <c r="P96" i="120"/>
  <c r="L96" i="120"/>
  <c r="R96" i="120"/>
  <c r="J96" i="120"/>
  <c r="E99" i="120"/>
  <c r="H96" i="120"/>
  <c r="W96" i="120"/>
  <c r="O96" i="120"/>
  <c r="O107" i="118"/>
  <c r="O106" i="118" s="1"/>
  <c r="G44" i="120"/>
  <c r="AB96" i="120"/>
  <c r="Z96" i="120"/>
  <c r="M107" i="118"/>
  <c r="M106" i="118" s="1"/>
  <c r="E44" i="120"/>
  <c r="AD96" i="120"/>
  <c r="V96" i="120"/>
  <c r="N96" i="120"/>
  <c r="T96" i="120"/>
  <c r="P107" i="118"/>
  <c r="P106" i="118" s="1"/>
  <c r="H44" i="120"/>
  <c r="AA96" i="120"/>
  <c r="S96" i="120"/>
  <c r="K96" i="120"/>
  <c r="N107" i="118"/>
  <c r="N106" i="118" s="1"/>
  <c r="F44" i="120"/>
  <c r="AC96" i="120"/>
  <c r="U96" i="120"/>
  <c r="M96" i="120"/>
  <c r="O98" i="120"/>
  <c r="O168" i="120"/>
  <c r="P98" i="120"/>
  <c r="P168" i="120"/>
  <c r="Q98" i="120"/>
  <c r="Q168" i="120"/>
  <c r="R98" i="120"/>
  <c r="R168" i="120"/>
  <c r="S98" i="120"/>
  <c r="S168" i="120"/>
  <c r="M98" i="120"/>
  <c r="M168" i="120"/>
  <c r="N98" i="120"/>
  <c r="N168" i="120"/>
  <c r="P94" i="118"/>
  <c r="Q83" i="118"/>
  <c r="Q86" i="118"/>
  <c r="Y18" i="114"/>
  <c r="P179" i="120"/>
  <c r="Q80" i="118"/>
  <c r="K72" i="118"/>
  <c r="K5" i="118"/>
  <c r="AF62" i="118"/>
  <c r="AD77" i="118"/>
  <c r="AE77" i="118" s="1"/>
  <c r="AF77" i="118" s="1"/>
  <c r="AG77" i="118" s="1"/>
  <c r="AH77" i="118" s="1"/>
  <c r="AI77" i="118" s="1"/>
  <c r="AJ77" i="118" s="1"/>
  <c r="AK77" i="118" s="1"/>
  <c r="AL77" i="118" s="1"/>
  <c r="L199" i="118"/>
  <c r="K87" i="118"/>
  <c r="K199" i="118" s="1"/>
  <c r="N87" i="118"/>
  <c r="M199" i="118"/>
  <c r="L72" i="118"/>
  <c r="AL23" i="118" l="1"/>
  <c r="M22" i="118"/>
  <c r="Q178" i="120"/>
  <c r="Y21" i="125"/>
  <c r="Y21" i="124"/>
  <c r="AI193" i="127"/>
  <c r="AJ81" i="127"/>
  <c r="U5" i="127"/>
  <c r="T37" i="127"/>
  <c r="T36" i="127"/>
  <c r="T188" i="127"/>
  <c r="AJ77" i="127"/>
  <c r="T36" i="126"/>
  <c r="T188" i="126"/>
  <c r="U5" i="126"/>
  <c r="AJ77" i="126"/>
  <c r="AJ88" i="126"/>
  <c r="AK78" i="126"/>
  <c r="AF193" i="126"/>
  <c r="AG81" i="126"/>
  <c r="AL77" i="125"/>
  <c r="T11" i="125"/>
  <c r="T10" i="125"/>
  <c r="U4" i="125"/>
  <c r="AG193" i="125"/>
  <c r="AH81" i="125"/>
  <c r="AJ88" i="125"/>
  <c r="AK78" i="125"/>
  <c r="AK71" i="124"/>
  <c r="AI88" i="124"/>
  <c r="AJ78" i="124"/>
  <c r="AJ77" i="124"/>
  <c r="AK75" i="124"/>
  <c r="T11" i="124"/>
  <c r="U4" i="124"/>
  <c r="T10" i="124"/>
  <c r="AF193" i="124"/>
  <c r="AG81" i="124"/>
  <c r="AD77" i="123"/>
  <c r="Q11" i="123"/>
  <c r="Q10" i="123"/>
  <c r="R4" i="123"/>
  <c r="AG78" i="123"/>
  <c r="AF88" i="123"/>
  <c r="AA193" i="123"/>
  <c r="AB81" i="123"/>
  <c r="Y67" i="123"/>
  <c r="Z65" i="123"/>
  <c r="Y68" i="123"/>
  <c r="Y193" i="123"/>
  <c r="H58" i="120"/>
  <c r="I44" i="120"/>
  <c r="R83" i="118"/>
  <c r="Q94" i="118"/>
  <c r="Z18" i="114"/>
  <c r="Q179" i="120"/>
  <c r="R86" i="118"/>
  <c r="R80" i="118"/>
  <c r="AG62" i="118"/>
  <c r="M72" i="118"/>
  <c r="N199" i="118"/>
  <c r="O87" i="118"/>
  <c r="K11" i="118"/>
  <c r="K10" i="118"/>
  <c r="L4" i="118"/>
  <c r="J44" i="120" l="1"/>
  <c r="R178" i="120"/>
  <c r="Z21" i="125"/>
  <c r="Z21" i="124"/>
  <c r="U11" i="127"/>
  <c r="U10" i="127"/>
  <c r="V4" i="127"/>
  <c r="AK77" i="127"/>
  <c r="AJ193" i="127"/>
  <c r="AK81" i="127"/>
  <c r="U11" i="126"/>
  <c r="V4" i="126"/>
  <c r="U10" i="126"/>
  <c r="AG193" i="126"/>
  <c r="AH81" i="126"/>
  <c r="AK88" i="126"/>
  <c r="AL78" i="126"/>
  <c r="AL88" i="126" s="1"/>
  <c r="AK77" i="126"/>
  <c r="U5" i="125"/>
  <c r="T36" i="125"/>
  <c r="T37" i="125"/>
  <c r="T38" i="125"/>
  <c r="T188" i="125"/>
  <c r="AK88" i="125"/>
  <c r="AL78" i="125"/>
  <c r="AL88" i="125" s="1"/>
  <c r="AH193" i="125"/>
  <c r="AI81" i="125"/>
  <c r="AK77" i="124"/>
  <c r="U5" i="124"/>
  <c r="T36" i="124"/>
  <c r="T188" i="124"/>
  <c r="AK78" i="124"/>
  <c r="AJ88" i="124"/>
  <c r="AG193" i="124"/>
  <c r="AH81" i="124"/>
  <c r="AL71" i="124"/>
  <c r="AL75" i="124"/>
  <c r="Q36" i="123"/>
  <c r="Q188" i="123"/>
  <c r="R5" i="123"/>
  <c r="AE77" i="123"/>
  <c r="AB193" i="123"/>
  <c r="AC81" i="123"/>
  <c r="AG88" i="123"/>
  <c r="AH78" i="123"/>
  <c r="Z67" i="123"/>
  <c r="Z68" i="123"/>
  <c r="Z193" i="123"/>
  <c r="I58" i="120"/>
  <c r="R94" i="118"/>
  <c r="S83" i="118"/>
  <c r="S86" i="118"/>
  <c r="AA18" i="114"/>
  <c r="R179" i="120"/>
  <c r="S80" i="118"/>
  <c r="AH62" i="118"/>
  <c r="K194" i="118"/>
  <c r="L5" i="118"/>
  <c r="AA171" i="118"/>
  <c r="AA172" i="118" s="1"/>
  <c r="O171" i="118"/>
  <c r="O172" i="118" s="1"/>
  <c r="Y171" i="118"/>
  <c r="Y172" i="118" s="1"/>
  <c r="K171" i="118"/>
  <c r="K172" i="118" s="1"/>
  <c r="AI171" i="118"/>
  <c r="AI172" i="118" s="1"/>
  <c r="U171" i="118"/>
  <c r="U172" i="118" s="1"/>
  <c r="AD145" i="118"/>
  <c r="AD146" i="118" s="1"/>
  <c r="S145" i="118"/>
  <c r="S146" i="118" s="1"/>
  <c r="AF171" i="118"/>
  <c r="AF172" i="118" s="1"/>
  <c r="S171" i="118"/>
  <c r="S172" i="118" s="1"/>
  <c r="AC145" i="118"/>
  <c r="AC146" i="118" s="1"/>
  <c r="R145" i="118"/>
  <c r="R146" i="118" s="1"/>
  <c r="AI136" i="118"/>
  <c r="AI137" i="118" s="1"/>
  <c r="Z136" i="118"/>
  <c r="Z137" i="118" s="1"/>
  <c r="Q136" i="118"/>
  <c r="Q137" i="118" s="1"/>
  <c r="AC171" i="118"/>
  <c r="AC172" i="118" s="1"/>
  <c r="AH145" i="118"/>
  <c r="AH146" i="118" s="1"/>
  <c r="P145" i="118"/>
  <c r="P146" i="118" s="1"/>
  <c r="AF136" i="118"/>
  <c r="AF137" i="118" s="1"/>
  <c r="P136" i="118"/>
  <c r="P137" i="118" s="1"/>
  <c r="X171" i="118"/>
  <c r="X172" i="118" s="1"/>
  <c r="AF145" i="118"/>
  <c r="AF146" i="118" s="1"/>
  <c r="O145" i="118"/>
  <c r="O146" i="118" s="1"/>
  <c r="AD136" i="118"/>
  <c r="AD137" i="118" s="1"/>
  <c r="O136" i="118"/>
  <c r="O137" i="118" s="1"/>
  <c r="Q171" i="118"/>
  <c r="Q172" i="118" s="1"/>
  <c r="AA145" i="118"/>
  <c r="AA146" i="118" s="1"/>
  <c r="K145" i="118"/>
  <c r="K146" i="118" s="1"/>
  <c r="Y136" i="118"/>
  <c r="Y137" i="118" s="1"/>
  <c r="K136" i="118"/>
  <c r="K137" i="118" s="1"/>
  <c r="V171" i="118"/>
  <c r="V172" i="118" s="1"/>
  <c r="AE145" i="118"/>
  <c r="AE146" i="118" s="1"/>
  <c r="AH136" i="118"/>
  <c r="AH137" i="118" s="1"/>
  <c r="N171" i="118"/>
  <c r="N172" i="118" s="1"/>
  <c r="P171" i="118"/>
  <c r="P172" i="118" s="1"/>
  <c r="Y145" i="118"/>
  <c r="Y146" i="118" s="1"/>
  <c r="AG136" i="118"/>
  <c r="AG137" i="118" s="1"/>
  <c r="X145" i="118"/>
  <c r="X146" i="118" s="1"/>
  <c r="V145" i="118"/>
  <c r="V146" i="118" s="1"/>
  <c r="AL136" i="118"/>
  <c r="AL137" i="118" s="1"/>
  <c r="U145" i="118"/>
  <c r="U146" i="118" s="1"/>
  <c r="AC136" i="118"/>
  <c r="AC137" i="118" s="1"/>
  <c r="N145" i="118"/>
  <c r="N146" i="118" s="1"/>
  <c r="X136" i="118"/>
  <c r="X137" i="118" s="1"/>
  <c r="O122" i="118"/>
  <c r="O123" i="118" s="1"/>
  <c r="M129" i="118"/>
  <c r="M130" i="118" s="1"/>
  <c r="AK122" i="118"/>
  <c r="AK123" i="118" s="1"/>
  <c r="W136" i="118"/>
  <c r="W137" i="118" s="1"/>
  <c r="AG122" i="118"/>
  <c r="AG123" i="118" s="1"/>
  <c r="AL171" i="118"/>
  <c r="AL172" i="118" s="1"/>
  <c r="U136" i="118"/>
  <c r="U137" i="118" s="1"/>
  <c r="AD122" i="118"/>
  <c r="AD123" i="118" s="1"/>
  <c r="Z122" i="118"/>
  <c r="Z123" i="118" s="1"/>
  <c r="AD171" i="118"/>
  <c r="AD172" i="118" s="1"/>
  <c r="AK145" i="118"/>
  <c r="AK146" i="118" s="1"/>
  <c r="AK171" i="118"/>
  <c r="AK172" i="118" s="1"/>
  <c r="S136" i="118"/>
  <c r="S137" i="118" s="1"/>
  <c r="AA122" i="118"/>
  <c r="AA123" i="118" s="1"/>
  <c r="AE171" i="118"/>
  <c r="AE172" i="118" s="1"/>
  <c r="AL145" i="118"/>
  <c r="AL146" i="118" s="1"/>
  <c r="N136" i="118"/>
  <c r="N137" i="118" s="1"/>
  <c r="AD129" i="118"/>
  <c r="AD130" i="118" s="1"/>
  <c r="U129" i="118"/>
  <c r="U130" i="118" s="1"/>
  <c r="M122" i="118"/>
  <c r="M123" i="118" s="1"/>
  <c r="S129" i="118"/>
  <c r="S130" i="118" s="1"/>
  <c r="AF129" i="118"/>
  <c r="AF130" i="118" s="1"/>
  <c r="N129" i="118"/>
  <c r="N130" i="118" s="1"/>
  <c r="T129" i="118"/>
  <c r="T130" i="118" s="1"/>
  <c r="W122" i="118"/>
  <c r="W123" i="118" s="1"/>
  <c r="AH122" i="118"/>
  <c r="AH123" i="118" s="1"/>
  <c r="AJ136" i="118"/>
  <c r="AJ137" i="118" s="1"/>
  <c r="M136" i="118"/>
  <c r="M137" i="118" s="1"/>
  <c r="Z145" i="118"/>
  <c r="Z146" i="118" s="1"/>
  <c r="L171" i="118"/>
  <c r="L172" i="118" s="1"/>
  <c r="L145" i="118"/>
  <c r="L146" i="118" s="1"/>
  <c r="AG171" i="118"/>
  <c r="AG172" i="118" s="1"/>
  <c r="AE129" i="118"/>
  <c r="AE130" i="118" s="1"/>
  <c r="K122" i="118"/>
  <c r="K123" i="118" s="1"/>
  <c r="X129" i="118"/>
  <c r="X130" i="118" s="1"/>
  <c r="AK129" i="118"/>
  <c r="AK130" i="118" s="1"/>
  <c r="AL129" i="118"/>
  <c r="AL130" i="118" s="1"/>
  <c r="N122" i="118"/>
  <c r="N123" i="118" s="1"/>
  <c r="V122" i="118"/>
  <c r="V123" i="118" s="1"/>
  <c r="AB136" i="118"/>
  <c r="AB137" i="118" s="1"/>
  <c r="V136" i="118"/>
  <c r="V137" i="118" s="1"/>
  <c r="Q145" i="118"/>
  <c r="Q146" i="118" s="1"/>
  <c r="AH171" i="118"/>
  <c r="AH172" i="118" s="1"/>
  <c r="L136" i="118"/>
  <c r="L137" i="118" s="1"/>
  <c r="R171" i="118"/>
  <c r="R172" i="118" s="1"/>
  <c r="W171" i="118"/>
  <c r="W172" i="118" s="1"/>
  <c r="X122" i="118"/>
  <c r="X123" i="118" s="1"/>
  <c r="AB171" i="118"/>
  <c r="AB172" i="118" s="1"/>
  <c r="Z129" i="118"/>
  <c r="Z130" i="118" s="1"/>
  <c r="K163" i="118"/>
  <c r="P129" i="118"/>
  <c r="P130" i="118" s="1"/>
  <c r="Y129" i="118"/>
  <c r="Y130" i="118" s="1"/>
  <c r="Q129" i="118"/>
  <c r="Q130" i="118" s="1"/>
  <c r="AL122" i="118"/>
  <c r="AL123" i="118" s="1"/>
  <c r="AE122" i="118"/>
  <c r="AE123" i="118" s="1"/>
  <c r="Y122" i="118"/>
  <c r="Y123" i="118" s="1"/>
  <c r="T136" i="118"/>
  <c r="T137" i="118" s="1"/>
  <c r="AE136" i="118"/>
  <c r="AE137" i="118" s="1"/>
  <c r="M145" i="118"/>
  <c r="M146" i="118" s="1"/>
  <c r="Z171" i="118"/>
  <c r="Z172" i="118" s="1"/>
  <c r="AJ145" i="118"/>
  <c r="AJ146" i="118" s="1"/>
  <c r="AB129" i="118"/>
  <c r="AB130" i="118" s="1"/>
  <c r="AJ129" i="118"/>
  <c r="AJ130" i="118" s="1"/>
  <c r="L129" i="118"/>
  <c r="L130" i="118" s="1"/>
  <c r="AH129" i="118"/>
  <c r="AH130" i="118" s="1"/>
  <c r="AJ122" i="118"/>
  <c r="AJ123" i="118" s="1"/>
  <c r="AC122" i="118"/>
  <c r="AC123" i="118" s="1"/>
  <c r="R122" i="118"/>
  <c r="R123" i="118" s="1"/>
  <c r="W145" i="118"/>
  <c r="W146" i="118" s="1"/>
  <c r="AG129" i="118"/>
  <c r="AG130" i="118" s="1"/>
  <c r="W129" i="118"/>
  <c r="W130" i="118" s="1"/>
  <c r="T171" i="118"/>
  <c r="T172" i="118" s="1"/>
  <c r="AA129" i="118"/>
  <c r="AA130" i="118" s="1"/>
  <c r="AI129" i="118"/>
  <c r="AI130" i="118" s="1"/>
  <c r="O129" i="118"/>
  <c r="O130" i="118" s="1"/>
  <c r="AB122" i="118"/>
  <c r="AB123" i="118" s="1"/>
  <c r="S122" i="118"/>
  <c r="S123" i="118" s="1"/>
  <c r="U122" i="118"/>
  <c r="U123" i="118" s="1"/>
  <c r="R136" i="118"/>
  <c r="R137" i="118" s="1"/>
  <c r="AB145" i="118"/>
  <c r="AB146" i="118" s="1"/>
  <c r="AG145" i="118"/>
  <c r="AG146" i="118" s="1"/>
  <c r="M171" i="118"/>
  <c r="M172" i="118" s="1"/>
  <c r="AA136" i="118"/>
  <c r="AA137" i="118" s="1"/>
  <c r="AJ171" i="118"/>
  <c r="AJ172" i="118" s="1"/>
  <c r="K129" i="118"/>
  <c r="K130" i="118" s="1"/>
  <c r="L122" i="118"/>
  <c r="L123" i="118" s="1"/>
  <c r="P122" i="118"/>
  <c r="P123" i="118" s="1"/>
  <c r="AK136" i="118"/>
  <c r="AK137" i="118" s="1"/>
  <c r="R129" i="118"/>
  <c r="R130" i="118" s="1"/>
  <c r="V129" i="118"/>
  <c r="V130" i="118" s="1"/>
  <c r="AC129" i="118"/>
  <c r="AC130" i="118" s="1"/>
  <c r="T122" i="118"/>
  <c r="T123" i="118" s="1"/>
  <c r="AI122" i="118"/>
  <c r="AI123" i="118" s="1"/>
  <c r="Q122" i="118"/>
  <c r="Q123" i="118" s="1"/>
  <c r="T145" i="118"/>
  <c r="T146" i="118" s="1"/>
  <c r="AF122" i="118"/>
  <c r="AF123" i="118" s="1"/>
  <c r="AI145" i="118"/>
  <c r="AI146" i="118" s="1"/>
  <c r="N74" i="118"/>
  <c r="N73" i="118"/>
  <c r="O199" i="118"/>
  <c r="P87" i="118"/>
  <c r="K44" i="120" l="1"/>
  <c r="S178" i="120"/>
  <c r="AA21" i="124"/>
  <c r="AA21" i="125"/>
  <c r="AK193" i="127"/>
  <c r="AL81" i="127"/>
  <c r="AL193" i="127" s="1"/>
  <c r="AL77" i="127"/>
  <c r="V5" i="127"/>
  <c r="U36" i="127"/>
  <c r="U38" i="127"/>
  <c r="U188" i="127"/>
  <c r="V5" i="126"/>
  <c r="AL77" i="126"/>
  <c r="U57" i="126"/>
  <c r="U30" i="126"/>
  <c r="U36" i="126"/>
  <c r="U38" i="126"/>
  <c r="U188" i="126"/>
  <c r="AH193" i="126"/>
  <c r="AI81" i="126"/>
  <c r="AI193" i="125"/>
  <c r="AJ81" i="125"/>
  <c r="U11" i="125"/>
  <c r="U10" i="125"/>
  <c r="V4" i="125"/>
  <c r="AL78" i="124"/>
  <c r="AL88" i="124" s="1"/>
  <c r="AK88" i="124"/>
  <c r="U11" i="124"/>
  <c r="V4" i="124"/>
  <c r="U10" i="124"/>
  <c r="AH193" i="124"/>
  <c r="AI81" i="124"/>
  <c r="AL77" i="124"/>
  <c r="AH88" i="123"/>
  <c r="AI78" i="123"/>
  <c r="AF77" i="123"/>
  <c r="AC193" i="123"/>
  <c r="AD81" i="123"/>
  <c r="R11" i="123"/>
  <c r="R10" i="123"/>
  <c r="S4" i="123"/>
  <c r="J58" i="120"/>
  <c r="T83" i="118"/>
  <c r="AB18" i="114"/>
  <c r="S179" i="120"/>
  <c r="T86" i="118"/>
  <c r="T80" i="118"/>
  <c r="AI62" i="118"/>
  <c r="Q87" i="118"/>
  <c r="L11" i="118"/>
  <c r="L10" i="118"/>
  <c r="M4" i="118"/>
  <c r="O74" i="118"/>
  <c r="O73" i="118"/>
  <c r="L194" i="118" l="1"/>
  <c r="L44" i="120"/>
  <c r="T178" i="120"/>
  <c r="AB21" i="125"/>
  <c r="AB21" i="124"/>
  <c r="U37" i="127"/>
  <c r="U89" i="127"/>
  <c r="V10" i="127"/>
  <c r="V11" i="127"/>
  <c r="W4" i="127"/>
  <c r="V10" i="126"/>
  <c r="V11" i="126"/>
  <c r="W4" i="126"/>
  <c r="AI193" i="126"/>
  <c r="AJ81" i="126"/>
  <c r="U37" i="126"/>
  <c r="U89" i="126"/>
  <c r="U36" i="125"/>
  <c r="U38" i="125"/>
  <c r="U188" i="125"/>
  <c r="AJ193" i="125"/>
  <c r="AK81" i="125"/>
  <c r="V5" i="125"/>
  <c r="U36" i="124"/>
  <c r="U38" i="124"/>
  <c r="U188" i="124"/>
  <c r="AI193" i="124"/>
  <c r="AJ81" i="124"/>
  <c r="V5" i="124"/>
  <c r="S5" i="123"/>
  <c r="AI88" i="123"/>
  <c r="AJ78" i="123"/>
  <c r="R36" i="123"/>
  <c r="R188" i="123"/>
  <c r="AD193" i="123"/>
  <c r="AE81" i="123"/>
  <c r="AG77" i="123"/>
  <c r="K58" i="120"/>
  <c r="U83" i="118"/>
  <c r="U86" i="118"/>
  <c r="U96" i="118" s="1"/>
  <c r="AC18" i="114"/>
  <c r="T179" i="120"/>
  <c r="U80" i="118"/>
  <c r="AJ62" i="118"/>
  <c r="M5" i="118"/>
  <c r="R87" i="118"/>
  <c r="M44" i="120" l="1"/>
  <c r="U178" i="120"/>
  <c r="AC21" i="124"/>
  <c r="AC21" i="125"/>
  <c r="V38" i="127"/>
  <c r="V36" i="127"/>
  <c r="V188" i="127"/>
  <c r="W5" i="127"/>
  <c r="W5" i="126"/>
  <c r="AJ193" i="126"/>
  <c r="AK81" i="126"/>
  <c r="V30" i="126"/>
  <c r="V57" i="126"/>
  <c r="V36" i="126"/>
  <c r="V38" i="126"/>
  <c r="V188" i="126"/>
  <c r="V11" i="125"/>
  <c r="V10" i="125"/>
  <c r="W4" i="125"/>
  <c r="AK193" i="125"/>
  <c r="AL81" i="125"/>
  <c r="AL193" i="125" s="1"/>
  <c r="U89" i="125"/>
  <c r="U37" i="125"/>
  <c r="V10" i="124"/>
  <c r="W4" i="124"/>
  <c r="V11" i="124"/>
  <c r="U89" i="124"/>
  <c r="U37" i="124"/>
  <c r="AJ193" i="124"/>
  <c r="AK81" i="124"/>
  <c r="S10" i="123"/>
  <c r="S11" i="123"/>
  <c r="T4" i="123"/>
  <c r="AH77" i="123"/>
  <c r="AJ88" i="123"/>
  <c r="AK78" i="123"/>
  <c r="AE193" i="123"/>
  <c r="AF81" i="123"/>
  <c r="M60" i="120"/>
  <c r="L58" i="120"/>
  <c r="V83" i="118"/>
  <c r="V84" i="118"/>
  <c r="N144" i="120" s="1"/>
  <c r="U94" i="118"/>
  <c r="AD18" i="114"/>
  <c r="U179" i="120"/>
  <c r="V86" i="118"/>
  <c r="V96" i="118" s="1"/>
  <c r="V80" i="118"/>
  <c r="AK62" i="118"/>
  <c r="S87" i="118"/>
  <c r="M11" i="118"/>
  <c r="M10" i="118"/>
  <c r="N4" i="118"/>
  <c r="E114" i="120" l="1"/>
  <c r="E107" i="120"/>
  <c r="E108" i="120"/>
  <c r="B33" i="128"/>
  <c r="V178" i="120"/>
  <c r="AD21" i="125"/>
  <c r="AD21" i="124"/>
  <c r="W10" i="127"/>
  <c r="X4" i="127"/>
  <c r="W11" i="127"/>
  <c r="V89" i="127"/>
  <c r="V37" i="127"/>
  <c r="W11" i="126"/>
  <c r="X4" i="126"/>
  <c r="W10" i="126"/>
  <c r="V37" i="126"/>
  <c r="V89" i="126"/>
  <c r="AK193" i="126"/>
  <c r="AL81" i="126"/>
  <c r="AL193" i="126" s="1"/>
  <c r="V36" i="125"/>
  <c r="V38" i="125"/>
  <c r="V188" i="125"/>
  <c r="W5" i="125"/>
  <c r="AK193" i="124"/>
  <c r="AL81" i="124"/>
  <c r="AL193" i="124" s="1"/>
  <c r="W5" i="124"/>
  <c r="V38" i="124"/>
  <c r="V36" i="124"/>
  <c r="V188" i="124"/>
  <c r="T5" i="123"/>
  <c r="S36" i="123"/>
  <c r="S188" i="123"/>
  <c r="AF193" i="123"/>
  <c r="AG81" i="123"/>
  <c r="AI77" i="123"/>
  <c r="AK88" i="123"/>
  <c r="AL78" i="123"/>
  <c r="AL88" i="123" s="1"/>
  <c r="M194" i="118"/>
  <c r="M58" i="120"/>
  <c r="N44" i="120"/>
  <c r="N60" i="120"/>
  <c r="W84" i="118"/>
  <c r="O144" i="120" s="1"/>
  <c r="V94" i="118"/>
  <c r="W83" i="118"/>
  <c r="W86" i="118"/>
  <c r="W96" i="118" s="1"/>
  <c r="AE18" i="114"/>
  <c r="V179" i="120"/>
  <c r="W80" i="118"/>
  <c r="AL62" i="118"/>
  <c r="T87" i="118"/>
  <c r="N5" i="118"/>
  <c r="W178" i="120" l="1"/>
  <c r="AE21" i="125"/>
  <c r="AE21" i="124"/>
  <c r="X5" i="127"/>
  <c r="W36" i="127"/>
  <c r="W38" i="127"/>
  <c r="W188" i="127"/>
  <c r="W30" i="126"/>
  <c r="W57" i="126"/>
  <c r="W36" i="126"/>
  <c r="W38" i="126"/>
  <c r="W188" i="126"/>
  <c r="X5" i="126"/>
  <c r="V89" i="125"/>
  <c r="V37" i="125"/>
  <c r="W11" i="125"/>
  <c r="W10" i="125"/>
  <c r="X4" i="125"/>
  <c r="W10" i="124"/>
  <c r="X4" i="124"/>
  <c r="W11" i="124"/>
  <c r="V89" i="124"/>
  <c r="V37" i="124"/>
  <c r="AJ77" i="123"/>
  <c r="T10" i="123"/>
  <c r="T11" i="123"/>
  <c r="U4" i="123"/>
  <c r="AG193" i="123"/>
  <c r="AH81" i="123"/>
  <c r="O44" i="120"/>
  <c r="N58" i="120"/>
  <c r="O60" i="120"/>
  <c r="X83" i="118"/>
  <c r="X84" i="118"/>
  <c r="P144" i="120" s="1"/>
  <c r="W94" i="118"/>
  <c r="X86" i="118"/>
  <c r="X96" i="118" s="1"/>
  <c r="AF18" i="114"/>
  <c r="W179" i="120"/>
  <c r="X80" i="118"/>
  <c r="N10" i="118"/>
  <c r="N11" i="118"/>
  <c r="O4" i="118"/>
  <c r="U87" i="118"/>
  <c r="N194" i="118" l="1"/>
  <c r="X178" i="120"/>
  <c r="AF21" i="125"/>
  <c r="AF21" i="124"/>
  <c r="X11" i="127"/>
  <c r="X10" i="127"/>
  <c r="Y4" i="127"/>
  <c r="W89" i="127"/>
  <c r="W37" i="127"/>
  <c r="W89" i="126"/>
  <c r="W37" i="126"/>
  <c r="X10" i="126"/>
  <c r="X11" i="126"/>
  <c r="Y4" i="126"/>
  <c r="W38" i="125"/>
  <c r="W36" i="125"/>
  <c r="W188" i="125"/>
  <c r="X5" i="125"/>
  <c r="X5" i="124"/>
  <c r="W38" i="124"/>
  <c r="W36" i="124"/>
  <c r="W188" i="124"/>
  <c r="T36" i="123"/>
  <c r="T188" i="123"/>
  <c r="AK77" i="123"/>
  <c r="AH193" i="123"/>
  <c r="AI81" i="123"/>
  <c r="U5" i="123"/>
  <c r="O58" i="120"/>
  <c r="P44" i="120"/>
  <c r="P60" i="120"/>
  <c r="Y84" i="118"/>
  <c r="Q144" i="120" s="1"/>
  <c r="X94" i="118"/>
  <c r="Y83" i="118"/>
  <c r="Y86" i="118"/>
  <c r="Y96" i="118" s="1"/>
  <c r="AG18" i="114"/>
  <c r="X179" i="120"/>
  <c r="Y80" i="118"/>
  <c r="V87" i="118"/>
  <c r="O5" i="118"/>
  <c r="Q44" i="120" l="1"/>
  <c r="Y178" i="120"/>
  <c r="AG21" i="125"/>
  <c r="AG21" i="124"/>
  <c r="X36" i="127"/>
  <c r="X38" i="127"/>
  <c r="X188" i="127"/>
  <c r="Y5" i="127"/>
  <c r="Y5" i="126"/>
  <c r="X30" i="126"/>
  <c r="X57" i="126"/>
  <c r="X38" i="126"/>
  <c r="X36" i="126"/>
  <c r="X188" i="126"/>
  <c r="W89" i="125"/>
  <c r="W37" i="125"/>
  <c r="X10" i="125"/>
  <c r="Y4" i="125"/>
  <c r="X11" i="125"/>
  <c r="W89" i="124"/>
  <c r="W37" i="124"/>
  <c r="X10" i="124"/>
  <c r="X11" i="124"/>
  <c r="Y4" i="124"/>
  <c r="U10" i="123"/>
  <c r="U11" i="123"/>
  <c r="V4" i="123"/>
  <c r="AI193" i="123"/>
  <c r="AJ81" i="123"/>
  <c r="AL77" i="123"/>
  <c r="P58" i="120"/>
  <c r="Q60" i="120"/>
  <c r="Z84" i="118"/>
  <c r="R144" i="120" s="1"/>
  <c r="Y94" i="118"/>
  <c r="Z83" i="118"/>
  <c r="Z86" i="118"/>
  <c r="Z96" i="118" s="1"/>
  <c r="AH18" i="114"/>
  <c r="Y179" i="120"/>
  <c r="Z80" i="118"/>
  <c r="W87" i="118"/>
  <c r="P4" i="118"/>
  <c r="O10" i="118"/>
  <c r="O11" i="118"/>
  <c r="O194" i="118" s="1"/>
  <c r="Z178" i="120" l="1"/>
  <c r="AH21" i="124"/>
  <c r="AH21" i="125"/>
  <c r="Y11" i="127"/>
  <c r="Y10" i="127"/>
  <c r="Z4" i="127"/>
  <c r="X89" i="127"/>
  <c r="X37" i="127"/>
  <c r="Y10" i="126"/>
  <c r="Y11" i="126"/>
  <c r="Z4" i="126"/>
  <c r="X89" i="126"/>
  <c r="X37" i="126"/>
  <c r="X36" i="125"/>
  <c r="X38" i="125"/>
  <c r="X188" i="125"/>
  <c r="Y5" i="125"/>
  <c r="Y5" i="124"/>
  <c r="X36" i="124"/>
  <c r="X38" i="124"/>
  <c r="X188" i="124"/>
  <c r="AJ193" i="123"/>
  <c r="AK81" i="123"/>
  <c r="V5" i="123"/>
  <c r="U36" i="123"/>
  <c r="U38" i="123"/>
  <c r="U188" i="123"/>
  <c r="Q58" i="120"/>
  <c r="R44" i="120"/>
  <c r="R60" i="120"/>
  <c r="AA83" i="118"/>
  <c r="AA84" i="118"/>
  <c r="S144" i="120" s="1"/>
  <c r="Z94" i="118"/>
  <c r="AA86" i="118"/>
  <c r="AA96" i="118" s="1"/>
  <c r="AI18" i="114"/>
  <c r="Z179" i="120"/>
  <c r="AA80" i="118"/>
  <c r="X87" i="118"/>
  <c r="P5" i="118"/>
  <c r="S44" i="120" l="1"/>
  <c r="AA178" i="120"/>
  <c r="AI21" i="124"/>
  <c r="AI21" i="125"/>
  <c r="Y36" i="127"/>
  <c r="Y38" i="127"/>
  <c r="Y188" i="127"/>
  <c r="Z5" i="127"/>
  <c r="Z5" i="126"/>
  <c r="Y57" i="126"/>
  <c r="Y36" i="126"/>
  <c r="Y30" i="126"/>
  <c r="Y38" i="126"/>
  <c r="Y188" i="126"/>
  <c r="X89" i="125"/>
  <c r="X37" i="125"/>
  <c r="Y10" i="125"/>
  <c r="Y11" i="125"/>
  <c r="Z4" i="125"/>
  <c r="Y10" i="124"/>
  <c r="Z4" i="124"/>
  <c r="Y11" i="124"/>
  <c r="X89" i="124"/>
  <c r="X37" i="124"/>
  <c r="AK193" i="123"/>
  <c r="AL81" i="123"/>
  <c r="AL193" i="123" s="1"/>
  <c r="U89" i="123"/>
  <c r="U37" i="123"/>
  <c r="V10" i="123"/>
  <c r="V11" i="123"/>
  <c r="W4" i="123"/>
  <c r="R58" i="120"/>
  <c r="S60" i="120"/>
  <c r="AB84" i="118"/>
  <c r="T144" i="120" s="1"/>
  <c r="AA94" i="118"/>
  <c r="AB83" i="118"/>
  <c r="AJ18" i="114"/>
  <c r="AA179" i="120"/>
  <c r="AB80" i="118"/>
  <c r="P10" i="118"/>
  <c r="Q4" i="118"/>
  <c r="P11" i="118"/>
  <c r="Y87" i="118"/>
  <c r="T44" i="120" l="1"/>
  <c r="AB178" i="120"/>
  <c r="AJ21" i="125"/>
  <c r="AJ21" i="124"/>
  <c r="Y89" i="127"/>
  <c r="Y37" i="127"/>
  <c r="Z11" i="127"/>
  <c r="Z10" i="127"/>
  <c r="AA4" i="127"/>
  <c r="Z10" i="126"/>
  <c r="AA4" i="126"/>
  <c r="Z11" i="126"/>
  <c r="Y89" i="126"/>
  <c r="Y37" i="126"/>
  <c r="Z5" i="125"/>
  <c r="Y36" i="125"/>
  <c r="Y38" i="125"/>
  <c r="Y188" i="125"/>
  <c r="Y36" i="124"/>
  <c r="Y38" i="124"/>
  <c r="Y188" i="124"/>
  <c r="Z5" i="124"/>
  <c r="V36" i="123"/>
  <c r="V38" i="123"/>
  <c r="V188" i="123"/>
  <c r="W5" i="123"/>
  <c r="P42" i="118"/>
  <c r="H104" i="120" s="1"/>
  <c r="S58" i="120"/>
  <c r="AC83" i="118"/>
  <c r="AC84" i="118"/>
  <c r="U144" i="120" s="1"/>
  <c r="AB94" i="118"/>
  <c r="AD86" i="118"/>
  <c r="AK18" i="114"/>
  <c r="AB179" i="120"/>
  <c r="AC80" i="118"/>
  <c r="Z87" i="118"/>
  <c r="Q5" i="118"/>
  <c r="U44" i="120" l="1"/>
  <c r="AC178" i="120"/>
  <c r="AK21" i="124"/>
  <c r="AK21" i="125"/>
  <c r="Z36" i="127"/>
  <c r="Z38" i="127"/>
  <c r="Z188" i="127"/>
  <c r="AA5" i="127"/>
  <c r="AA5" i="126"/>
  <c r="Z57" i="126"/>
  <c r="Z30" i="126"/>
  <c r="Z36" i="126"/>
  <c r="Z38" i="126"/>
  <c r="Z188" i="126"/>
  <c r="Y89" i="125"/>
  <c r="Y37" i="125"/>
  <c r="Z10" i="125"/>
  <c r="Z11" i="125"/>
  <c r="AA4" i="125"/>
  <c r="Z11" i="124"/>
  <c r="AA4" i="124"/>
  <c r="Z10" i="124"/>
  <c r="Y89" i="124"/>
  <c r="Y37" i="124"/>
  <c r="W11" i="123"/>
  <c r="W10" i="123"/>
  <c r="X4" i="123"/>
  <c r="V89" i="123"/>
  <c r="V37" i="123"/>
  <c r="T58" i="120"/>
  <c r="AD84" i="118"/>
  <c r="V144" i="120" s="1"/>
  <c r="AC94" i="118"/>
  <c r="AD83" i="118"/>
  <c r="AE86" i="118"/>
  <c r="AL18" i="114"/>
  <c r="AC179" i="120"/>
  <c r="AD80" i="118"/>
  <c r="Q11" i="118"/>
  <c r="Q10" i="118"/>
  <c r="R4" i="118"/>
  <c r="AA87" i="118"/>
  <c r="V44" i="120" l="1"/>
  <c r="AD178" i="120"/>
  <c r="AL21" i="125"/>
  <c r="AL21" i="124"/>
  <c r="AA11" i="127"/>
  <c r="AA10" i="127"/>
  <c r="AB4" i="127"/>
  <c r="Z89" i="127"/>
  <c r="Z37" i="127"/>
  <c r="Z89" i="126"/>
  <c r="Z37" i="126"/>
  <c r="AA10" i="126"/>
  <c r="AA11" i="126"/>
  <c r="AB4" i="126"/>
  <c r="AA5" i="125"/>
  <c r="Z38" i="125"/>
  <c r="Z36" i="125"/>
  <c r="Z188" i="125"/>
  <c r="Z36" i="124"/>
  <c r="Z38" i="124"/>
  <c r="Z188" i="124"/>
  <c r="AA5" i="124"/>
  <c r="W36" i="123"/>
  <c r="W38" i="123"/>
  <c r="W188" i="123"/>
  <c r="X5" i="123"/>
  <c r="U58" i="120"/>
  <c r="Q42" i="118"/>
  <c r="I104" i="120" s="1"/>
  <c r="AE83" i="118"/>
  <c r="AE84" i="118"/>
  <c r="W144" i="120" s="1"/>
  <c r="AD94" i="118"/>
  <c r="AD179" i="120"/>
  <c r="AF86" i="118"/>
  <c r="AE80" i="118"/>
  <c r="R5" i="118"/>
  <c r="AB87" i="118"/>
  <c r="W44" i="120" l="1"/>
  <c r="AB5" i="127"/>
  <c r="AA188" i="127"/>
  <c r="AA38" i="127"/>
  <c r="AA36" i="127"/>
  <c r="AB5" i="126"/>
  <c r="AA188" i="126"/>
  <c r="AA57" i="126"/>
  <c r="AA38" i="126"/>
  <c r="AA30" i="126"/>
  <c r="AA36" i="126"/>
  <c r="Z89" i="125"/>
  <c r="Z37" i="125"/>
  <c r="AA10" i="125"/>
  <c r="AA11" i="125"/>
  <c r="AB4" i="125"/>
  <c r="AA11" i="124"/>
  <c r="AB4" i="124"/>
  <c r="AA10" i="124"/>
  <c r="Z89" i="124"/>
  <c r="Z37" i="124"/>
  <c r="X11" i="123"/>
  <c r="X10" i="123"/>
  <c r="Y4" i="123"/>
  <c r="W89" i="123"/>
  <c r="W37" i="123"/>
  <c r="V58" i="120"/>
  <c r="AF84" i="118"/>
  <c r="X144" i="120" s="1"/>
  <c r="AE94" i="118"/>
  <c r="AF83" i="118"/>
  <c r="AG86" i="118"/>
  <c r="AF80" i="118"/>
  <c r="AC87" i="118"/>
  <c r="S4" i="118"/>
  <c r="R10" i="118"/>
  <c r="R11" i="118"/>
  <c r="J109" i="120" s="1"/>
  <c r="X44" i="120" l="1"/>
  <c r="AA89" i="127"/>
  <c r="AA37" i="127"/>
  <c r="AB11" i="127"/>
  <c r="AC4" i="127"/>
  <c r="AB10" i="127"/>
  <c r="AA89" i="126"/>
  <c r="AA37" i="126"/>
  <c r="AB11" i="126"/>
  <c r="AC4" i="126"/>
  <c r="AB10" i="126"/>
  <c r="AA188" i="125"/>
  <c r="AA38" i="125"/>
  <c r="AA36" i="125"/>
  <c r="AB5" i="125"/>
  <c r="AB5" i="124"/>
  <c r="AA188" i="124"/>
  <c r="AA36" i="124"/>
  <c r="AA38" i="124"/>
  <c r="Y5" i="123"/>
  <c r="X36" i="123"/>
  <c r="X38" i="123"/>
  <c r="X188" i="123"/>
  <c r="R42" i="118"/>
  <c r="J104" i="120" s="1"/>
  <c r="W58" i="120"/>
  <c r="AG83" i="118"/>
  <c r="AG84" i="118"/>
  <c r="Y144" i="120" s="1"/>
  <c r="AF94" i="118"/>
  <c r="AH86" i="118"/>
  <c r="AG80" i="118"/>
  <c r="S5" i="118"/>
  <c r="AD87" i="118"/>
  <c r="AC5" i="127" l="1"/>
  <c r="AB188" i="127"/>
  <c r="AB58" i="127"/>
  <c r="AB31" i="127"/>
  <c r="AB36" i="127"/>
  <c r="AC5" i="126"/>
  <c r="AB188" i="126"/>
  <c r="AB57" i="126"/>
  <c r="AB30" i="126"/>
  <c r="AB36" i="126"/>
  <c r="AB11" i="125"/>
  <c r="AC4" i="125"/>
  <c r="AB10" i="125"/>
  <c r="AA89" i="125"/>
  <c r="AA37" i="125"/>
  <c r="AA37" i="124"/>
  <c r="AA89" i="124"/>
  <c r="AB11" i="124"/>
  <c r="AC4" i="124"/>
  <c r="AB10" i="124"/>
  <c r="X89" i="123"/>
  <c r="X37" i="123"/>
  <c r="Y11" i="123"/>
  <c r="Z4" i="123"/>
  <c r="Y10" i="123"/>
  <c r="X58" i="120"/>
  <c r="Y44" i="120"/>
  <c r="AH84" i="118"/>
  <c r="Z144" i="120" s="1"/>
  <c r="AG94" i="118"/>
  <c r="AH83" i="118"/>
  <c r="AI86" i="118"/>
  <c r="AH80" i="118"/>
  <c r="AE87" i="118"/>
  <c r="S11" i="118"/>
  <c r="K109" i="120" s="1"/>
  <c r="T4" i="118"/>
  <c r="S10" i="118"/>
  <c r="Z44" i="120" l="1"/>
  <c r="AB90" i="127"/>
  <c r="AB38" i="127"/>
  <c r="AD4" i="127"/>
  <c r="AC10" i="127"/>
  <c r="AC11" i="127"/>
  <c r="AB89" i="127"/>
  <c r="AB37" i="127"/>
  <c r="AB38" i="126"/>
  <c r="AB90" i="126"/>
  <c r="AB89" i="126"/>
  <c r="AB37" i="126"/>
  <c r="AC11" i="126"/>
  <c r="AD4" i="126"/>
  <c r="AC10" i="126"/>
  <c r="AC5" i="125"/>
  <c r="AB188" i="125"/>
  <c r="AB36" i="125"/>
  <c r="AB188" i="124"/>
  <c r="AB36" i="124"/>
  <c r="AC5" i="124"/>
  <c r="Y36" i="123"/>
  <c r="Y38" i="123"/>
  <c r="Y188" i="123"/>
  <c r="Z5" i="123"/>
  <c r="Y58" i="120"/>
  <c r="S42" i="118"/>
  <c r="K104" i="120" s="1"/>
  <c r="AI83" i="118"/>
  <c r="AI84" i="118"/>
  <c r="AA144" i="120" s="1"/>
  <c r="AH94" i="118"/>
  <c r="AJ86" i="118"/>
  <c r="AI80" i="118"/>
  <c r="AF87" i="118"/>
  <c r="T5" i="118"/>
  <c r="AC188" i="127" l="1"/>
  <c r="AC58" i="127"/>
  <c r="AC31" i="127"/>
  <c r="AC36" i="127"/>
  <c r="AD5" i="127"/>
  <c r="AD5" i="126"/>
  <c r="AC188" i="126"/>
  <c r="AC57" i="126"/>
  <c r="AC30" i="126"/>
  <c r="AC36" i="126"/>
  <c r="AB89" i="125"/>
  <c r="AB37" i="125"/>
  <c r="AB38" i="125"/>
  <c r="AB90" i="125"/>
  <c r="AC11" i="125"/>
  <c r="AC10" i="125"/>
  <c r="AD4" i="125"/>
  <c r="AB38" i="124"/>
  <c r="AB90" i="124"/>
  <c r="AB37" i="124"/>
  <c r="AB89" i="124"/>
  <c r="AC11" i="124"/>
  <c r="AD4" i="124"/>
  <c r="AC10" i="124"/>
  <c r="Z11" i="123"/>
  <c r="AA4" i="123"/>
  <c r="Z10" i="123"/>
  <c r="Y89" i="123"/>
  <c r="Y37" i="123"/>
  <c r="AA44" i="120"/>
  <c r="Z58" i="120"/>
  <c r="AJ84" i="118"/>
  <c r="AB144" i="120" s="1"/>
  <c r="AI94" i="118"/>
  <c r="AJ83" i="118"/>
  <c r="AK86" i="118"/>
  <c r="AJ80" i="118"/>
  <c r="AG87" i="118"/>
  <c r="T11" i="118"/>
  <c r="L109" i="120" s="1"/>
  <c r="U4" i="118"/>
  <c r="T10" i="118"/>
  <c r="AB44" i="120" l="1"/>
  <c r="AC37" i="127"/>
  <c r="AC89" i="127"/>
  <c r="AC38" i="127"/>
  <c r="AC90" i="127"/>
  <c r="AD10" i="127"/>
  <c r="AD11" i="127"/>
  <c r="AE4" i="127"/>
  <c r="AC37" i="126"/>
  <c r="AC89" i="126"/>
  <c r="AC38" i="126"/>
  <c r="AC90" i="126"/>
  <c r="AD11" i="126"/>
  <c r="AE4" i="126"/>
  <c r="AD10" i="126"/>
  <c r="AD5" i="125"/>
  <c r="AC188" i="125"/>
  <c r="AC36" i="125"/>
  <c r="AC188" i="124"/>
  <c r="AC36" i="124"/>
  <c r="AD5" i="124"/>
  <c r="Z38" i="123"/>
  <c r="Z36" i="123"/>
  <c r="Z188" i="123"/>
  <c r="AA5" i="123"/>
  <c r="AA58" i="120"/>
  <c r="T42" i="118"/>
  <c r="L104" i="120" s="1"/>
  <c r="AK83" i="118"/>
  <c r="AK84" i="118"/>
  <c r="AC144" i="120" s="1"/>
  <c r="AJ94" i="118"/>
  <c r="AL86" i="118"/>
  <c r="AK80" i="118"/>
  <c r="U5" i="118"/>
  <c r="AH87" i="118"/>
  <c r="AC44" i="120" l="1"/>
  <c r="AE5" i="127"/>
  <c r="AD188" i="127"/>
  <c r="AD58" i="127"/>
  <c r="AD31" i="127"/>
  <c r="AD36" i="127"/>
  <c r="AE5" i="126"/>
  <c r="AD188" i="126"/>
  <c r="AD57" i="126"/>
  <c r="AD30" i="126"/>
  <c r="AD36" i="126"/>
  <c r="AD11" i="125"/>
  <c r="AE4" i="125"/>
  <c r="AD10" i="125"/>
  <c r="AC89" i="125"/>
  <c r="AC37" i="125"/>
  <c r="AC38" i="125"/>
  <c r="AC90" i="125"/>
  <c r="AC38" i="124"/>
  <c r="AC90" i="124"/>
  <c r="AC89" i="124"/>
  <c r="AC37" i="124"/>
  <c r="AD10" i="124"/>
  <c r="AE4" i="124"/>
  <c r="AD11" i="124"/>
  <c r="AA10" i="123"/>
  <c r="AA11" i="123"/>
  <c r="AB4" i="123"/>
  <c r="Z89" i="123"/>
  <c r="Z37" i="123"/>
  <c r="AB58" i="120"/>
  <c r="AL84" i="118"/>
  <c r="AK94" i="118"/>
  <c r="AL83" i="118"/>
  <c r="AL80" i="118"/>
  <c r="U11" i="118"/>
  <c r="M109" i="120" s="1"/>
  <c r="U10" i="118"/>
  <c r="V4" i="118"/>
  <c r="AI87" i="118"/>
  <c r="AL94" i="118" l="1"/>
  <c r="AD144" i="120"/>
  <c r="AD44" i="120"/>
  <c r="AD37" i="127"/>
  <c r="AD89" i="127"/>
  <c r="AD38" i="127"/>
  <c r="AD90" i="127"/>
  <c r="AE11" i="127"/>
  <c r="AF4" i="127"/>
  <c r="AE10" i="127"/>
  <c r="AD89" i="126"/>
  <c r="AD37" i="126"/>
  <c r="AD38" i="126"/>
  <c r="AD90" i="126"/>
  <c r="AE11" i="126"/>
  <c r="AF4" i="126"/>
  <c r="AE10" i="126"/>
  <c r="AE5" i="125"/>
  <c r="AD188" i="125"/>
  <c r="AD36" i="125"/>
  <c r="AD188" i="124"/>
  <c r="AD36" i="124"/>
  <c r="AE5" i="124"/>
  <c r="AA188" i="123"/>
  <c r="AA38" i="123"/>
  <c r="AA36" i="123"/>
  <c r="AB5" i="123"/>
  <c r="U42" i="118"/>
  <c r="M104" i="120" s="1"/>
  <c r="U44" i="118"/>
  <c r="M106" i="120" s="1"/>
  <c r="AC58" i="120"/>
  <c r="AD58" i="120"/>
  <c r="V5" i="118"/>
  <c r="AJ87" i="118"/>
  <c r="AF5" i="127" l="1"/>
  <c r="AE188" i="127"/>
  <c r="AE31" i="127"/>
  <c r="AE58" i="127"/>
  <c r="AE36" i="127"/>
  <c r="AF5" i="126"/>
  <c r="AE188" i="126"/>
  <c r="AE57" i="126"/>
  <c r="AE30" i="126"/>
  <c r="AE36" i="126"/>
  <c r="AD38" i="125"/>
  <c r="AD90" i="125"/>
  <c r="AD89" i="125"/>
  <c r="AD37" i="125"/>
  <c r="AE11" i="125"/>
  <c r="AF4" i="125"/>
  <c r="AE10" i="125"/>
  <c r="AE10" i="124"/>
  <c r="AF4" i="124"/>
  <c r="AE11" i="124"/>
  <c r="AD89" i="124"/>
  <c r="AD37" i="124"/>
  <c r="AD38" i="124"/>
  <c r="AD90" i="124"/>
  <c r="AA37" i="123"/>
  <c r="AA89" i="123"/>
  <c r="AB10" i="123"/>
  <c r="AB11" i="123"/>
  <c r="AC4" i="123"/>
  <c r="M153" i="120"/>
  <c r="U43" i="118"/>
  <c r="M105" i="120" s="1"/>
  <c r="U95" i="118"/>
  <c r="M97" i="120"/>
  <c r="V11" i="118"/>
  <c r="V35" i="118" s="1"/>
  <c r="N109" i="120" s="1"/>
  <c r="V10" i="118"/>
  <c r="W4" i="118"/>
  <c r="AK87" i="118"/>
  <c r="AE89" i="127" l="1"/>
  <c r="AE37" i="127"/>
  <c r="AE38" i="127"/>
  <c r="AE90" i="127"/>
  <c r="AF10" i="127"/>
  <c r="AG4" i="127"/>
  <c r="AF11" i="127"/>
  <c r="AE38" i="126"/>
  <c r="AE90" i="126"/>
  <c r="AE89" i="126"/>
  <c r="AE37" i="126"/>
  <c r="AF10" i="126"/>
  <c r="AF11" i="126"/>
  <c r="AG4" i="126"/>
  <c r="AF5" i="125"/>
  <c r="AE188" i="125"/>
  <c r="AE36" i="125"/>
  <c r="AE188" i="124"/>
  <c r="AE36" i="124"/>
  <c r="AF5" i="124"/>
  <c r="AC5" i="123"/>
  <c r="AB188" i="123"/>
  <c r="AB36" i="123"/>
  <c r="M59" i="120"/>
  <c r="V42" i="118"/>
  <c r="N104" i="120" s="1"/>
  <c r="V44" i="118"/>
  <c r="N106" i="120" s="1"/>
  <c r="W5" i="118"/>
  <c r="AL87" i="118"/>
  <c r="AF188" i="127" l="1"/>
  <c r="AF58" i="127"/>
  <c r="AF31" i="127"/>
  <c r="AF36" i="127"/>
  <c r="AG5" i="127"/>
  <c r="AG5" i="126"/>
  <c r="AF188" i="126"/>
  <c r="AF57" i="126"/>
  <c r="AF30" i="126"/>
  <c r="AF36" i="126"/>
  <c r="AE89" i="125"/>
  <c r="AE37" i="125"/>
  <c r="AF10" i="125"/>
  <c r="AG4" i="125"/>
  <c r="AF11" i="125"/>
  <c r="AE38" i="125"/>
  <c r="AE90" i="125"/>
  <c r="AF10" i="124"/>
  <c r="AF11" i="124"/>
  <c r="AG4" i="124"/>
  <c r="AE38" i="124"/>
  <c r="AE90" i="124"/>
  <c r="AE89" i="124"/>
  <c r="AE37" i="124"/>
  <c r="AC10" i="123"/>
  <c r="AD4" i="123"/>
  <c r="AC11" i="123"/>
  <c r="AB38" i="123"/>
  <c r="AB90" i="123"/>
  <c r="AB89" i="123"/>
  <c r="AB37" i="123"/>
  <c r="N153" i="120"/>
  <c r="N156" i="120" s="1"/>
  <c r="V43" i="118"/>
  <c r="N105" i="120" s="1"/>
  <c r="V95" i="118"/>
  <c r="N97" i="120"/>
  <c r="X4" i="118"/>
  <c r="W11" i="118"/>
  <c r="W10" i="118"/>
  <c r="W35" i="118" l="1"/>
  <c r="O109" i="120" s="1"/>
  <c r="O111" i="120"/>
  <c r="AF89" i="127"/>
  <c r="AF37" i="127"/>
  <c r="AF38" i="127"/>
  <c r="AF90" i="127"/>
  <c r="AH4" i="127"/>
  <c r="AG11" i="127"/>
  <c r="AG10" i="127"/>
  <c r="AF89" i="126"/>
  <c r="AF37" i="126"/>
  <c r="AF38" i="126"/>
  <c r="AF90" i="126"/>
  <c r="AG11" i="126"/>
  <c r="AG10" i="126"/>
  <c r="AH4" i="126"/>
  <c r="AF188" i="125"/>
  <c r="AF36" i="125"/>
  <c r="AG5" i="125"/>
  <c r="AG5" i="124"/>
  <c r="AF188" i="124"/>
  <c r="AF36" i="124"/>
  <c r="AC188" i="123"/>
  <c r="AC36" i="123"/>
  <c r="AD5" i="123"/>
  <c r="W44" i="118"/>
  <c r="O106" i="120" s="1"/>
  <c r="W42" i="118"/>
  <c r="O104" i="120" s="1"/>
  <c r="N59" i="120"/>
  <c r="W63" i="118"/>
  <c r="X5" i="118"/>
  <c r="AG188" i="127" l="1"/>
  <c r="AG31" i="127"/>
  <c r="AG58" i="127"/>
  <c r="AG36" i="127"/>
  <c r="AH5" i="127"/>
  <c r="AG188" i="126"/>
  <c r="AG57" i="126"/>
  <c r="AG36" i="126"/>
  <c r="AG30" i="126"/>
  <c r="AH5" i="126"/>
  <c r="AF89" i="125"/>
  <c r="AF37" i="125"/>
  <c r="AG10" i="125"/>
  <c r="AG11" i="125"/>
  <c r="AH4" i="125"/>
  <c r="AF38" i="125"/>
  <c r="AF90" i="125"/>
  <c r="AF89" i="124"/>
  <c r="AF37" i="124"/>
  <c r="AF38" i="124"/>
  <c r="AF90" i="124"/>
  <c r="AG10" i="124"/>
  <c r="AH4" i="124"/>
  <c r="AG11" i="124"/>
  <c r="AC38" i="123"/>
  <c r="AC90" i="123"/>
  <c r="AD10" i="123"/>
  <c r="AD11" i="123"/>
  <c r="AE4" i="123"/>
  <c r="AC89" i="123"/>
  <c r="AC37" i="123"/>
  <c r="O153" i="120"/>
  <c r="O156" i="120" s="1"/>
  <c r="W43" i="118"/>
  <c r="O105" i="120" s="1"/>
  <c r="W95" i="118"/>
  <c r="O97" i="120"/>
  <c r="X10" i="118"/>
  <c r="Y4" i="118"/>
  <c r="X11" i="118"/>
  <c r="X35" i="118" l="1"/>
  <c r="P109" i="120" s="1"/>
  <c r="P111" i="120"/>
  <c r="AH11" i="127"/>
  <c r="AH10" i="127"/>
  <c r="AI4" i="127"/>
  <c r="AG38" i="127"/>
  <c r="AG90" i="127"/>
  <c r="AG89" i="127"/>
  <c r="AG37" i="127"/>
  <c r="AG89" i="126"/>
  <c r="AG37" i="126"/>
  <c r="AI4" i="126"/>
  <c r="AH10" i="126"/>
  <c r="AH11" i="126"/>
  <c r="AG38" i="126"/>
  <c r="AG90" i="126"/>
  <c r="AH5" i="125"/>
  <c r="AG188" i="125"/>
  <c r="AG36" i="125"/>
  <c r="AG188" i="124"/>
  <c r="AG36" i="124"/>
  <c r="AH5" i="124"/>
  <c r="AE5" i="123"/>
  <c r="AD188" i="123"/>
  <c r="AD36" i="123"/>
  <c r="X44" i="118"/>
  <c r="P106" i="120" s="1"/>
  <c r="X42" i="118"/>
  <c r="P104" i="120" s="1"/>
  <c r="O59" i="120"/>
  <c r="X63" i="118"/>
  <c r="Y5" i="118"/>
  <c r="AI5" i="127" l="1"/>
  <c r="AH188" i="127"/>
  <c r="AH31" i="127"/>
  <c r="AH58" i="127"/>
  <c r="AH36" i="127"/>
  <c r="AH188" i="126"/>
  <c r="AH57" i="126"/>
  <c r="AH30" i="126"/>
  <c r="AH36" i="126"/>
  <c r="AI5" i="126"/>
  <c r="AH10" i="125"/>
  <c r="AH11" i="125"/>
  <c r="AI4" i="125"/>
  <c r="AG38" i="125"/>
  <c r="AG90" i="125"/>
  <c r="AG89" i="125"/>
  <c r="AG37" i="125"/>
  <c r="AG38" i="124"/>
  <c r="AG90" i="124"/>
  <c r="AG89" i="124"/>
  <c r="AG37" i="124"/>
  <c r="AH11" i="124"/>
  <c r="AI4" i="124"/>
  <c r="AH10" i="124"/>
  <c r="AE11" i="123"/>
  <c r="AE10" i="123"/>
  <c r="AF4" i="123"/>
  <c r="AD89" i="123"/>
  <c r="AD37" i="123"/>
  <c r="AD38" i="123"/>
  <c r="AD90" i="123"/>
  <c r="P153" i="120"/>
  <c r="P156" i="120" s="1"/>
  <c r="X43" i="118"/>
  <c r="P105" i="120" s="1"/>
  <c r="P97" i="120"/>
  <c r="X95" i="118"/>
  <c r="Z4" i="118"/>
  <c r="Y10" i="118"/>
  <c r="Y11" i="118"/>
  <c r="Y35" i="118" l="1"/>
  <c r="Q109" i="120" s="1"/>
  <c r="Q111" i="120"/>
  <c r="AI10" i="127"/>
  <c r="AI11" i="127"/>
  <c r="AJ4" i="127"/>
  <c r="AH38" i="127"/>
  <c r="AH90" i="127"/>
  <c r="AH89" i="127"/>
  <c r="AH37" i="127"/>
  <c r="AI10" i="126"/>
  <c r="AJ4" i="126"/>
  <c r="AI11" i="126"/>
  <c r="AH38" i="126"/>
  <c r="AH90" i="126"/>
  <c r="AH89" i="126"/>
  <c r="AH37" i="126"/>
  <c r="AI5" i="125"/>
  <c r="AH188" i="125"/>
  <c r="AH36" i="125"/>
  <c r="AI5" i="124"/>
  <c r="AH188" i="124"/>
  <c r="AH36" i="124"/>
  <c r="AF5" i="123"/>
  <c r="AE188" i="123"/>
  <c r="AE36" i="123"/>
  <c r="Y63" i="118"/>
  <c r="Y44" i="118"/>
  <c r="Q106" i="120" s="1"/>
  <c r="Y42" i="118"/>
  <c r="Q104" i="120" s="1"/>
  <c r="P59" i="120"/>
  <c r="Z5" i="118"/>
  <c r="AJ5" i="127" l="1"/>
  <c r="AI188" i="127"/>
  <c r="AI58" i="127"/>
  <c r="AI31" i="127"/>
  <c r="AI36" i="127"/>
  <c r="AI188" i="126"/>
  <c r="AI57" i="126"/>
  <c r="AI30" i="126"/>
  <c r="AI36" i="126"/>
  <c r="AJ5" i="126"/>
  <c r="AH38" i="125"/>
  <c r="AH90" i="125"/>
  <c r="AH89" i="125"/>
  <c r="AH37" i="125"/>
  <c r="AI10" i="125"/>
  <c r="AI11" i="125"/>
  <c r="AJ4" i="125"/>
  <c r="AH38" i="124"/>
  <c r="AH90" i="124"/>
  <c r="AI11" i="124"/>
  <c r="AJ4" i="124"/>
  <c r="AI10" i="124"/>
  <c r="AH89" i="124"/>
  <c r="AH37" i="124"/>
  <c r="AE38" i="123"/>
  <c r="AE90" i="123"/>
  <c r="AF11" i="123"/>
  <c r="AF10" i="123"/>
  <c r="AG4" i="123"/>
  <c r="AE89" i="123"/>
  <c r="AE37" i="123"/>
  <c r="Q153" i="120"/>
  <c r="Q156" i="120" s="1"/>
  <c r="Y43" i="118"/>
  <c r="Q105" i="120" s="1"/>
  <c r="Y95" i="118"/>
  <c r="Q97" i="120"/>
  <c r="Z10" i="118"/>
  <c r="Z11" i="118"/>
  <c r="AA4" i="118"/>
  <c r="Z35" i="118" l="1"/>
  <c r="R109" i="120" s="1"/>
  <c r="R111" i="120"/>
  <c r="AI38" i="127"/>
  <c r="AI90" i="127"/>
  <c r="AJ11" i="127"/>
  <c r="AJ10" i="127"/>
  <c r="AK4" i="127"/>
  <c r="AI89" i="127"/>
  <c r="AI37" i="127"/>
  <c r="AJ11" i="126"/>
  <c r="AK4" i="126"/>
  <c r="AJ10" i="126"/>
  <c r="AI89" i="126"/>
  <c r="AI37" i="126"/>
  <c r="AI38" i="126"/>
  <c r="AI90" i="126"/>
  <c r="AJ5" i="125"/>
  <c r="AI188" i="125"/>
  <c r="AI36" i="125"/>
  <c r="AI188" i="124"/>
  <c r="AI36" i="124"/>
  <c r="AJ5" i="124"/>
  <c r="AF188" i="123"/>
  <c r="AF36" i="123"/>
  <c r="AG5" i="123"/>
  <c r="Z63" i="118"/>
  <c r="Z44" i="118"/>
  <c r="R106" i="120" s="1"/>
  <c r="Z42" i="118"/>
  <c r="R104" i="120" s="1"/>
  <c r="Q59" i="120"/>
  <c r="AA5" i="118"/>
  <c r="AJ188" i="127" l="1"/>
  <c r="AJ58" i="127"/>
  <c r="AJ31" i="127"/>
  <c r="AJ36" i="127"/>
  <c r="AK5" i="127"/>
  <c r="AK5" i="126"/>
  <c r="AJ188" i="126"/>
  <c r="AJ57" i="126"/>
  <c r="AJ30" i="126"/>
  <c r="AJ36" i="126"/>
  <c r="AI38" i="125"/>
  <c r="AI90" i="125"/>
  <c r="AJ11" i="125"/>
  <c r="AK4" i="125"/>
  <c r="AJ10" i="125"/>
  <c r="AI89" i="125"/>
  <c r="AI37" i="125"/>
  <c r="AI38" i="124"/>
  <c r="AI90" i="124"/>
  <c r="AJ11" i="124"/>
  <c r="AK4" i="124"/>
  <c r="AJ10" i="124"/>
  <c r="AI89" i="124"/>
  <c r="AI37" i="124"/>
  <c r="AF89" i="123"/>
  <c r="AF37" i="123"/>
  <c r="AG11" i="123"/>
  <c r="AG10" i="123"/>
  <c r="AH4" i="123"/>
  <c r="AF38" i="123"/>
  <c r="AF90" i="123"/>
  <c r="R153" i="120"/>
  <c r="R156" i="120" s="1"/>
  <c r="Z43" i="118"/>
  <c r="R105" i="120" s="1"/>
  <c r="Z95" i="118"/>
  <c r="R97" i="120"/>
  <c r="AA10" i="118"/>
  <c r="AA11" i="118"/>
  <c r="AB4" i="118"/>
  <c r="AA35" i="118" l="1"/>
  <c r="S109" i="120" s="1"/>
  <c r="S111" i="120"/>
  <c r="AK10" i="127"/>
  <c r="AL4" i="127"/>
  <c r="AK11" i="127"/>
  <c r="AJ89" i="127"/>
  <c r="AJ37" i="127"/>
  <c r="AJ38" i="127"/>
  <c r="AJ90" i="127"/>
  <c r="AK11" i="126"/>
  <c r="AL4" i="126"/>
  <c r="AK10" i="126"/>
  <c r="AJ89" i="126"/>
  <c r="AJ37" i="126"/>
  <c r="AJ38" i="126"/>
  <c r="AJ90" i="126"/>
  <c r="AJ188" i="125"/>
  <c r="AJ36" i="125"/>
  <c r="AK5" i="125"/>
  <c r="AK5" i="124"/>
  <c r="AJ188" i="124"/>
  <c r="AJ36" i="124"/>
  <c r="AG188" i="123"/>
  <c r="AG36" i="123"/>
  <c r="AH5" i="123"/>
  <c r="R59" i="120"/>
  <c r="AA63" i="118"/>
  <c r="AA42" i="118"/>
  <c r="S104" i="120" s="1"/>
  <c r="AA44" i="118"/>
  <c r="S106" i="120" s="1"/>
  <c r="AB5" i="118"/>
  <c r="AK188" i="127" l="1"/>
  <c r="AK58" i="127"/>
  <c r="AK31" i="127"/>
  <c r="AK36" i="127"/>
  <c r="AL5" i="127"/>
  <c r="AL5" i="126"/>
  <c r="AK188" i="126"/>
  <c r="AK57" i="126"/>
  <c r="AK30" i="126"/>
  <c r="AK36" i="126"/>
  <c r="AJ89" i="125"/>
  <c r="AJ37" i="125"/>
  <c r="AK11" i="125"/>
  <c r="AK10" i="125"/>
  <c r="AL4" i="125"/>
  <c r="AJ38" i="125"/>
  <c r="AJ90" i="125"/>
  <c r="AJ89" i="124"/>
  <c r="AJ37" i="124"/>
  <c r="AK11" i="124"/>
  <c r="AK10" i="124"/>
  <c r="AL4" i="124"/>
  <c r="AJ38" i="124"/>
  <c r="AJ90" i="124"/>
  <c r="AG38" i="123"/>
  <c r="AG90" i="123"/>
  <c r="AG89" i="123"/>
  <c r="AG37" i="123"/>
  <c r="AH11" i="123"/>
  <c r="AH10" i="123"/>
  <c r="AI4" i="123"/>
  <c r="S153" i="120"/>
  <c r="S156" i="120" s="1"/>
  <c r="AA43" i="118"/>
  <c r="S105" i="120" s="1"/>
  <c r="AA95" i="118"/>
  <c r="S97" i="120"/>
  <c r="AB11" i="118"/>
  <c r="AB10" i="118"/>
  <c r="AC4" i="118"/>
  <c r="AB35" i="118" l="1"/>
  <c r="T109" i="120" s="1"/>
  <c r="T111" i="120"/>
  <c r="AB42" i="118"/>
  <c r="T104" i="120" s="1"/>
  <c r="AK38" i="127"/>
  <c r="AK90" i="127"/>
  <c r="AL10" i="127"/>
  <c r="AL11" i="127"/>
  <c r="AK89" i="127"/>
  <c r="AK37" i="127"/>
  <c r="AK37" i="126"/>
  <c r="AK89" i="126"/>
  <c r="AK38" i="126"/>
  <c r="AK90" i="126"/>
  <c r="AL11" i="126"/>
  <c r="AL10" i="126"/>
  <c r="AL5" i="125"/>
  <c r="AK188" i="125"/>
  <c r="AK36" i="125"/>
  <c r="AL5" i="124"/>
  <c r="AK188" i="124"/>
  <c r="AK36" i="124"/>
  <c r="AI5" i="123"/>
  <c r="AH188" i="123"/>
  <c r="AH36" i="123"/>
  <c r="S59" i="120"/>
  <c r="AB63" i="118"/>
  <c r="AC5" i="118"/>
  <c r="AL58" i="127" l="1"/>
  <c r="AL31" i="127"/>
  <c r="AL188" i="127"/>
  <c r="AL36" i="127"/>
  <c r="AL188" i="126"/>
  <c r="AL36" i="126"/>
  <c r="AL30" i="126"/>
  <c r="AL57" i="126"/>
  <c r="AL11" i="125"/>
  <c r="AL10" i="125"/>
  <c r="AK89" i="125"/>
  <c r="AK37" i="125"/>
  <c r="AK38" i="125"/>
  <c r="AK90" i="125"/>
  <c r="AL10" i="124"/>
  <c r="AL11" i="124"/>
  <c r="AK89" i="124"/>
  <c r="AK37" i="124"/>
  <c r="AK38" i="124"/>
  <c r="AK90" i="124"/>
  <c r="AH89" i="123"/>
  <c r="AH37" i="123"/>
  <c r="AH38" i="123"/>
  <c r="AH90" i="123"/>
  <c r="AI10" i="123"/>
  <c r="AJ4" i="123"/>
  <c r="AI11" i="123"/>
  <c r="T168" i="120"/>
  <c r="AB44" i="118"/>
  <c r="T106" i="120" s="1"/>
  <c r="T153" i="120"/>
  <c r="T156" i="120" s="1"/>
  <c r="AB43" i="118"/>
  <c r="T105" i="120" s="1"/>
  <c r="T98" i="120"/>
  <c r="AB96" i="118"/>
  <c r="AB95" i="118"/>
  <c r="T97" i="120"/>
  <c r="AC10" i="118"/>
  <c r="AC11" i="118"/>
  <c r="AD4" i="118"/>
  <c r="AC35" i="118" l="1"/>
  <c r="U109" i="120" s="1"/>
  <c r="AC42" i="118"/>
  <c r="U111" i="120"/>
  <c r="AD36" i="118"/>
  <c r="AE36" i="118" s="1"/>
  <c r="AF36" i="118" s="1"/>
  <c r="AG36" i="118" s="1"/>
  <c r="AH36" i="118" s="1"/>
  <c r="AI36" i="118" s="1"/>
  <c r="AJ36" i="118" s="1"/>
  <c r="AK36" i="118" s="1"/>
  <c r="AL36" i="118" s="1"/>
  <c r="AL38" i="127"/>
  <c r="AL90" i="127"/>
  <c r="AL37" i="127"/>
  <c r="AL89" i="127"/>
  <c r="AL89" i="126"/>
  <c r="AL37" i="126"/>
  <c r="AL38" i="126"/>
  <c r="AL90" i="126"/>
  <c r="AL188" i="125"/>
  <c r="AL36" i="125"/>
  <c r="AL188" i="124"/>
  <c r="AL36" i="124"/>
  <c r="AI188" i="123"/>
  <c r="AI36" i="123"/>
  <c r="AJ5" i="123"/>
  <c r="T60" i="120"/>
  <c r="T59" i="120"/>
  <c r="U98" i="120"/>
  <c r="U104" i="120"/>
  <c r="AC63" i="118"/>
  <c r="AD5" i="118"/>
  <c r="AL38" i="125" l="1"/>
  <c r="AL90" i="125"/>
  <c r="AL89" i="125"/>
  <c r="AL37" i="125"/>
  <c r="AL89" i="124"/>
  <c r="AL37" i="124"/>
  <c r="AL38" i="124"/>
  <c r="AL90" i="124"/>
  <c r="AC96" i="118"/>
  <c r="U60" i="120" s="1"/>
  <c r="AI38" i="123"/>
  <c r="AI90" i="123"/>
  <c r="AI89" i="123"/>
  <c r="AI37" i="123"/>
  <c r="AJ10" i="123"/>
  <c r="AJ11" i="123"/>
  <c r="AK4" i="123"/>
  <c r="U168" i="120"/>
  <c r="AC44" i="118"/>
  <c r="U106" i="120" s="1"/>
  <c r="U153" i="120"/>
  <c r="U156" i="120" s="1"/>
  <c r="AC43" i="118"/>
  <c r="U105" i="120" s="1"/>
  <c r="AC95" i="118"/>
  <c r="U97" i="120"/>
  <c r="AD11" i="118"/>
  <c r="AD10" i="118"/>
  <c r="AE4" i="118"/>
  <c r="AD35" i="118" l="1"/>
  <c r="V109" i="120" s="1"/>
  <c r="V111" i="120"/>
  <c r="AK5" i="123"/>
  <c r="AJ188" i="123"/>
  <c r="AJ36" i="123"/>
  <c r="U59" i="120"/>
  <c r="V98" i="120"/>
  <c r="AD42" i="118"/>
  <c r="V104" i="120" s="1"/>
  <c r="AD63" i="118"/>
  <c r="AE5" i="118"/>
  <c r="AD96" i="118" l="1"/>
  <c r="V60" i="120" s="1"/>
  <c r="AJ38" i="123"/>
  <c r="AJ90" i="123"/>
  <c r="AJ89" i="123"/>
  <c r="AJ37" i="123"/>
  <c r="AK10" i="123"/>
  <c r="AK11" i="123"/>
  <c r="AL4" i="123"/>
  <c r="V168" i="120"/>
  <c r="AD44" i="118"/>
  <c r="V106" i="120" s="1"/>
  <c r="V153" i="120"/>
  <c r="V156" i="120" s="1"/>
  <c r="AD43" i="118"/>
  <c r="V105" i="120" s="1"/>
  <c r="AD95" i="118"/>
  <c r="V97" i="120"/>
  <c r="AE11" i="118"/>
  <c r="AE10" i="118"/>
  <c r="AF4" i="118"/>
  <c r="AE35" i="118" l="1"/>
  <c r="W109" i="120" s="1"/>
  <c r="W111" i="120"/>
  <c r="AL5" i="123"/>
  <c r="AK188" i="123"/>
  <c r="AK36" i="123"/>
  <c r="V59" i="120"/>
  <c r="W98" i="120"/>
  <c r="AE42" i="118"/>
  <c r="W104" i="120" s="1"/>
  <c r="AE63" i="118"/>
  <c r="AF5" i="118"/>
  <c r="AE96" i="118" l="1"/>
  <c r="W60" i="120" s="1"/>
  <c r="AL10" i="123"/>
  <c r="AL11" i="123"/>
  <c r="AK38" i="123"/>
  <c r="AK90" i="123"/>
  <c r="AK89" i="123"/>
  <c r="AK37" i="123"/>
  <c r="W168" i="120"/>
  <c r="AE44" i="118"/>
  <c r="W106" i="120" s="1"/>
  <c r="W153" i="120"/>
  <c r="W156" i="120" s="1"/>
  <c r="AE43" i="118"/>
  <c r="W105" i="120" s="1"/>
  <c r="AE95" i="118"/>
  <c r="W97" i="120"/>
  <c r="AF10" i="118"/>
  <c r="AG4" i="118"/>
  <c r="AF11" i="118"/>
  <c r="AF35" i="118" l="1"/>
  <c r="X109" i="120" s="1"/>
  <c r="X111" i="120"/>
  <c r="AL188" i="123"/>
  <c r="AL36" i="123"/>
  <c r="W59" i="120"/>
  <c r="X98" i="120"/>
  <c r="AF42" i="118"/>
  <c r="X104" i="120" s="1"/>
  <c r="AF63" i="118"/>
  <c r="AG5" i="118"/>
  <c r="AL89" i="123" l="1"/>
  <c r="AL37" i="123"/>
  <c r="AF96" i="118"/>
  <c r="X60" i="120" s="1"/>
  <c r="AL38" i="123"/>
  <c r="AL90" i="123"/>
  <c r="X168" i="120"/>
  <c r="AF44" i="118"/>
  <c r="X106" i="120" s="1"/>
  <c r="X153" i="120"/>
  <c r="X156" i="120" s="1"/>
  <c r="AF43" i="118"/>
  <c r="X105" i="120" s="1"/>
  <c r="AF95" i="118"/>
  <c r="X97" i="120"/>
  <c r="AG11" i="118"/>
  <c r="AH4" i="118"/>
  <c r="AG10" i="118"/>
  <c r="AG35" i="118" l="1"/>
  <c r="Y109" i="120" s="1"/>
  <c r="Y111" i="120"/>
  <c r="Y98" i="120"/>
  <c r="AG42" i="118"/>
  <c r="Y104" i="120" s="1"/>
  <c r="X59" i="120"/>
  <c r="AG63" i="118"/>
  <c r="AH5" i="118"/>
  <c r="AG96" i="118" l="1"/>
  <c r="Y153" i="120"/>
  <c r="Y156" i="120" s="1"/>
  <c r="AG43" i="118"/>
  <c r="Y105" i="120" s="1"/>
  <c r="Y168" i="120"/>
  <c r="AG44" i="118"/>
  <c r="Y106" i="120" s="1"/>
  <c r="AG95" i="118"/>
  <c r="Y97" i="120"/>
  <c r="AH11" i="118"/>
  <c r="AI4" i="118"/>
  <c r="AH10" i="118"/>
  <c r="AH35" i="118" l="1"/>
  <c r="Z109" i="120" s="1"/>
  <c r="Z111" i="120"/>
  <c r="Y59" i="120"/>
  <c r="Z98" i="120"/>
  <c r="AH42" i="118"/>
  <c r="Z104" i="120" s="1"/>
  <c r="Y60" i="120"/>
  <c r="AH63" i="118"/>
  <c r="AI5" i="118"/>
  <c r="AH96" i="118" l="1"/>
  <c r="Z60" i="120" s="1"/>
  <c r="Z168" i="120"/>
  <c r="AH44" i="118"/>
  <c r="Z106" i="120" s="1"/>
  <c r="Z153" i="120"/>
  <c r="Z156" i="120" s="1"/>
  <c r="AH43" i="118"/>
  <c r="Z105" i="120" s="1"/>
  <c r="AH95" i="118"/>
  <c r="Z97" i="120"/>
  <c r="AJ4" i="118"/>
  <c r="AI11" i="118"/>
  <c r="AI10" i="118"/>
  <c r="AI35" i="118" l="1"/>
  <c r="AA109" i="120" s="1"/>
  <c r="AA111" i="120"/>
  <c r="Z59" i="120"/>
  <c r="AI96" i="118"/>
  <c r="AI42" i="118"/>
  <c r="AA104" i="120" s="1"/>
  <c r="AI63" i="118"/>
  <c r="AJ5" i="118"/>
  <c r="AA98" i="120" l="1"/>
  <c r="AA60" i="120"/>
  <c r="AA153" i="120"/>
  <c r="AA156" i="120" s="1"/>
  <c r="AI43" i="118"/>
  <c r="AA105" i="120" s="1"/>
  <c r="AA168" i="120"/>
  <c r="AI44" i="118"/>
  <c r="AA106" i="120" s="1"/>
  <c r="AI95" i="118"/>
  <c r="AA97" i="120"/>
  <c r="AJ11" i="118"/>
  <c r="AJ10" i="118"/>
  <c r="AK4" i="118"/>
  <c r="AJ35" i="118" l="1"/>
  <c r="AB109" i="120" s="1"/>
  <c r="AB111" i="120"/>
  <c r="AB98" i="120"/>
  <c r="AJ42" i="118"/>
  <c r="AB104" i="120" s="1"/>
  <c r="AA59" i="120"/>
  <c r="AJ63" i="118"/>
  <c r="AK5" i="118"/>
  <c r="AJ96" i="118" l="1"/>
  <c r="AB153" i="120"/>
  <c r="AB156" i="120" s="1"/>
  <c r="AJ43" i="118"/>
  <c r="AB105" i="120" s="1"/>
  <c r="AB168" i="120"/>
  <c r="AJ44" i="118"/>
  <c r="AB106" i="120" s="1"/>
  <c r="AJ95" i="118"/>
  <c r="AB97" i="120"/>
  <c r="AK10" i="118"/>
  <c r="AK11" i="118"/>
  <c r="AL4" i="118"/>
  <c r="AK35" i="118" l="1"/>
  <c r="AC109" i="120" s="1"/>
  <c r="AC111" i="120"/>
  <c r="AB59" i="120"/>
  <c r="AC98" i="120"/>
  <c r="AK42" i="118"/>
  <c r="AC104" i="120" s="1"/>
  <c r="AB60" i="120"/>
  <c r="AK63" i="118"/>
  <c r="AL5" i="118"/>
  <c r="AK96" i="118" l="1"/>
  <c r="AC60" i="120" s="1"/>
  <c r="AC153" i="120"/>
  <c r="AC156" i="120" s="1"/>
  <c r="AK43" i="118"/>
  <c r="AC105" i="120" s="1"/>
  <c r="AC168" i="120"/>
  <c r="AK44" i="118"/>
  <c r="AC106" i="120" s="1"/>
  <c r="AK95" i="118"/>
  <c r="AC97" i="120"/>
  <c r="AL11" i="118"/>
  <c r="AL10" i="118"/>
  <c r="AL35" i="118" l="1"/>
  <c r="AD109" i="120" s="1"/>
  <c r="AD111" i="120"/>
  <c r="AC59" i="120"/>
  <c r="AD98" i="120"/>
  <c r="AL42" i="118"/>
  <c r="AD104" i="120" s="1"/>
  <c r="AL63" i="118"/>
  <c r="AL96" i="118" l="1"/>
  <c r="AD60" i="120" s="1"/>
  <c r="AD168" i="120"/>
  <c r="AL44" i="118"/>
  <c r="AD106" i="120" s="1"/>
  <c r="AD153" i="120"/>
  <c r="AD156" i="120" s="1"/>
  <c r="AL43" i="118"/>
  <c r="AD105" i="120" s="1"/>
  <c r="AD97" i="120"/>
  <c r="AL95" i="118"/>
  <c r="M76" i="114"/>
  <c r="M182" i="114" s="1"/>
  <c r="L153" i="114"/>
  <c r="M153" i="114"/>
  <c r="N153" i="114"/>
  <c r="O153" i="114"/>
  <c r="P153" i="114"/>
  <c r="Q153" i="114" s="1"/>
  <c r="R153" i="114" s="1"/>
  <c r="S153" i="114" s="1"/>
  <c r="T153" i="114" s="1"/>
  <c r="U153" i="114" s="1"/>
  <c r="V153" i="114" s="1"/>
  <c r="W153" i="114" s="1"/>
  <c r="X153" i="114" s="1"/>
  <c r="Y153" i="114" s="1"/>
  <c r="Z153" i="114" s="1"/>
  <c r="AA153" i="114" s="1"/>
  <c r="AB153" i="114" s="1"/>
  <c r="AC153" i="114" s="1"/>
  <c r="AD153" i="114" s="1"/>
  <c r="AE153" i="114" s="1"/>
  <c r="AF153" i="114" s="1"/>
  <c r="AG153" i="114" s="1"/>
  <c r="AH153" i="114" s="1"/>
  <c r="AI153" i="114" s="1"/>
  <c r="AJ153" i="114" s="1"/>
  <c r="AK153" i="114" s="1"/>
  <c r="AL153" i="114" s="1"/>
  <c r="G6" i="117"/>
  <c r="B9" i="117"/>
  <c r="B20" i="117"/>
  <c r="B19" i="117"/>
  <c r="B18" i="117"/>
  <c r="B15" i="117"/>
  <c r="B14" i="117"/>
  <c r="B13" i="117"/>
  <c r="B8" i="117"/>
  <c r="L111" i="114"/>
  <c r="M111" i="114"/>
  <c r="N111" i="114"/>
  <c r="O111" i="114"/>
  <c r="P111" i="114"/>
  <c r="Q111" i="114" s="1"/>
  <c r="R111" i="114" s="1"/>
  <c r="S111" i="114" s="1"/>
  <c r="T111" i="114" s="1"/>
  <c r="U111" i="114" s="1"/>
  <c r="V111" i="114" s="1"/>
  <c r="W111" i="114" s="1"/>
  <c r="X111" i="114" s="1"/>
  <c r="Y111" i="114" s="1"/>
  <c r="Z111" i="114" s="1"/>
  <c r="AA111" i="114" s="1"/>
  <c r="AB111" i="114" s="1"/>
  <c r="AC111" i="114" s="1"/>
  <c r="AD111" i="114" s="1"/>
  <c r="AE111" i="114" s="1"/>
  <c r="AF111" i="114" s="1"/>
  <c r="AG111" i="114" s="1"/>
  <c r="AH111" i="114" s="1"/>
  <c r="AI111" i="114" s="1"/>
  <c r="AJ111" i="114" s="1"/>
  <c r="AK111" i="114" s="1"/>
  <c r="AL111" i="114" s="1"/>
  <c r="L118" i="114"/>
  <c r="M118" i="114"/>
  <c r="N118" i="114"/>
  <c r="O118" i="114"/>
  <c r="P118" i="114"/>
  <c r="Q118" i="114" s="1"/>
  <c r="R118" i="114" s="1"/>
  <c r="S118" i="114" s="1"/>
  <c r="T118" i="114" s="1"/>
  <c r="U118" i="114" s="1"/>
  <c r="V118" i="114" s="1"/>
  <c r="W118" i="114" s="1"/>
  <c r="X118" i="114" s="1"/>
  <c r="Y118" i="114" s="1"/>
  <c r="Z118" i="114" s="1"/>
  <c r="AA118" i="114" s="1"/>
  <c r="AB118" i="114" s="1"/>
  <c r="AC118" i="114" s="1"/>
  <c r="AD118" i="114" s="1"/>
  <c r="AE118" i="114" s="1"/>
  <c r="AF118" i="114" s="1"/>
  <c r="AG118" i="114" s="1"/>
  <c r="AH118" i="114" s="1"/>
  <c r="AI118" i="114" s="1"/>
  <c r="AJ118" i="114" s="1"/>
  <c r="AK118" i="114" s="1"/>
  <c r="AL118" i="114" s="1"/>
  <c r="L127" i="114"/>
  <c r="M127" i="114"/>
  <c r="N127" i="114"/>
  <c r="O127" i="114"/>
  <c r="P127" i="114"/>
  <c r="Q127" i="114" s="1"/>
  <c r="R127" i="114" s="1"/>
  <c r="S127" i="114" s="1"/>
  <c r="T127" i="114" s="1"/>
  <c r="U127" i="114" s="1"/>
  <c r="V127" i="114" s="1"/>
  <c r="W127" i="114" s="1"/>
  <c r="X127" i="114" s="1"/>
  <c r="Y127" i="114" s="1"/>
  <c r="Z127" i="114" s="1"/>
  <c r="AA127" i="114" s="1"/>
  <c r="AB127" i="114" s="1"/>
  <c r="AC127" i="114" s="1"/>
  <c r="AD127" i="114" s="1"/>
  <c r="AE127" i="114" s="1"/>
  <c r="AF127" i="114" s="1"/>
  <c r="AG127" i="114" s="1"/>
  <c r="AH127" i="114" s="1"/>
  <c r="AI127" i="114" s="1"/>
  <c r="AJ127" i="114" s="1"/>
  <c r="AK127" i="114" s="1"/>
  <c r="AL127" i="114" s="1"/>
  <c r="L104" i="114"/>
  <c r="M104" i="114"/>
  <c r="N104" i="114"/>
  <c r="O104" i="114"/>
  <c r="P104" i="114"/>
  <c r="Q104" i="114" s="1"/>
  <c r="R104" i="114" s="1"/>
  <c r="S104" i="114" s="1"/>
  <c r="T104" i="114" s="1"/>
  <c r="U104" i="114" s="1"/>
  <c r="V104" i="114" s="1"/>
  <c r="W104" i="114" s="1"/>
  <c r="X104" i="114" s="1"/>
  <c r="Y104" i="114" s="1"/>
  <c r="Z104" i="114" s="1"/>
  <c r="AA104" i="114" s="1"/>
  <c r="AB104" i="114" s="1"/>
  <c r="AC104" i="114" s="1"/>
  <c r="AD104" i="114" s="1"/>
  <c r="AE104" i="114" s="1"/>
  <c r="AF104" i="114" s="1"/>
  <c r="AG104" i="114" s="1"/>
  <c r="AH104" i="114" s="1"/>
  <c r="AI104" i="114" s="1"/>
  <c r="AJ104" i="114" s="1"/>
  <c r="AK104" i="114" s="1"/>
  <c r="AL104" i="114" s="1"/>
  <c r="L74" i="114"/>
  <c r="M74" i="114"/>
  <c r="N74" i="114"/>
  <c r="O74" i="114"/>
  <c r="P74" i="114"/>
  <c r="Q74" i="114" s="1"/>
  <c r="R74" i="114" s="1"/>
  <c r="S74" i="114" s="1"/>
  <c r="T74" i="114" s="1"/>
  <c r="U74" i="114" s="1"/>
  <c r="V74" i="114" s="1"/>
  <c r="W74" i="114" s="1"/>
  <c r="X74" i="114" s="1"/>
  <c r="Y74" i="114" s="1"/>
  <c r="Z74" i="114" s="1"/>
  <c r="AA74" i="114" s="1"/>
  <c r="AB74" i="114" s="1"/>
  <c r="AC74" i="114" s="1"/>
  <c r="AD74" i="114" s="1"/>
  <c r="AE74" i="114" s="1"/>
  <c r="AF74" i="114" s="1"/>
  <c r="AG74" i="114" s="1"/>
  <c r="AH74" i="114" s="1"/>
  <c r="AI74" i="114" s="1"/>
  <c r="AJ74" i="114" s="1"/>
  <c r="AK74" i="114" s="1"/>
  <c r="AL74" i="114" s="1"/>
  <c r="K74" i="114"/>
  <c r="L73" i="114"/>
  <c r="M73" i="114"/>
  <c r="N73" i="114"/>
  <c r="O73" i="114"/>
  <c r="P73" i="114"/>
  <c r="Q73" i="114" s="1"/>
  <c r="R73" i="114" s="1"/>
  <c r="S73" i="114" s="1"/>
  <c r="T73" i="114" s="1"/>
  <c r="U73" i="114" s="1"/>
  <c r="V73" i="114" s="1"/>
  <c r="W73" i="114" s="1"/>
  <c r="X73" i="114" s="1"/>
  <c r="Y73" i="114" s="1"/>
  <c r="Z73" i="114" s="1"/>
  <c r="AA73" i="114" s="1"/>
  <c r="AB73" i="114" s="1"/>
  <c r="AC73" i="114" s="1"/>
  <c r="AD73" i="114" s="1"/>
  <c r="AE73" i="114" s="1"/>
  <c r="AF73" i="114" s="1"/>
  <c r="AG73" i="114" s="1"/>
  <c r="AH73" i="114" s="1"/>
  <c r="AI73" i="114" s="1"/>
  <c r="AJ73" i="114" s="1"/>
  <c r="AK73" i="114" s="1"/>
  <c r="AL73" i="114" s="1"/>
  <c r="K73" i="114"/>
  <c r="L72" i="114"/>
  <c r="M72" i="114"/>
  <c r="N72" i="114"/>
  <c r="O72" i="114"/>
  <c r="P72" i="114"/>
  <c r="Q72" i="114" s="1"/>
  <c r="R72" i="114" s="1"/>
  <c r="S72" i="114" s="1"/>
  <c r="T72" i="114" s="1"/>
  <c r="U72" i="114" s="1"/>
  <c r="V72" i="114" s="1"/>
  <c r="W72" i="114" s="1"/>
  <c r="X72" i="114" s="1"/>
  <c r="Y72" i="114" s="1"/>
  <c r="Z72" i="114" s="1"/>
  <c r="AA72" i="114" s="1"/>
  <c r="AB72" i="114" s="1"/>
  <c r="AC72" i="114" s="1"/>
  <c r="AD72" i="114" s="1"/>
  <c r="AE72" i="114" s="1"/>
  <c r="AF72" i="114" s="1"/>
  <c r="AG72" i="114" s="1"/>
  <c r="AH72" i="114" s="1"/>
  <c r="AI72" i="114" s="1"/>
  <c r="AJ72" i="114" s="1"/>
  <c r="AK72" i="114" s="1"/>
  <c r="AL72" i="114" s="1"/>
  <c r="K72" i="114"/>
  <c r="L71" i="114"/>
  <c r="M71" i="114"/>
  <c r="N71" i="114"/>
  <c r="O71" i="114"/>
  <c r="P71" i="114"/>
  <c r="Q71" i="114" s="1"/>
  <c r="R71" i="114" s="1"/>
  <c r="S71" i="114" s="1"/>
  <c r="T71" i="114" s="1"/>
  <c r="U71" i="114" s="1"/>
  <c r="V71" i="114" s="1"/>
  <c r="W71" i="114" s="1"/>
  <c r="X71" i="114" s="1"/>
  <c r="Y71" i="114" s="1"/>
  <c r="Z71" i="114" s="1"/>
  <c r="AA71" i="114" s="1"/>
  <c r="AB71" i="114" s="1"/>
  <c r="AC71" i="114" s="1"/>
  <c r="AD71" i="114" s="1"/>
  <c r="AE71" i="114" s="1"/>
  <c r="AF71" i="114" s="1"/>
  <c r="AG71" i="114" s="1"/>
  <c r="AH71" i="114" s="1"/>
  <c r="AI71" i="114" s="1"/>
  <c r="AJ71" i="114" s="1"/>
  <c r="AK71" i="114" s="1"/>
  <c r="AL71" i="114" s="1"/>
  <c r="K71" i="114"/>
  <c r="L70" i="114"/>
  <c r="K70" i="114"/>
  <c r="L69" i="114"/>
  <c r="M69" i="114"/>
  <c r="N69" i="114"/>
  <c r="O69" i="114"/>
  <c r="P69" i="114"/>
  <c r="K69" i="114"/>
  <c r="L67" i="114"/>
  <c r="M67" i="114"/>
  <c r="N67" i="114"/>
  <c r="O67" i="114" s="1"/>
  <c r="P67" i="114" s="1"/>
  <c r="Q67" i="114" s="1"/>
  <c r="R67" i="114" s="1"/>
  <c r="S67" i="114" s="1"/>
  <c r="T67" i="114" s="1"/>
  <c r="U67" i="114" s="1"/>
  <c r="V67" i="114" s="1"/>
  <c r="W67" i="114" s="1"/>
  <c r="X67" i="114" s="1"/>
  <c r="Y67" i="114" s="1"/>
  <c r="Z67" i="114" s="1"/>
  <c r="AA67" i="114" s="1"/>
  <c r="AB67" i="114" s="1"/>
  <c r="AC67" i="114" s="1"/>
  <c r="AD67" i="114" s="1"/>
  <c r="AE67" i="114" s="1"/>
  <c r="AF67" i="114" s="1"/>
  <c r="AG67" i="114" s="1"/>
  <c r="AH67" i="114" s="1"/>
  <c r="AI67" i="114" s="1"/>
  <c r="AJ67" i="114" s="1"/>
  <c r="AK67" i="114" s="1"/>
  <c r="AL67" i="114" s="1"/>
  <c r="K67" i="114"/>
  <c r="L66" i="114"/>
  <c r="M66" i="114"/>
  <c r="N66" i="114"/>
  <c r="K66" i="114"/>
  <c r="K65" i="114"/>
  <c r="P65" i="114"/>
  <c r="L65" i="114"/>
  <c r="K68" i="114" l="1"/>
  <c r="Q65" i="114"/>
  <c r="H28" i="120"/>
  <c r="E19" i="120"/>
  <c r="AD59" i="120"/>
  <c r="L75" i="114"/>
  <c r="Q69" i="114"/>
  <c r="K75" i="114"/>
  <c r="O66" i="114"/>
  <c r="N68" i="114"/>
  <c r="F29" i="120" s="1"/>
  <c r="F30" i="120" s="1"/>
  <c r="L68" i="114"/>
  <c r="M68" i="114"/>
  <c r="E29" i="120" s="1"/>
  <c r="E30" i="120" s="1"/>
  <c r="L76" i="114"/>
  <c r="N76" i="114"/>
  <c r="O76" i="114" s="1"/>
  <c r="P76" i="114" s="1"/>
  <c r="P70" i="114"/>
  <c r="Q70" i="114" s="1"/>
  <c r="R70" i="114" s="1"/>
  <c r="S70" i="114" s="1"/>
  <c r="T70" i="114" s="1"/>
  <c r="U70" i="114" s="1"/>
  <c r="V70" i="114" s="1"/>
  <c r="W70" i="114" s="1"/>
  <c r="X70" i="114" s="1"/>
  <c r="Y70" i="114" s="1"/>
  <c r="Z70" i="114" s="1"/>
  <c r="AA70" i="114" s="1"/>
  <c r="AB70" i="114" s="1"/>
  <c r="AC70" i="114" s="1"/>
  <c r="AD70" i="114" s="1"/>
  <c r="AE70" i="114" s="1"/>
  <c r="AF70" i="114" s="1"/>
  <c r="AG70" i="114" s="1"/>
  <c r="AH70" i="114" s="1"/>
  <c r="AI70" i="114" s="1"/>
  <c r="AJ70" i="114" s="1"/>
  <c r="AK70" i="114" s="1"/>
  <c r="AL70" i="114" s="1"/>
  <c r="O70" i="114"/>
  <c r="O75" i="114" s="1"/>
  <c r="N70" i="114"/>
  <c r="N75" i="114" s="1"/>
  <c r="M70" i="114"/>
  <c r="M75" i="114" s="1"/>
  <c r="O51" i="114"/>
  <c r="P51" i="114"/>
  <c r="Q51" i="114" s="1"/>
  <c r="R51" i="114" s="1"/>
  <c r="S51" i="114" s="1"/>
  <c r="T51" i="114" s="1"/>
  <c r="U51" i="114" s="1"/>
  <c r="V51" i="114" s="1"/>
  <c r="W51" i="114" s="1"/>
  <c r="X51" i="114" s="1"/>
  <c r="Y51" i="114" s="1"/>
  <c r="Z51" i="114" s="1"/>
  <c r="AA51" i="114" s="1"/>
  <c r="AB51" i="114" s="1"/>
  <c r="AC51" i="114" s="1"/>
  <c r="AD51" i="114" s="1"/>
  <c r="AE51" i="114" s="1"/>
  <c r="AF51" i="114" s="1"/>
  <c r="AG51" i="114" s="1"/>
  <c r="AH51" i="114" s="1"/>
  <c r="AI51" i="114" s="1"/>
  <c r="AJ51" i="114" s="1"/>
  <c r="AK51" i="114" s="1"/>
  <c r="AL51" i="114" s="1"/>
  <c r="N51" i="114"/>
  <c r="K23" i="114"/>
  <c r="L61" i="114"/>
  <c r="M61" i="114"/>
  <c r="L60" i="114"/>
  <c r="M60" i="114"/>
  <c r="A6" i="117"/>
  <c r="F7" i="117"/>
  <c r="B22" i="117" l="1"/>
  <c r="A8" i="117"/>
  <c r="A9" i="117"/>
  <c r="R65" i="114"/>
  <c r="I28" i="120"/>
  <c r="K25" i="114"/>
  <c r="K26" i="125"/>
  <c r="K26" i="126"/>
  <c r="K26" i="124"/>
  <c r="K26" i="127"/>
  <c r="K26" i="123"/>
  <c r="K82" i="114"/>
  <c r="P75" i="114"/>
  <c r="R69" i="114"/>
  <c r="Q75" i="114"/>
  <c r="P66" i="114"/>
  <c r="O68" i="114"/>
  <c r="G29" i="120" s="1"/>
  <c r="G30" i="120" s="1"/>
  <c r="K50" i="114"/>
  <c r="K51" i="114" s="1"/>
  <c r="K31" i="118"/>
  <c r="K39" i="118" s="1"/>
  <c r="L182" i="114"/>
  <c r="K76" i="114"/>
  <c r="K182" i="114" s="1"/>
  <c r="Q76" i="114"/>
  <c r="K41" i="114"/>
  <c r="K42" i="114" s="1"/>
  <c r="K84" i="114" s="1"/>
  <c r="B23" i="117" l="1"/>
  <c r="B24" i="117"/>
  <c r="S65" i="114"/>
  <c r="J28" i="120"/>
  <c r="K52" i="123"/>
  <c r="K27" i="123"/>
  <c r="K20" i="123"/>
  <c r="K17" i="123"/>
  <c r="K29" i="123"/>
  <c r="K30" i="123"/>
  <c r="K28" i="123"/>
  <c r="K46" i="123"/>
  <c r="K49" i="123"/>
  <c r="K55" i="123"/>
  <c r="K33" i="123"/>
  <c r="K29" i="127"/>
  <c r="K49" i="127"/>
  <c r="K27" i="127"/>
  <c r="K17" i="127"/>
  <c r="K46" i="127"/>
  <c r="K30" i="127"/>
  <c r="K28" i="127"/>
  <c r="K20" i="127"/>
  <c r="K55" i="127"/>
  <c r="K56" i="127" s="1"/>
  <c r="K59" i="127" s="1"/>
  <c r="K52" i="127"/>
  <c r="K33" i="127"/>
  <c r="K17" i="124"/>
  <c r="K52" i="124"/>
  <c r="K20" i="124"/>
  <c r="K30" i="124"/>
  <c r="K49" i="124"/>
  <c r="K46" i="124"/>
  <c r="K28" i="124"/>
  <c r="K27" i="124"/>
  <c r="K55" i="124"/>
  <c r="K29" i="124"/>
  <c r="K33" i="124"/>
  <c r="K30" i="126"/>
  <c r="K27" i="126"/>
  <c r="K29" i="126"/>
  <c r="K20" i="126"/>
  <c r="K17" i="126"/>
  <c r="K28" i="126"/>
  <c r="K49" i="126"/>
  <c r="K52" i="126"/>
  <c r="K46" i="126"/>
  <c r="K55" i="126"/>
  <c r="K33" i="126"/>
  <c r="K29" i="125"/>
  <c r="K55" i="125"/>
  <c r="K56" i="125" s="1"/>
  <c r="K59" i="125" s="1"/>
  <c r="K28" i="125"/>
  <c r="K30" i="125"/>
  <c r="K49" i="125"/>
  <c r="K27" i="125"/>
  <c r="K17" i="125"/>
  <c r="K20" i="125"/>
  <c r="K52" i="125"/>
  <c r="K46" i="125"/>
  <c r="K33" i="125"/>
  <c r="S69" i="114"/>
  <c r="R75" i="114"/>
  <c r="Q66" i="114"/>
  <c r="P68" i="114"/>
  <c r="H29" i="120" s="1"/>
  <c r="H30" i="120" s="1"/>
  <c r="K52" i="114"/>
  <c r="K89" i="114" s="1"/>
  <c r="K55" i="118"/>
  <c r="K25" i="118"/>
  <c r="K33" i="118"/>
  <c r="K19" i="118"/>
  <c r="K32" i="118"/>
  <c r="K40" i="118" s="1"/>
  <c r="K58" i="118"/>
  <c r="K52" i="118"/>
  <c r="K35" i="118"/>
  <c r="K34" i="118"/>
  <c r="K61" i="118"/>
  <c r="K62" i="118" s="1"/>
  <c r="K65" i="118" s="1"/>
  <c r="K66" i="118" s="1"/>
  <c r="R76" i="114"/>
  <c r="T65" i="114" l="1"/>
  <c r="K28" i="120"/>
  <c r="K89" i="125"/>
  <c r="K37" i="125"/>
  <c r="K24" i="126"/>
  <c r="K88" i="126"/>
  <c r="K36" i="126"/>
  <c r="K88" i="124"/>
  <c r="K24" i="124"/>
  <c r="K36" i="124"/>
  <c r="K99" i="127"/>
  <c r="K98" i="127"/>
  <c r="K24" i="127"/>
  <c r="K88" i="127"/>
  <c r="K36" i="127"/>
  <c r="K56" i="126"/>
  <c r="K59" i="126" s="1"/>
  <c r="K48" i="125"/>
  <c r="K94" i="125" s="1"/>
  <c r="K47" i="125"/>
  <c r="K93" i="125" s="1"/>
  <c r="K98" i="125"/>
  <c r="K99" i="125"/>
  <c r="K48" i="126"/>
  <c r="K94" i="126" s="1"/>
  <c r="K47" i="126"/>
  <c r="K93" i="126" s="1"/>
  <c r="K37" i="126"/>
  <c r="K89" i="126"/>
  <c r="K86" i="124"/>
  <c r="K40" i="124"/>
  <c r="K31" i="124"/>
  <c r="K34" i="124"/>
  <c r="K35" i="127"/>
  <c r="K87" i="127"/>
  <c r="K173" i="127"/>
  <c r="K41" i="127"/>
  <c r="K56" i="123"/>
  <c r="K59" i="123" s="1"/>
  <c r="K31" i="123"/>
  <c r="K40" i="123"/>
  <c r="K86" i="123"/>
  <c r="K34" i="123"/>
  <c r="K41" i="124"/>
  <c r="K87" i="124"/>
  <c r="K35" i="124"/>
  <c r="K173" i="124"/>
  <c r="K37" i="127"/>
  <c r="K89" i="127"/>
  <c r="K51" i="123"/>
  <c r="K50" i="123"/>
  <c r="K95" i="123" s="1"/>
  <c r="K151" i="123" s="1"/>
  <c r="K88" i="125"/>
  <c r="K24" i="125"/>
  <c r="K36" i="125"/>
  <c r="K50" i="126"/>
  <c r="K95" i="126" s="1"/>
  <c r="K151" i="126" s="1"/>
  <c r="K51" i="126"/>
  <c r="K48" i="124"/>
  <c r="K94" i="124" s="1"/>
  <c r="K47" i="124"/>
  <c r="K93" i="124" s="1"/>
  <c r="K48" i="127"/>
  <c r="K94" i="127" s="1"/>
  <c r="K47" i="127"/>
  <c r="K93" i="127" s="1"/>
  <c r="K47" i="123"/>
  <c r="K93" i="123" s="1"/>
  <c r="K48" i="123"/>
  <c r="K94" i="123" s="1"/>
  <c r="K87" i="125"/>
  <c r="K41" i="125"/>
  <c r="K35" i="125"/>
  <c r="K173" i="125"/>
  <c r="K40" i="126"/>
  <c r="K86" i="126"/>
  <c r="K31" i="126"/>
  <c r="K25" i="126" s="1"/>
  <c r="K34" i="126"/>
  <c r="K56" i="124"/>
  <c r="K59" i="124" s="1"/>
  <c r="K41" i="126"/>
  <c r="K87" i="126"/>
  <c r="K173" i="126"/>
  <c r="K35" i="126"/>
  <c r="K51" i="124"/>
  <c r="K50" i="124"/>
  <c r="K95" i="124" s="1"/>
  <c r="K151" i="124" s="1"/>
  <c r="K41" i="123"/>
  <c r="K87" i="123"/>
  <c r="K35" i="123"/>
  <c r="K173" i="123"/>
  <c r="K40" i="125"/>
  <c r="K86" i="125"/>
  <c r="K31" i="125"/>
  <c r="K34" i="125"/>
  <c r="K89" i="124"/>
  <c r="K37" i="124"/>
  <c r="K25" i="127"/>
  <c r="K40" i="127"/>
  <c r="K86" i="127"/>
  <c r="K34" i="127"/>
  <c r="K89" i="123"/>
  <c r="K37" i="123"/>
  <c r="K50" i="125"/>
  <c r="K95" i="125" s="1"/>
  <c r="K151" i="125" s="1"/>
  <c r="K51" i="125"/>
  <c r="K50" i="127"/>
  <c r="K95" i="127" s="1"/>
  <c r="K151" i="127" s="1"/>
  <c r="K51" i="127"/>
  <c r="K24" i="123"/>
  <c r="K88" i="123"/>
  <c r="K36" i="123"/>
  <c r="K95" i="118"/>
  <c r="K43" i="118"/>
  <c r="K93" i="118"/>
  <c r="K41" i="118"/>
  <c r="K94" i="118"/>
  <c r="K29" i="118"/>
  <c r="K42" i="118"/>
  <c r="K90" i="114"/>
  <c r="T69" i="114"/>
  <c r="S75" i="114"/>
  <c r="R66" i="114"/>
  <c r="Q68" i="114"/>
  <c r="I29" i="120" s="1"/>
  <c r="I30" i="120" s="1"/>
  <c r="K105" i="118"/>
  <c r="K104" i="118"/>
  <c r="K36" i="118"/>
  <c r="K92" i="118"/>
  <c r="K56" i="118"/>
  <c r="K57" i="118"/>
  <c r="K53" i="118"/>
  <c r="K99" i="118" s="1"/>
  <c r="K54" i="118"/>
  <c r="K100" i="118" s="1"/>
  <c r="K46" i="118"/>
  <c r="K47" i="118"/>
  <c r="K179" i="118"/>
  <c r="S76" i="114"/>
  <c r="U65" i="114" l="1"/>
  <c r="L28" i="120"/>
  <c r="K97" i="125"/>
  <c r="K22" i="127"/>
  <c r="K118" i="127" s="1"/>
  <c r="K125" i="127" s="1"/>
  <c r="K97" i="127"/>
  <c r="K98" i="124"/>
  <c r="K99" i="124"/>
  <c r="K99" i="126"/>
  <c r="K98" i="126"/>
  <c r="K90" i="125"/>
  <c r="K91" i="125" s="1"/>
  <c r="K38" i="125"/>
  <c r="K22" i="125" s="1"/>
  <c r="K118" i="125" s="1"/>
  <c r="K25" i="125"/>
  <c r="K98" i="123"/>
  <c r="K99" i="123"/>
  <c r="K150" i="125"/>
  <c r="K152" i="125" s="1"/>
  <c r="K92" i="125"/>
  <c r="K92" i="123"/>
  <c r="K150" i="123"/>
  <c r="K152" i="123" s="1"/>
  <c r="K92" i="127"/>
  <c r="K150" i="127"/>
  <c r="K152" i="127" s="1"/>
  <c r="K92" i="124"/>
  <c r="K150" i="124"/>
  <c r="K152" i="124" s="1"/>
  <c r="K150" i="126"/>
  <c r="K152" i="126" s="1"/>
  <c r="K92" i="126"/>
  <c r="K85" i="127"/>
  <c r="K90" i="126"/>
  <c r="K91" i="126" s="1"/>
  <c r="K38" i="126"/>
  <c r="K22" i="126" s="1"/>
  <c r="K118" i="126" s="1"/>
  <c r="K91" i="127"/>
  <c r="K85" i="125"/>
  <c r="K106" i="125" s="1"/>
  <c r="K90" i="123"/>
  <c r="K85" i="123" s="1"/>
  <c r="K38" i="123"/>
  <c r="K22" i="123" s="1"/>
  <c r="K118" i="123" s="1"/>
  <c r="K25" i="123"/>
  <c r="K25" i="124"/>
  <c r="K90" i="124"/>
  <c r="K91" i="124" s="1"/>
  <c r="K38" i="124"/>
  <c r="K22" i="124" s="1"/>
  <c r="K118" i="124" s="1"/>
  <c r="K96" i="118"/>
  <c r="K91" i="118" s="1"/>
  <c r="K44" i="118"/>
  <c r="K27" i="118" s="1"/>
  <c r="K124" i="118" s="1"/>
  <c r="K30" i="118"/>
  <c r="K103" i="118"/>
  <c r="U69" i="114"/>
  <c r="T75" i="114"/>
  <c r="S66" i="114"/>
  <c r="R68" i="114"/>
  <c r="J29" i="120" s="1"/>
  <c r="J30" i="120" s="1"/>
  <c r="K101" i="118"/>
  <c r="K98" i="118" s="1"/>
  <c r="K156" i="118"/>
  <c r="T76" i="114"/>
  <c r="V65" i="114" l="1"/>
  <c r="M28" i="120"/>
  <c r="K106" i="127"/>
  <c r="K119" i="127"/>
  <c r="K97" i="124"/>
  <c r="K85" i="126"/>
  <c r="K97" i="123"/>
  <c r="K201" i="123" s="1"/>
  <c r="K102" i="127"/>
  <c r="K105" i="127" s="1"/>
  <c r="K91" i="123"/>
  <c r="K125" i="126"/>
  <c r="K119" i="126"/>
  <c r="K125" i="124"/>
  <c r="K119" i="124"/>
  <c r="K125" i="125"/>
  <c r="K119" i="125"/>
  <c r="K126" i="127"/>
  <c r="K132" i="127"/>
  <c r="K85" i="124"/>
  <c r="K97" i="118"/>
  <c r="K103" i="123"/>
  <c r="K108" i="123" s="1"/>
  <c r="K102" i="123"/>
  <c r="K105" i="123" s="1"/>
  <c r="K125" i="123"/>
  <c r="K119" i="123"/>
  <c r="K103" i="127"/>
  <c r="K108" i="127" s="1"/>
  <c r="K201" i="127"/>
  <c r="K97" i="126"/>
  <c r="K102" i="125"/>
  <c r="K105" i="125" s="1"/>
  <c r="K201" i="125"/>
  <c r="K103" i="125"/>
  <c r="K108" i="125" s="1"/>
  <c r="K109" i="118"/>
  <c r="K114" i="118" s="1"/>
  <c r="V69" i="114"/>
  <c r="U75" i="114"/>
  <c r="T66" i="114"/>
  <c r="S68" i="114"/>
  <c r="K29" i="120" s="1"/>
  <c r="K30" i="120" s="1"/>
  <c r="K108" i="118"/>
  <c r="K131" i="118"/>
  <c r="K125" i="118"/>
  <c r="K157" i="118"/>
  <c r="K158" i="118" s="1"/>
  <c r="U76" i="114"/>
  <c r="K106" i="124" l="1"/>
  <c r="W65" i="114"/>
  <c r="N28" i="120"/>
  <c r="K102" i="124"/>
  <c r="K105" i="124" s="1"/>
  <c r="K106" i="123"/>
  <c r="K132" i="125"/>
  <c r="K126" i="125"/>
  <c r="K132" i="123"/>
  <c r="K126" i="123"/>
  <c r="K132" i="124"/>
  <c r="K126" i="124"/>
  <c r="K201" i="124"/>
  <c r="K103" i="124"/>
  <c r="K108" i="124" s="1"/>
  <c r="K133" i="127"/>
  <c r="K135" i="127" s="1"/>
  <c r="K189" i="127" s="1"/>
  <c r="K190" i="127" s="1"/>
  <c r="K141" i="127"/>
  <c r="K132" i="126"/>
  <c r="K126" i="126"/>
  <c r="K201" i="126"/>
  <c r="K106" i="126"/>
  <c r="K102" i="126"/>
  <c r="K105" i="126" s="1"/>
  <c r="K103" i="126"/>
  <c r="K108" i="126" s="1"/>
  <c r="W69" i="114"/>
  <c r="V75" i="114"/>
  <c r="U66" i="114"/>
  <c r="T68" i="114"/>
  <c r="L29" i="120" s="1"/>
  <c r="L30" i="120" s="1"/>
  <c r="K132" i="118"/>
  <c r="K138" i="118"/>
  <c r="V76" i="114"/>
  <c r="X65" i="114" l="1"/>
  <c r="O28" i="120"/>
  <c r="K141" i="126"/>
  <c r="K133" i="126"/>
  <c r="K135" i="126" s="1"/>
  <c r="K189" i="126" s="1"/>
  <c r="K190" i="126" s="1"/>
  <c r="K167" i="127"/>
  <c r="K168" i="127" s="1"/>
  <c r="K169" i="127" s="1"/>
  <c r="K171" i="127" s="1"/>
  <c r="K172" i="127" s="1"/>
  <c r="K175" i="127" s="1"/>
  <c r="K142" i="127"/>
  <c r="K143" i="127" s="1"/>
  <c r="K145" i="127" s="1"/>
  <c r="K141" i="123"/>
  <c r="K133" i="123"/>
  <c r="K135" i="123" s="1"/>
  <c r="K189" i="123" s="1"/>
  <c r="K190" i="123" s="1"/>
  <c r="K194" i="127"/>
  <c r="K198" i="127" s="1"/>
  <c r="K191" i="127"/>
  <c r="K141" i="124"/>
  <c r="K133" i="124"/>
  <c r="K135" i="124" s="1"/>
  <c r="K189" i="124" s="1"/>
  <c r="K190" i="124" s="1"/>
  <c r="K141" i="125"/>
  <c r="K133" i="125"/>
  <c r="K135" i="125" s="1"/>
  <c r="K189" i="125" s="1"/>
  <c r="K190" i="125" s="1"/>
  <c r="X69" i="114"/>
  <c r="W75" i="114"/>
  <c r="V66" i="114"/>
  <c r="U68" i="114"/>
  <c r="M29" i="120" s="1"/>
  <c r="M30" i="120" s="1"/>
  <c r="K139" i="118"/>
  <c r="K141" i="118" s="1"/>
  <c r="K195" i="118" s="1"/>
  <c r="K196" i="118" s="1"/>
  <c r="K147" i="118"/>
  <c r="W76" i="114"/>
  <c r="Y65" i="114" l="1"/>
  <c r="P28" i="120"/>
  <c r="K194" i="123"/>
  <c r="K198" i="123" s="1"/>
  <c r="K191" i="123"/>
  <c r="K194" i="124"/>
  <c r="K191" i="124"/>
  <c r="K194" i="126"/>
  <c r="K191" i="126"/>
  <c r="K167" i="126"/>
  <c r="K168" i="126" s="1"/>
  <c r="K169" i="126" s="1"/>
  <c r="K171" i="126" s="1"/>
  <c r="K172" i="126" s="1"/>
  <c r="K175" i="126" s="1"/>
  <c r="K142" i="126"/>
  <c r="K143" i="126" s="1"/>
  <c r="K145" i="126" s="1"/>
  <c r="K194" i="125"/>
  <c r="K198" i="125" s="1"/>
  <c r="K191" i="125"/>
  <c r="K167" i="125"/>
  <c r="K168" i="125" s="1"/>
  <c r="K169" i="125" s="1"/>
  <c r="K171" i="125" s="1"/>
  <c r="K172" i="125" s="1"/>
  <c r="K175" i="125" s="1"/>
  <c r="K142" i="125"/>
  <c r="K143" i="125" s="1"/>
  <c r="K145" i="125" s="1"/>
  <c r="K167" i="124"/>
  <c r="K168" i="124" s="1"/>
  <c r="K169" i="124" s="1"/>
  <c r="K171" i="124" s="1"/>
  <c r="K172" i="124" s="1"/>
  <c r="K175" i="124" s="1"/>
  <c r="K142" i="124"/>
  <c r="K143" i="124" s="1"/>
  <c r="K145" i="124" s="1"/>
  <c r="K167" i="123"/>
  <c r="K168" i="123" s="1"/>
  <c r="K169" i="123" s="1"/>
  <c r="K171" i="123" s="1"/>
  <c r="K172" i="123" s="1"/>
  <c r="K175" i="123" s="1"/>
  <c r="K142" i="123"/>
  <c r="K143" i="123" s="1"/>
  <c r="K145" i="123" s="1"/>
  <c r="K147" i="127"/>
  <c r="K146" i="127"/>
  <c r="Y69" i="114"/>
  <c r="X75" i="114"/>
  <c r="W66" i="114"/>
  <c r="V68" i="114"/>
  <c r="N29" i="120" s="1"/>
  <c r="N30" i="120" s="1"/>
  <c r="K200" i="118"/>
  <c r="K197" i="118"/>
  <c r="K173" i="118"/>
  <c r="K174" i="118" s="1"/>
  <c r="K175" i="118" s="1"/>
  <c r="K177" i="118" s="1"/>
  <c r="K178" i="118" s="1"/>
  <c r="K181" i="118" s="1"/>
  <c r="K148" i="118"/>
  <c r="X76" i="114"/>
  <c r="Z65" i="114" l="1"/>
  <c r="Q28" i="120"/>
  <c r="K147" i="125"/>
  <c r="K146" i="125"/>
  <c r="K147" i="126"/>
  <c r="K146" i="126"/>
  <c r="K147" i="123"/>
  <c r="K146" i="123"/>
  <c r="K198" i="126"/>
  <c r="K146" i="124"/>
  <c r="K147" i="124"/>
  <c r="K198" i="124"/>
  <c r="K148" i="127"/>
  <c r="K195" i="127" s="1"/>
  <c r="K196" i="127" s="1"/>
  <c r="K149" i="118"/>
  <c r="K151" i="118" s="1"/>
  <c r="K153" i="118" s="1"/>
  <c r="Z69" i="114"/>
  <c r="Y75" i="114"/>
  <c r="X66" i="114"/>
  <c r="W68" i="114"/>
  <c r="O29" i="120" s="1"/>
  <c r="O30" i="120" s="1"/>
  <c r="K204" i="118"/>
  <c r="Y76" i="114"/>
  <c r="R28" i="120" l="1"/>
  <c r="AA65" i="114"/>
  <c r="K148" i="123"/>
  <c r="K195" i="123" s="1"/>
  <c r="K196" i="123" s="1"/>
  <c r="K197" i="123" s="1"/>
  <c r="K148" i="124"/>
  <c r="K195" i="124" s="1"/>
  <c r="K196" i="124" s="1"/>
  <c r="K148" i="125"/>
  <c r="K195" i="125" s="1"/>
  <c r="K196" i="125" s="1"/>
  <c r="K197" i="127"/>
  <c r="K202" i="127"/>
  <c r="K148" i="126"/>
  <c r="K195" i="126" s="1"/>
  <c r="K196" i="126" s="1"/>
  <c r="K152" i="118"/>
  <c r="AA69" i="114"/>
  <c r="Z75" i="114"/>
  <c r="Y66" i="114"/>
  <c r="X68" i="114"/>
  <c r="P29" i="120" s="1"/>
  <c r="P30" i="120" s="1"/>
  <c r="Z76" i="114"/>
  <c r="S28" i="120" l="1"/>
  <c r="AB65" i="114"/>
  <c r="K202" i="123"/>
  <c r="K204" i="127"/>
  <c r="J204" i="127" s="1"/>
  <c r="K203" i="127"/>
  <c r="J203" i="127" s="1"/>
  <c r="K197" i="125"/>
  <c r="K202" i="125"/>
  <c r="K197" i="124"/>
  <c r="K202" i="124"/>
  <c r="K197" i="126"/>
  <c r="K202" i="126"/>
  <c r="K204" i="123"/>
  <c r="J204" i="123" s="1"/>
  <c r="K203" i="123"/>
  <c r="J203" i="123" s="1"/>
  <c r="K154" i="118"/>
  <c r="K201" i="118" s="1"/>
  <c r="K202" i="118" s="1"/>
  <c r="AB69" i="114"/>
  <c r="AA75" i="114"/>
  <c r="Z66" i="114"/>
  <c r="Y68" i="114"/>
  <c r="Q29" i="120" s="1"/>
  <c r="Q30" i="120" s="1"/>
  <c r="AA76" i="114"/>
  <c r="T28" i="120" l="1"/>
  <c r="AC65" i="114"/>
  <c r="K203" i="126"/>
  <c r="J203" i="126" s="1"/>
  <c r="K204" i="126"/>
  <c r="J204" i="126" s="1"/>
  <c r="K203" i="124"/>
  <c r="J203" i="124" s="1"/>
  <c r="K204" i="124"/>
  <c r="J204" i="124" s="1"/>
  <c r="K203" i="125"/>
  <c r="J203" i="125" s="1"/>
  <c r="K204" i="125"/>
  <c r="J204" i="125" s="1"/>
  <c r="AC69" i="114"/>
  <c r="AB75" i="114"/>
  <c r="AA66" i="114"/>
  <c r="Z68" i="114"/>
  <c r="R29" i="120" s="1"/>
  <c r="R30" i="120" s="1"/>
  <c r="AB76" i="114"/>
  <c r="U28" i="120" l="1"/>
  <c r="AD65" i="114"/>
  <c r="U169" i="120"/>
  <c r="AD69" i="114"/>
  <c r="AC75" i="114"/>
  <c r="AB66" i="114"/>
  <c r="AA68" i="114"/>
  <c r="S29" i="120" s="1"/>
  <c r="S30" i="120" s="1"/>
  <c r="AC76" i="114"/>
  <c r="V28" i="120" l="1"/>
  <c r="AE65" i="114"/>
  <c r="V169" i="120"/>
  <c r="AE69" i="114"/>
  <c r="AD75" i="114"/>
  <c r="AC66" i="114"/>
  <c r="AB68" i="114"/>
  <c r="AD76" i="114"/>
  <c r="T29" i="120" l="1"/>
  <c r="T30" i="120" s="1"/>
  <c r="W28" i="120"/>
  <c r="W169" i="120"/>
  <c r="AF65" i="114"/>
  <c r="AF69" i="114"/>
  <c r="AE75" i="114"/>
  <c r="AD66" i="114"/>
  <c r="AC68" i="114"/>
  <c r="AE76" i="114"/>
  <c r="U29" i="120" l="1"/>
  <c r="U30" i="120" s="1"/>
  <c r="X28" i="120"/>
  <c r="AG65" i="114"/>
  <c r="X169" i="120"/>
  <c r="AG69" i="114"/>
  <c r="AF75" i="114"/>
  <c r="AE66" i="114"/>
  <c r="AD68" i="114"/>
  <c r="AF76" i="114"/>
  <c r="V29" i="120" l="1"/>
  <c r="V30" i="120" s="1"/>
  <c r="Y28" i="120"/>
  <c r="Y169" i="120"/>
  <c r="AH65" i="114"/>
  <c r="AH69" i="114"/>
  <c r="AG75" i="114"/>
  <c r="AF66" i="114"/>
  <c r="AE68" i="114"/>
  <c r="AG76" i="114"/>
  <c r="Z28" i="120" l="1"/>
  <c r="AI65" i="114"/>
  <c r="Z169" i="120"/>
  <c r="W29" i="120"/>
  <c r="W30" i="120" s="1"/>
  <c r="AI69" i="114"/>
  <c r="AH75" i="114"/>
  <c r="AG66" i="114"/>
  <c r="AF68" i="114"/>
  <c r="AH76" i="114"/>
  <c r="F3" i="117"/>
  <c r="E5" i="117"/>
  <c r="L34" i="112"/>
  <c r="N34" i="112"/>
  <c r="M34" i="112"/>
  <c r="L23" i="114"/>
  <c r="M23" i="114"/>
  <c r="L15" i="114"/>
  <c r="L16" i="114" s="1"/>
  <c r="M15" i="114"/>
  <c r="M16" i="114" s="1"/>
  <c r="K15" i="114"/>
  <c r="K16" i="114" s="1"/>
  <c r="K54" i="112"/>
  <c r="X29" i="120" l="1"/>
  <c r="X30" i="120" s="1"/>
  <c r="AA28" i="120"/>
  <c r="AA169" i="120"/>
  <c r="AJ65" i="114"/>
  <c r="K59" i="114"/>
  <c r="L26" i="126"/>
  <c r="L26" i="127"/>
  <c r="L26" i="125"/>
  <c r="L26" i="124"/>
  <c r="L26" i="123"/>
  <c r="E86" i="120"/>
  <c r="M26" i="126"/>
  <c r="M26" i="124"/>
  <c r="M26" i="127"/>
  <c r="M26" i="125"/>
  <c r="M26" i="123"/>
  <c r="E80" i="120"/>
  <c r="E150" i="120"/>
  <c r="E141" i="120"/>
  <c r="E165" i="120"/>
  <c r="E132" i="120"/>
  <c r="E133" i="120" s="1"/>
  <c r="M17" i="114"/>
  <c r="AJ69" i="114"/>
  <c r="AI75" i="114"/>
  <c r="AH66" i="114"/>
  <c r="AG68" i="114"/>
  <c r="M31" i="118"/>
  <c r="M39" i="118" s="1"/>
  <c r="E101" i="120" s="1"/>
  <c r="M25" i="114"/>
  <c r="L31" i="118"/>
  <c r="L25" i="114"/>
  <c r="K17" i="114"/>
  <c r="AC16" i="114"/>
  <c r="L17" i="114"/>
  <c r="AI76" i="114"/>
  <c r="L44" i="114"/>
  <c r="L47" i="114"/>
  <c r="L26" i="114"/>
  <c r="F83" i="120" s="1"/>
  <c r="L50" i="114"/>
  <c r="L27" i="114"/>
  <c r="F84" i="120" s="1"/>
  <c r="L41" i="114"/>
  <c r="M41" i="114"/>
  <c r="M47" i="114"/>
  <c r="M27" i="114"/>
  <c r="G84" i="120" s="1"/>
  <c r="M50" i="114"/>
  <c r="M44" i="114"/>
  <c r="M26" i="114"/>
  <c r="G83" i="120" s="1"/>
  <c r="L24" i="114"/>
  <c r="L58" i="114"/>
  <c r="M24" i="114"/>
  <c r="K153" i="114"/>
  <c r="K145" i="114"/>
  <c r="K148" i="114"/>
  <c r="K127" i="114"/>
  <c r="K118" i="114"/>
  <c r="K111" i="114"/>
  <c r="K104" i="114"/>
  <c r="AC18" i="118" l="1"/>
  <c r="U134" i="120" s="1"/>
  <c r="AB28" i="120"/>
  <c r="AK65" i="114"/>
  <c r="AB169" i="120"/>
  <c r="Y29" i="120"/>
  <c r="Y30" i="120" s="1"/>
  <c r="L59" i="114"/>
  <c r="M20" i="123"/>
  <c r="M17" i="123"/>
  <c r="M52" i="123"/>
  <c r="M55" i="123"/>
  <c r="M56" i="123" s="1"/>
  <c r="M59" i="123" s="1"/>
  <c r="M30" i="123"/>
  <c r="M46" i="123"/>
  <c r="M28" i="123"/>
  <c r="M49" i="123"/>
  <c r="M27" i="123"/>
  <c r="M29" i="123"/>
  <c r="M33" i="123"/>
  <c r="M27" i="125"/>
  <c r="M29" i="125"/>
  <c r="M20" i="125"/>
  <c r="M55" i="125"/>
  <c r="M56" i="125" s="1"/>
  <c r="M59" i="125" s="1"/>
  <c r="M52" i="125"/>
  <c r="M17" i="125"/>
  <c r="M28" i="125"/>
  <c r="M46" i="125"/>
  <c r="M30" i="125"/>
  <c r="M49" i="125"/>
  <c r="M33" i="125"/>
  <c r="L55" i="123"/>
  <c r="L56" i="123" s="1"/>
  <c r="L59" i="123" s="1"/>
  <c r="L46" i="123"/>
  <c r="L27" i="123"/>
  <c r="L28" i="123"/>
  <c r="L20" i="123"/>
  <c r="L17" i="123"/>
  <c r="L30" i="123"/>
  <c r="L52" i="123"/>
  <c r="L29" i="123"/>
  <c r="L49" i="123"/>
  <c r="L33" i="123"/>
  <c r="M29" i="127"/>
  <c r="M20" i="127"/>
  <c r="M52" i="127"/>
  <c r="M27" i="127"/>
  <c r="M46" i="127"/>
  <c r="M55" i="127"/>
  <c r="M56" i="127" s="1"/>
  <c r="M59" i="127" s="1"/>
  <c r="M49" i="127"/>
  <c r="M30" i="127"/>
  <c r="M17" i="127"/>
  <c r="M28" i="127"/>
  <c r="M33" i="127"/>
  <c r="L28" i="124"/>
  <c r="L17" i="124"/>
  <c r="L20" i="124"/>
  <c r="L27" i="124"/>
  <c r="L46" i="124"/>
  <c r="L55" i="124"/>
  <c r="L30" i="124"/>
  <c r="L49" i="124"/>
  <c r="L52" i="124"/>
  <c r="L29" i="124"/>
  <c r="L33" i="124"/>
  <c r="M30" i="124"/>
  <c r="M28" i="124"/>
  <c r="M20" i="124"/>
  <c r="M17" i="124"/>
  <c r="M27" i="124"/>
  <c r="M46" i="124"/>
  <c r="M55" i="124"/>
  <c r="M49" i="124"/>
  <c r="M52" i="124"/>
  <c r="M29" i="124"/>
  <c r="M33" i="124"/>
  <c r="L30" i="125"/>
  <c r="L20" i="125"/>
  <c r="L28" i="125"/>
  <c r="L55" i="125"/>
  <c r="L56" i="125" s="1"/>
  <c r="L59" i="125" s="1"/>
  <c r="L49" i="125"/>
  <c r="L17" i="125"/>
  <c r="L29" i="125"/>
  <c r="L27" i="125"/>
  <c r="L52" i="125"/>
  <c r="L46" i="125"/>
  <c r="L33" i="125"/>
  <c r="M49" i="126"/>
  <c r="M29" i="126"/>
  <c r="M20" i="126"/>
  <c r="M52" i="126"/>
  <c r="M27" i="126"/>
  <c r="M55" i="126"/>
  <c r="M56" i="126" s="1"/>
  <c r="M59" i="126" s="1"/>
  <c r="M17" i="126"/>
  <c r="M46" i="126"/>
  <c r="M30" i="126"/>
  <c r="M28" i="126"/>
  <c r="M33" i="126"/>
  <c r="L49" i="127"/>
  <c r="L29" i="127"/>
  <c r="L52" i="127"/>
  <c r="L30" i="127"/>
  <c r="L28" i="127"/>
  <c r="L27" i="127"/>
  <c r="L20" i="127"/>
  <c r="L17" i="127"/>
  <c r="L46" i="127"/>
  <c r="L55" i="127"/>
  <c r="L33" i="127"/>
  <c r="L49" i="126"/>
  <c r="L20" i="126"/>
  <c r="L27" i="126"/>
  <c r="L55" i="126"/>
  <c r="L56" i="126" s="1"/>
  <c r="L59" i="126" s="1"/>
  <c r="L30" i="126"/>
  <c r="L52" i="126"/>
  <c r="L46" i="126"/>
  <c r="L28" i="126"/>
  <c r="L17" i="126"/>
  <c r="L29" i="126"/>
  <c r="L33" i="126"/>
  <c r="L55" i="118"/>
  <c r="L56" i="118" s="1"/>
  <c r="L39" i="118"/>
  <c r="L52" i="118"/>
  <c r="L53" i="118" s="1"/>
  <c r="L99" i="118" s="1"/>
  <c r="L25" i="118"/>
  <c r="L19" i="118"/>
  <c r="E167" i="120"/>
  <c r="E152" i="120"/>
  <c r="E155" i="120" s="1"/>
  <c r="E143" i="120"/>
  <c r="L32" i="118"/>
  <c r="E166" i="120"/>
  <c r="E151" i="120"/>
  <c r="E154" i="120" s="1"/>
  <c r="E157" i="120" s="1"/>
  <c r="E142" i="120"/>
  <c r="L35" i="118"/>
  <c r="L61" i="118"/>
  <c r="L62" i="118" s="1"/>
  <c r="L65" i="118" s="1"/>
  <c r="L66" i="118" s="1"/>
  <c r="L33" i="118"/>
  <c r="L34" i="118"/>
  <c r="M81" i="114"/>
  <c r="E81" i="120"/>
  <c r="E82" i="120"/>
  <c r="L81" i="114"/>
  <c r="U86" i="120"/>
  <c r="L58" i="118"/>
  <c r="M19" i="118"/>
  <c r="AK69" i="114"/>
  <c r="AJ75" i="114"/>
  <c r="M61" i="118"/>
  <c r="M62" i="118" s="1"/>
  <c r="M65" i="118" s="1"/>
  <c r="M66" i="118" s="1"/>
  <c r="M33" i="118"/>
  <c r="E115" i="120" s="1"/>
  <c r="M34" i="118"/>
  <c r="E109" i="120" s="1"/>
  <c r="M35" i="118"/>
  <c r="AI66" i="114"/>
  <c r="AH68" i="114"/>
  <c r="M25" i="118"/>
  <c r="M55" i="118"/>
  <c r="M56" i="118" s="1"/>
  <c r="M52" i="118"/>
  <c r="M53" i="118" s="1"/>
  <c r="M99" i="118" s="1"/>
  <c r="M32" i="118"/>
  <c r="M58" i="118"/>
  <c r="AD15" i="114"/>
  <c r="AD16" i="114" s="1"/>
  <c r="AJ76" i="114"/>
  <c r="M82" i="114"/>
  <c r="L82" i="114"/>
  <c r="M46" i="114"/>
  <c r="M45" i="114"/>
  <c r="M86" i="114" s="1"/>
  <c r="L45" i="114"/>
  <c r="L86" i="114" s="1"/>
  <c r="L46" i="114"/>
  <c r="M43" i="114"/>
  <c r="M85" i="114" s="1"/>
  <c r="M42" i="114"/>
  <c r="M84" i="114" s="1"/>
  <c r="L42" i="114"/>
  <c r="L84" i="114" s="1"/>
  <c r="L43" i="114"/>
  <c r="L85" i="114" s="1"/>
  <c r="L51" i="114"/>
  <c r="L52" i="114" s="1"/>
  <c r="M51" i="114"/>
  <c r="M52" i="114" s="1"/>
  <c r="M58" i="114"/>
  <c r="H135" i="116"/>
  <c r="G135" i="116"/>
  <c r="F135" i="116"/>
  <c r="E135" i="116"/>
  <c r="H134" i="116"/>
  <c r="H133" i="116" s="1"/>
  <c r="G134" i="116"/>
  <c r="G133" i="116" s="1"/>
  <c r="F134" i="116"/>
  <c r="F133" i="116" s="1"/>
  <c r="E134" i="116"/>
  <c r="E133" i="116" s="1"/>
  <c r="H132" i="116"/>
  <c r="H131" i="116" s="1"/>
  <c r="G132" i="116"/>
  <c r="G131" i="116" s="1"/>
  <c r="F132" i="116"/>
  <c r="F131" i="116" s="1"/>
  <c r="E132" i="116"/>
  <c r="E131" i="116" s="1"/>
  <c r="H130" i="116"/>
  <c r="H129" i="116" s="1"/>
  <c r="G130" i="116"/>
  <c r="G129" i="116" s="1"/>
  <c r="F130" i="116"/>
  <c r="F129" i="116" s="1"/>
  <c r="E130" i="116"/>
  <c r="E129" i="116" s="1"/>
  <c r="H127" i="116"/>
  <c r="H126" i="116" s="1"/>
  <c r="G127" i="116"/>
  <c r="G126" i="116" s="1"/>
  <c r="F127" i="116"/>
  <c r="F126" i="116" s="1"/>
  <c r="E127" i="116"/>
  <c r="E126" i="116" s="1"/>
  <c r="M125" i="116"/>
  <c r="H125" i="116"/>
  <c r="H124" i="116" s="1"/>
  <c r="G125" i="116"/>
  <c r="G124" i="116" s="1"/>
  <c r="F125" i="116"/>
  <c r="F124" i="116" s="1"/>
  <c r="E125" i="116"/>
  <c r="E124" i="116" s="1"/>
  <c r="L123" i="116"/>
  <c r="H123" i="116"/>
  <c r="H122" i="116" s="1"/>
  <c r="G123" i="116"/>
  <c r="G122" i="116" s="1"/>
  <c r="F123" i="116"/>
  <c r="F122" i="116" s="1"/>
  <c r="E123" i="116"/>
  <c r="E122" i="116" s="1"/>
  <c r="H121" i="116"/>
  <c r="H120" i="116" s="1"/>
  <c r="G121" i="116"/>
  <c r="G120" i="116" s="1"/>
  <c r="F121" i="116"/>
  <c r="F120" i="116" s="1"/>
  <c r="E121" i="116"/>
  <c r="E120" i="116" s="1"/>
  <c r="H119" i="116"/>
  <c r="H118" i="116" s="1"/>
  <c r="G119" i="116"/>
  <c r="G118" i="116" s="1"/>
  <c r="F119" i="116"/>
  <c r="F118" i="116" s="1"/>
  <c r="E119" i="116"/>
  <c r="E118" i="116" s="1"/>
  <c r="H115" i="116"/>
  <c r="H114" i="116" s="1"/>
  <c r="G115" i="116"/>
  <c r="G114" i="116" s="1"/>
  <c r="F115" i="116"/>
  <c r="F114" i="116" s="1"/>
  <c r="E115" i="116"/>
  <c r="E114" i="116" s="1"/>
  <c r="H113" i="116"/>
  <c r="H112" i="116" s="1"/>
  <c r="G113" i="116"/>
  <c r="G112" i="116" s="1"/>
  <c r="F113" i="116"/>
  <c r="F112" i="116" s="1"/>
  <c r="E113" i="116"/>
  <c r="E112" i="116" s="1"/>
  <c r="H111" i="116"/>
  <c r="H110" i="116" s="1"/>
  <c r="G111" i="116"/>
  <c r="G110" i="116" s="1"/>
  <c r="F111" i="116"/>
  <c r="F110" i="116" s="1"/>
  <c r="E111" i="116"/>
  <c r="E110" i="116" s="1"/>
  <c r="H109" i="116"/>
  <c r="H108" i="116" s="1"/>
  <c r="G109" i="116"/>
  <c r="G108" i="116" s="1"/>
  <c r="F109" i="116"/>
  <c r="F108" i="116" s="1"/>
  <c r="E109" i="116"/>
  <c r="E108" i="116" s="1"/>
  <c r="M123" i="116" a="1"/>
  <c r="AD18" i="118" l="1"/>
  <c r="V134" i="120" s="1"/>
  <c r="U115" i="120"/>
  <c r="Z29" i="120"/>
  <c r="Z30" i="120" s="1"/>
  <c r="AC28" i="120"/>
  <c r="AC169" i="120"/>
  <c r="AL65" i="114"/>
  <c r="L57" i="118"/>
  <c r="L54" i="118"/>
  <c r="L100" i="118" s="1"/>
  <c r="L25" i="127"/>
  <c r="M86" i="126"/>
  <c r="M31" i="126"/>
  <c r="M25" i="126" s="1"/>
  <c r="M34" i="126"/>
  <c r="M47" i="124"/>
  <c r="M93" i="124" s="1"/>
  <c r="M48" i="124"/>
  <c r="M94" i="124" s="1"/>
  <c r="L51" i="123"/>
  <c r="L50" i="123"/>
  <c r="L95" i="123" s="1"/>
  <c r="L151" i="123" s="1"/>
  <c r="M50" i="123"/>
  <c r="M95" i="123" s="1"/>
  <c r="M151" i="123" s="1"/>
  <c r="M51" i="123"/>
  <c r="M40" i="118"/>
  <c r="E102" i="120" s="1"/>
  <c r="L86" i="126"/>
  <c r="L31" i="126"/>
  <c r="L34" i="126"/>
  <c r="L89" i="125"/>
  <c r="L37" i="125"/>
  <c r="M86" i="124"/>
  <c r="M31" i="124"/>
  <c r="M25" i="124" s="1"/>
  <c r="M34" i="124"/>
  <c r="L87" i="124"/>
  <c r="L173" i="124"/>
  <c r="L35" i="124"/>
  <c r="M47" i="127"/>
  <c r="M93" i="127" s="1"/>
  <c r="M48" i="127"/>
  <c r="M94" i="127" s="1"/>
  <c r="L88" i="123"/>
  <c r="L24" i="123"/>
  <c r="L36" i="123"/>
  <c r="L98" i="123"/>
  <c r="L99" i="123"/>
  <c r="M98" i="125"/>
  <c r="M99" i="125"/>
  <c r="M87" i="123"/>
  <c r="M173" i="123"/>
  <c r="M35" i="123"/>
  <c r="L88" i="126"/>
  <c r="L24" i="126"/>
  <c r="L36" i="126"/>
  <c r="L31" i="125"/>
  <c r="L86" i="125"/>
  <c r="L34" i="125"/>
  <c r="L50" i="124"/>
  <c r="L95" i="124" s="1"/>
  <c r="L151" i="124" s="1"/>
  <c r="L51" i="124"/>
  <c r="M86" i="127"/>
  <c r="M34" i="127"/>
  <c r="M47" i="123"/>
  <c r="M93" i="123" s="1"/>
  <c r="M48" i="123"/>
  <c r="M94" i="123" s="1"/>
  <c r="L24" i="124"/>
  <c r="L88" i="124"/>
  <c r="L36" i="124"/>
  <c r="L50" i="126"/>
  <c r="L95" i="126" s="1"/>
  <c r="L151" i="126" s="1"/>
  <c r="L51" i="126"/>
  <c r="L86" i="127"/>
  <c r="L34" i="127"/>
  <c r="M87" i="126"/>
  <c r="M173" i="126"/>
  <c r="M35" i="126"/>
  <c r="M24" i="126"/>
  <c r="M88" i="126"/>
  <c r="M36" i="126"/>
  <c r="L88" i="125"/>
  <c r="L24" i="125"/>
  <c r="L36" i="125"/>
  <c r="L89" i="124"/>
  <c r="L37" i="124"/>
  <c r="M25" i="127"/>
  <c r="L89" i="123"/>
  <c r="L37" i="123"/>
  <c r="M50" i="125"/>
  <c r="M95" i="125" s="1"/>
  <c r="M151" i="125" s="1"/>
  <c r="M51" i="125"/>
  <c r="M88" i="125"/>
  <c r="M24" i="125"/>
  <c r="M36" i="125"/>
  <c r="M89" i="123"/>
  <c r="M37" i="123"/>
  <c r="L47" i="123"/>
  <c r="L93" i="123" s="1"/>
  <c r="L48" i="123"/>
  <c r="L94" i="123" s="1"/>
  <c r="E158" i="120"/>
  <c r="E160" i="120" s="1"/>
  <c r="E161" i="120" s="1"/>
  <c r="E170" i="120"/>
  <c r="E172" i="120" s="1"/>
  <c r="E173" i="120" s="1"/>
  <c r="L87" i="126"/>
  <c r="L173" i="126"/>
  <c r="L35" i="126"/>
  <c r="L173" i="127"/>
  <c r="L87" i="127"/>
  <c r="L35" i="127"/>
  <c r="M89" i="126"/>
  <c r="M37" i="126"/>
  <c r="M51" i="126"/>
  <c r="M50" i="126"/>
  <c r="M95" i="126" s="1"/>
  <c r="M151" i="126" s="1"/>
  <c r="M88" i="124"/>
  <c r="M24" i="124"/>
  <c r="M36" i="124"/>
  <c r="M87" i="124"/>
  <c r="M173" i="124"/>
  <c r="M35" i="124"/>
  <c r="L56" i="124"/>
  <c r="L59" i="124" s="1"/>
  <c r="M173" i="127"/>
  <c r="M87" i="127"/>
  <c r="M35" i="127"/>
  <c r="M89" i="125"/>
  <c r="M37" i="125"/>
  <c r="M31" i="125"/>
  <c r="M86" i="125"/>
  <c r="M34" i="125"/>
  <c r="M99" i="123"/>
  <c r="M98" i="123"/>
  <c r="L98" i="126"/>
  <c r="L99" i="126"/>
  <c r="L48" i="127"/>
  <c r="L94" i="127" s="1"/>
  <c r="L47" i="127"/>
  <c r="L93" i="127" s="1"/>
  <c r="L50" i="127"/>
  <c r="L95" i="127" s="1"/>
  <c r="L151" i="127" s="1"/>
  <c r="L51" i="127"/>
  <c r="L48" i="125"/>
  <c r="L94" i="125" s="1"/>
  <c r="L47" i="125"/>
  <c r="L93" i="125" s="1"/>
  <c r="L48" i="126"/>
  <c r="L94" i="126" s="1"/>
  <c r="L47" i="126"/>
  <c r="L93" i="126" s="1"/>
  <c r="L89" i="127"/>
  <c r="L37" i="127"/>
  <c r="M48" i="126"/>
  <c r="M94" i="126" s="1"/>
  <c r="M47" i="126"/>
  <c r="M93" i="126" s="1"/>
  <c r="L51" i="125"/>
  <c r="L50" i="125"/>
  <c r="L95" i="125" s="1"/>
  <c r="L151" i="125" s="1"/>
  <c r="M89" i="124"/>
  <c r="M37" i="124"/>
  <c r="L47" i="124"/>
  <c r="L93" i="124" s="1"/>
  <c r="L48" i="124"/>
  <c r="L94" i="124" s="1"/>
  <c r="M24" i="127"/>
  <c r="M88" i="127"/>
  <c r="M36" i="127"/>
  <c r="M48" i="125"/>
  <c r="M94" i="125" s="1"/>
  <c r="M47" i="125"/>
  <c r="M93" i="125" s="1"/>
  <c r="M99" i="127"/>
  <c r="M98" i="127"/>
  <c r="L98" i="125"/>
  <c r="L99" i="125"/>
  <c r="M51" i="124"/>
  <c r="M50" i="124"/>
  <c r="M95" i="124" s="1"/>
  <c r="M151" i="124" s="1"/>
  <c r="L86" i="124"/>
  <c r="L31" i="124"/>
  <c r="L25" i="124" s="1"/>
  <c r="L34" i="124"/>
  <c r="M89" i="127"/>
  <c r="M37" i="127"/>
  <c r="L87" i="123"/>
  <c r="L173" i="123"/>
  <c r="L35" i="123"/>
  <c r="M87" i="125"/>
  <c r="M173" i="125"/>
  <c r="M35" i="125"/>
  <c r="M88" i="123"/>
  <c r="M24" i="123"/>
  <c r="M36" i="123"/>
  <c r="L89" i="126"/>
  <c r="L37" i="126"/>
  <c r="L56" i="127"/>
  <c r="L59" i="127" s="1"/>
  <c r="L24" i="127"/>
  <c r="L88" i="127"/>
  <c r="L36" i="127"/>
  <c r="M98" i="126"/>
  <c r="M99" i="126"/>
  <c r="L25" i="125"/>
  <c r="L87" i="125"/>
  <c r="L173" i="125"/>
  <c r="L35" i="125"/>
  <c r="M56" i="124"/>
  <c r="M59" i="124" s="1"/>
  <c r="M51" i="127"/>
  <c r="M50" i="127"/>
  <c r="M95" i="127" s="1"/>
  <c r="M151" i="127" s="1"/>
  <c r="L86" i="123"/>
  <c r="L31" i="123"/>
  <c r="L34" i="123"/>
  <c r="M86" i="123"/>
  <c r="M31" i="123"/>
  <c r="M34" i="123"/>
  <c r="L93" i="118"/>
  <c r="L41" i="118"/>
  <c r="L95" i="118"/>
  <c r="L43" i="118"/>
  <c r="M179" i="118"/>
  <c r="M41" i="118"/>
  <c r="E103" i="120" s="1"/>
  <c r="E111" i="120" s="1"/>
  <c r="E113" i="120" s="1"/>
  <c r="E153" i="120"/>
  <c r="M43" i="118"/>
  <c r="E105" i="120" s="1"/>
  <c r="M42" i="118"/>
  <c r="E104" i="120" s="1"/>
  <c r="M29" i="118"/>
  <c r="L94" i="118"/>
  <c r="L42" i="118"/>
  <c r="L29" i="118"/>
  <c r="L36" i="118"/>
  <c r="L30" i="118" s="1"/>
  <c r="L40" i="118"/>
  <c r="L92" i="118"/>
  <c r="L179" i="118"/>
  <c r="M54" i="118"/>
  <c r="M100" i="118" s="1"/>
  <c r="M57" i="118"/>
  <c r="M36" i="118"/>
  <c r="M44" i="118" s="1"/>
  <c r="E106" i="120" s="1"/>
  <c r="E94" i="120"/>
  <c r="M94" i="118"/>
  <c r="E96" i="120"/>
  <c r="M93" i="118"/>
  <c r="E95" i="120"/>
  <c r="M95" i="118"/>
  <c r="E97" i="120"/>
  <c r="V86" i="120"/>
  <c r="E26" i="120"/>
  <c r="E50" i="120"/>
  <c r="AL69" i="114"/>
  <c r="AK75" i="114"/>
  <c r="AJ66" i="114"/>
  <c r="AI68" i="114"/>
  <c r="M92" i="118"/>
  <c r="E37" i="120" s="1"/>
  <c r="L101" i="118"/>
  <c r="M101" i="118"/>
  <c r="L104" i="118"/>
  <c r="L105" i="118"/>
  <c r="M104" i="118"/>
  <c r="M105" i="118"/>
  <c r="M59" i="114"/>
  <c r="M156" i="118"/>
  <c r="L156" i="118"/>
  <c r="AE15" i="114"/>
  <c r="AE16" i="114" s="1"/>
  <c r="AK76" i="114"/>
  <c r="L90" i="114"/>
  <c r="L89" i="114"/>
  <c r="M90" i="114"/>
  <c r="M89" i="114"/>
  <c r="M80" i="114"/>
  <c r="L83" i="114"/>
  <c r="M83" i="114"/>
  <c r="L80" i="114"/>
  <c r="M123" i="116"/>
  <c r="AE18" i="118" l="1"/>
  <c r="W134" i="120" s="1"/>
  <c r="V115" i="120"/>
  <c r="AA29" i="120"/>
  <c r="AA30" i="120" s="1"/>
  <c r="AD28" i="120"/>
  <c r="AD169" i="120"/>
  <c r="L98" i="118"/>
  <c r="L97" i="125"/>
  <c r="M97" i="123"/>
  <c r="M91" i="127"/>
  <c r="M22" i="127"/>
  <c r="M118" i="127" s="1"/>
  <c r="M125" i="127" s="1"/>
  <c r="L97" i="126"/>
  <c r="L22" i="127"/>
  <c r="L118" i="127" s="1"/>
  <c r="L119" i="127" s="1"/>
  <c r="F165" i="120"/>
  <c r="M97" i="127"/>
  <c r="M98" i="124"/>
  <c r="M99" i="124"/>
  <c r="M92" i="126"/>
  <c r="M150" i="126"/>
  <c r="M152" i="126" s="1"/>
  <c r="M150" i="127"/>
  <c r="M152" i="127" s="1"/>
  <c r="M92" i="127"/>
  <c r="M92" i="124"/>
  <c r="M150" i="124"/>
  <c r="M152" i="124" s="1"/>
  <c r="M97" i="126"/>
  <c r="L90" i="124"/>
  <c r="L91" i="124" s="1"/>
  <c r="L38" i="124"/>
  <c r="L22" i="124" s="1"/>
  <c r="L118" i="124" s="1"/>
  <c r="L91" i="127"/>
  <c r="M97" i="125"/>
  <c r="E122" i="120"/>
  <c r="M150" i="123"/>
  <c r="M152" i="123" s="1"/>
  <c r="M92" i="123"/>
  <c r="L90" i="123"/>
  <c r="L91" i="123" s="1"/>
  <c r="L38" i="123"/>
  <c r="L22" i="123" s="1"/>
  <c r="L118" i="123" s="1"/>
  <c r="L150" i="124"/>
  <c r="L152" i="124" s="1"/>
  <c r="L92" i="124"/>
  <c r="L150" i="127"/>
  <c r="L152" i="127" s="1"/>
  <c r="L92" i="127"/>
  <c r="L92" i="123"/>
  <c r="L150" i="123"/>
  <c r="L152" i="123" s="1"/>
  <c r="L85" i="127"/>
  <c r="L97" i="123"/>
  <c r="L85" i="123"/>
  <c r="L98" i="124"/>
  <c r="L99" i="124"/>
  <c r="M90" i="126"/>
  <c r="M85" i="126" s="1"/>
  <c r="M38" i="126"/>
  <c r="M22" i="126" s="1"/>
  <c r="M118" i="126" s="1"/>
  <c r="L25" i="123"/>
  <c r="M150" i="125"/>
  <c r="M152" i="125" s="1"/>
  <c r="M92" i="125"/>
  <c r="L150" i="126"/>
  <c r="L152" i="126" s="1"/>
  <c r="L92" i="126"/>
  <c r="M25" i="123"/>
  <c r="M90" i="123"/>
  <c r="M38" i="123"/>
  <c r="M22" i="123" s="1"/>
  <c r="M118" i="123" s="1"/>
  <c r="L99" i="127"/>
  <c r="L98" i="127"/>
  <c r="M25" i="125"/>
  <c r="M90" i="125"/>
  <c r="M91" i="125" s="1"/>
  <c r="M38" i="125"/>
  <c r="M22" i="125" s="1"/>
  <c r="M118" i="125" s="1"/>
  <c r="M85" i="127"/>
  <c r="L150" i="125"/>
  <c r="L152" i="125" s="1"/>
  <c r="L92" i="125"/>
  <c r="L90" i="125"/>
  <c r="L91" i="125" s="1"/>
  <c r="L38" i="125"/>
  <c r="L22" i="125" s="1"/>
  <c r="L118" i="125" s="1"/>
  <c r="M90" i="124"/>
  <c r="M91" i="124" s="1"/>
  <c r="M38" i="124"/>
  <c r="M22" i="124" s="1"/>
  <c r="M118" i="124" s="1"/>
  <c r="L90" i="126"/>
  <c r="L85" i="126" s="1"/>
  <c r="L38" i="126"/>
  <c r="L22" i="126" s="1"/>
  <c r="L118" i="126" s="1"/>
  <c r="L25" i="126"/>
  <c r="E40" i="120"/>
  <c r="E58" i="120"/>
  <c r="E41" i="120"/>
  <c r="E59" i="120"/>
  <c r="E42" i="120"/>
  <c r="L96" i="118"/>
  <c r="L91" i="118" s="1"/>
  <c r="L44" i="118"/>
  <c r="L27" i="118" s="1"/>
  <c r="L124" i="118" s="1"/>
  <c r="M98" i="118"/>
  <c r="E98" i="120"/>
  <c r="E168" i="120"/>
  <c r="AL75" i="114"/>
  <c r="M96" i="118"/>
  <c r="M97" i="118" s="1"/>
  <c r="M27" i="118"/>
  <c r="M124" i="118" s="1"/>
  <c r="M131" i="118" s="1"/>
  <c r="W86" i="120"/>
  <c r="E57" i="120"/>
  <c r="E120" i="120"/>
  <c r="M30" i="118"/>
  <c r="AK66" i="114"/>
  <c r="AJ68" i="114"/>
  <c r="L103" i="118"/>
  <c r="M103" i="118"/>
  <c r="E38" i="120" s="1"/>
  <c r="M157" i="118"/>
  <c r="M158" i="118" s="1"/>
  <c r="L157" i="118"/>
  <c r="L158" i="118" s="1"/>
  <c r="N182" i="114"/>
  <c r="AF15" i="114"/>
  <c r="AF16" i="114" s="1"/>
  <c r="AL76" i="114"/>
  <c r="L88" i="114"/>
  <c r="L91" i="114" s="1"/>
  <c r="M88" i="114"/>
  <c r="E162" i="120" s="1"/>
  <c r="N60" i="114"/>
  <c r="N61" i="114"/>
  <c r="K61" i="114"/>
  <c r="K60" i="114"/>
  <c r="AF18" i="118" l="1"/>
  <c r="X134" i="120" s="1"/>
  <c r="W115" i="120"/>
  <c r="N26" i="123"/>
  <c r="F132" i="120"/>
  <c r="F133" i="120" s="1"/>
  <c r="AB29" i="120"/>
  <c r="AB30" i="120" s="1"/>
  <c r="N31" i="118"/>
  <c r="N39" i="118" s="1"/>
  <c r="F101" i="120" s="1"/>
  <c r="N26" i="124"/>
  <c r="N27" i="124" s="1"/>
  <c r="N26" i="125"/>
  <c r="N27" i="125" s="1"/>
  <c r="F80" i="120"/>
  <c r="F141" i="120"/>
  <c r="N26" i="127"/>
  <c r="N52" i="127" s="1"/>
  <c r="N25" i="114"/>
  <c r="F167" i="120" s="1"/>
  <c r="F150" i="120"/>
  <c r="N26" i="126"/>
  <c r="N28" i="126" s="1"/>
  <c r="E174" i="120"/>
  <c r="M119" i="127"/>
  <c r="L125" i="127"/>
  <c r="L126" i="127" s="1"/>
  <c r="M102" i="127"/>
  <c r="M105" i="127" s="1"/>
  <c r="L106" i="126"/>
  <c r="L109" i="118"/>
  <c r="L114" i="118" s="1"/>
  <c r="O182" i="114"/>
  <c r="M106" i="127"/>
  <c r="M97" i="124"/>
  <c r="L97" i="124"/>
  <c r="M119" i="125"/>
  <c r="M125" i="125"/>
  <c r="L103" i="126"/>
  <c r="L108" i="126" s="1"/>
  <c r="L201" i="126"/>
  <c r="L119" i="125"/>
  <c r="L125" i="125"/>
  <c r="M125" i="126"/>
  <c r="M119" i="126"/>
  <c r="M102" i="126"/>
  <c r="M105" i="126" s="1"/>
  <c r="M201" i="126"/>
  <c r="M103" i="126"/>
  <c r="M125" i="124"/>
  <c r="M119" i="124"/>
  <c r="M119" i="123"/>
  <c r="M125" i="123"/>
  <c r="L125" i="126"/>
  <c r="L119" i="126"/>
  <c r="L103" i="123"/>
  <c r="L108" i="123" s="1"/>
  <c r="L201" i="123"/>
  <c r="L125" i="124"/>
  <c r="L119" i="124"/>
  <c r="L106" i="123"/>
  <c r="L102" i="123"/>
  <c r="L105" i="123" s="1"/>
  <c r="L125" i="123"/>
  <c r="L119" i="123"/>
  <c r="L85" i="124"/>
  <c r="L106" i="124" s="1"/>
  <c r="M106" i="126"/>
  <c r="L102" i="126"/>
  <c r="L105" i="126" s="1"/>
  <c r="M85" i="123"/>
  <c r="M126" i="127"/>
  <c r="M132" i="127"/>
  <c r="M91" i="126"/>
  <c r="L97" i="118"/>
  <c r="M91" i="123"/>
  <c r="M85" i="124"/>
  <c r="L85" i="125"/>
  <c r="L102" i="125" s="1"/>
  <c r="L105" i="125" s="1"/>
  <c r="L97" i="127"/>
  <c r="L201" i="127" s="1"/>
  <c r="L91" i="126"/>
  <c r="L92" i="114"/>
  <c r="L132" i="127"/>
  <c r="M103" i="127"/>
  <c r="M108" i="127" s="1"/>
  <c r="M201" i="127"/>
  <c r="M85" i="125"/>
  <c r="M103" i="125" s="1"/>
  <c r="N55" i="123"/>
  <c r="N59" i="123" s="1"/>
  <c r="N28" i="123"/>
  <c r="N30" i="123"/>
  <c r="N46" i="123"/>
  <c r="N49" i="123"/>
  <c r="N27" i="123"/>
  <c r="N52" i="123"/>
  <c r="N29" i="123"/>
  <c r="N33" i="123"/>
  <c r="L125" i="118"/>
  <c r="L131" i="118"/>
  <c r="L132" i="118" s="1"/>
  <c r="M91" i="118"/>
  <c r="M109" i="118" s="1"/>
  <c r="E43" i="120"/>
  <c r="E39" i="120"/>
  <c r="M125" i="118"/>
  <c r="F143" i="120"/>
  <c r="E60" i="120"/>
  <c r="L97" i="114"/>
  <c r="E121" i="120"/>
  <c r="X86" i="120"/>
  <c r="E25" i="120"/>
  <c r="E27" i="120" s="1"/>
  <c r="F121" i="120"/>
  <c r="M92" i="114"/>
  <c r="M95" i="114"/>
  <c r="M97" i="114"/>
  <c r="AL66" i="114"/>
  <c r="AK68" i="114"/>
  <c r="L95" i="114"/>
  <c r="M132" i="118"/>
  <c r="M138" i="118"/>
  <c r="N55" i="118"/>
  <c r="N58" i="118"/>
  <c r="N61" i="118"/>
  <c r="N65" i="118" s="1"/>
  <c r="N66" i="118" s="1"/>
  <c r="AG15" i="114"/>
  <c r="AG16" i="114" s="1"/>
  <c r="L190" i="114"/>
  <c r="M190" i="114"/>
  <c r="L94" i="114"/>
  <c r="M91" i="114"/>
  <c r="M94" i="114" s="1"/>
  <c r="N41" i="114"/>
  <c r="N47" i="114"/>
  <c r="N27" i="114"/>
  <c r="H84" i="120" s="1"/>
  <c r="N50" i="114"/>
  <c r="N52" i="114" s="1"/>
  <c r="N44" i="114"/>
  <c r="N26" i="114"/>
  <c r="H83" i="120" s="1"/>
  <c r="N24" i="114"/>
  <c r="P58" i="114"/>
  <c r="O61" i="114"/>
  <c r="O60" i="114"/>
  <c r="J5" i="114"/>
  <c r="K4" i="114" s="1"/>
  <c r="K5" i="114" s="1"/>
  <c r="N34" i="118" l="1"/>
  <c r="M114" i="118"/>
  <c r="K65" i="120"/>
  <c r="P22" i="114"/>
  <c r="P28" i="114" s="1"/>
  <c r="P71" i="118"/>
  <c r="X115" i="120"/>
  <c r="AG18" i="118"/>
  <c r="Y134" i="120" s="1"/>
  <c r="N33" i="126"/>
  <c r="N52" i="126"/>
  <c r="N55" i="125"/>
  <c r="N59" i="125" s="1"/>
  <c r="N46" i="124"/>
  <c r="N28" i="124"/>
  <c r="N27" i="126"/>
  <c r="N34" i="126" s="1"/>
  <c r="N52" i="118"/>
  <c r="N54" i="118" s="1"/>
  <c r="N100" i="118" s="1"/>
  <c r="N30" i="126"/>
  <c r="N46" i="125"/>
  <c r="N48" i="125" s="1"/>
  <c r="N94" i="125" s="1"/>
  <c r="N32" i="118"/>
  <c r="N40" i="118" s="1"/>
  <c r="F102" i="120" s="1"/>
  <c r="N29" i="126"/>
  <c r="N49" i="124"/>
  <c r="N51" i="124" s="1"/>
  <c r="N35" i="118"/>
  <c r="F97" i="120" s="1"/>
  <c r="N46" i="126"/>
  <c r="N47" i="126" s="1"/>
  <c r="N93" i="126" s="1"/>
  <c r="N29" i="124"/>
  <c r="N24" i="124" s="1"/>
  <c r="N33" i="118"/>
  <c r="N93" i="118" s="1"/>
  <c r="N49" i="126"/>
  <c r="N55" i="127"/>
  <c r="N59" i="127" s="1"/>
  <c r="N98" i="127" s="1"/>
  <c r="N29" i="127"/>
  <c r="N36" i="127" s="1"/>
  <c r="N46" i="127"/>
  <c r="N47" i="127" s="1"/>
  <c r="N93" i="127" s="1"/>
  <c r="N55" i="126"/>
  <c r="N59" i="126" s="1"/>
  <c r="N49" i="125"/>
  <c r="N50" i="125" s="1"/>
  <c r="N95" i="125" s="1"/>
  <c r="N151" i="125" s="1"/>
  <c r="N30" i="124"/>
  <c r="N89" i="124" s="1"/>
  <c r="AC29" i="120"/>
  <c r="AC30" i="120" s="1"/>
  <c r="N33" i="125"/>
  <c r="N29" i="125"/>
  <c r="N36" i="125" s="1"/>
  <c r="N52" i="124"/>
  <c r="N52" i="125"/>
  <c r="N28" i="125"/>
  <c r="N173" i="125" s="1"/>
  <c r="N33" i="124"/>
  <c r="N30" i="125"/>
  <c r="N89" i="125" s="1"/>
  <c r="F82" i="120"/>
  <c r="N55" i="124"/>
  <c r="N59" i="124" s="1"/>
  <c r="N99" i="124" s="1"/>
  <c r="F152" i="120"/>
  <c r="F155" i="120" s="1"/>
  <c r="N27" i="127"/>
  <c r="N86" i="127" s="1"/>
  <c r="N33" i="127"/>
  <c r="N28" i="127"/>
  <c r="N87" i="127" s="1"/>
  <c r="N49" i="127"/>
  <c r="N51" i="127" s="1"/>
  <c r="N30" i="127"/>
  <c r="N37" i="127" s="1"/>
  <c r="P182" i="114"/>
  <c r="L103" i="127"/>
  <c r="L108" i="127" s="1"/>
  <c r="L106" i="125"/>
  <c r="M102" i="125"/>
  <c r="M105" i="125" s="1"/>
  <c r="N88" i="123"/>
  <c r="N24" i="123"/>
  <c r="N36" i="123"/>
  <c r="N87" i="123"/>
  <c r="N173" i="123"/>
  <c r="N35" i="123"/>
  <c r="M201" i="124"/>
  <c r="M103" i="124"/>
  <c r="M106" i="124"/>
  <c r="N51" i="126"/>
  <c r="N50" i="126"/>
  <c r="N95" i="126" s="1"/>
  <c r="N151" i="126" s="1"/>
  <c r="N24" i="127"/>
  <c r="N88" i="127"/>
  <c r="N87" i="124"/>
  <c r="N173" i="124"/>
  <c r="N35" i="124"/>
  <c r="M126" i="126"/>
  <c r="M132" i="126"/>
  <c r="N99" i="123"/>
  <c r="N98" i="123"/>
  <c r="M106" i="125"/>
  <c r="M133" i="127"/>
  <c r="M135" i="127" s="1"/>
  <c r="M189" i="127" s="1"/>
  <c r="M190" i="127" s="1"/>
  <c r="M141" i="127"/>
  <c r="L132" i="123"/>
  <c r="L126" i="123"/>
  <c r="N86" i="126"/>
  <c r="N48" i="127"/>
  <c r="N94" i="127" s="1"/>
  <c r="L132" i="124"/>
  <c r="L126" i="124"/>
  <c r="L132" i="125"/>
  <c r="L126" i="125"/>
  <c r="N86" i="123"/>
  <c r="N31" i="123"/>
  <c r="N25" i="123" s="1"/>
  <c r="N34" i="123"/>
  <c r="M108" i="125"/>
  <c r="M201" i="125"/>
  <c r="M201" i="123"/>
  <c r="M103" i="123"/>
  <c r="M106" i="123"/>
  <c r="N87" i="126"/>
  <c r="N173" i="126"/>
  <c r="N35" i="126"/>
  <c r="N31" i="125"/>
  <c r="N86" i="125"/>
  <c r="N34" i="125"/>
  <c r="M132" i="124"/>
  <c r="M126" i="124"/>
  <c r="M102" i="123"/>
  <c r="M105" i="123" s="1"/>
  <c r="F158" i="120"/>
  <c r="F160" i="120" s="1"/>
  <c r="F161" i="120" s="1"/>
  <c r="F170" i="120"/>
  <c r="F172" i="120" s="1"/>
  <c r="F173" i="120" s="1"/>
  <c r="L102" i="124"/>
  <c r="L105" i="124" s="1"/>
  <c r="N51" i="123"/>
  <c r="N50" i="123"/>
  <c r="N95" i="123" s="1"/>
  <c r="N151" i="123" s="1"/>
  <c r="N34" i="127"/>
  <c r="N48" i="124"/>
  <c r="N94" i="124" s="1"/>
  <c r="N47" i="124"/>
  <c r="N93" i="124" s="1"/>
  <c r="M108" i="126"/>
  <c r="O26" i="127"/>
  <c r="O26" i="126"/>
  <c r="O26" i="125"/>
  <c r="O26" i="124"/>
  <c r="O26" i="123"/>
  <c r="L141" i="127"/>
  <c r="L133" i="127"/>
  <c r="L135" i="127" s="1"/>
  <c r="L189" i="127" s="1"/>
  <c r="L190" i="127" s="1"/>
  <c r="L102" i="127"/>
  <c r="L105" i="127" s="1"/>
  <c r="L106" i="127"/>
  <c r="N173" i="127"/>
  <c r="N86" i="124"/>
  <c r="N31" i="124"/>
  <c r="N34" i="124"/>
  <c r="N47" i="123"/>
  <c r="N93" i="123" s="1"/>
  <c r="N48" i="123"/>
  <c r="N94" i="123" s="1"/>
  <c r="L103" i="125"/>
  <c r="L108" i="125" s="1"/>
  <c r="L201" i="125"/>
  <c r="N88" i="126"/>
  <c r="N24" i="126"/>
  <c r="N36" i="126"/>
  <c r="N98" i="125"/>
  <c r="N99" i="125"/>
  <c r="N37" i="124"/>
  <c r="L132" i="126"/>
  <c r="L126" i="126"/>
  <c r="M126" i="125"/>
  <c r="M132" i="125"/>
  <c r="N89" i="123"/>
  <c r="N37" i="123"/>
  <c r="M102" i="124"/>
  <c r="M105" i="124" s="1"/>
  <c r="L103" i="124"/>
  <c r="L108" i="124" s="1"/>
  <c r="L201" i="124"/>
  <c r="N48" i="126"/>
  <c r="N94" i="126" s="1"/>
  <c r="N98" i="126"/>
  <c r="N99" i="126"/>
  <c r="M132" i="123"/>
  <c r="M126" i="123"/>
  <c r="L138" i="118"/>
  <c r="L147" i="118" s="1"/>
  <c r="N29" i="118"/>
  <c r="N42" i="118"/>
  <c r="F104" i="120" s="1"/>
  <c r="N43" i="118"/>
  <c r="F105" i="120" s="1"/>
  <c r="F151" i="120"/>
  <c r="F154" i="120" s="1"/>
  <c r="F157" i="120" s="1"/>
  <c r="F142" i="120"/>
  <c r="F166" i="120"/>
  <c r="G141" i="120"/>
  <c r="G132" i="120"/>
  <c r="O31" i="118"/>
  <c r="G165" i="120"/>
  <c r="G150" i="120"/>
  <c r="F94" i="120"/>
  <c r="N94" i="118"/>
  <c r="F96" i="120"/>
  <c r="N81" i="114"/>
  <c r="F81" i="120"/>
  <c r="N95" i="118"/>
  <c r="G80" i="120"/>
  <c r="Y86" i="120"/>
  <c r="AL68" i="114"/>
  <c r="M147" i="118"/>
  <c r="M139" i="118"/>
  <c r="M141" i="118" s="1"/>
  <c r="M195" i="118" s="1"/>
  <c r="M196" i="118" s="1"/>
  <c r="N57" i="118"/>
  <c r="N56" i="118"/>
  <c r="O44" i="114"/>
  <c r="O45" i="114" s="1"/>
  <c r="O86" i="114" s="1"/>
  <c r="N104" i="118"/>
  <c r="N105" i="118"/>
  <c r="AH15" i="114"/>
  <c r="AH16" i="114" s="1"/>
  <c r="N82" i="114"/>
  <c r="N46" i="114"/>
  <c r="N45" i="114"/>
  <c r="N86" i="114" s="1"/>
  <c r="N89" i="114"/>
  <c r="N90" i="114"/>
  <c r="O41" i="114"/>
  <c r="O47" i="114"/>
  <c r="O27" i="114"/>
  <c r="I84" i="120" s="1"/>
  <c r="O50" i="114"/>
  <c r="O52" i="114" s="1"/>
  <c r="O26" i="114"/>
  <c r="I83" i="120" s="1"/>
  <c r="Q58" i="114"/>
  <c r="P61" i="114"/>
  <c r="P60" i="114"/>
  <c r="P23" i="114"/>
  <c r="N43" i="114"/>
  <c r="N85" i="114" s="1"/>
  <c r="N42" i="114"/>
  <c r="N84" i="114" s="1"/>
  <c r="K10" i="114"/>
  <c r="N162" i="114" s="1"/>
  <c r="K11" i="114"/>
  <c r="L4" i="114"/>
  <c r="N53" i="118" l="1"/>
  <c r="N99" i="118" s="1"/>
  <c r="G133" i="120"/>
  <c r="G136" i="120" s="1"/>
  <c r="G137" i="120" s="1"/>
  <c r="Q22" i="114"/>
  <c r="Q28" i="114" s="1"/>
  <c r="Q71" i="118"/>
  <c r="P73" i="118"/>
  <c r="P74" i="118"/>
  <c r="P199" i="118"/>
  <c r="P194" i="118"/>
  <c r="N31" i="126"/>
  <c r="N51" i="125"/>
  <c r="N35" i="127"/>
  <c r="Y115" i="120"/>
  <c r="AH18" i="118"/>
  <c r="Z134" i="120" s="1"/>
  <c r="N179" i="118"/>
  <c r="F95" i="120"/>
  <c r="N36" i="124"/>
  <c r="N88" i="124"/>
  <c r="N98" i="124"/>
  <c r="N25" i="126"/>
  <c r="N47" i="125"/>
  <c r="N93" i="125" s="1"/>
  <c r="N150" i="125" s="1"/>
  <c r="N152" i="125" s="1"/>
  <c r="N37" i="126"/>
  <c r="N92" i="118"/>
  <c r="F37" i="120" s="1"/>
  <c r="N89" i="126"/>
  <c r="N37" i="125"/>
  <c r="N25" i="127"/>
  <c r="N87" i="125"/>
  <c r="F153" i="120"/>
  <c r="N99" i="127"/>
  <c r="N97" i="127" s="1"/>
  <c r="N36" i="118"/>
  <c r="N44" i="118" s="1"/>
  <c r="F106" i="120" s="1"/>
  <c r="N35" i="125"/>
  <c r="N41" i="118"/>
  <c r="F103" i="120" s="1"/>
  <c r="F111" i="120" s="1"/>
  <c r="F113" i="120" s="1"/>
  <c r="F115" i="120"/>
  <c r="F109" i="120"/>
  <c r="N50" i="124"/>
  <c r="N95" i="124" s="1"/>
  <c r="N151" i="124" s="1"/>
  <c r="O39" i="118"/>
  <c r="G101" i="120" s="1"/>
  <c r="O33" i="118"/>
  <c r="N25" i="125"/>
  <c r="N88" i="125"/>
  <c r="N24" i="125"/>
  <c r="AD29" i="120"/>
  <c r="AD30" i="120" s="1"/>
  <c r="N89" i="127"/>
  <c r="N85" i="127" s="1"/>
  <c r="N50" i="127"/>
  <c r="N95" i="127" s="1"/>
  <c r="N151" i="127" s="1"/>
  <c r="N22" i="127"/>
  <c r="N118" i="127" s="1"/>
  <c r="N125" i="127" s="1"/>
  <c r="K62" i="114"/>
  <c r="K31" i="114"/>
  <c r="N97" i="126"/>
  <c r="N97" i="125"/>
  <c r="N97" i="123"/>
  <c r="Q182" i="114"/>
  <c r="Q23" i="114"/>
  <c r="L139" i="118"/>
  <c r="L141" i="118" s="1"/>
  <c r="L195" i="118" s="1"/>
  <c r="L196" i="118" s="1"/>
  <c r="L200" i="118" s="1"/>
  <c r="N150" i="123"/>
  <c r="N152" i="123" s="1"/>
  <c r="N92" i="123"/>
  <c r="O49" i="124"/>
  <c r="O30" i="124"/>
  <c r="O55" i="124"/>
  <c r="O59" i="124" s="1"/>
  <c r="O52" i="124"/>
  <c r="O46" i="124"/>
  <c r="O29" i="124"/>
  <c r="O33" i="124"/>
  <c r="M108" i="124"/>
  <c r="O46" i="125"/>
  <c r="O52" i="125"/>
  <c r="O55" i="125"/>
  <c r="O59" i="125" s="1"/>
  <c r="O29" i="125"/>
  <c r="O49" i="125"/>
  <c r="O28" i="125"/>
  <c r="O27" i="125"/>
  <c r="O30" i="125"/>
  <c r="O33" i="125"/>
  <c r="L141" i="124"/>
  <c r="L133" i="124"/>
  <c r="L135" i="124" s="1"/>
  <c r="L189" i="124" s="1"/>
  <c r="L190" i="124" s="1"/>
  <c r="L141" i="123"/>
  <c r="L133" i="123"/>
  <c r="L135" i="123" s="1"/>
  <c r="L189" i="123" s="1"/>
  <c r="L190" i="123" s="1"/>
  <c r="M133" i="123"/>
  <c r="M135" i="123" s="1"/>
  <c r="M189" i="123" s="1"/>
  <c r="M190" i="123" s="1"/>
  <c r="M141" i="123"/>
  <c r="O29" i="126"/>
  <c r="O49" i="126"/>
  <c r="O52" i="126"/>
  <c r="O46" i="126"/>
  <c r="O30" i="126"/>
  <c r="O28" i="126"/>
  <c r="O27" i="126"/>
  <c r="O55" i="126"/>
  <c r="O59" i="126" s="1"/>
  <c r="O33" i="126"/>
  <c r="N90" i="123"/>
  <c r="N85" i="123" s="1"/>
  <c r="N38" i="123"/>
  <c r="N22" i="123" s="1"/>
  <c r="N118" i="123" s="1"/>
  <c r="M142" i="127"/>
  <c r="M143" i="127" s="1"/>
  <c r="M145" i="127" s="1"/>
  <c r="M167" i="127"/>
  <c r="M168" i="127" s="1"/>
  <c r="M169" i="127" s="1"/>
  <c r="M171" i="127" s="1"/>
  <c r="M172" i="127" s="1"/>
  <c r="M175" i="127" s="1"/>
  <c r="M141" i="126"/>
  <c r="M133" i="126"/>
  <c r="M135" i="126" s="1"/>
  <c r="M189" i="126" s="1"/>
  <c r="M190" i="126" s="1"/>
  <c r="O49" i="127"/>
  <c r="O52" i="127"/>
  <c r="O29" i="127"/>
  <c r="O46" i="127"/>
  <c r="O27" i="127"/>
  <c r="O28" i="127"/>
  <c r="O30" i="127"/>
  <c r="O55" i="127"/>
  <c r="O59" i="127" s="1"/>
  <c r="O33" i="127"/>
  <c r="N150" i="124"/>
  <c r="N150" i="127"/>
  <c r="N92" i="127"/>
  <c r="M194" i="127"/>
  <c r="M191" i="127"/>
  <c r="M141" i="125"/>
  <c r="M133" i="125"/>
  <c r="M135" i="125" s="1"/>
  <c r="M189" i="125" s="1"/>
  <c r="M190" i="125" s="1"/>
  <c r="G158" i="120"/>
  <c r="G160" i="120" s="1"/>
  <c r="G161" i="120" s="1"/>
  <c r="G170" i="120"/>
  <c r="G172" i="120" s="1"/>
  <c r="G173" i="120" s="1"/>
  <c r="P26" i="127"/>
  <c r="P26" i="126"/>
  <c r="P26" i="125"/>
  <c r="P26" i="124"/>
  <c r="P26" i="123"/>
  <c r="L142" i="127"/>
  <c r="L143" i="127" s="1"/>
  <c r="L145" i="127" s="1"/>
  <c r="L167" i="127"/>
  <c r="L168" i="127" s="1"/>
  <c r="L169" i="127" s="1"/>
  <c r="L171" i="127" s="1"/>
  <c r="L172" i="127" s="1"/>
  <c r="L175" i="127" s="1"/>
  <c r="M141" i="124"/>
  <c r="M133" i="124"/>
  <c r="M135" i="124" s="1"/>
  <c r="M189" i="124" s="1"/>
  <c r="M190" i="124" s="1"/>
  <c r="L141" i="125"/>
  <c r="L133" i="125"/>
  <c r="L135" i="125" s="1"/>
  <c r="L189" i="125" s="1"/>
  <c r="L190" i="125" s="1"/>
  <c r="N92" i="125"/>
  <c r="L194" i="127"/>
  <c r="L191" i="127"/>
  <c r="M108" i="123"/>
  <c r="L141" i="126"/>
  <c r="L133" i="126"/>
  <c r="L135" i="126" s="1"/>
  <c r="L189" i="126" s="1"/>
  <c r="L190" i="126" s="1"/>
  <c r="N90" i="125"/>
  <c r="N38" i="125"/>
  <c r="N22" i="125" s="1"/>
  <c r="N118" i="125" s="1"/>
  <c r="N150" i="126"/>
  <c r="N152" i="126" s="1"/>
  <c r="N92" i="126"/>
  <c r="N25" i="124"/>
  <c r="N90" i="124"/>
  <c r="N85" i="124" s="1"/>
  <c r="N38" i="124"/>
  <c r="O52" i="123"/>
  <c r="O29" i="123"/>
  <c r="O46" i="123"/>
  <c r="O55" i="123"/>
  <c r="O59" i="123" s="1"/>
  <c r="O49" i="123"/>
  <c r="O30" i="123"/>
  <c r="O33" i="123"/>
  <c r="N97" i="124"/>
  <c r="N90" i="126"/>
  <c r="N85" i="126" s="1"/>
  <c r="N103" i="126" s="1"/>
  <c r="N38" i="126"/>
  <c r="F58" i="120"/>
  <c r="F41" i="120"/>
  <c r="F40" i="120"/>
  <c r="F59" i="120"/>
  <c r="F42" i="120"/>
  <c r="H80" i="120"/>
  <c r="H150" i="120"/>
  <c r="H165" i="120"/>
  <c r="H141" i="120"/>
  <c r="H132" i="120"/>
  <c r="H133" i="120" s="1"/>
  <c r="H136" i="120" s="1"/>
  <c r="H137" i="120" s="1"/>
  <c r="F122" i="120"/>
  <c r="F26" i="120"/>
  <c r="F50" i="120"/>
  <c r="F57" i="120"/>
  <c r="F24" i="120"/>
  <c r="Z86" i="120"/>
  <c r="P31" i="118"/>
  <c r="P29" i="118" s="1"/>
  <c r="L173" i="118"/>
  <c r="L174" i="118" s="1"/>
  <c r="L175" i="118" s="1"/>
  <c r="L177" i="118" s="1"/>
  <c r="L178" i="118" s="1"/>
  <c r="L181" i="118" s="1"/>
  <c r="L148" i="118"/>
  <c r="L149" i="118" s="1"/>
  <c r="L151" i="118" s="1"/>
  <c r="M197" i="118"/>
  <c r="M200" i="118"/>
  <c r="K177" i="114"/>
  <c r="M173" i="118"/>
  <c r="M174" i="118" s="1"/>
  <c r="M175" i="118" s="1"/>
  <c r="M177" i="118" s="1"/>
  <c r="M178" i="118" s="1"/>
  <c r="M181" i="118" s="1"/>
  <c r="M148" i="118"/>
  <c r="M149" i="118" s="1"/>
  <c r="M151" i="118" s="1"/>
  <c r="N103" i="118"/>
  <c r="F38" i="120" s="1"/>
  <c r="N101" i="118"/>
  <c r="N157" i="118" s="1"/>
  <c r="N156" i="118"/>
  <c r="O46" i="114"/>
  <c r="O61" i="118"/>
  <c r="O65" i="118" s="1"/>
  <c r="O66" i="118" s="1"/>
  <c r="O58" i="118"/>
  <c r="O55" i="118"/>
  <c r="O34" i="118"/>
  <c r="O35" i="118"/>
  <c r="O52" i="118"/>
  <c r="AI15" i="114"/>
  <c r="AI16" i="114" s="1"/>
  <c r="U154" i="114"/>
  <c r="U155" i="114" s="1"/>
  <c r="AD154" i="114"/>
  <c r="AD155" i="114" s="1"/>
  <c r="AF154" i="114"/>
  <c r="AF155" i="114" s="1"/>
  <c r="R154" i="114"/>
  <c r="R155" i="114" s="1"/>
  <c r="O154" i="114"/>
  <c r="O155" i="114" s="1"/>
  <c r="P154" i="114"/>
  <c r="P155" i="114" s="1"/>
  <c r="V154" i="114"/>
  <c r="V155" i="114" s="1"/>
  <c r="M162" i="114"/>
  <c r="AC154" i="114"/>
  <c r="AC155" i="114" s="1"/>
  <c r="AL154" i="114"/>
  <c r="AL155" i="114" s="1"/>
  <c r="Q154" i="114"/>
  <c r="Q155" i="114" s="1"/>
  <c r="AH154" i="114"/>
  <c r="AH155" i="114" s="1"/>
  <c r="AE154" i="114"/>
  <c r="AE155" i="114" s="1"/>
  <c r="AG154" i="114"/>
  <c r="AG155" i="114" s="1"/>
  <c r="AK154" i="114"/>
  <c r="AK155" i="114" s="1"/>
  <c r="AJ154" i="114"/>
  <c r="AJ155" i="114" s="1"/>
  <c r="L154" i="114"/>
  <c r="L155" i="114" s="1"/>
  <c r="N154" i="114"/>
  <c r="N155" i="114" s="1"/>
  <c r="T154" i="114"/>
  <c r="T155" i="114" s="1"/>
  <c r="M154" i="114"/>
  <c r="M155" i="114" s="1"/>
  <c r="L162" i="114"/>
  <c r="AA154" i="114"/>
  <c r="AA155" i="114" s="1"/>
  <c r="W154" i="114"/>
  <c r="W155" i="114" s="1"/>
  <c r="Z154" i="114"/>
  <c r="Z155" i="114" s="1"/>
  <c r="S154" i="114"/>
  <c r="S155" i="114" s="1"/>
  <c r="AB154" i="114"/>
  <c r="AB155" i="114" s="1"/>
  <c r="AI154" i="114"/>
  <c r="AI155" i="114" s="1"/>
  <c r="Y154" i="114"/>
  <c r="Y155" i="114" s="1"/>
  <c r="X154" i="114"/>
  <c r="X155" i="114" s="1"/>
  <c r="L139" i="114"/>
  <c r="L140" i="114"/>
  <c r="N30" i="114"/>
  <c r="F89" i="120" s="1"/>
  <c r="N139" i="114"/>
  <c r="W128" i="114"/>
  <c r="W129" i="114" s="1"/>
  <c r="AG128" i="114"/>
  <c r="AG129" i="114" s="1"/>
  <c r="M140" i="114"/>
  <c r="M128" i="114"/>
  <c r="M129" i="114" s="1"/>
  <c r="AL128" i="114"/>
  <c r="AL129" i="114" s="1"/>
  <c r="W112" i="114"/>
  <c r="W113" i="114" s="1"/>
  <c r="S112" i="114"/>
  <c r="S113" i="114" s="1"/>
  <c r="R112" i="114"/>
  <c r="R113" i="114" s="1"/>
  <c r="AI105" i="114"/>
  <c r="AI106" i="114" s="1"/>
  <c r="AD105" i="114"/>
  <c r="AD106" i="114" s="1"/>
  <c r="AC105" i="114"/>
  <c r="AC106" i="114" s="1"/>
  <c r="AH105" i="114"/>
  <c r="AH106" i="114" s="1"/>
  <c r="AK119" i="114"/>
  <c r="AK120" i="114" s="1"/>
  <c r="AF119" i="114"/>
  <c r="AF120" i="114" s="1"/>
  <c r="N119" i="114"/>
  <c r="N120" i="114" s="1"/>
  <c r="N128" i="114"/>
  <c r="N129" i="114" s="1"/>
  <c r="T112" i="114"/>
  <c r="T113" i="114" s="1"/>
  <c r="L112" i="114"/>
  <c r="L113" i="114" s="1"/>
  <c r="AK105" i="114"/>
  <c r="AK106" i="114" s="1"/>
  <c r="AH119" i="114"/>
  <c r="AH120" i="114" s="1"/>
  <c r="Z128" i="114"/>
  <c r="Z129" i="114" s="1"/>
  <c r="AB112" i="114"/>
  <c r="AB113" i="114" s="1"/>
  <c r="Z112" i="114"/>
  <c r="Z113" i="114" s="1"/>
  <c r="X105" i="114"/>
  <c r="X106" i="114" s="1"/>
  <c r="Z119" i="114"/>
  <c r="Z120" i="114" s="1"/>
  <c r="AL119" i="114"/>
  <c r="AL120" i="114" s="1"/>
  <c r="AC112" i="114"/>
  <c r="AC113" i="114" s="1"/>
  <c r="N105" i="114"/>
  <c r="N106" i="114" s="1"/>
  <c r="L119" i="114"/>
  <c r="L120" i="114" s="1"/>
  <c r="AE128" i="114"/>
  <c r="AE129" i="114" s="1"/>
  <c r="P128" i="114"/>
  <c r="P129" i="114" s="1"/>
  <c r="T128" i="114"/>
  <c r="T129" i="114" s="1"/>
  <c r="L128" i="114"/>
  <c r="L129" i="114" s="1"/>
  <c r="AE112" i="114"/>
  <c r="AE113" i="114" s="1"/>
  <c r="AI112" i="114"/>
  <c r="AI113" i="114" s="1"/>
  <c r="AH112" i="114"/>
  <c r="AH113" i="114" s="1"/>
  <c r="Q105" i="114"/>
  <c r="Q106" i="114" s="1"/>
  <c r="AL105" i="114"/>
  <c r="AL106" i="114" s="1"/>
  <c r="AF105" i="114"/>
  <c r="AF106" i="114" s="1"/>
  <c r="U105" i="114"/>
  <c r="U106" i="114" s="1"/>
  <c r="V119" i="114"/>
  <c r="V120" i="114" s="1"/>
  <c r="M119" i="114"/>
  <c r="M120" i="114" s="1"/>
  <c r="Y119" i="114"/>
  <c r="Y120" i="114" s="1"/>
  <c r="R128" i="114"/>
  <c r="R129" i="114" s="1"/>
  <c r="O112" i="114"/>
  <c r="O113" i="114" s="1"/>
  <c r="M105" i="114"/>
  <c r="M106" i="114" s="1"/>
  <c r="T119" i="114"/>
  <c r="T120" i="114" s="1"/>
  <c r="O119" i="114"/>
  <c r="O120" i="114" s="1"/>
  <c r="AJ128" i="114"/>
  <c r="AJ129" i="114" s="1"/>
  <c r="Q112" i="114"/>
  <c r="Q113" i="114" s="1"/>
  <c r="W105" i="114"/>
  <c r="W106" i="114" s="1"/>
  <c r="W119" i="114"/>
  <c r="W120" i="114" s="1"/>
  <c r="AA119" i="114"/>
  <c r="AA120" i="114" s="1"/>
  <c r="AK128" i="114"/>
  <c r="AK129" i="114" s="1"/>
  <c r="Y112" i="114"/>
  <c r="Y113" i="114" s="1"/>
  <c r="AG105" i="114"/>
  <c r="AG106" i="114" s="1"/>
  <c r="X128" i="114"/>
  <c r="X129" i="114" s="1"/>
  <c r="AH128" i="114"/>
  <c r="AH129" i="114" s="1"/>
  <c r="N140" i="114"/>
  <c r="U128" i="114"/>
  <c r="U129" i="114" s="1"/>
  <c r="AJ112" i="114"/>
  <c r="AJ113" i="114" s="1"/>
  <c r="M112" i="114"/>
  <c r="M113" i="114" s="1"/>
  <c r="AL112" i="114"/>
  <c r="AL113" i="114" s="1"/>
  <c r="AA112" i="114"/>
  <c r="AA113" i="114" s="1"/>
  <c r="AB105" i="114"/>
  <c r="AB106" i="114" s="1"/>
  <c r="AE105" i="114"/>
  <c r="AE106" i="114" s="1"/>
  <c r="L105" i="114"/>
  <c r="L106" i="114" s="1"/>
  <c r="AJ119" i="114"/>
  <c r="AJ120" i="114" s="1"/>
  <c r="AE119" i="114"/>
  <c r="AE120" i="114" s="1"/>
  <c r="P119" i="114"/>
  <c r="P120" i="114" s="1"/>
  <c r="R119" i="114"/>
  <c r="R120" i="114" s="1"/>
  <c r="S128" i="114"/>
  <c r="S129" i="114" s="1"/>
  <c r="V128" i="114"/>
  <c r="V129" i="114" s="1"/>
  <c r="U112" i="114"/>
  <c r="U113" i="114" s="1"/>
  <c r="X112" i="114"/>
  <c r="X113" i="114" s="1"/>
  <c r="P112" i="114"/>
  <c r="P113" i="114" s="1"/>
  <c r="AD112" i="114"/>
  <c r="AD113" i="114" s="1"/>
  <c r="AJ105" i="114"/>
  <c r="AJ106" i="114" s="1"/>
  <c r="Y105" i="114"/>
  <c r="Y106" i="114" s="1"/>
  <c r="Q119" i="114"/>
  <c r="Q120" i="114" s="1"/>
  <c r="AC128" i="114"/>
  <c r="AC129" i="114" s="1"/>
  <c r="S105" i="114"/>
  <c r="S106" i="114" s="1"/>
  <c r="U119" i="114"/>
  <c r="U120" i="114" s="1"/>
  <c r="AF128" i="114"/>
  <c r="AF129" i="114" s="1"/>
  <c r="O128" i="114"/>
  <c r="O129" i="114" s="1"/>
  <c r="Y128" i="114"/>
  <c r="Y129" i="114" s="1"/>
  <c r="AI128" i="114"/>
  <c r="AI129" i="114" s="1"/>
  <c r="AD128" i="114"/>
  <c r="AD129" i="114" s="1"/>
  <c r="Q128" i="114"/>
  <c r="Q129" i="114" s="1"/>
  <c r="AK112" i="114"/>
  <c r="AK113" i="114" s="1"/>
  <c r="N112" i="114"/>
  <c r="N113" i="114" s="1"/>
  <c r="AG112" i="114"/>
  <c r="AG113" i="114" s="1"/>
  <c r="AA105" i="114"/>
  <c r="AA106" i="114" s="1"/>
  <c r="V105" i="114"/>
  <c r="V106" i="114" s="1"/>
  <c r="Z105" i="114"/>
  <c r="Z106" i="114" s="1"/>
  <c r="R105" i="114"/>
  <c r="R106" i="114" s="1"/>
  <c r="AC119" i="114"/>
  <c r="AC120" i="114" s="1"/>
  <c r="X119" i="114"/>
  <c r="X120" i="114" s="1"/>
  <c r="S119" i="114"/>
  <c r="S120" i="114" s="1"/>
  <c r="AB128" i="114"/>
  <c r="AB129" i="114" s="1"/>
  <c r="P105" i="114"/>
  <c r="P106" i="114" s="1"/>
  <c r="AD119" i="114"/>
  <c r="AD120" i="114" s="1"/>
  <c r="O140" i="114"/>
  <c r="V112" i="114"/>
  <c r="V113" i="114" s="1"/>
  <c r="T105" i="114"/>
  <c r="T106" i="114" s="1"/>
  <c r="AB119" i="114"/>
  <c r="AB120" i="114" s="1"/>
  <c r="AI119" i="114"/>
  <c r="AI120" i="114" s="1"/>
  <c r="AA128" i="114"/>
  <c r="AA129" i="114" s="1"/>
  <c r="AF112" i="114"/>
  <c r="AF113" i="114" s="1"/>
  <c r="O105" i="114"/>
  <c r="O106" i="114" s="1"/>
  <c r="AG119" i="114"/>
  <c r="AG120" i="114" s="1"/>
  <c r="M139" i="114"/>
  <c r="O90" i="114"/>
  <c r="O89" i="114"/>
  <c r="N88" i="114"/>
  <c r="F162" i="120" s="1"/>
  <c r="O29" i="114"/>
  <c r="N32" i="114"/>
  <c r="N33" i="114"/>
  <c r="O33" i="114"/>
  <c r="R58" i="114"/>
  <c r="Q61" i="114"/>
  <c r="Q60" i="114"/>
  <c r="N83" i="114"/>
  <c r="O32" i="114"/>
  <c r="O43" i="114"/>
  <c r="O85" i="114" s="1"/>
  <c r="O42" i="114"/>
  <c r="O84" i="114" s="1"/>
  <c r="O139" i="114" s="1"/>
  <c r="N80" i="114"/>
  <c r="M29" i="114"/>
  <c r="L29" i="114"/>
  <c r="M32" i="114"/>
  <c r="L32" i="114"/>
  <c r="L33" i="114"/>
  <c r="L30" i="114"/>
  <c r="M33" i="114"/>
  <c r="M30" i="114"/>
  <c r="N29" i="114"/>
  <c r="P26" i="114"/>
  <c r="P47" i="114"/>
  <c r="P27" i="114"/>
  <c r="P50" i="114"/>
  <c r="P52" i="114" s="1"/>
  <c r="P44" i="114"/>
  <c r="P29" i="114"/>
  <c r="P41" i="114"/>
  <c r="K119" i="114"/>
  <c r="K120" i="114" s="1"/>
  <c r="K112" i="114"/>
  <c r="K113" i="114" s="1"/>
  <c r="K146" i="114"/>
  <c r="K154" i="114"/>
  <c r="K155" i="114" s="1"/>
  <c r="K149" i="114"/>
  <c r="K128" i="114"/>
  <c r="K129" i="114" s="1"/>
  <c r="K105" i="114"/>
  <c r="K106" i="114" s="1"/>
  <c r="L5" i="114"/>
  <c r="F120" i="120" l="1"/>
  <c r="S58" i="114"/>
  <c r="R22" i="114"/>
  <c r="R28" i="114" s="1"/>
  <c r="R71" i="118"/>
  <c r="Q74" i="118"/>
  <c r="Q199" i="118"/>
  <c r="Q73" i="118"/>
  <c r="Q194" i="118"/>
  <c r="N22" i="124"/>
  <c r="N118" i="124" s="1"/>
  <c r="AI18" i="118"/>
  <c r="AA134" i="120" s="1"/>
  <c r="Z115" i="120"/>
  <c r="N22" i="126"/>
  <c r="N118" i="126" s="1"/>
  <c r="G109" i="120"/>
  <c r="N152" i="127"/>
  <c r="F168" i="120"/>
  <c r="N119" i="127"/>
  <c r="N30" i="118"/>
  <c r="N27" i="118"/>
  <c r="N124" i="118" s="1"/>
  <c r="N125" i="118" s="1"/>
  <c r="F98" i="120"/>
  <c r="N96" i="118"/>
  <c r="N97" i="118" s="1"/>
  <c r="N92" i="124"/>
  <c r="N201" i="124" s="1"/>
  <c r="N152" i="124"/>
  <c r="N91" i="127"/>
  <c r="O41" i="118"/>
  <c r="G103" i="120" s="1"/>
  <c r="G111" i="120" s="1"/>
  <c r="G113" i="120" s="1"/>
  <c r="G115" i="120"/>
  <c r="N92" i="114"/>
  <c r="R182" i="114"/>
  <c r="N91" i="124"/>
  <c r="L197" i="118"/>
  <c r="N106" i="127"/>
  <c r="N106" i="123"/>
  <c r="N125" i="124"/>
  <c r="N119" i="124"/>
  <c r="N103" i="124"/>
  <c r="N125" i="125"/>
  <c r="N119" i="125"/>
  <c r="N125" i="126"/>
  <c r="N119" i="126"/>
  <c r="N125" i="123"/>
  <c r="N119" i="123"/>
  <c r="N108" i="126"/>
  <c r="O24" i="127"/>
  <c r="O88" i="127"/>
  <c r="AM88" i="127" s="1"/>
  <c r="O36" i="127"/>
  <c r="O99" i="124"/>
  <c r="O98" i="124"/>
  <c r="G88" i="120"/>
  <c r="D4" i="128"/>
  <c r="H158" i="120"/>
  <c r="H160" i="120" s="1"/>
  <c r="H161" i="120" s="1"/>
  <c r="H170" i="120"/>
  <c r="H172" i="120" s="1"/>
  <c r="H173" i="120" s="1"/>
  <c r="O48" i="123"/>
  <c r="O94" i="123" s="1"/>
  <c r="O47" i="123"/>
  <c r="O93" i="123" s="1"/>
  <c r="M142" i="124"/>
  <c r="M143" i="124" s="1"/>
  <c r="M145" i="124" s="1"/>
  <c r="M167" i="124"/>
  <c r="M168" i="124" s="1"/>
  <c r="M169" i="124" s="1"/>
  <c r="M171" i="124" s="1"/>
  <c r="M172" i="124" s="1"/>
  <c r="M175" i="124" s="1"/>
  <c r="P55" i="123"/>
  <c r="P59" i="123" s="1"/>
  <c r="P24" i="123"/>
  <c r="P30" i="123"/>
  <c r="P52" i="123"/>
  <c r="P49" i="123"/>
  <c r="P46" i="123"/>
  <c r="P33" i="123"/>
  <c r="M167" i="126"/>
  <c r="M168" i="126" s="1"/>
  <c r="M169" i="126" s="1"/>
  <c r="M171" i="126" s="1"/>
  <c r="M172" i="126" s="1"/>
  <c r="M175" i="126" s="1"/>
  <c r="M142" i="126"/>
  <c r="M143" i="126" s="1"/>
  <c r="M145" i="126" s="1"/>
  <c r="N103" i="127"/>
  <c r="N108" i="127" s="1"/>
  <c r="O89" i="126"/>
  <c r="O37" i="126"/>
  <c r="M167" i="123"/>
  <c r="M168" i="123" s="1"/>
  <c r="M169" i="123" s="1"/>
  <c r="M171" i="123" s="1"/>
  <c r="M172" i="123" s="1"/>
  <c r="M175" i="123" s="1"/>
  <c r="M142" i="123"/>
  <c r="M143" i="123" s="1"/>
  <c r="M145" i="123" s="1"/>
  <c r="L194" i="124"/>
  <c r="L191" i="124"/>
  <c r="O89" i="125"/>
  <c r="AM89" i="125" s="1"/>
  <c r="O37" i="125"/>
  <c r="N102" i="127"/>
  <c r="N105" i="127" s="1"/>
  <c r="O31" i="125"/>
  <c r="O25" i="125" s="1"/>
  <c r="O148" i="125"/>
  <c r="O152" i="125"/>
  <c r="O86" i="125"/>
  <c r="O190" i="125"/>
  <c r="O34" i="125"/>
  <c r="N201" i="126"/>
  <c r="L147" i="127"/>
  <c r="L146" i="127"/>
  <c r="P52" i="125"/>
  <c r="P24" i="125"/>
  <c r="P49" i="125"/>
  <c r="P46" i="125"/>
  <c r="P55" i="125"/>
  <c r="P59" i="125" s="1"/>
  <c r="P33" i="125"/>
  <c r="O25" i="127"/>
  <c r="M147" i="127"/>
  <c r="M146" i="127"/>
  <c r="O87" i="125"/>
  <c r="O173" i="125"/>
  <c r="O35" i="125"/>
  <c r="O89" i="124"/>
  <c r="O37" i="124"/>
  <c r="L167" i="124"/>
  <c r="L168" i="124" s="1"/>
  <c r="L169" i="124" s="1"/>
  <c r="L171" i="124" s="1"/>
  <c r="L172" i="124" s="1"/>
  <c r="L175" i="124" s="1"/>
  <c r="L142" i="124"/>
  <c r="L143" i="124" s="1"/>
  <c r="L145" i="124" s="1"/>
  <c r="O89" i="123"/>
  <c r="O37" i="123"/>
  <c r="L191" i="126"/>
  <c r="L194" i="126"/>
  <c r="L191" i="125"/>
  <c r="L194" i="125"/>
  <c r="P27" i="126"/>
  <c r="P55" i="126"/>
  <c r="P59" i="126" s="1"/>
  <c r="P52" i="126"/>
  <c r="P49" i="126"/>
  <c r="P30" i="126"/>
  <c r="P24" i="126"/>
  <c r="P46" i="126"/>
  <c r="P33" i="126"/>
  <c r="N102" i="123"/>
  <c r="N105" i="123" s="1"/>
  <c r="N201" i="123"/>
  <c r="N103" i="123"/>
  <c r="O98" i="127"/>
  <c r="O99" i="127"/>
  <c r="O51" i="127"/>
  <c r="O50" i="127"/>
  <c r="O95" i="127" s="1"/>
  <c r="O151" i="127" s="1"/>
  <c r="O51" i="126"/>
  <c r="O50" i="126"/>
  <c r="O95" i="126" s="1"/>
  <c r="O151" i="126" s="1"/>
  <c r="N91" i="126"/>
  <c r="O50" i="125"/>
  <c r="O95" i="125" s="1"/>
  <c r="O151" i="125" s="1"/>
  <c r="O51" i="125"/>
  <c r="P24" i="124"/>
  <c r="P52" i="124"/>
  <c r="P46" i="124"/>
  <c r="P55" i="124"/>
  <c r="P59" i="124" s="1"/>
  <c r="P49" i="124"/>
  <c r="P30" i="124"/>
  <c r="P33" i="124"/>
  <c r="Q26" i="127"/>
  <c r="Q26" i="126"/>
  <c r="Q26" i="125"/>
  <c r="Q26" i="124"/>
  <c r="Q26" i="123"/>
  <c r="O51" i="123"/>
  <c r="O50" i="123"/>
  <c r="O95" i="123" s="1"/>
  <c r="O151" i="123" s="1"/>
  <c r="L167" i="126"/>
  <c r="L168" i="126" s="1"/>
  <c r="L169" i="126" s="1"/>
  <c r="L171" i="126" s="1"/>
  <c r="L172" i="126" s="1"/>
  <c r="L175" i="126" s="1"/>
  <c r="L142" i="126"/>
  <c r="L143" i="126" s="1"/>
  <c r="L145" i="126" s="1"/>
  <c r="L167" i="125"/>
  <c r="L168" i="125" s="1"/>
  <c r="L169" i="125" s="1"/>
  <c r="L171" i="125" s="1"/>
  <c r="L172" i="125" s="1"/>
  <c r="L175" i="125" s="1"/>
  <c r="L142" i="125"/>
  <c r="L143" i="125" s="1"/>
  <c r="L145" i="125" s="1"/>
  <c r="P52" i="127"/>
  <c r="P55" i="127"/>
  <c r="P59" i="127" s="1"/>
  <c r="P46" i="127"/>
  <c r="P49" i="127"/>
  <c r="P24" i="127"/>
  <c r="P33" i="127"/>
  <c r="M191" i="125"/>
  <c r="M194" i="125"/>
  <c r="O89" i="127"/>
  <c r="AM89" i="127" s="1"/>
  <c r="O37" i="127"/>
  <c r="N91" i="123"/>
  <c r="O98" i="126"/>
  <c r="O99" i="126"/>
  <c r="O24" i="126"/>
  <c r="O88" i="126"/>
  <c r="AM88" i="126" s="1"/>
  <c r="O36" i="126"/>
  <c r="F174" i="120"/>
  <c r="O88" i="125"/>
  <c r="AM88" i="125" s="1"/>
  <c r="O24" i="125"/>
  <c r="O36" i="125"/>
  <c r="M191" i="123"/>
  <c r="M194" i="123"/>
  <c r="F88" i="120"/>
  <c r="C4" i="128"/>
  <c r="M142" i="125"/>
  <c r="M143" i="125" s="1"/>
  <c r="M145" i="125" s="1"/>
  <c r="M167" i="125"/>
  <c r="M168" i="125" s="1"/>
  <c r="M169" i="125" s="1"/>
  <c r="M171" i="125" s="1"/>
  <c r="M172" i="125" s="1"/>
  <c r="M175" i="125" s="1"/>
  <c r="O87" i="127"/>
  <c r="O173" i="127"/>
  <c r="O35" i="127"/>
  <c r="O190" i="126"/>
  <c r="O148" i="126"/>
  <c r="O152" i="126"/>
  <c r="O86" i="126"/>
  <c r="O31" i="126"/>
  <c r="O34" i="126"/>
  <c r="N91" i="125"/>
  <c r="O99" i="125"/>
  <c r="O98" i="125"/>
  <c r="O50" i="124"/>
  <c r="O95" i="124" s="1"/>
  <c r="O151" i="124" s="1"/>
  <c r="O51" i="124"/>
  <c r="O88" i="123"/>
  <c r="AM88" i="123" s="1"/>
  <c r="O24" i="123"/>
  <c r="O36" i="123"/>
  <c r="O47" i="125"/>
  <c r="O93" i="125" s="1"/>
  <c r="O48" i="125"/>
  <c r="O94" i="125" s="1"/>
  <c r="H88" i="120"/>
  <c r="E4" i="128"/>
  <c r="O99" i="123"/>
  <c r="O98" i="123"/>
  <c r="N85" i="125"/>
  <c r="N132" i="127"/>
  <c r="N126" i="127"/>
  <c r="O148" i="127"/>
  <c r="O86" i="127"/>
  <c r="O152" i="127"/>
  <c r="O190" i="127"/>
  <c r="O34" i="127"/>
  <c r="O173" i="126"/>
  <c r="O87" i="126"/>
  <c r="O35" i="126"/>
  <c r="N106" i="126"/>
  <c r="L191" i="123"/>
  <c r="L194" i="123"/>
  <c r="O24" i="124"/>
  <c r="O88" i="124"/>
  <c r="AM88" i="124" s="1"/>
  <c r="O36" i="124"/>
  <c r="O48" i="126"/>
  <c r="O94" i="126" s="1"/>
  <c r="O47" i="126"/>
  <c r="O93" i="126" s="1"/>
  <c r="E88" i="120"/>
  <c r="B4" i="128"/>
  <c r="M191" i="124"/>
  <c r="M194" i="124"/>
  <c r="O47" i="127"/>
  <c r="O93" i="127" s="1"/>
  <c r="O48" i="127"/>
  <c r="O94" i="127" s="1"/>
  <c r="M194" i="126"/>
  <c r="M191" i="126"/>
  <c r="N201" i="127"/>
  <c r="N102" i="126"/>
  <c r="N105" i="126" s="1"/>
  <c r="L167" i="123"/>
  <c r="L168" i="123" s="1"/>
  <c r="L169" i="123" s="1"/>
  <c r="L171" i="123" s="1"/>
  <c r="L172" i="123" s="1"/>
  <c r="L175" i="123" s="1"/>
  <c r="L142" i="123"/>
  <c r="L143" i="123" s="1"/>
  <c r="L145" i="123" s="1"/>
  <c r="O48" i="124"/>
  <c r="O94" i="124" s="1"/>
  <c r="O47" i="124"/>
  <c r="O93" i="124" s="1"/>
  <c r="L153" i="118"/>
  <c r="L152" i="118"/>
  <c r="M153" i="118"/>
  <c r="M152" i="118"/>
  <c r="E89" i="120"/>
  <c r="F43" i="120"/>
  <c r="P52" i="118"/>
  <c r="P53" i="118" s="1"/>
  <c r="P99" i="118" s="1"/>
  <c r="P39" i="118"/>
  <c r="H101" i="120" s="1"/>
  <c r="H41" i="120"/>
  <c r="G153" i="120"/>
  <c r="O43" i="118"/>
  <c r="G105" i="120" s="1"/>
  <c r="O42" i="118"/>
  <c r="G104" i="120" s="1"/>
  <c r="O29" i="118"/>
  <c r="I80" i="120"/>
  <c r="I132" i="120"/>
  <c r="I141" i="120"/>
  <c r="I165" i="120"/>
  <c r="I150" i="120"/>
  <c r="M141" i="114"/>
  <c r="N158" i="118"/>
  <c r="F25" i="120"/>
  <c r="F27" i="120" s="1"/>
  <c r="G121" i="120"/>
  <c r="P33" i="114"/>
  <c r="J84" i="120"/>
  <c r="AA86" i="120"/>
  <c r="N141" i="114"/>
  <c r="P32" i="114"/>
  <c r="J83" i="120"/>
  <c r="O95" i="118"/>
  <c r="G97" i="120"/>
  <c r="O94" i="118"/>
  <c r="G96" i="120"/>
  <c r="L141" i="114"/>
  <c r="O93" i="118"/>
  <c r="G95" i="120"/>
  <c r="N97" i="114"/>
  <c r="P35" i="118"/>
  <c r="P61" i="118"/>
  <c r="P65" i="118" s="1"/>
  <c r="P55" i="118"/>
  <c r="P57" i="118" s="1"/>
  <c r="Q57" i="118" s="1"/>
  <c r="R57" i="118" s="1"/>
  <c r="S57" i="118" s="1"/>
  <c r="T57" i="118" s="1"/>
  <c r="U57" i="118" s="1"/>
  <c r="V57" i="118" s="1"/>
  <c r="W57" i="118" s="1"/>
  <c r="X57" i="118" s="1"/>
  <c r="Y57" i="118" s="1"/>
  <c r="Z57" i="118" s="1"/>
  <c r="AA57" i="118" s="1"/>
  <c r="AB57" i="118" s="1"/>
  <c r="AC57" i="118" s="1"/>
  <c r="AD57" i="118" s="1"/>
  <c r="AE57" i="118" s="1"/>
  <c r="AF57" i="118" s="1"/>
  <c r="AG57" i="118" s="1"/>
  <c r="AH57" i="118" s="1"/>
  <c r="AI57" i="118" s="1"/>
  <c r="AJ57" i="118" s="1"/>
  <c r="AK57" i="118" s="1"/>
  <c r="AL57" i="118" s="1"/>
  <c r="P58" i="118"/>
  <c r="N98" i="118"/>
  <c r="Q31" i="118"/>
  <c r="N131" i="118"/>
  <c r="O179" i="118"/>
  <c r="O57" i="118"/>
  <c r="O56" i="118"/>
  <c r="O104" i="118"/>
  <c r="O105" i="118"/>
  <c r="N190" i="114"/>
  <c r="O54" i="118"/>
  <c r="O100" i="118" s="1"/>
  <c r="O53" i="118"/>
  <c r="O99" i="118" s="1"/>
  <c r="AJ15" i="114"/>
  <c r="AJ16" i="114" s="1"/>
  <c r="P46" i="114"/>
  <c r="Q46" i="114" s="1"/>
  <c r="R46" i="114" s="1"/>
  <c r="S46" i="114" s="1"/>
  <c r="T46" i="114" s="1"/>
  <c r="U46" i="114" s="1"/>
  <c r="V46" i="114" s="1"/>
  <c r="W46" i="114" s="1"/>
  <c r="X46" i="114" s="1"/>
  <c r="Y46" i="114" s="1"/>
  <c r="Z46" i="114" s="1"/>
  <c r="AA46" i="114" s="1"/>
  <c r="AB46" i="114" s="1"/>
  <c r="AC46" i="114" s="1"/>
  <c r="AD46" i="114" s="1"/>
  <c r="AE46" i="114" s="1"/>
  <c r="AF46" i="114" s="1"/>
  <c r="AG46" i="114" s="1"/>
  <c r="AH46" i="114" s="1"/>
  <c r="AI46" i="114" s="1"/>
  <c r="AJ46" i="114" s="1"/>
  <c r="AK46" i="114" s="1"/>
  <c r="AL46" i="114" s="1"/>
  <c r="P45" i="114"/>
  <c r="P86" i="114" s="1"/>
  <c r="P140" i="114" s="1"/>
  <c r="P90" i="114"/>
  <c r="P89" i="114"/>
  <c r="N91" i="114"/>
  <c r="N94" i="114" s="1"/>
  <c r="N95" i="114"/>
  <c r="O88" i="114"/>
  <c r="G162" i="120" s="1"/>
  <c r="P42" i="114"/>
  <c r="P84" i="114" s="1"/>
  <c r="P139" i="114" s="1"/>
  <c r="P43" i="114"/>
  <c r="P85" i="114" s="1"/>
  <c r="Q41" i="114"/>
  <c r="Q47" i="114"/>
  <c r="Q50" i="114"/>
  <c r="Q52" i="114" s="1"/>
  <c r="Q44" i="114"/>
  <c r="Q27" i="114"/>
  <c r="Q29" i="114"/>
  <c r="Q26" i="114"/>
  <c r="O83" i="114"/>
  <c r="R61" i="114"/>
  <c r="R60" i="114"/>
  <c r="R23" i="114"/>
  <c r="L10" i="114"/>
  <c r="L11" i="114"/>
  <c r="L31" i="114" s="1"/>
  <c r="M4" i="114"/>
  <c r="I133" i="120" l="1"/>
  <c r="I136" i="120" s="1"/>
  <c r="I137" i="120" s="1"/>
  <c r="R199" i="118"/>
  <c r="R73" i="118"/>
  <c r="R74" i="118"/>
  <c r="R194" i="118"/>
  <c r="S22" i="114"/>
  <c r="S28" i="114" s="1"/>
  <c r="S57" i="114"/>
  <c r="S23" i="114"/>
  <c r="S71" i="118"/>
  <c r="AA115" i="120"/>
  <c r="AJ18" i="118"/>
  <c r="AB134" i="120" s="1"/>
  <c r="N91" i="118"/>
  <c r="N109" i="118" s="1"/>
  <c r="N114" i="118" s="1"/>
  <c r="F60" i="120"/>
  <c r="F39" i="120"/>
  <c r="N106" i="124"/>
  <c r="N102" i="124"/>
  <c r="N105" i="124" s="1"/>
  <c r="P43" i="118"/>
  <c r="H105" i="120" s="1"/>
  <c r="H109" i="120"/>
  <c r="P105" i="118"/>
  <c r="P66" i="118"/>
  <c r="O97" i="123"/>
  <c r="L148" i="127"/>
  <c r="L195" i="127" s="1"/>
  <c r="L196" i="127" s="1"/>
  <c r="L202" i="127" s="1"/>
  <c r="L19" i="114"/>
  <c r="L107" i="114" s="1"/>
  <c r="O97" i="127"/>
  <c r="P54" i="118"/>
  <c r="P100" i="118" s="1"/>
  <c r="O97" i="125"/>
  <c r="O22" i="127"/>
  <c r="O118" i="127" s="1"/>
  <c r="O125" i="127" s="1"/>
  <c r="M148" i="127"/>
  <c r="M195" i="127" s="1"/>
  <c r="M196" i="127" s="1"/>
  <c r="L177" i="114"/>
  <c r="L62" i="114"/>
  <c r="S182" i="114"/>
  <c r="L197" i="127"/>
  <c r="P99" i="125"/>
  <c r="P98" i="125"/>
  <c r="O194" i="125"/>
  <c r="O191" i="125"/>
  <c r="N126" i="126"/>
  <c r="N132" i="126"/>
  <c r="N102" i="125"/>
  <c r="N105" i="125" s="1"/>
  <c r="N103" i="125"/>
  <c r="N201" i="125"/>
  <c r="P148" i="126"/>
  <c r="P152" i="126"/>
  <c r="P86" i="126"/>
  <c r="P190" i="126"/>
  <c r="P31" i="126"/>
  <c r="P34" i="126"/>
  <c r="O194" i="126"/>
  <c r="O191" i="126"/>
  <c r="O97" i="126"/>
  <c r="Q55" i="123"/>
  <c r="Q59" i="123" s="1"/>
  <c r="Q49" i="123"/>
  <c r="Q52" i="123"/>
  <c r="Q24" i="123"/>
  <c r="Q46" i="123"/>
  <c r="Q30" i="123"/>
  <c r="Q33" i="123"/>
  <c r="P99" i="124"/>
  <c r="P98" i="124"/>
  <c r="P48" i="126"/>
  <c r="P94" i="126" s="1"/>
  <c r="P47" i="126"/>
  <c r="P93" i="126" s="1"/>
  <c r="P47" i="125"/>
  <c r="P93" i="125" s="1"/>
  <c r="P48" i="125"/>
  <c r="P94" i="125" s="1"/>
  <c r="P50" i="124"/>
  <c r="P51" i="124"/>
  <c r="Q51" i="124" s="1"/>
  <c r="R51" i="124" s="1"/>
  <c r="S51" i="124" s="1"/>
  <c r="T51" i="124" s="1"/>
  <c r="U51" i="124" s="1"/>
  <c r="V51" i="124" s="1"/>
  <c r="W51" i="124" s="1"/>
  <c r="X51" i="124" s="1"/>
  <c r="Y51" i="124" s="1"/>
  <c r="Z51" i="124" s="1"/>
  <c r="AA51" i="124" s="1"/>
  <c r="AB51" i="124" s="1"/>
  <c r="AC51" i="124" s="1"/>
  <c r="AD51" i="124" s="1"/>
  <c r="AE51" i="124" s="1"/>
  <c r="AF51" i="124" s="1"/>
  <c r="AG51" i="124" s="1"/>
  <c r="AH51" i="124" s="1"/>
  <c r="AI51" i="124" s="1"/>
  <c r="AJ51" i="124" s="1"/>
  <c r="AK51" i="124" s="1"/>
  <c r="AL51" i="124" s="1"/>
  <c r="O191" i="127"/>
  <c r="O194" i="127"/>
  <c r="L147" i="125"/>
  <c r="L146" i="125"/>
  <c r="Q24" i="124"/>
  <c r="Q52" i="124"/>
  <c r="Q46" i="124"/>
  <c r="Q55" i="124"/>
  <c r="Q59" i="124" s="1"/>
  <c r="Q49" i="124"/>
  <c r="Q30" i="124"/>
  <c r="Q33" i="124"/>
  <c r="P48" i="124"/>
  <c r="P94" i="124" s="1"/>
  <c r="P47" i="124"/>
  <c r="P93" i="124" s="1"/>
  <c r="P50" i="125"/>
  <c r="P51" i="125"/>
  <c r="Q51" i="125" s="1"/>
  <c r="R51" i="125" s="1"/>
  <c r="S51" i="125" s="1"/>
  <c r="T51" i="125" s="1"/>
  <c r="U51" i="125" s="1"/>
  <c r="V51" i="125" s="1"/>
  <c r="W51" i="125" s="1"/>
  <c r="X51" i="125" s="1"/>
  <c r="Y51" i="125" s="1"/>
  <c r="Z51" i="125" s="1"/>
  <c r="AA51" i="125" s="1"/>
  <c r="AB51" i="125" s="1"/>
  <c r="AC51" i="125" s="1"/>
  <c r="AD51" i="125" s="1"/>
  <c r="AE51" i="125" s="1"/>
  <c r="AF51" i="125" s="1"/>
  <c r="AG51" i="125" s="1"/>
  <c r="AH51" i="125" s="1"/>
  <c r="AI51" i="125" s="1"/>
  <c r="AJ51" i="125" s="1"/>
  <c r="AK51" i="125" s="1"/>
  <c r="AL51" i="125" s="1"/>
  <c r="M146" i="123"/>
  <c r="M147" i="123"/>
  <c r="D12" i="128"/>
  <c r="N132" i="125"/>
  <c r="N126" i="125"/>
  <c r="O92" i="124"/>
  <c r="O150" i="124"/>
  <c r="Q24" i="125"/>
  <c r="Q55" i="125"/>
  <c r="Q59" i="125" s="1"/>
  <c r="Q46" i="125"/>
  <c r="Q52" i="125"/>
  <c r="Q49" i="125"/>
  <c r="Q33" i="125"/>
  <c r="N108" i="123"/>
  <c r="P89" i="126"/>
  <c r="P37" i="126"/>
  <c r="M197" i="127"/>
  <c r="M202" i="127"/>
  <c r="N108" i="124"/>
  <c r="O85" i="127"/>
  <c r="O91" i="127"/>
  <c r="P51" i="127"/>
  <c r="Q51" i="127" s="1"/>
  <c r="R51" i="127" s="1"/>
  <c r="S51" i="127" s="1"/>
  <c r="T51" i="127" s="1"/>
  <c r="U51" i="127" s="1"/>
  <c r="V51" i="127" s="1"/>
  <c r="W51" i="127" s="1"/>
  <c r="X51" i="127" s="1"/>
  <c r="Y51" i="127" s="1"/>
  <c r="Z51" i="127" s="1"/>
  <c r="AA51" i="127" s="1"/>
  <c r="AB51" i="127" s="1"/>
  <c r="AC51" i="127" s="1"/>
  <c r="AD51" i="127" s="1"/>
  <c r="AE51" i="127" s="1"/>
  <c r="AF51" i="127" s="1"/>
  <c r="AG51" i="127" s="1"/>
  <c r="AH51" i="127" s="1"/>
  <c r="AI51" i="127" s="1"/>
  <c r="AJ51" i="127" s="1"/>
  <c r="AK51" i="127" s="1"/>
  <c r="AL51" i="127" s="1"/>
  <c r="P50" i="127"/>
  <c r="L146" i="126"/>
  <c r="L147" i="126"/>
  <c r="Q24" i="126"/>
  <c r="Q30" i="126"/>
  <c r="Q55" i="126"/>
  <c r="Q59" i="126" s="1"/>
  <c r="Q49" i="126"/>
  <c r="Q52" i="126"/>
  <c r="Q46" i="126"/>
  <c r="Q33" i="126"/>
  <c r="P50" i="126"/>
  <c r="P51" i="126"/>
  <c r="Q51" i="126" s="1"/>
  <c r="R51" i="126" s="1"/>
  <c r="S51" i="126" s="1"/>
  <c r="T51" i="126" s="1"/>
  <c r="U51" i="126" s="1"/>
  <c r="V51" i="126" s="1"/>
  <c r="W51" i="126" s="1"/>
  <c r="X51" i="126" s="1"/>
  <c r="Y51" i="126" s="1"/>
  <c r="Z51" i="126" s="1"/>
  <c r="AA51" i="126" s="1"/>
  <c r="AB51" i="126" s="1"/>
  <c r="AC51" i="126" s="1"/>
  <c r="AD51" i="126" s="1"/>
  <c r="AE51" i="126" s="1"/>
  <c r="AF51" i="126" s="1"/>
  <c r="AG51" i="126" s="1"/>
  <c r="AH51" i="126" s="1"/>
  <c r="AI51" i="126" s="1"/>
  <c r="AJ51" i="126" s="1"/>
  <c r="AK51" i="126" s="1"/>
  <c r="AL51" i="126" s="1"/>
  <c r="L147" i="124"/>
  <c r="L146" i="124"/>
  <c r="O90" i="125"/>
  <c r="AM90" i="125" s="1"/>
  <c r="O38" i="125"/>
  <c r="O22" i="125" s="1"/>
  <c r="O118" i="125" s="1"/>
  <c r="P47" i="123"/>
  <c r="P93" i="123" s="1"/>
  <c r="P48" i="123"/>
  <c r="P94" i="123" s="1"/>
  <c r="P98" i="123"/>
  <c r="P99" i="123"/>
  <c r="P98" i="127"/>
  <c r="P99" i="127"/>
  <c r="B12" i="128"/>
  <c r="B6" i="128"/>
  <c r="B5" i="128"/>
  <c r="O92" i="125"/>
  <c r="O150" i="125"/>
  <c r="O90" i="126"/>
  <c r="O91" i="126" s="1"/>
  <c r="O38" i="126"/>
  <c r="O22" i="126" s="1"/>
  <c r="O118" i="126" s="1"/>
  <c r="O25" i="126"/>
  <c r="P47" i="127"/>
  <c r="P93" i="127" s="1"/>
  <c r="P48" i="127"/>
  <c r="P94" i="127" s="1"/>
  <c r="Q24" i="127"/>
  <c r="Q49" i="127"/>
  <c r="Q52" i="127"/>
  <c r="Q46" i="127"/>
  <c r="Q55" i="127"/>
  <c r="Q59" i="127" s="1"/>
  <c r="Q33" i="127"/>
  <c r="P50" i="123"/>
  <c r="P51" i="123"/>
  <c r="Q51" i="123" s="1"/>
  <c r="R51" i="123" s="1"/>
  <c r="S51" i="123" s="1"/>
  <c r="T51" i="123" s="1"/>
  <c r="U51" i="123" s="1"/>
  <c r="V51" i="123" s="1"/>
  <c r="W51" i="123" s="1"/>
  <c r="X51" i="123" s="1"/>
  <c r="Y51" i="123" s="1"/>
  <c r="Z51" i="123" s="1"/>
  <c r="AA51" i="123" s="1"/>
  <c r="AB51" i="123" s="1"/>
  <c r="AC51" i="123" s="1"/>
  <c r="AD51" i="123" s="1"/>
  <c r="AE51" i="123" s="1"/>
  <c r="AF51" i="123" s="1"/>
  <c r="AG51" i="123" s="1"/>
  <c r="AH51" i="123" s="1"/>
  <c r="AI51" i="123" s="1"/>
  <c r="AJ51" i="123" s="1"/>
  <c r="AK51" i="123" s="1"/>
  <c r="AL51" i="123" s="1"/>
  <c r="O97" i="124"/>
  <c r="N106" i="125"/>
  <c r="R26" i="127"/>
  <c r="R26" i="126"/>
  <c r="R26" i="125"/>
  <c r="R26" i="124"/>
  <c r="R26" i="123"/>
  <c r="L147" i="123"/>
  <c r="L146" i="123"/>
  <c r="O92" i="127"/>
  <c r="O150" i="127"/>
  <c r="M146" i="125"/>
  <c r="M147" i="125"/>
  <c r="G174" i="120"/>
  <c r="P89" i="124"/>
  <c r="P37" i="124"/>
  <c r="M146" i="124"/>
  <c r="M147" i="124"/>
  <c r="N126" i="123"/>
  <c r="N132" i="123"/>
  <c r="I158" i="120"/>
  <c r="I160" i="120" s="1"/>
  <c r="I161" i="120" s="1"/>
  <c r="I170" i="120"/>
  <c r="I172" i="120" s="1"/>
  <c r="I173" i="120" s="1"/>
  <c r="E12" i="128"/>
  <c r="I88" i="120"/>
  <c r="F4" i="128"/>
  <c r="O150" i="126"/>
  <c r="O92" i="126"/>
  <c r="N133" i="127"/>
  <c r="N135" i="127" s="1"/>
  <c r="N189" i="127" s="1"/>
  <c r="N190" i="127" s="1"/>
  <c r="N141" i="127"/>
  <c r="C6" i="128"/>
  <c r="C12" i="128"/>
  <c r="C5" i="128"/>
  <c r="P99" i="126"/>
  <c r="P98" i="126"/>
  <c r="M147" i="126"/>
  <c r="M146" i="126"/>
  <c r="P89" i="123"/>
  <c r="P37" i="123"/>
  <c r="O150" i="123"/>
  <c r="O92" i="123"/>
  <c r="N132" i="124"/>
  <c r="N126" i="124"/>
  <c r="M154" i="118"/>
  <c r="M201" i="118" s="1"/>
  <c r="M202" i="118" s="1"/>
  <c r="M203" i="118" s="1"/>
  <c r="K66" i="120" s="1"/>
  <c r="L154" i="118"/>
  <c r="L201" i="118" s="1"/>
  <c r="L202" i="118" s="1"/>
  <c r="L203" i="118" s="1"/>
  <c r="G40" i="120"/>
  <c r="Q39" i="118"/>
  <c r="I101" i="120" s="1"/>
  <c r="Q29" i="118"/>
  <c r="I41" i="120"/>
  <c r="G59" i="120"/>
  <c r="G42" i="120"/>
  <c r="P104" i="118"/>
  <c r="G58" i="120"/>
  <c r="G41" i="120"/>
  <c r="AM94" i="118"/>
  <c r="H97" i="120"/>
  <c r="H153" i="120"/>
  <c r="J80" i="120"/>
  <c r="J165" i="120"/>
  <c r="J141" i="120"/>
  <c r="J132" i="120"/>
  <c r="J150" i="120"/>
  <c r="P95" i="118"/>
  <c r="AB86" i="120"/>
  <c r="Q32" i="114"/>
  <c r="K83" i="120"/>
  <c r="Q58" i="118"/>
  <c r="G57" i="120"/>
  <c r="Q33" i="114"/>
  <c r="K84" i="120"/>
  <c r="G25" i="120"/>
  <c r="Q61" i="118"/>
  <c r="Q65" i="118" s="1"/>
  <c r="P56" i="118"/>
  <c r="P101" i="118" s="1"/>
  <c r="R31" i="118"/>
  <c r="Q55" i="118"/>
  <c r="Q52" i="118"/>
  <c r="Q54" i="118" s="1"/>
  <c r="Q100" i="118" s="1"/>
  <c r="O103" i="118"/>
  <c r="G38" i="120" s="1"/>
  <c r="Q35" i="118"/>
  <c r="I109" i="120" s="1"/>
  <c r="L114" i="114"/>
  <c r="L108" i="114"/>
  <c r="N138" i="118"/>
  <c r="N132" i="118"/>
  <c r="O101" i="118"/>
  <c r="O98" i="118" s="1"/>
  <c r="P156" i="118"/>
  <c r="O156" i="118"/>
  <c r="AK15" i="114"/>
  <c r="AK16" i="114" s="1"/>
  <c r="Q89" i="114"/>
  <c r="Q90" i="114"/>
  <c r="P83" i="114"/>
  <c r="P88" i="114"/>
  <c r="H174" i="120" s="1"/>
  <c r="R44" i="114"/>
  <c r="R27" i="114"/>
  <c r="R41" i="114"/>
  <c r="R26" i="114"/>
  <c r="R29" i="114"/>
  <c r="R50" i="114"/>
  <c r="R52" i="114" s="1"/>
  <c r="R47" i="114"/>
  <c r="T58" i="114"/>
  <c r="S61" i="114"/>
  <c r="S60" i="114"/>
  <c r="Q43" i="114"/>
  <c r="Q85" i="114" s="1"/>
  <c r="Q42" i="114"/>
  <c r="Q84" i="114" s="1"/>
  <c r="Q139" i="114" s="1"/>
  <c r="M5" i="114"/>
  <c r="J133" i="120" l="1"/>
  <c r="J136" i="120" s="1"/>
  <c r="J137" i="120" s="1"/>
  <c r="S73" i="118"/>
  <c r="S74" i="118"/>
  <c r="S199" i="118"/>
  <c r="S194" i="118"/>
  <c r="T71" i="118"/>
  <c r="T74" i="118" s="1"/>
  <c r="T22" i="114"/>
  <c r="T28" i="114" s="1"/>
  <c r="AK18" i="118"/>
  <c r="AC134" i="120" s="1"/>
  <c r="AB115" i="120"/>
  <c r="P103" i="118"/>
  <c r="H38" i="120" s="1"/>
  <c r="O119" i="127"/>
  <c r="Q104" i="118"/>
  <c r="Q66" i="118"/>
  <c r="P97" i="124"/>
  <c r="L148" i="124"/>
  <c r="L195" i="124" s="1"/>
  <c r="L196" i="124" s="1"/>
  <c r="L202" i="124" s="1"/>
  <c r="P98" i="118"/>
  <c r="P97" i="126"/>
  <c r="P97" i="125"/>
  <c r="O102" i="127"/>
  <c r="O105" i="127" s="1"/>
  <c r="L148" i="126"/>
  <c r="L195" i="126" s="1"/>
  <c r="L196" i="126" s="1"/>
  <c r="L148" i="123"/>
  <c r="L195" i="123" s="1"/>
  <c r="L196" i="123" s="1"/>
  <c r="L202" i="123" s="1"/>
  <c r="P97" i="123"/>
  <c r="T182" i="114"/>
  <c r="O119" i="125"/>
  <c r="O125" i="125"/>
  <c r="R55" i="127"/>
  <c r="R59" i="127" s="1"/>
  <c r="R52" i="127"/>
  <c r="R46" i="127"/>
  <c r="R24" i="127"/>
  <c r="R49" i="127"/>
  <c r="R33" i="127"/>
  <c r="P95" i="126"/>
  <c r="P151" i="126" s="1"/>
  <c r="Q50" i="126"/>
  <c r="N141" i="123"/>
  <c r="N133" i="123"/>
  <c r="N135" i="123" s="1"/>
  <c r="N189" i="123" s="1"/>
  <c r="N190" i="123" s="1"/>
  <c r="Q98" i="127"/>
  <c r="Q99" i="127"/>
  <c r="Q50" i="127"/>
  <c r="P95" i="127"/>
  <c r="P151" i="127" s="1"/>
  <c r="Q47" i="125"/>
  <c r="Q93" i="125" s="1"/>
  <c r="Q48" i="125"/>
  <c r="Q94" i="125" s="1"/>
  <c r="Q98" i="124"/>
  <c r="Q99" i="124"/>
  <c r="B14" i="128"/>
  <c r="B13" i="128"/>
  <c r="B20" i="128"/>
  <c r="F12" i="128"/>
  <c r="N142" i="127"/>
  <c r="N143" i="127" s="1"/>
  <c r="N145" i="127" s="1"/>
  <c r="N167" i="127"/>
  <c r="N168" i="127" s="1"/>
  <c r="N169" i="127" s="1"/>
  <c r="N171" i="127" s="1"/>
  <c r="N172" i="127" s="1"/>
  <c r="N175" i="127" s="1"/>
  <c r="M148" i="125"/>
  <c r="M195" i="125" s="1"/>
  <c r="M196" i="125" s="1"/>
  <c r="Q48" i="127"/>
  <c r="Q94" i="127" s="1"/>
  <c r="Q47" i="127"/>
  <c r="Q93" i="127" s="1"/>
  <c r="O125" i="126"/>
  <c r="O119" i="126"/>
  <c r="P97" i="127"/>
  <c r="P150" i="123"/>
  <c r="Q99" i="126"/>
  <c r="Q98" i="126"/>
  <c r="Q99" i="125"/>
  <c r="Q98" i="125"/>
  <c r="P95" i="125"/>
  <c r="P151" i="125" s="1"/>
  <c r="Q50" i="125"/>
  <c r="Q48" i="124"/>
  <c r="Q94" i="124" s="1"/>
  <c r="Q47" i="124"/>
  <c r="Q93" i="124" s="1"/>
  <c r="Q99" i="123"/>
  <c r="Q98" i="123"/>
  <c r="P90" i="126"/>
  <c r="P38" i="126"/>
  <c r="N108" i="125"/>
  <c r="N141" i="124"/>
  <c r="N133" i="124"/>
  <c r="N135" i="124" s="1"/>
  <c r="N189" i="124" s="1"/>
  <c r="N190" i="124" s="1"/>
  <c r="M148" i="126"/>
  <c r="M195" i="126" s="1"/>
  <c r="M196" i="126" s="1"/>
  <c r="N191" i="127"/>
  <c r="N194" i="127"/>
  <c r="R52" i="123"/>
  <c r="R55" i="123"/>
  <c r="R59" i="123" s="1"/>
  <c r="R46" i="123"/>
  <c r="R24" i="123"/>
  <c r="R49" i="123"/>
  <c r="R30" i="123"/>
  <c r="R33" i="123"/>
  <c r="O85" i="126"/>
  <c r="O106" i="126" s="1"/>
  <c r="Q89" i="126"/>
  <c r="Q37" i="126"/>
  <c r="D20" i="128"/>
  <c r="P150" i="126"/>
  <c r="Q89" i="123"/>
  <c r="Q37" i="123"/>
  <c r="P194" i="126"/>
  <c r="P191" i="126"/>
  <c r="L203" i="127"/>
  <c r="L204" i="127"/>
  <c r="J158" i="120"/>
  <c r="J160" i="120" s="1"/>
  <c r="J161" i="120" s="1"/>
  <c r="J170" i="120"/>
  <c r="J172" i="120" s="1"/>
  <c r="J173" i="120" s="1"/>
  <c r="R46" i="124"/>
  <c r="R30" i="124"/>
  <c r="R55" i="124"/>
  <c r="R59" i="124" s="1"/>
  <c r="R24" i="124"/>
  <c r="R52" i="124"/>
  <c r="R49" i="124"/>
  <c r="R33" i="124"/>
  <c r="H162" i="120"/>
  <c r="O91" i="125"/>
  <c r="Q48" i="123"/>
  <c r="Q94" i="123" s="1"/>
  <c r="Q47" i="123"/>
  <c r="Q93" i="123" s="1"/>
  <c r="N141" i="126"/>
  <c r="N133" i="126"/>
  <c r="N135" i="126" s="1"/>
  <c r="N189" i="126" s="1"/>
  <c r="N190" i="126" s="1"/>
  <c r="P150" i="127"/>
  <c r="P92" i="127"/>
  <c r="C14" i="128"/>
  <c r="C20" i="128"/>
  <c r="C13" i="128"/>
  <c r="E20" i="128"/>
  <c r="R24" i="125"/>
  <c r="R46" i="125"/>
  <c r="R55" i="125"/>
  <c r="R59" i="125" s="1"/>
  <c r="R49" i="125"/>
  <c r="R52" i="125"/>
  <c r="R33" i="125"/>
  <c r="M204" i="127"/>
  <c r="M203" i="127"/>
  <c r="O106" i="127"/>
  <c r="L197" i="126"/>
  <c r="L202" i="126"/>
  <c r="N133" i="125"/>
  <c r="N135" i="125" s="1"/>
  <c r="N189" i="125" s="1"/>
  <c r="N190" i="125" s="1"/>
  <c r="N141" i="125"/>
  <c r="P150" i="125"/>
  <c r="P92" i="125"/>
  <c r="J88" i="120"/>
  <c r="G4" i="128"/>
  <c r="AC86" i="120"/>
  <c r="S26" i="127"/>
  <c r="S26" i="126"/>
  <c r="S26" i="125"/>
  <c r="S26" i="124"/>
  <c r="S26" i="123"/>
  <c r="M148" i="124"/>
  <c r="M195" i="124" s="1"/>
  <c r="M196" i="124" s="1"/>
  <c r="R52" i="126"/>
  <c r="R30" i="126"/>
  <c r="R46" i="126"/>
  <c r="R24" i="126"/>
  <c r="R55" i="126"/>
  <c r="R59" i="126" s="1"/>
  <c r="R49" i="126"/>
  <c r="R33" i="126"/>
  <c r="P95" i="123"/>
  <c r="P151" i="123" s="1"/>
  <c r="Q50" i="123"/>
  <c r="Q48" i="126"/>
  <c r="Q94" i="126" s="1"/>
  <c r="Q47" i="126"/>
  <c r="Q93" i="126" s="1"/>
  <c r="O103" i="127"/>
  <c r="O108" i="127" s="1"/>
  <c r="O201" i="127"/>
  <c r="P95" i="124"/>
  <c r="P151" i="124" s="1"/>
  <c r="Q50" i="124"/>
  <c r="O85" i="125"/>
  <c r="M148" i="123"/>
  <c r="M195" i="123" s="1"/>
  <c r="M196" i="123" s="1"/>
  <c r="P150" i="124"/>
  <c r="Q89" i="124"/>
  <c r="Q37" i="124"/>
  <c r="L148" i="125"/>
  <c r="L195" i="125" s="1"/>
  <c r="L196" i="125" s="1"/>
  <c r="O132" i="127"/>
  <c r="O126" i="127"/>
  <c r="R39" i="118"/>
  <c r="J101" i="120" s="1"/>
  <c r="R29" i="118"/>
  <c r="J41" i="120"/>
  <c r="H59" i="120"/>
  <c r="H42" i="120"/>
  <c r="I153" i="120"/>
  <c r="Q43" i="118"/>
  <c r="I105" i="120" s="1"/>
  <c r="K80" i="120"/>
  <c r="K165" i="120"/>
  <c r="K150" i="120"/>
  <c r="K141" i="120"/>
  <c r="K132" i="120"/>
  <c r="Q95" i="118"/>
  <c r="I97" i="120"/>
  <c r="H25" i="120"/>
  <c r="H121" i="120"/>
  <c r="R32" i="114"/>
  <c r="L83" i="120"/>
  <c r="R33" i="114"/>
  <c r="L84" i="120"/>
  <c r="R61" i="118"/>
  <c r="R65" i="118" s="1"/>
  <c r="Q56" i="118"/>
  <c r="Q101" i="118" s="1"/>
  <c r="Q157" i="118" s="1"/>
  <c r="P157" i="118"/>
  <c r="Q105" i="118"/>
  <c r="Q103" i="118" s="1"/>
  <c r="I38" i="120" s="1"/>
  <c r="Q53" i="118"/>
  <c r="Q99" i="118" s="1"/>
  <c r="Q156" i="118" s="1"/>
  <c r="R58" i="118"/>
  <c r="R55" i="118"/>
  <c r="AL15" i="114"/>
  <c r="AL16" i="114" s="1"/>
  <c r="S31" i="118"/>
  <c r="R52" i="118"/>
  <c r="R54" i="118" s="1"/>
  <c r="R100" i="118" s="1"/>
  <c r="L121" i="114"/>
  <c r="L115" i="114"/>
  <c r="N139" i="118"/>
  <c r="N141" i="118" s="1"/>
  <c r="N195" i="118" s="1"/>
  <c r="N196" i="118" s="1"/>
  <c r="N147" i="118"/>
  <c r="O157" i="118"/>
  <c r="Q88" i="114"/>
  <c r="I162" i="120" s="1"/>
  <c r="R89" i="114"/>
  <c r="R90" i="114"/>
  <c r="S29" i="114"/>
  <c r="S41" i="114"/>
  <c r="S26" i="114"/>
  <c r="S47" i="114"/>
  <c r="S50" i="114"/>
  <c r="S52" i="114" s="1"/>
  <c r="S44" i="114"/>
  <c r="S27" i="114"/>
  <c r="R42" i="114"/>
  <c r="R84" i="114" s="1"/>
  <c r="R139" i="114" s="1"/>
  <c r="R43" i="114"/>
  <c r="R85" i="114" s="1"/>
  <c r="U58" i="114"/>
  <c r="T60" i="114"/>
  <c r="T61" i="114"/>
  <c r="T23" i="114"/>
  <c r="M11" i="114"/>
  <c r="N4" i="114"/>
  <c r="M10" i="114"/>
  <c r="K133" i="120" l="1"/>
  <c r="T73" i="118"/>
  <c r="T199" i="118"/>
  <c r="I121" i="120"/>
  <c r="T194" i="118"/>
  <c r="U71" i="118"/>
  <c r="U73" i="118" s="1"/>
  <c r="U22" i="114"/>
  <c r="U28" i="114" s="1"/>
  <c r="AL18" i="118"/>
  <c r="AD134" i="120" s="1"/>
  <c r="AC115" i="120"/>
  <c r="L197" i="124"/>
  <c r="R104" i="118"/>
  <c r="R66" i="118"/>
  <c r="L197" i="123"/>
  <c r="M62" i="114"/>
  <c r="M31" i="114"/>
  <c r="P92" i="126"/>
  <c r="U182" i="114"/>
  <c r="I174" i="120"/>
  <c r="K88" i="120"/>
  <c r="H4" i="128"/>
  <c r="R89" i="126"/>
  <c r="R37" i="126"/>
  <c r="M197" i="124"/>
  <c r="M202" i="124"/>
  <c r="O103" i="126"/>
  <c r="O201" i="126"/>
  <c r="R89" i="123"/>
  <c r="R37" i="123"/>
  <c r="Q150" i="124"/>
  <c r="Q97" i="126"/>
  <c r="L203" i="123"/>
  <c r="L204" i="123"/>
  <c r="R50" i="127"/>
  <c r="Q95" i="127"/>
  <c r="Q151" i="127" s="1"/>
  <c r="R99" i="127"/>
  <c r="R98" i="127"/>
  <c r="B7" i="128"/>
  <c r="B8" i="128" s="1"/>
  <c r="B23" i="128"/>
  <c r="B24" i="128" s="1"/>
  <c r="B15" i="128"/>
  <c r="B16" i="128" s="1"/>
  <c r="P92" i="124"/>
  <c r="R50" i="124"/>
  <c r="Q95" i="124"/>
  <c r="Q151" i="124" s="1"/>
  <c r="S52" i="123"/>
  <c r="S24" i="123"/>
  <c r="S55" i="123"/>
  <c r="S59" i="123" s="1"/>
  <c r="S46" i="123"/>
  <c r="S49" i="123"/>
  <c r="S30" i="123"/>
  <c r="S33" i="123"/>
  <c r="L204" i="124"/>
  <c r="L203" i="124"/>
  <c r="R89" i="124"/>
  <c r="R37" i="124"/>
  <c r="O102" i="126"/>
  <c r="O105" i="126" s="1"/>
  <c r="D29" i="128"/>
  <c r="R50" i="125"/>
  <c r="Q95" i="125"/>
  <c r="Q151" i="125" s="1"/>
  <c r="P92" i="123"/>
  <c r="Q97" i="124"/>
  <c r="O201" i="125"/>
  <c r="O103" i="125"/>
  <c r="O106" i="125"/>
  <c r="G12" i="128"/>
  <c r="R98" i="124"/>
  <c r="R99" i="124"/>
  <c r="S24" i="124"/>
  <c r="S55" i="124"/>
  <c r="S59" i="124" s="1"/>
  <c r="S49" i="124"/>
  <c r="S52" i="124"/>
  <c r="S46" i="124"/>
  <c r="S30" i="124"/>
  <c r="S33" i="124"/>
  <c r="N142" i="125"/>
  <c r="N143" i="125" s="1"/>
  <c r="N145" i="125" s="1"/>
  <c r="N167" i="125"/>
  <c r="N168" i="125" s="1"/>
  <c r="N169" i="125" s="1"/>
  <c r="N171" i="125" s="1"/>
  <c r="N172" i="125" s="1"/>
  <c r="N175" i="125" s="1"/>
  <c r="R98" i="125"/>
  <c r="R99" i="125"/>
  <c r="E29" i="128"/>
  <c r="R48" i="124"/>
  <c r="R94" i="124" s="1"/>
  <c r="R47" i="124"/>
  <c r="R93" i="124" s="1"/>
  <c r="R48" i="123"/>
  <c r="R94" i="123" s="1"/>
  <c r="R47" i="123"/>
  <c r="R93" i="123" s="1"/>
  <c r="F20" i="128"/>
  <c r="Q97" i="127"/>
  <c r="O102" i="125"/>
  <c r="O105" i="125" s="1"/>
  <c r="K158" i="120"/>
  <c r="K160" i="120" s="1"/>
  <c r="K161" i="120" s="1"/>
  <c r="K170" i="120"/>
  <c r="K172" i="120" s="1"/>
  <c r="K173" i="120" s="1"/>
  <c r="M197" i="123"/>
  <c r="M202" i="123"/>
  <c r="Q150" i="126"/>
  <c r="S24" i="125"/>
  <c r="S49" i="125"/>
  <c r="S55" i="125"/>
  <c r="S59" i="125" s="1"/>
  <c r="S46" i="125"/>
  <c r="S52" i="125"/>
  <c r="S33" i="125"/>
  <c r="N191" i="125"/>
  <c r="N194" i="125"/>
  <c r="N191" i="126"/>
  <c r="N194" i="126"/>
  <c r="Q97" i="125"/>
  <c r="M197" i="125"/>
  <c r="M202" i="125"/>
  <c r="T26" i="124"/>
  <c r="T26" i="127"/>
  <c r="T26" i="126"/>
  <c r="T26" i="125"/>
  <c r="T26" i="123"/>
  <c r="O141" i="127"/>
  <c r="O133" i="127"/>
  <c r="O135" i="127" s="1"/>
  <c r="O189" i="127" s="1"/>
  <c r="R99" i="126"/>
  <c r="R98" i="126"/>
  <c r="S30" i="126"/>
  <c r="S52" i="126"/>
  <c r="S24" i="126"/>
  <c r="S46" i="126"/>
  <c r="S55" i="126"/>
  <c r="S59" i="126" s="1"/>
  <c r="S49" i="126"/>
  <c r="S33" i="126"/>
  <c r="R47" i="125"/>
  <c r="R93" i="125" s="1"/>
  <c r="R48" i="125"/>
  <c r="R94" i="125" s="1"/>
  <c r="N142" i="126"/>
  <c r="N143" i="126" s="1"/>
  <c r="N145" i="126" s="1"/>
  <c r="N167" i="126"/>
  <c r="N168" i="126" s="1"/>
  <c r="N169" i="126" s="1"/>
  <c r="N171" i="126" s="1"/>
  <c r="N172" i="126" s="1"/>
  <c r="N175" i="126" s="1"/>
  <c r="R98" i="123"/>
  <c r="R99" i="123"/>
  <c r="M197" i="126"/>
  <c r="M202" i="126"/>
  <c r="N194" i="123"/>
  <c r="N191" i="123"/>
  <c r="R50" i="123"/>
  <c r="Q95" i="123"/>
  <c r="Q151" i="123" s="1"/>
  <c r="S24" i="127"/>
  <c r="S55" i="127"/>
  <c r="S59" i="127" s="1"/>
  <c r="S52" i="127"/>
  <c r="S46" i="127"/>
  <c r="S49" i="127"/>
  <c r="S33" i="127"/>
  <c r="L204" i="126"/>
  <c r="L203" i="126"/>
  <c r="N191" i="124"/>
  <c r="N194" i="124"/>
  <c r="Q97" i="123"/>
  <c r="O126" i="126"/>
  <c r="O132" i="126"/>
  <c r="B22" i="128"/>
  <c r="B21" i="128"/>
  <c r="B29" i="128"/>
  <c r="N142" i="123"/>
  <c r="N143" i="123" s="1"/>
  <c r="N145" i="123" s="1"/>
  <c r="N167" i="123"/>
  <c r="N168" i="123" s="1"/>
  <c r="N169" i="123" s="1"/>
  <c r="N171" i="123" s="1"/>
  <c r="N172" i="123" s="1"/>
  <c r="N175" i="123" s="1"/>
  <c r="R48" i="127"/>
  <c r="R94" i="127" s="1"/>
  <c r="R47" i="127"/>
  <c r="R93" i="127" s="1"/>
  <c r="O126" i="125"/>
  <c r="O132" i="125"/>
  <c r="L197" i="125"/>
  <c r="L202" i="125"/>
  <c r="R48" i="126"/>
  <c r="R94" i="126" s="1"/>
  <c r="R47" i="126"/>
  <c r="R93" i="126" s="1"/>
  <c r="C22" i="128"/>
  <c r="C21" i="128"/>
  <c r="C29" i="128"/>
  <c r="Q150" i="123"/>
  <c r="N167" i="124"/>
  <c r="N168" i="124" s="1"/>
  <c r="N169" i="124" s="1"/>
  <c r="N171" i="124" s="1"/>
  <c r="N172" i="124" s="1"/>
  <c r="N175" i="124" s="1"/>
  <c r="N142" i="124"/>
  <c r="N143" i="124" s="1"/>
  <c r="N145" i="124" s="1"/>
  <c r="Q150" i="127"/>
  <c r="N147" i="127"/>
  <c r="N146" i="127"/>
  <c r="Q150" i="125"/>
  <c r="R50" i="126"/>
  <c r="Q95" i="126"/>
  <c r="Q151" i="126" s="1"/>
  <c r="M177" i="114"/>
  <c r="E184" i="120" s="1"/>
  <c r="E185" i="120" s="1"/>
  <c r="E91" i="120"/>
  <c r="S39" i="118"/>
  <c r="K101" i="120" s="1"/>
  <c r="S29" i="118"/>
  <c r="K41" i="120"/>
  <c r="J153" i="120"/>
  <c r="R43" i="118"/>
  <c r="J105" i="120" s="1"/>
  <c r="I59" i="120"/>
  <c r="I42" i="120"/>
  <c r="L80" i="120"/>
  <c r="L132" i="120"/>
  <c r="L141" i="120"/>
  <c r="L165" i="120"/>
  <c r="L150" i="120"/>
  <c r="Q98" i="118"/>
  <c r="R105" i="118"/>
  <c r="R56" i="118"/>
  <c r="R101" i="118" s="1"/>
  <c r="R157" i="118" s="1"/>
  <c r="S58" i="118"/>
  <c r="S33" i="114"/>
  <c r="M84" i="120"/>
  <c r="R95" i="118"/>
  <c r="J97" i="120"/>
  <c r="AD86" i="120"/>
  <c r="S32" i="114"/>
  <c r="M83" i="120"/>
  <c r="I25" i="120"/>
  <c r="J121" i="120"/>
  <c r="S52" i="118"/>
  <c r="S53" i="118" s="1"/>
  <c r="S99" i="118" s="1"/>
  <c r="S55" i="118"/>
  <c r="S61" i="118"/>
  <c r="S65" i="118" s="1"/>
  <c r="S43" i="118"/>
  <c r="K105" i="120" s="1"/>
  <c r="R53" i="118"/>
  <c r="R99" i="118" s="1"/>
  <c r="T31" i="118"/>
  <c r="N200" i="118"/>
  <c r="N197" i="118"/>
  <c r="L130" i="114"/>
  <c r="L122" i="114"/>
  <c r="L124" i="114" s="1"/>
  <c r="L178" i="114" s="1"/>
  <c r="L179" i="114" s="1"/>
  <c r="N173" i="118"/>
  <c r="N174" i="118" s="1"/>
  <c r="N175" i="118" s="1"/>
  <c r="N177" i="118" s="1"/>
  <c r="N178" i="118" s="1"/>
  <c r="N181" i="118" s="1"/>
  <c r="N148" i="118"/>
  <c r="N149" i="118" s="1"/>
  <c r="N151" i="118" s="1"/>
  <c r="R88" i="114"/>
  <c r="J162" i="120" s="1"/>
  <c r="S90" i="114"/>
  <c r="S89" i="114"/>
  <c r="T41" i="114"/>
  <c r="T29" i="114"/>
  <c r="T47" i="114"/>
  <c r="T50" i="114"/>
  <c r="T52" i="114" s="1"/>
  <c r="T44" i="114"/>
  <c r="T27" i="114"/>
  <c r="T26" i="114"/>
  <c r="S43" i="114"/>
  <c r="S85" i="114" s="1"/>
  <c r="S42" i="114"/>
  <c r="S84" i="114" s="1"/>
  <c r="V58" i="114"/>
  <c r="U60" i="114"/>
  <c r="U61" i="114"/>
  <c r="U23" i="114"/>
  <c r="N5" i="114"/>
  <c r="K136" i="120" l="1"/>
  <c r="K135" i="120"/>
  <c r="K137" i="120" s="1"/>
  <c r="L133" i="120"/>
  <c r="U74" i="118"/>
  <c r="U199" i="118"/>
  <c r="U194" i="118"/>
  <c r="V71" i="118"/>
  <c r="V194" i="118" s="1"/>
  <c r="V22" i="114"/>
  <c r="V28" i="114" s="1"/>
  <c r="AD115" i="120"/>
  <c r="Q92" i="125"/>
  <c r="S105" i="118"/>
  <c r="S66" i="118"/>
  <c r="R103" i="118"/>
  <c r="J38" i="120" s="1"/>
  <c r="Q92" i="127"/>
  <c r="R97" i="125"/>
  <c r="R97" i="124"/>
  <c r="R97" i="127"/>
  <c r="E90" i="120"/>
  <c r="E181" i="120"/>
  <c r="M19" i="114"/>
  <c r="Q92" i="123"/>
  <c r="S54" i="118"/>
  <c r="S100" i="118" s="1"/>
  <c r="V182" i="114"/>
  <c r="R97" i="126"/>
  <c r="O141" i="126"/>
  <c r="O133" i="126"/>
  <c r="O135" i="126" s="1"/>
  <c r="O189" i="126" s="1"/>
  <c r="R150" i="125"/>
  <c r="R150" i="127"/>
  <c r="J174" i="120"/>
  <c r="T52" i="127"/>
  <c r="T49" i="127"/>
  <c r="T24" i="127"/>
  <c r="T46" i="127"/>
  <c r="T55" i="127"/>
  <c r="T59" i="127" s="1"/>
  <c r="T33" i="127"/>
  <c r="M203" i="123"/>
  <c r="M204" i="123"/>
  <c r="R150" i="123"/>
  <c r="S89" i="124"/>
  <c r="S37" i="124"/>
  <c r="T52" i="126"/>
  <c r="T46" i="126"/>
  <c r="T30" i="126"/>
  <c r="T55" i="126"/>
  <c r="T59" i="126" s="1"/>
  <c r="T49" i="126"/>
  <c r="T24" i="126"/>
  <c r="T33" i="126"/>
  <c r="S50" i="126"/>
  <c r="R95" i="126"/>
  <c r="R151" i="126" s="1"/>
  <c r="N147" i="124"/>
  <c r="N146" i="124"/>
  <c r="R97" i="123"/>
  <c r="S98" i="126"/>
  <c r="S99" i="126"/>
  <c r="T24" i="124"/>
  <c r="T52" i="124"/>
  <c r="T46" i="124"/>
  <c r="T30" i="124"/>
  <c r="T55" i="124"/>
  <c r="T59" i="124" s="1"/>
  <c r="T49" i="124"/>
  <c r="T33" i="124"/>
  <c r="S48" i="125"/>
  <c r="S94" i="125" s="1"/>
  <c r="S47" i="125"/>
  <c r="S93" i="125" s="1"/>
  <c r="S47" i="124"/>
  <c r="S93" i="124" s="1"/>
  <c r="S48" i="124"/>
  <c r="S94" i="124" s="1"/>
  <c r="S89" i="123"/>
  <c r="S37" i="123"/>
  <c r="O108" i="126"/>
  <c r="S47" i="126"/>
  <c r="S93" i="126" s="1"/>
  <c r="S48" i="126"/>
  <c r="S94" i="126" s="1"/>
  <c r="S98" i="125"/>
  <c r="S99" i="125"/>
  <c r="O108" i="125"/>
  <c r="M203" i="124"/>
  <c r="M204" i="124"/>
  <c r="L158" i="120"/>
  <c r="L160" i="120" s="1"/>
  <c r="L161" i="120" s="1"/>
  <c r="L170" i="120"/>
  <c r="L172" i="120" s="1"/>
  <c r="L173" i="120" s="1"/>
  <c r="C30" i="128"/>
  <c r="C31" i="128"/>
  <c r="N146" i="123"/>
  <c r="N147" i="123"/>
  <c r="S48" i="127"/>
  <c r="S94" i="127" s="1"/>
  <c r="S47" i="127"/>
  <c r="S93" i="127" s="1"/>
  <c r="N146" i="125"/>
  <c r="N147" i="125"/>
  <c r="S48" i="123"/>
  <c r="S94" i="123" s="1"/>
  <c r="S47" i="123"/>
  <c r="S93" i="123" s="1"/>
  <c r="R95" i="124"/>
  <c r="R151" i="124" s="1"/>
  <c r="S50" i="124"/>
  <c r="S50" i="127"/>
  <c r="R95" i="127"/>
  <c r="R151" i="127" s="1"/>
  <c r="U26" i="127"/>
  <c r="U26" i="126"/>
  <c r="U26" i="125"/>
  <c r="U26" i="124"/>
  <c r="U26" i="123"/>
  <c r="N148" i="127"/>
  <c r="N195" i="127" s="1"/>
  <c r="N196" i="127" s="1"/>
  <c r="L204" i="125"/>
  <c r="L203" i="125"/>
  <c r="B31" i="128"/>
  <c r="B30" i="128"/>
  <c r="S50" i="123"/>
  <c r="R95" i="123"/>
  <c r="R151" i="123" s="1"/>
  <c r="O142" i="127"/>
  <c r="O143" i="127" s="1"/>
  <c r="O145" i="127" s="1"/>
  <c r="O167" i="127"/>
  <c r="O168" i="127" s="1"/>
  <c r="O169" i="127" s="1"/>
  <c r="O171" i="127" s="1"/>
  <c r="O172" i="127" s="1"/>
  <c r="O175" i="127" s="1"/>
  <c r="M204" i="125"/>
  <c r="M203" i="125"/>
  <c r="F29" i="128"/>
  <c r="S98" i="124"/>
  <c r="S99" i="124"/>
  <c r="S99" i="123"/>
  <c r="S98" i="123"/>
  <c r="Q92" i="124"/>
  <c r="H12" i="128"/>
  <c r="N146" i="126"/>
  <c r="N147" i="126"/>
  <c r="S89" i="126"/>
  <c r="S37" i="126"/>
  <c r="T49" i="123"/>
  <c r="T46" i="123"/>
  <c r="T30" i="123"/>
  <c r="T24" i="123"/>
  <c r="T52" i="123"/>
  <c r="T55" i="123"/>
  <c r="T59" i="123" s="1"/>
  <c r="T33" i="123"/>
  <c r="R150" i="124"/>
  <c r="G20" i="128"/>
  <c r="L88" i="120"/>
  <c r="I4" i="128"/>
  <c r="R150" i="126"/>
  <c r="O141" i="125"/>
  <c r="O133" i="125"/>
  <c r="O135" i="125" s="1"/>
  <c r="O189" i="125" s="1"/>
  <c r="S98" i="127"/>
  <c r="S99" i="127"/>
  <c r="M204" i="126"/>
  <c r="M203" i="126"/>
  <c r="T24" i="125"/>
  <c r="T52" i="125"/>
  <c r="T46" i="125"/>
  <c r="T55" i="125"/>
  <c r="T59" i="125" s="1"/>
  <c r="T49" i="125"/>
  <c r="T33" i="125"/>
  <c r="Q92" i="126"/>
  <c r="S50" i="125"/>
  <c r="R95" i="125"/>
  <c r="R151" i="125" s="1"/>
  <c r="N153" i="118"/>
  <c r="N152" i="118"/>
  <c r="T39" i="118"/>
  <c r="L101" i="120" s="1"/>
  <c r="T29" i="118"/>
  <c r="L41" i="120"/>
  <c r="J59" i="120"/>
  <c r="J42" i="120"/>
  <c r="S56" i="118"/>
  <c r="S101" i="118" s="1"/>
  <c r="S157" i="118" s="1"/>
  <c r="R98" i="118"/>
  <c r="S104" i="118"/>
  <c r="S103" i="118" s="1"/>
  <c r="K38" i="120" s="1"/>
  <c r="M80" i="120"/>
  <c r="M165" i="120"/>
  <c r="M141" i="120"/>
  <c r="M150" i="120"/>
  <c r="M132" i="120"/>
  <c r="K153" i="120"/>
  <c r="R156" i="118"/>
  <c r="T43" i="118"/>
  <c r="L105" i="120" s="1"/>
  <c r="S95" i="118"/>
  <c r="K97" i="120"/>
  <c r="J25" i="120"/>
  <c r="T32" i="114"/>
  <c r="N83" i="120"/>
  <c r="T33" i="114"/>
  <c r="N84" i="120"/>
  <c r="T61" i="118"/>
  <c r="T65" i="118" s="1"/>
  <c r="T52" i="118"/>
  <c r="T54" i="118" s="1"/>
  <c r="T100" i="118" s="1"/>
  <c r="T58" i="118"/>
  <c r="T55" i="118"/>
  <c r="U31" i="118"/>
  <c r="L156" i="114"/>
  <c r="L157" i="114" s="1"/>
  <c r="L158" i="114" s="1"/>
  <c r="L160" i="114" s="1"/>
  <c r="L161" i="114" s="1"/>
  <c r="L164" i="114" s="1"/>
  <c r="L131" i="114"/>
  <c r="L132" i="114" s="1"/>
  <c r="L134" i="114" s="1"/>
  <c r="L180" i="114"/>
  <c r="L183" i="114"/>
  <c r="S156" i="118"/>
  <c r="S139" i="114"/>
  <c r="S88" i="114"/>
  <c r="K162" i="120" s="1"/>
  <c r="T89" i="114"/>
  <c r="T90" i="114"/>
  <c r="W58" i="114"/>
  <c r="V61" i="114"/>
  <c r="V60" i="114"/>
  <c r="V23" i="114"/>
  <c r="T42" i="114"/>
  <c r="T84" i="114" s="1"/>
  <c r="T139" i="114" s="1"/>
  <c r="T43" i="114"/>
  <c r="T85" i="114" s="1"/>
  <c r="U29" i="114"/>
  <c r="U41" i="114"/>
  <c r="U50" i="114"/>
  <c r="U52" i="114" s="1"/>
  <c r="U44" i="114"/>
  <c r="U47" i="114"/>
  <c r="U26" i="114"/>
  <c r="U27" i="114"/>
  <c r="N11" i="114"/>
  <c r="O4" i="114"/>
  <c r="N10" i="114"/>
  <c r="V73" i="118" l="1"/>
  <c r="V74" i="118"/>
  <c r="V199" i="118"/>
  <c r="L135" i="120"/>
  <c r="L136" i="120"/>
  <c r="M133" i="120"/>
  <c r="K121" i="120"/>
  <c r="W71" i="118"/>
  <c r="W199" i="118" s="1"/>
  <c r="W22" i="114"/>
  <c r="W28" i="114" s="1"/>
  <c r="U33" i="118"/>
  <c r="M115" i="120" s="1"/>
  <c r="T105" i="118"/>
  <c r="T66" i="118"/>
  <c r="T56" i="118"/>
  <c r="T101" i="118" s="1"/>
  <c r="T157" i="118" s="1"/>
  <c r="R92" i="124"/>
  <c r="K174" i="120"/>
  <c r="S98" i="118"/>
  <c r="E180" i="120"/>
  <c r="M107" i="114"/>
  <c r="N62" i="114"/>
  <c r="N31" i="114"/>
  <c r="S97" i="127"/>
  <c r="N148" i="125"/>
  <c r="N195" i="125" s="1"/>
  <c r="N196" i="125" s="1"/>
  <c r="N202" i="125" s="1"/>
  <c r="S97" i="123"/>
  <c r="N148" i="124"/>
  <c r="N195" i="124" s="1"/>
  <c r="N196" i="124" s="1"/>
  <c r="N202" i="124" s="1"/>
  <c r="S97" i="126"/>
  <c r="W182" i="114"/>
  <c r="T47" i="123"/>
  <c r="T93" i="123" s="1"/>
  <c r="T48" i="123"/>
  <c r="T94" i="123" s="1"/>
  <c r="M88" i="120"/>
  <c r="J4" i="128"/>
  <c r="R92" i="126"/>
  <c r="V26" i="127"/>
  <c r="V26" i="126"/>
  <c r="V26" i="125"/>
  <c r="V26" i="124"/>
  <c r="V26" i="123"/>
  <c r="U24" i="124"/>
  <c r="U55" i="124"/>
  <c r="U59" i="124" s="1"/>
  <c r="U49" i="124"/>
  <c r="U46" i="124"/>
  <c r="U52" i="124"/>
  <c r="U33" i="124"/>
  <c r="S150" i="123"/>
  <c r="S150" i="126"/>
  <c r="S150" i="124"/>
  <c r="T48" i="127"/>
  <c r="T94" i="127" s="1"/>
  <c r="T47" i="127"/>
  <c r="T93" i="127" s="1"/>
  <c r="O167" i="126"/>
  <c r="O168" i="126" s="1"/>
  <c r="O169" i="126" s="1"/>
  <c r="O171" i="126" s="1"/>
  <c r="O172" i="126" s="1"/>
  <c r="O175" i="126" s="1"/>
  <c r="O142" i="126"/>
  <c r="O143" i="126" s="1"/>
  <c r="O145" i="126" s="1"/>
  <c r="S150" i="125"/>
  <c r="M158" i="120"/>
  <c r="M170" i="120"/>
  <c r="M172" i="120" s="1"/>
  <c r="M173" i="120" s="1"/>
  <c r="T50" i="125"/>
  <c r="S95" i="125"/>
  <c r="S151" i="125" s="1"/>
  <c r="O197" i="127"/>
  <c r="O195" i="127"/>
  <c r="O196" i="127" s="1"/>
  <c r="O202" i="127" s="1"/>
  <c r="U24" i="126"/>
  <c r="U46" i="126"/>
  <c r="U55" i="126"/>
  <c r="U59" i="126" s="1"/>
  <c r="U49" i="126"/>
  <c r="U52" i="126"/>
  <c r="U33" i="126"/>
  <c r="N148" i="123"/>
  <c r="N195" i="123" s="1"/>
  <c r="N196" i="123" s="1"/>
  <c r="T89" i="124"/>
  <c r="AM89" i="124" s="1"/>
  <c r="T37" i="124"/>
  <c r="T50" i="126"/>
  <c r="S95" i="126"/>
  <c r="S151" i="126" s="1"/>
  <c r="R92" i="127"/>
  <c r="O167" i="125"/>
  <c r="O168" i="125" s="1"/>
  <c r="O169" i="125" s="1"/>
  <c r="O171" i="125" s="1"/>
  <c r="O172" i="125" s="1"/>
  <c r="O175" i="125" s="1"/>
  <c r="O142" i="125"/>
  <c r="O143" i="125" s="1"/>
  <c r="O145" i="125" s="1"/>
  <c r="T99" i="123"/>
  <c r="T98" i="123"/>
  <c r="O147" i="127"/>
  <c r="O146" i="127"/>
  <c r="U46" i="127"/>
  <c r="U52" i="127"/>
  <c r="U55" i="127"/>
  <c r="U59" i="127" s="1"/>
  <c r="U24" i="127"/>
  <c r="U49" i="127"/>
  <c r="U33" i="127"/>
  <c r="T47" i="124"/>
  <c r="T93" i="124" s="1"/>
  <c r="T48" i="124"/>
  <c r="T94" i="124" s="1"/>
  <c r="U24" i="125"/>
  <c r="U49" i="125"/>
  <c r="U55" i="125"/>
  <c r="U59" i="125" s="1"/>
  <c r="U52" i="125"/>
  <c r="U46" i="125"/>
  <c r="U33" i="125"/>
  <c r="N197" i="127"/>
  <c r="N202" i="127"/>
  <c r="T98" i="124"/>
  <c r="T99" i="124"/>
  <c r="T98" i="125"/>
  <c r="T99" i="125"/>
  <c r="T50" i="127"/>
  <c r="S95" i="127"/>
  <c r="S151" i="127" s="1"/>
  <c r="T99" i="126"/>
  <c r="T98" i="126"/>
  <c r="T48" i="125"/>
  <c r="T94" i="125" s="1"/>
  <c r="T47" i="125"/>
  <c r="T93" i="125" s="1"/>
  <c r="G29" i="128"/>
  <c r="N148" i="126"/>
  <c r="N195" i="126" s="1"/>
  <c r="N196" i="126" s="1"/>
  <c r="S97" i="124"/>
  <c r="S95" i="123"/>
  <c r="S151" i="123" s="1"/>
  <c r="T50" i="123"/>
  <c r="T50" i="124"/>
  <c r="S95" i="124"/>
  <c r="S151" i="124" s="1"/>
  <c r="S97" i="125"/>
  <c r="T89" i="126"/>
  <c r="AM89" i="126" s="1"/>
  <c r="T37" i="126"/>
  <c r="R92" i="125"/>
  <c r="C15" i="128"/>
  <c r="C16" i="128" s="1"/>
  <c r="C7" i="128"/>
  <c r="C8" i="128" s="1"/>
  <c r="I12" i="128"/>
  <c r="T89" i="123"/>
  <c r="AM89" i="123" s="1"/>
  <c r="T37" i="123"/>
  <c r="H20" i="128"/>
  <c r="U24" i="123"/>
  <c r="U46" i="123"/>
  <c r="U49" i="123"/>
  <c r="U55" i="123"/>
  <c r="U59" i="123" s="1"/>
  <c r="U52" i="123"/>
  <c r="U33" i="123"/>
  <c r="S150" i="127"/>
  <c r="T47" i="126"/>
  <c r="T93" i="126" s="1"/>
  <c r="T48" i="126"/>
  <c r="T94" i="126" s="1"/>
  <c r="R92" i="123"/>
  <c r="T99" i="127"/>
  <c r="T98" i="127"/>
  <c r="N154" i="118"/>
  <c r="N201" i="118" s="1"/>
  <c r="N177" i="114"/>
  <c r="U39" i="118"/>
  <c r="M101" i="120" s="1"/>
  <c r="U29" i="118"/>
  <c r="M43" i="120"/>
  <c r="M41" i="120"/>
  <c r="M42" i="120"/>
  <c r="K59" i="120"/>
  <c r="K42" i="120"/>
  <c r="T53" i="118"/>
  <c r="T99" i="118" s="1"/>
  <c r="N80" i="120"/>
  <c r="N132" i="120"/>
  <c r="N165" i="120"/>
  <c r="N150" i="120"/>
  <c r="N155" i="120" s="1"/>
  <c r="N157" i="120" s="1"/>
  <c r="N141" i="120"/>
  <c r="T104" i="118"/>
  <c r="L97" i="120"/>
  <c r="L153" i="120"/>
  <c r="T95" i="118"/>
  <c r="U33" i="114"/>
  <c r="O84" i="120"/>
  <c r="U32" i="114"/>
  <c r="O83" i="120"/>
  <c r="K25" i="120"/>
  <c r="L121" i="120"/>
  <c r="L135" i="114"/>
  <c r="L136" i="114"/>
  <c r="U52" i="118"/>
  <c r="U53" i="118" s="1"/>
  <c r="U99" i="118" s="1"/>
  <c r="U55" i="118"/>
  <c r="U58" i="118"/>
  <c r="U61" i="118"/>
  <c r="U65" i="118" s="1"/>
  <c r="U66" i="118" s="1"/>
  <c r="V31" i="118"/>
  <c r="T88" i="114"/>
  <c r="L162" i="120" s="1"/>
  <c r="U89" i="114"/>
  <c r="U90" i="114"/>
  <c r="V50" i="114"/>
  <c r="V52" i="114" s="1"/>
  <c r="V44" i="114"/>
  <c r="V47" i="114"/>
  <c r="V26" i="114"/>
  <c r="V27" i="114"/>
  <c r="V41" i="114"/>
  <c r="V29" i="114"/>
  <c r="U43" i="114"/>
  <c r="U85" i="114" s="1"/>
  <c r="U42" i="114"/>
  <c r="U84" i="114" s="1"/>
  <c r="X58" i="114"/>
  <c r="W61" i="114"/>
  <c r="W60" i="114"/>
  <c r="W23" i="114"/>
  <c r="O5" i="114"/>
  <c r="M161" i="120" l="1"/>
  <c r="M162" i="120" s="1"/>
  <c r="M160" i="120"/>
  <c r="T103" i="118"/>
  <c r="L38" i="120" s="1"/>
  <c r="W194" i="118"/>
  <c r="W73" i="118"/>
  <c r="W74" i="118"/>
  <c r="M135" i="120"/>
  <c r="M136" i="120"/>
  <c r="L137" i="120"/>
  <c r="N133" i="120"/>
  <c r="U41" i="118"/>
  <c r="M103" i="120" s="1"/>
  <c r="M111" i="120" s="1"/>
  <c r="M113" i="120" s="1"/>
  <c r="X71" i="118"/>
  <c r="X199" i="118" s="1"/>
  <c r="X22" i="114"/>
  <c r="X28" i="114" s="1"/>
  <c r="X73" i="118"/>
  <c r="X74" i="118"/>
  <c r="X194" i="118"/>
  <c r="N197" i="124"/>
  <c r="V33" i="118"/>
  <c r="N115" i="120" s="1"/>
  <c r="N197" i="125"/>
  <c r="U56" i="118"/>
  <c r="U101" i="118" s="1"/>
  <c r="T98" i="118"/>
  <c r="U179" i="118"/>
  <c r="U181" i="118" s="1"/>
  <c r="U203" i="118" s="1"/>
  <c r="M108" i="114"/>
  <c r="M114" i="114"/>
  <c r="S92" i="127"/>
  <c r="N19" i="114"/>
  <c r="F181" i="120"/>
  <c r="F90" i="120"/>
  <c r="U54" i="118"/>
  <c r="U100" i="118" s="1"/>
  <c r="S92" i="123"/>
  <c r="T97" i="127"/>
  <c r="T97" i="126"/>
  <c r="O146" i="125"/>
  <c r="O147" i="125"/>
  <c r="N197" i="126"/>
  <c r="N202" i="126"/>
  <c r="T97" i="125"/>
  <c r="N204" i="127"/>
  <c r="N203" i="127"/>
  <c r="O197" i="125"/>
  <c r="O195" i="125"/>
  <c r="O196" i="125" s="1"/>
  <c r="O202" i="125" s="1"/>
  <c r="O203" i="127"/>
  <c r="O204" i="127"/>
  <c r="U47" i="124"/>
  <c r="U93" i="124" s="1"/>
  <c r="U48" i="124"/>
  <c r="U94" i="124" s="1"/>
  <c r="V52" i="124"/>
  <c r="V24" i="124"/>
  <c r="V46" i="124"/>
  <c r="V49" i="124"/>
  <c r="V55" i="124"/>
  <c r="V59" i="124" s="1"/>
  <c r="V33" i="124"/>
  <c r="T150" i="123"/>
  <c r="H29" i="128"/>
  <c r="I20" i="128"/>
  <c r="L174" i="120"/>
  <c r="T150" i="124"/>
  <c r="T150" i="127"/>
  <c r="V24" i="125"/>
  <c r="V52" i="125"/>
  <c r="V49" i="125"/>
  <c r="V55" i="125"/>
  <c r="V59" i="125" s="1"/>
  <c r="V46" i="125"/>
  <c r="V33" i="125"/>
  <c r="V55" i="123"/>
  <c r="V59" i="123" s="1"/>
  <c r="V24" i="123"/>
  <c r="V49" i="123"/>
  <c r="V46" i="123"/>
  <c r="V52" i="123"/>
  <c r="V33" i="123"/>
  <c r="U99" i="123"/>
  <c r="U98" i="123"/>
  <c r="N204" i="125"/>
  <c r="N203" i="125"/>
  <c r="T97" i="124"/>
  <c r="S92" i="125"/>
  <c r="U99" i="124"/>
  <c r="U98" i="124"/>
  <c r="V49" i="126"/>
  <c r="V24" i="126"/>
  <c r="V55" i="126"/>
  <c r="V59" i="126" s="1"/>
  <c r="V46" i="126"/>
  <c r="V52" i="126"/>
  <c r="V33" i="126"/>
  <c r="N158" i="120"/>
  <c r="N170" i="120"/>
  <c r="N172" i="120" s="1"/>
  <c r="N173" i="120" s="1"/>
  <c r="U48" i="125"/>
  <c r="U94" i="125" s="1"/>
  <c r="U47" i="125"/>
  <c r="U93" i="125" s="1"/>
  <c r="N197" i="123"/>
  <c r="N202" i="123"/>
  <c r="S92" i="124"/>
  <c r="V52" i="127"/>
  <c r="V46" i="127"/>
  <c r="V24" i="127"/>
  <c r="V55" i="127"/>
  <c r="V59" i="127" s="1"/>
  <c r="V49" i="127"/>
  <c r="V33" i="127"/>
  <c r="N88" i="120"/>
  <c r="K4" i="128"/>
  <c r="U47" i="123"/>
  <c r="U93" i="123" s="1"/>
  <c r="U48" i="123"/>
  <c r="U94" i="123" s="1"/>
  <c r="T95" i="124"/>
  <c r="T151" i="124" s="1"/>
  <c r="U50" i="124"/>
  <c r="T150" i="125"/>
  <c r="U98" i="127"/>
  <c r="U99" i="127"/>
  <c r="U50" i="125"/>
  <c r="T95" i="125"/>
  <c r="T151" i="125" s="1"/>
  <c r="O146" i="126"/>
  <c r="O147" i="126"/>
  <c r="T150" i="126"/>
  <c r="U50" i="123"/>
  <c r="T95" i="123"/>
  <c r="T151" i="123" s="1"/>
  <c r="U50" i="127"/>
  <c r="T95" i="127"/>
  <c r="T151" i="127" s="1"/>
  <c r="U98" i="125"/>
  <c r="U99" i="125"/>
  <c r="T97" i="123"/>
  <c r="U50" i="126"/>
  <c r="T95" i="126"/>
  <c r="T151" i="126" s="1"/>
  <c r="U98" i="126"/>
  <c r="U99" i="126"/>
  <c r="O197" i="126"/>
  <c r="O195" i="126"/>
  <c r="O196" i="126" s="1"/>
  <c r="O202" i="126" s="1"/>
  <c r="S92" i="126"/>
  <c r="J12" i="128"/>
  <c r="W26" i="127"/>
  <c r="W26" i="126"/>
  <c r="W26" i="125"/>
  <c r="W26" i="124"/>
  <c r="W26" i="123"/>
  <c r="N204" i="124"/>
  <c r="N203" i="124"/>
  <c r="U47" i="127"/>
  <c r="U93" i="127" s="1"/>
  <c r="U48" i="127"/>
  <c r="U94" i="127" s="1"/>
  <c r="U47" i="126"/>
  <c r="U93" i="126" s="1"/>
  <c r="U48" i="126"/>
  <c r="U94" i="126" s="1"/>
  <c r="M95" i="120"/>
  <c r="U93" i="118"/>
  <c r="M40" i="120" s="1"/>
  <c r="U104" i="118"/>
  <c r="V39" i="118"/>
  <c r="N101" i="120" s="1"/>
  <c r="V29" i="118"/>
  <c r="N43" i="120"/>
  <c r="N41" i="120"/>
  <c r="N42" i="120"/>
  <c r="N202" i="118"/>
  <c r="N203" i="118" s="1"/>
  <c r="L59" i="120"/>
  <c r="L42" i="120"/>
  <c r="AM95" i="118"/>
  <c r="T156" i="118"/>
  <c r="O80" i="120"/>
  <c r="O141" i="120"/>
  <c r="O150" i="120"/>
  <c r="O155" i="120" s="1"/>
  <c r="O157" i="120" s="1"/>
  <c r="O132" i="120"/>
  <c r="O165" i="120"/>
  <c r="L137" i="114"/>
  <c r="L184" i="114" s="1"/>
  <c r="L185" i="114" s="1"/>
  <c r="L191" i="114" s="1"/>
  <c r="L192" i="114" s="1"/>
  <c r="L25" i="120"/>
  <c r="M121" i="120"/>
  <c r="V33" i="114"/>
  <c r="P84" i="120"/>
  <c r="V32" i="114"/>
  <c r="P83" i="120"/>
  <c r="V55" i="118"/>
  <c r="V61" i="118"/>
  <c r="V65" i="118" s="1"/>
  <c r="V58" i="118"/>
  <c r="U105" i="118"/>
  <c r="V52" i="118"/>
  <c r="V53" i="118" s="1"/>
  <c r="V99" i="118" s="1"/>
  <c r="W31" i="118"/>
  <c r="W33" i="118" s="1"/>
  <c r="O115" i="120" s="1"/>
  <c r="X182" i="114"/>
  <c r="X23" i="114"/>
  <c r="V56" i="118"/>
  <c r="V101" i="118" s="1"/>
  <c r="U157" i="118"/>
  <c r="U156" i="118"/>
  <c r="U139" i="114"/>
  <c r="U88" i="114"/>
  <c r="M174" i="120" s="1"/>
  <c r="V89" i="114"/>
  <c r="V90" i="114"/>
  <c r="W47" i="114"/>
  <c r="W27" i="114"/>
  <c r="W50" i="114"/>
  <c r="W52" i="114" s="1"/>
  <c r="W44" i="114"/>
  <c r="W26" i="114"/>
  <c r="W41" i="114"/>
  <c r="W29" i="114"/>
  <c r="V42" i="114"/>
  <c r="V84" i="114" s="1"/>
  <c r="V139" i="114" s="1"/>
  <c r="V43" i="114"/>
  <c r="V85" i="114" s="1"/>
  <c r="Y58" i="114"/>
  <c r="X60" i="114"/>
  <c r="X61" i="114"/>
  <c r="O11" i="114"/>
  <c r="O62" i="114" s="1"/>
  <c r="P4" i="114"/>
  <c r="O10" i="114"/>
  <c r="N160" i="120" l="1"/>
  <c r="N161" i="120" s="1"/>
  <c r="N135" i="120"/>
  <c r="N136" i="120"/>
  <c r="M137" i="120"/>
  <c r="O133" i="120"/>
  <c r="U27" i="118"/>
  <c r="U124" i="118" s="1"/>
  <c r="U131" i="118" s="1"/>
  <c r="U132" i="118" s="1"/>
  <c r="V41" i="118"/>
  <c r="N103" i="120" s="1"/>
  <c r="N111" i="120" s="1"/>
  <c r="N113" i="120" s="1"/>
  <c r="Y71" i="118"/>
  <c r="Y199" i="118" s="1"/>
  <c r="Y22" i="114"/>
  <c r="Y28" i="114" s="1"/>
  <c r="U98" i="118"/>
  <c r="V105" i="118"/>
  <c r="V66" i="118"/>
  <c r="W58" i="118"/>
  <c r="W41" i="118"/>
  <c r="O103" i="120" s="1"/>
  <c r="U97" i="125"/>
  <c r="M39" i="120"/>
  <c r="V179" i="118"/>
  <c r="V181" i="118" s="1"/>
  <c r="V203" i="118" s="1"/>
  <c r="N95" i="120"/>
  <c r="V93" i="118"/>
  <c r="N40" i="120" s="1"/>
  <c r="M57" i="120"/>
  <c r="T92" i="125"/>
  <c r="N107" i="114"/>
  <c r="F180" i="120"/>
  <c r="F183" i="120" s="1"/>
  <c r="F184" i="120" s="1"/>
  <c r="F185" i="120" s="1"/>
  <c r="U97" i="118"/>
  <c r="M121" i="114"/>
  <c r="M115" i="114"/>
  <c r="Y182" i="114"/>
  <c r="U97" i="123"/>
  <c r="U97" i="124"/>
  <c r="O88" i="120"/>
  <c r="L4" i="128"/>
  <c r="U95" i="126"/>
  <c r="U151" i="126" s="1"/>
  <c r="V50" i="126"/>
  <c r="V50" i="127"/>
  <c r="U95" i="127"/>
  <c r="U151" i="127" s="1"/>
  <c r="V50" i="125"/>
  <c r="U95" i="125"/>
  <c r="U151" i="125" s="1"/>
  <c r="N204" i="123"/>
  <c r="N203" i="123"/>
  <c r="V47" i="123"/>
  <c r="V93" i="123" s="1"/>
  <c r="V48" i="123"/>
  <c r="V94" i="123" s="1"/>
  <c r="V99" i="124"/>
  <c r="V98" i="124"/>
  <c r="U150" i="124"/>
  <c r="U150" i="127"/>
  <c r="W24" i="123"/>
  <c r="W55" i="123"/>
  <c r="W59" i="123" s="1"/>
  <c r="W49" i="123"/>
  <c r="W52" i="123"/>
  <c r="W46" i="123"/>
  <c r="W33" i="123"/>
  <c r="J20" i="128"/>
  <c r="O204" i="126"/>
  <c r="O203" i="126"/>
  <c r="U95" i="123"/>
  <c r="U151" i="123" s="1"/>
  <c r="V50" i="123"/>
  <c r="V47" i="124"/>
  <c r="V93" i="124" s="1"/>
  <c r="V48" i="124"/>
  <c r="V94" i="124" s="1"/>
  <c r="O203" i="125"/>
  <c r="O204" i="125"/>
  <c r="V98" i="127"/>
  <c r="V99" i="127"/>
  <c r="T92" i="123"/>
  <c r="D7" i="128"/>
  <c r="D15" i="128"/>
  <c r="D16" i="128" s="1"/>
  <c r="D14" i="128" s="1"/>
  <c r="D13" i="128" s="1"/>
  <c r="W49" i="124"/>
  <c r="W24" i="124"/>
  <c r="W46" i="124"/>
  <c r="W52" i="124"/>
  <c r="W55" i="124"/>
  <c r="W59" i="124" s="1"/>
  <c r="W33" i="124"/>
  <c r="U97" i="127"/>
  <c r="V50" i="124"/>
  <c r="U95" i="124"/>
  <c r="U151" i="124" s="1"/>
  <c r="V47" i="127"/>
  <c r="V93" i="127" s="1"/>
  <c r="V48" i="127"/>
  <c r="V94" i="127" s="1"/>
  <c r="T92" i="124"/>
  <c r="N203" i="126"/>
  <c r="N204" i="126"/>
  <c r="O158" i="120"/>
  <c r="O170" i="120"/>
  <c r="O172" i="120" s="1"/>
  <c r="O173" i="120" s="1"/>
  <c r="W46" i="125"/>
  <c r="W52" i="125"/>
  <c r="W55" i="125"/>
  <c r="W59" i="125" s="1"/>
  <c r="W49" i="125"/>
  <c r="W24" i="125"/>
  <c r="W33" i="125"/>
  <c r="T92" i="127"/>
  <c r="W24" i="126"/>
  <c r="W52" i="126"/>
  <c r="W46" i="126"/>
  <c r="W55" i="126"/>
  <c r="W59" i="126" s="1"/>
  <c r="W49" i="126"/>
  <c r="W33" i="126"/>
  <c r="V48" i="126"/>
  <c r="V94" i="126" s="1"/>
  <c r="V47" i="126"/>
  <c r="V93" i="126" s="1"/>
  <c r="V99" i="123"/>
  <c r="V98" i="123"/>
  <c r="V48" i="125"/>
  <c r="V94" i="125" s="1"/>
  <c r="V47" i="125"/>
  <c r="V93" i="125" s="1"/>
  <c r="X31" i="118"/>
  <c r="X33" i="118" s="1"/>
  <c r="P115" i="120" s="1"/>
  <c r="X26" i="127"/>
  <c r="X26" i="126"/>
  <c r="X26" i="125"/>
  <c r="X26" i="124"/>
  <c r="X26" i="123"/>
  <c r="W46" i="127"/>
  <c r="W24" i="127"/>
  <c r="W52" i="127"/>
  <c r="W55" i="127"/>
  <c r="W59" i="127" s="1"/>
  <c r="W49" i="127"/>
  <c r="W33" i="127"/>
  <c r="U97" i="126"/>
  <c r="U150" i="123"/>
  <c r="U150" i="125"/>
  <c r="V99" i="126"/>
  <c r="V98" i="126"/>
  <c r="V98" i="125"/>
  <c r="V99" i="125"/>
  <c r="U150" i="126"/>
  <c r="T92" i="126"/>
  <c r="K12" i="128"/>
  <c r="I29" i="128"/>
  <c r="O177" i="114"/>
  <c r="U103" i="118"/>
  <c r="M38" i="120" s="1"/>
  <c r="W39" i="118"/>
  <c r="O101" i="120" s="1"/>
  <c r="W29" i="118"/>
  <c r="O43" i="120"/>
  <c r="O41" i="120"/>
  <c r="O42" i="120"/>
  <c r="P80" i="120"/>
  <c r="P150" i="120"/>
  <c r="P155" i="120" s="1"/>
  <c r="P157" i="120" s="1"/>
  <c r="P165" i="120"/>
  <c r="P141" i="120"/>
  <c r="P132" i="120"/>
  <c r="L186" i="114"/>
  <c r="L193" i="114"/>
  <c r="W33" i="114"/>
  <c r="Q84" i="120"/>
  <c r="M25" i="120"/>
  <c r="W32" i="114"/>
  <c r="Q83" i="120"/>
  <c r="V104" i="118"/>
  <c r="U138" i="118"/>
  <c r="U147" i="118" s="1"/>
  <c r="V54" i="118"/>
  <c r="V100" i="118" s="1"/>
  <c r="V98" i="118" s="1"/>
  <c r="W61" i="118"/>
  <c r="W65" i="118" s="1"/>
  <c r="W66" i="118" s="1"/>
  <c r="W55" i="118"/>
  <c r="W52" i="118"/>
  <c r="W53" i="118" s="1"/>
  <c r="W99" i="118" s="1"/>
  <c r="V157" i="118"/>
  <c r="W56" i="118"/>
  <c r="W101" i="118" s="1"/>
  <c r="V156" i="118"/>
  <c r="V88" i="114"/>
  <c r="W90" i="114"/>
  <c r="W89" i="114"/>
  <c r="W43" i="114"/>
  <c r="W85" i="114" s="1"/>
  <c r="W42" i="114"/>
  <c r="W84" i="114" s="1"/>
  <c r="W139" i="114" s="1"/>
  <c r="Z58" i="114"/>
  <c r="Z22" i="114" s="1"/>
  <c r="Z28" i="114" s="1"/>
  <c r="Y61" i="114"/>
  <c r="Y60" i="114"/>
  <c r="Y23" i="114"/>
  <c r="X27" i="114"/>
  <c r="X47" i="114"/>
  <c r="X50" i="114"/>
  <c r="X52" i="114" s="1"/>
  <c r="X44" i="114"/>
  <c r="X41" i="114"/>
  <c r="X29" i="114"/>
  <c r="X26" i="114"/>
  <c r="P5" i="114"/>
  <c r="N162" i="120" l="1"/>
  <c r="O160" i="120"/>
  <c r="O161" i="120" s="1"/>
  <c r="Y194" i="118"/>
  <c r="Y74" i="118"/>
  <c r="Y73" i="118"/>
  <c r="O135" i="120"/>
  <c r="O136" i="120"/>
  <c r="N137" i="120"/>
  <c r="P133" i="120"/>
  <c r="V27" i="118"/>
  <c r="V124" i="118" s="1"/>
  <c r="V131" i="118" s="1"/>
  <c r="V138" i="118" s="1"/>
  <c r="V147" i="118" s="1"/>
  <c r="U125" i="118"/>
  <c r="AA58" i="114"/>
  <c r="AA22" i="114" s="1"/>
  <c r="AA28" i="114" s="1"/>
  <c r="Z71" i="118"/>
  <c r="O112" i="120"/>
  <c r="O113" i="120"/>
  <c r="V103" i="118"/>
  <c r="N38" i="120" s="1"/>
  <c r="X41" i="118"/>
  <c r="P103" i="120" s="1"/>
  <c r="P42" i="120"/>
  <c r="P43" i="120"/>
  <c r="U92" i="127"/>
  <c r="N39" i="120"/>
  <c r="V97" i="118"/>
  <c r="N57" i="120"/>
  <c r="U92" i="125"/>
  <c r="X55" i="118"/>
  <c r="X39" i="118"/>
  <c r="P101" i="120" s="1"/>
  <c r="N114" i="114"/>
  <c r="N108" i="114"/>
  <c r="M130" i="114"/>
  <c r="M122" i="114"/>
  <c r="M124" i="114" s="1"/>
  <c r="M178" i="114" s="1"/>
  <c r="M179" i="114" s="1"/>
  <c r="N121" i="120"/>
  <c r="Z182" i="114"/>
  <c r="N174" i="120"/>
  <c r="U92" i="126"/>
  <c r="V97" i="126"/>
  <c r="W50" i="127"/>
  <c r="V95" i="127"/>
  <c r="V151" i="127" s="1"/>
  <c r="X24" i="125"/>
  <c r="X49" i="125"/>
  <c r="X46" i="125"/>
  <c r="X55" i="125"/>
  <c r="X59" i="125" s="1"/>
  <c r="X52" i="125"/>
  <c r="X33" i="125"/>
  <c r="V97" i="123"/>
  <c r="W50" i="123"/>
  <c r="V95" i="123"/>
  <c r="V151" i="123" s="1"/>
  <c r="W50" i="126"/>
  <c r="V95" i="126"/>
  <c r="V151" i="126" s="1"/>
  <c r="L12" i="128"/>
  <c r="W99" i="127"/>
  <c r="W98" i="127"/>
  <c r="Y26" i="127"/>
  <c r="Y26" i="126"/>
  <c r="Y26" i="125"/>
  <c r="Y26" i="124"/>
  <c r="Y26" i="123"/>
  <c r="X52" i="118"/>
  <c r="X53" i="118" s="1"/>
  <c r="X99" i="118" s="1"/>
  <c r="P41" i="120"/>
  <c r="W47" i="127"/>
  <c r="W93" i="127" s="1"/>
  <c r="W48" i="127"/>
  <c r="W94" i="127" s="1"/>
  <c r="X49" i="127"/>
  <c r="X55" i="127"/>
  <c r="X59" i="127" s="1"/>
  <c r="X52" i="127"/>
  <c r="X24" i="127"/>
  <c r="X46" i="127"/>
  <c r="X33" i="127"/>
  <c r="V150" i="126"/>
  <c r="W50" i="124"/>
  <c r="V95" i="124"/>
  <c r="V151" i="124" s="1"/>
  <c r="W98" i="124"/>
  <c r="W99" i="124"/>
  <c r="U92" i="124"/>
  <c r="X24" i="124"/>
  <c r="X52" i="124"/>
  <c r="X49" i="124"/>
  <c r="X55" i="124"/>
  <c r="X59" i="124" s="1"/>
  <c r="X46" i="124"/>
  <c r="X33" i="124"/>
  <c r="W98" i="125"/>
  <c r="W99" i="125"/>
  <c r="V97" i="127"/>
  <c r="W48" i="123"/>
  <c r="W94" i="123" s="1"/>
  <c r="W47" i="123"/>
  <c r="W93" i="123" s="1"/>
  <c r="P88" i="120"/>
  <c r="M4" i="128"/>
  <c r="X58" i="118"/>
  <c r="X29" i="118"/>
  <c r="V97" i="125"/>
  <c r="W47" i="124"/>
  <c r="W93" i="124" s="1"/>
  <c r="W48" i="124"/>
  <c r="W94" i="124" s="1"/>
  <c r="V97" i="124"/>
  <c r="V150" i="123"/>
  <c r="P158" i="120"/>
  <c r="P170" i="120"/>
  <c r="P172" i="120" s="1"/>
  <c r="P173" i="120" s="1"/>
  <c r="K20" i="128"/>
  <c r="U92" i="123"/>
  <c r="W99" i="126"/>
  <c r="W98" i="126"/>
  <c r="W47" i="125"/>
  <c r="W93" i="125" s="1"/>
  <c r="W48" i="125"/>
  <c r="W94" i="125" s="1"/>
  <c r="V150" i="124"/>
  <c r="J29" i="128"/>
  <c r="V95" i="125"/>
  <c r="V151" i="125" s="1"/>
  <c r="W50" i="125"/>
  <c r="X49" i="126"/>
  <c r="X52" i="126"/>
  <c r="X55" i="126"/>
  <c r="X59" i="126" s="1"/>
  <c r="X24" i="126"/>
  <c r="X46" i="126"/>
  <c r="X33" i="126"/>
  <c r="X61" i="118"/>
  <c r="X65" i="118" s="1"/>
  <c r="X24" i="123"/>
  <c r="X52" i="123"/>
  <c r="X46" i="123"/>
  <c r="X55" i="123"/>
  <c r="X59" i="123" s="1"/>
  <c r="X49" i="123"/>
  <c r="X33" i="123"/>
  <c r="V150" i="125"/>
  <c r="W47" i="126"/>
  <c r="W93" i="126" s="1"/>
  <c r="W48" i="126"/>
  <c r="W94" i="126" s="1"/>
  <c r="V150" i="127"/>
  <c r="D8" i="128"/>
  <c r="D6" i="128"/>
  <c r="D5" i="128" s="1"/>
  <c r="W99" i="123"/>
  <c r="W98" i="123"/>
  <c r="W93" i="118"/>
  <c r="W97" i="118" s="1"/>
  <c r="W104" i="118"/>
  <c r="O95" i="120"/>
  <c r="W179" i="118"/>
  <c r="W181" i="118" s="1"/>
  <c r="W203" i="118" s="1"/>
  <c r="Q80" i="120"/>
  <c r="Q132" i="120"/>
  <c r="Q165" i="120"/>
  <c r="Q150" i="120"/>
  <c r="Q155" i="120" s="1"/>
  <c r="Q157" i="120" s="1"/>
  <c r="Q141" i="120"/>
  <c r="N25" i="120"/>
  <c r="O121" i="120"/>
  <c r="X33" i="114"/>
  <c r="R84" i="120"/>
  <c r="X32" i="114"/>
  <c r="R83" i="120"/>
  <c r="U139" i="118"/>
  <c r="U141" i="118" s="1"/>
  <c r="U195" i="118" s="1"/>
  <c r="W105" i="118"/>
  <c r="W54" i="118"/>
  <c r="W100" i="118" s="1"/>
  <c r="W98" i="118" s="1"/>
  <c r="W27" i="118"/>
  <c r="W124" i="118" s="1"/>
  <c r="W131" i="118" s="1"/>
  <c r="Y31" i="118"/>
  <c r="Y33" i="118" s="1"/>
  <c r="Q115" i="120" s="1"/>
  <c r="U173" i="118"/>
  <c r="U174" i="118" s="1"/>
  <c r="U175" i="118" s="1"/>
  <c r="U148" i="118"/>
  <c r="W156" i="118"/>
  <c r="X56" i="118"/>
  <c r="X101" i="118" s="1"/>
  <c r="W157" i="118"/>
  <c r="W88" i="114"/>
  <c r="X89" i="114"/>
  <c r="X90" i="114"/>
  <c r="Y41" i="114"/>
  <c r="Y44" i="114"/>
  <c r="Y29" i="114"/>
  <c r="Y27" i="114"/>
  <c r="Y47" i="114"/>
  <c r="Y50" i="114"/>
  <c r="Y52" i="114" s="1"/>
  <c r="Y26" i="114"/>
  <c r="X43" i="114"/>
  <c r="X85" i="114" s="1"/>
  <c r="X42" i="114"/>
  <c r="X84" i="114" s="1"/>
  <c r="X139" i="114" s="1"/>
  <c r="Z61" i="114"/>
  <c r="Z60" i="114"/>
  <c r="Z23" i="114"/>
  <c r="Q4" i="114"/>
  <c r="P10" i="114"/>
  <c r="P11" i="114"/>
  <c r="P62" i="114" s="1"/>
  <c r="O162" i="120" l="1"/>
  <c r="P161" i="120"/>
  <c r="P160" i="120"/>
  <c r="V132" i="118"/>
  <c r="V139" i="118"/>
  <c r="P135" i="120"/>
  <c r="P136" i="120"/>
  <c r="O137" i="120"/>
  <c r="Q133" i="120"/>
  <c r="V125" i="118"/>
  <c r="V141" i="118" s="1"/>
  <c r="V195" i="118" s="1"/>
  <c r="Z199" i="118"/>
  <c r="Z74" i="118"/>
  <c r="Z73" i="118"/>
  <c r="Z194" i="118"/>
  <c r="AB58" i="114"/>
  <c r="AB22" i="114" s="1"/>
  <c r="AB28" i="114" s="1"/>
  <c r="AA71" i="118"/>
  <c r="AA61" i="114"/>
  <c r="AA60" i="114"/>
  <c r="AA23" i="114"/>
  <c r="AA182" i="114"/>
  <c r="P112" i="120"/>
  <c r="P113" i="120"/>
  <c r="X104" i="118"/>
  <c r="X66" i="118"/>
  <c r="X93" i="118"/>
  <c r="P40" i="120" s="1"/>
  <c r="P95" i="120"/>
  <c r="X179" i="118"/>
  <c r="X181" i="118" s="1"/>
  <c r="X203" i="118" s="1"/>
  <c r="V92" i="127"/>
  <c r="X27" i="118"/>
  <c r="X124" i="118" s="1"/>
  <c r="X131" i="118" s="1"/>
  <c r="X132" i="118" s="1"/>
  <c r="V92" i="125"/>
  <c r="O40" i="120"/>
  <c r="O57" i="120"/>
  <c r="X54" i="118"/>
  <c r="X100" i="118" s="1"/>
  <c r="X98" i="118" s="1"/>
  <c r="N121" i="114"/>
  <c r="N115" i="114"/>
  <c r="M183" i="114"/>
  <c r="E123" i="120" s="1"/>
  <c r="M180" i="114"/>
  <c r="W97" i="125"/>
  <c r="V92" i="126"/>
  <c r="M131" i="114"/>
  <c r="M132" i="114" s="1"/>
  <c r="M134" i="114" s="1"/>
  <c r="M156" i="114"/>
  <c r="M157" i="114" s="1"/>
  <c r="M158" i="114" s="1"/>
  <c r="M160" i="114" s="1"/>
  <c r="M161" i="114" s="1"/>
  <c r="M164" i="114" s="1"/>
  <c r="V92" i="123"/>
  <c r="W97" i="127"/>
  <c r="X105" i="118"/>
  <c r="Q88" i="120"/>
  <c r="N4" i="128"/>
  <c r="K29" i="128"/>
  <c r="W150" i="124"/>
  <c r="W95" i="126"/>
  <c r="W151" i="126" s="1"/>
  <c r="X50" i="126"/>
  <c r="X99" i="125"/>
  <c r="X98" i="125"/>
  <c r="W150" i="126"/>
  <c r="X50" i="125"/>
  <c r="W95" i="125"/>
  <c r="W151" i="125" s="1"/>
  <c r="X48" i="124"/>
  <c r="X94" i="124" s="1"/>
  <c r="X47" i="124"/>
  <c r="X93" i="124" s="1"/>
  <c r="X50" i="124"/>
  <c r="W95" i="124"/>
  <c r="W151" i="124" s="1"/>
  <c r="X47" i="125"/>
  <c r="X93" i="125" s="1"/>
  <c r="X48" i="125"/>
  <c r="X94" i="125" s="1"/>
  <c r="M12" i="128"/>
  <c r="X98" i="124"/>
  <c r="X99" i="124"/>
  <c r="X98" i="127"/>
  <c r="X99" i="127"/>
  <c r="Y55" i="123"/>
  <c r="Y59" i="123" s="1"/>
  <c r="Y49" i="123"/>
  <c r="Y24" i="123"/>
  <c r="Y46" i="123"/>
  <c r="Y52" i="123"/>
  <c r="Y33" i="123"/>
  <c r="X99" i="123"/>
  <c r="X98" i="123"/>
  <c r="Y24" i="124"/>
  <c r="Y46" i="124"/>
  <c r="Y49" i="124"/>
  <c r="Y52" i="124"/>
  <c r="Y55" i="124"/>
  <c r="Y59" i="124" s="1"/>
  <c r="Y33" i="124"/>
  <c r="X50" i="127"/>
  <c r="W95" i="127"/>
  <c r="W151" i="127" s="1"/>
  <c r="E15" i="128"/>
  <c r="E16" i="128" s="1"/>
  <c r="E14" i="128" s="1"/>
  <c r="E13" i="128" s="1"/>
  <c r="E7" i="128"/>
  <c r="X48" i="123"/>
  <c r="X94" i="123" s="1"/>
  <c r="X47" i="123"/>
  <c r="X93" i="123" s="1"/>
  <c r="O174" i="120"/>
  <c r="Y55" i="125"/>
  <c r="Y59" i="125" s="1"/>
  <c r="Y46" i="125"/>
  <c r="Y52" i="125"/>
  <c r="Y24" i="125"/>
  <c r="Y49" i="125"/>
  <c r="Y33" i="125"/>
  <c r="X48" i="126"/>
  <c r="X94" i="126" s="1"/>
  <c r="X47" i="126"/>
  <c r="X93" i="126" s="1"/>
  <c r="W150" i="125"/>
  <c r="W150" i="123"/>
  <c r="Y52" i="126"/>
  <c r="Y55" i="126"/>
  <c r="Y59" i="126" s="1"/>
  <c r="Y24" i="126"/>
  <c r="Y49" i="126"/>
  <c r="Y46" i="126"/>
  <c r="Y33" i="126"/>
  <c r="Q158" i="120"/>
  <c r="Q170" i="120"/>
  <c r="Q172" i="120" s="1"/>
  <c r="Q173" i="120" s="1"/>
  <c r="O39" i="120"/>
  <c r="W97" i="126"/>
  <c r="W150" i="127"/>
  <c r="Y24" i="127"/>
  <c r="Y49" i="127"/>
  <c r="Y52" i="127"/>
  <c r="Y46" i="127"/>
  <c r="Y55" i="127"/>
  <c r="Y59" i="127" s="1"/>
  <c r="Y33" i="127"/>
  <c r="L20" i="128"/>
  <c r="Z26" i="127"/>
  <c r="Z26" i="126"/>
  <c r="Z26" i="125"/>
  <c r="Z26" i="124"/>
  <c r="Z26" i="123"/>
  <c r="W97" i="123"/>
  <c r="X99" i="126"/>
  <c r="X98" i="126"/>
  <c r="V92" i="124"/>
  <c r="W97" i="124"/>
  <c r="X48" i="127"/>
  <c r="X94" i="127" s="1"/>
  <c r="X47" i="127"/>
  <c r="X93" i="127" s="1"/>
  <c r="X50" i="123"/>
  <c r="W95" i="123"/>
  <c r="W151" i="123" s="1"/>
  <c r="W103" i="118"/>
  <c r="O38" i="120" s="1"/>
  <c r="Y41" i="118"/>
  <c r="Q103" i="120" s="1"/>
  <c r="Y39" i="118"/>
  <c r="Q101" i="120" s="1"/>
  <c r="Y29" i="118"/>
  <c r="Q43" i="120"/>
  <c r="Q41" i="120"/>
  <c r="Q42" i="120"/>
  <c r="R80" i="120"/>
  <c r="R165" i="120"/>
  <c r="R141" i="120"/>
  <c r="R150" i="120"/>
  <c r="R155" i="120" s="1"/>
  <c r="R157" i="120" s="1"/>
  <c r="R132" i="120"/>
  <c r="Y52" i="118"/>
  <c r="Y53" i="118" s="1"/>
  <c r="Y99" i="118" s="1"/>
  <c r="Y33" i="114"/>
  <c r="S84" i="120"/>
  <c r="O25" i="120"/>
  <c r="Y32" i="114"/>
  <c r="S83" i="120"/>
  <c r="Y61" i="118"/>
  <c r="Y65" i="118" s="1"/>
  <c r="Y66" i="118" s="1"/>
  <c r="W125" i="118"/>
  <c r="W138" i="118"/>
  <c r="W147" i="118" s="1"/>
  <c r="W132" i="118"/>
  <c r="Y55" i="118"/>
  <c r="Y58" i="118"/>
  <c r="Z31" i="118"/>
  <c r="Z33" i="118" s="1"/>
  <c r="R115" i="120" s="1"/>
  <c r="V173" i="118"/>
  <c r="V174" i="118" s="1"/>
  <c r="V175" i="118" s="1"/>
  <c r="V148" i="118"/>
  <c r="X156" i="118"/>
  <c r="X157" i="118"/>
  <c r="Y56" i="118"/>
  <c r="Y101" i="118" s="1"/>
  <c r="Q45" i="114"/>
  <c r="P177" i="114"/>
  <c r="Y90" i="114"/>
  <c r="Y89" i="114"/>
  <c r="X88" i="114"/>
  <c r="P162" i="120" s="1"/>
  <c r="Z29" i="114"/>
  <c r="Z41" i="114"/>
  <c r="Z50" i="114"/>
  <c r="Z52" i="114" s="1"/>
  <c r="Z44" i="114"/>
  <c r="Z27" i="114"/>
  <c r="Z47" i="114"/>
  <c r="Z26" i="114"/>
  <c r="Y42" i="114"/>
  <c r="Y84" i="114" s="1"/>
  <c r="Y139" i="114" s="1"/>
  <c r="Y43" i="114"/>
  <c r="Y85" i="114" s="1"/>
  <c r="Q5" i="114"/>
  <c r="Q160" i="120" l="1"/>
  <c r="Q161" i="120" s="1"/>
  <c r="Q136" i="120"/>
  <c r="Q135" i="120"/>
  <c r="Q137" i="120" s="1"/>
  <c r="P137" i="120"/>
  <c r="R133" i="120"/>
  <c r="X97" i="118"/>
  <c r="X103" i="118"/>
  <c r="P38" i="120" s="1"/>
  <c r="AA73" i="118"/>
  <c r="AA74" i="118"/>
  <c r="AA199" i="118"/>
  <c r="AA194" i="118"/>
  <c r="AC58" i="114"/>
  <c r="AC22" i="114" s="1"/>
  <c r="AC28" i="114" s="1"/>
  <c r="AB71" i="118"/>
  <c r="AB61" i="114"/>
  <c r="AB60" i="114"/>
  <c r="AB23" i="114"/>
  <c r="AB182" i="114"/>
  <c r="AA26" i="123"/>
  <c r="S165" i="120"/>
  <c r="AA26" i="114"/>
  <c r="AA27" i="114"/>
  <c r="AA44" i="114"/>
  <c r="S132" i="120"/>
  <c r="S150" i="120"/>
  <c r="S155" i="120" s="1"/>
  <c r="S157" i="120" s="1"/>
  <c r="AA47" i="114"/>
  <c r="S141" i="120"/>
  <c r="AA31" i="118"/>
  <c r="AA50" i="114"/>
  <c r="AA52" i="114" s="1"/>
  <c r="AA26" i="125"/>
  <c r="AA26" i="124"/>
  <c r="S80" i="120"/>
  <c r="AA26" i="127"/>
  <c r="AA26" i="126"/>
  <c r="AA41" i="114"/>
  <c r="AA29" i="114"/>
  <c r="Q112" i="120"/>
  <c r="Q113" i="120"/>
  <c r="X125" i="118"/>
  <c r="P39" i="120"/>
  <c r="P57" i="120"/>
  <c r="X97" i="123"/>
  <c r="W92" i="125"/>
  <c r="Y93" i="118"/>
  <c r="Q39" i="120" s="1"/>
  <c r="P121" i="120"/>
  <c r="M136" i="114"/>
  <c r="M135" i="114"/>
  <c r="N130" i="114"/>
  <c r="N122" i="114"/>
  <c r="N124" i="114" s="1"/>
  <c r="N178" i="114" s="1"/>
  <c r="N179" i="114" s="1"/>
  <c r="P174" i="120"/>
  <c r="W92" i="124"/>
  <c r="W92" i="127"/>
  <c r="R88" i="120"/>
  <c r="O4" i="128"/>
  <c r="X97" i="126"/>
  <c r="Y99" i="125"/>
  <c r="Y98" i="125"/>
  <c r="Y99" i="123"/>
  <c r="Y98" i="123"/>
  <c r="X97" i="124"/>
  <c r="Y50" i="124"/>
  <c r="X95" i="124"/>
  <c r="X151" i="124" s="1"/>
  <c r="X97" i="125"/>
  <c r="Q95" i="120"/>
  <c r="Z24" i="124"/>
  <c r="Z52" i="124"/>
  <c r="Z49" i="124"/>
  <c r="Z46" i="124"/>
  <c r="Z55" i="124"/>
  <c r="Z59" i="124" s="1"/>
  <c r="Z33" i="124"/>
  <c r="Y48" i="126"/>
  <c r="Y94" i="126" s="1"/>
  <c r="Y47" i="126"/>
  <c r="Y93" i="126" s="1"/>
  <c r="W92" i="123"/>
  <c r="X97" i="127"/>
  <c r="Y48" i="124"/>
  <c r="Y94" i="124" s="1"/>
  <c r="Y47" i="124"/>
  <c r="Y93" i="124" s="1"/>
  <c r="Y48" i="123"/>
  <c r="Y94" i="123" s="1"/>
  <c r="Y47" i="123"/>
  <c r="Y93" i="123" s="1"/>
  <c r="M20" i="128"/>
  <c r="Y50" i="127"/>
  <c r="X95" i="127"/>
  <c r="X151" i="127" s="1"/>
  <c r="Z55" i="126"/>
  <c r="Z59" i="126" s="1"/>
  <c r="Z46" i="126"/>
  <c r="Z49" i="126"/>
  <c r="Z52" i="126"/>
  <c r="Z24" i="126"/>
  <c r="Z33" i="126"/>
  <c r="Y99" i="127"/>
  <c r="Y98" i="127"/>
  <c r="E8" i="128"/>
  <c r="E6" i="128"/>
  <c r="E5" i="128" s="1"/>
  <c r="X150" i="124"/>
  <c r="X95" i="126"/>
  <c r="X151" i="126" s="1"/>
  <c r="Y50" i="126"/>
  <c r="Z24" i="125"/>
  <c r="Z55" i="125"/>
  <c r="Z59" i="125" s="1"/>
  <c r="Z49" i="125"/>
  <c r="Z52" i="125"/>
  <c r="Z46" i="125"/>
  <c r="Z33" i="125"/>
  <c r="X150" i="126"/>
  <c r="R158" i="120"/>
  <c r="R170" i="120"/>
  <c r="R172" i="120" s="1"/>
  <c r="R173" i="120" s="1"/>
  <c r="Y54" i="118"/>
  <c r="Y100" i="118" s="1"/>
  <c r="Y98" i="118" s="1"/>
  <c r="X150" i="127"/>
  <c r="Z24" i="127"/>
  <c r="Z52" i="127"/>
  <c r="Z46" i="127"/>
  <c r="Z49" i="127"/>
  <c r="Z55" i="127"/>
  <c r="Z59" i="127" s="1"/>
  <c r="Z33" i="127"/>
  <c r="L29" i="128"/>
  <c r="Y47" i="127"/>
  <c r="Y93" i="127" s="1"/>
  <c r="Y48" i="127"/>
  <c r="Y94" i="127" s="1"/>
  <c r="Y99" i="126"/>
  <c r="Y98" i="126"/>
  <c r="X150" i="123"/>
  <c r="Y50" i="123"/>
  <c r="X95" i="123"/>
  <c r="X151" i="123" s="1"/>
  <c r="Y47" i="125"/>
  <c r="Y93" i="125" s="1"/>
  <c r="Y48" i="125"/>
  <c r="Y94" i="125" s="1"/>
  <c r="Y98" i="124"/>
  <c r="Y99" i="124"/>
  <c r="W92" i="126"/>
  <c r="N12" i="128"/>
  <c r="Z52" i="123"/>
  <c r="Z55" i="123"/>
  <c r="Z59" i="123" s="1"/>
  <c r="Z46" i="123"/>
  <c r="Z24" i="123"/>
  <c r="Z49" i="123"/>
  <c r="Z33" i="123"/>
  <c r="X150" i="125"/>
  <c r="X95" i="125"/>
  <c r="X151" i="125" s="1"/>
  <c r="Y50" i="125"/>
  <c r="Y179" i="118"/>
  <c r="Y181" i="118" s="1"/>
  <c r="Y203" i="118" s="1"/>
  <c r="Y105" i="118"/>
  <c r="Z41" i="118"/>
  <c r="R103" i="120" s="1"/>
  <c r="Z39" i="118"/>
  <c r="R101" i="120" s="1"/>
  <c r="Z29" i="118"/>
  <c r="R43" i="120"/>
  <c r="R41" i="120"/>
  <c r="R42" i="120"/>
  <c r="W139" i="118"/>
  <c r="W141" i="118" s="1"/>
  <c r="W195" i="118" s="1"/>
  <c r="Y104" i="118"/>
  <c r="X138" i="118"/>
  <c r="X147" i="118" s="1"/>
  <c r="Z61" i="118"/>
  <c r="Z65" i="118" s="1"/>
  <c r="Z52" i="118"/>
  <c r="Z54" i="118" s="1"/>
  <c r="Z100" i="118" s="1"/>
  <c r="Z33" i="114"/>
  <c r="T84" i="120"/>
  <c r="Z58" i="118"/>
  <c r="P25" i="120"/>
  <c r="Q121" i="120"/>
  <c r="Z32" i="114"/>
  <c r="T83" i="120"/>
  <c r="Z55" i="118"/>
  <c r="Y27" i="118"/>
  <c r="Y124" i="118" s="1"/>
  <c r="Y131" i="118" s="1"/>
  <c r="Y138" i="118" s="1"/>
  <c r="W173" i="118"/>
  <c r="W174" i="118" s="1"/>
  <c r="W175" i="118" s="1"/>
  <c r="W148" i="118"/>
  <c r="Y156" i="118"/>
  <c r="Z56" i="118"/>
  <c r="Z101" i="118" s="1"/>
  <c r="Y157" i="118"/>
  <c r="R45" i="114"/>
  <c r="Q86" i="114"/>
  <c r="Z90" i="114"/>
  <c r="Z89" i="114"/>
  <c r="Y88" i="114"/>
  <c r="Q174" i="120" s="1"/>
  <c r="Z43" i="114"/>
  <c r="Z85" i="114" s="1"/>
  <c r="Z42" i="114"/>
  <c r="Z84" i="114" s="1"/>
  <c r="Z139" i="114" s="1"/>
  <c r="Q10" i="114"/>
  <c r="R4" i="114"/>
  <c r="Q11" i="114"/>
  <c r="Q62" i="114" s="1"/>
  <c r="R160" i="120" l="1"/>
  <c r="R161" i="120" s="1"/>
  <c r="R135" i="120"/>
  <c r="R136" i="120"/>
  <c r="S133" i="120"/>
  <c r="AA49" i="125"/>
  <c r="AA55" i="125"/>
  <c r="AA59" i="125" s="1"/>
  <c r="AA24" i="125"/>
  <c r="AA52" i="125"/>
  <c r="AA46" i="125"/>
  <c r="AA33" i="125"/>
  <c r="U84" i="120"/>
  <c r="AA33" i="114"/>
  <c r="AB73" i="118"/>
  <c r="AB74" i="118"/>
  <c r="AB199" i="118"/>
  <c r="AB194" i="118"/>
  <c r="S170" i="120"/>
  <c r="S172" i="120" s="1"/>
  <c r="S173" i="120" s="1"/>
  <c r="S158" i="120"/>
  <c r="AA90" i="114"/>
  <c r="AA89" i="114"/>
  <c r="U83" i="120"/>
  <c r="AA32" i="114"/>
  <c r="AD58" i="114"/>
  <c r="AD22" i="114" s="1"/>
  <c r="AD28" i="114" s="1"/>
  <c r="AC71" i="118"/>
  <c r="AC61" i="114"/>
  <c r="AC60" i="114"/>
  <c r="AC23" i="114"/>
  <c r="AC182" i="114"/>
  <c r="P4" i="128"/>
  <c r="P12" i="128" s="1"/>
  <c r="P20" i="128" s="1"/>
  <c r="P29" i="128" s="1"/>
  <c r="S88" i="120"/>
  <c r="AA33" i="118"/>
  <c r="AA39" i="118"/>
  <c r="AA52" i="118"/>
  <c r="AA29" i="118"/>
  <c r="AA58" i="118"/>
  <c r="S43" i="120"/>
  <c r="AA61" i="118"/>
  <c r="AA65" i="118" s="1"/>
  <c r="S41" i="120"/>
  <c r="S42" i="120"/>
  <c r="AA55" i="118"/>
  <c r="AA49" i="124"/>
  <c r="AA52" i="124"/>
  <c r="AA33" i="124"/>
  <c r="AA46" i="124"/>
  <c r="AA24" i="124"/>
  <c r="AA55" i="124"/>
  <c r="AA59" i="124" s="1"/>
  <c r="AA42" i="114"/>
  <c r="AA84" i="114" s="1"/>
  <c r="AA139" i="114" s="1"/>
  <c r="AA43" i="114"/>
  <c r="AA85" i="114" s="1"/>
  <c r="AA49" i="123"/>
  <c r="AA33" i="123"/>
  <c r="AA52" i="123"/>
  <c r="AA24" i="123"/>
  <c r="AA46" i="123"/>
  <c r="AA55" i="123"/>
  <c r="AA59" i="123" s="1"/>
  <c r="AA33" i="126"/>
  <c r="AA52" i="126"/>
  <c r="AA49" i="126"/>
  <c r="AA24" i="126"/>
  <c r="AA46" i="126"/>
  <c r="AA55" i="126"/>
  <c r="AA59" i="126" s="1"/>
  <c r="AA55" i="127"/>
  <c r="AA59" i="127" s="1"/>
  <c r="AA24" i="127"/>
  <c r="AA49" i="127"/>
  <c r="AA46" i="127"/>
  <c r="AA52" i="127"/>
  <c r="AA33" i="127"/>
  <c r="AB26" i="124"/>
  <c r="AB31" i="118"/>
  <c r="AB26" i="125"/>
  <c r="T165" i="120"/>
  <c r="AB26" i="127"/>
  <c r="AB44" i="114"/>
  <c r="T132" i="120"/>
  <c r="AB26" i="126"/>
  <c r="T80" i="120"/>
  <c r="AB41" i="114"/>
  <c r="AB26" i="123"/>
  <c r="AB50" i="114"/>
  <c r="AB52" i="114" s="1"/>
  <c r="T141" i="120"/>
  <c r="AB27" i="114"/>
  <c r="T150" i="120"/>
  <c r="T155" i="120" s="1"/>
  <c r="T157" i="120" s="1"/>
  <c r="AB47" i="114"/>
  <c r="AB26" i="114"/>
  <c r="AB29" i="114"/>
  <c r="R112" i="120"/>
  <c r="R113" i="120"/>
  <c r="Z105" i="118"/>
  <c r="Z66" i="118"/>
  <c r="Q57" i="120"/>
  <c r="Q40" i="120"/>
  <c r="Y97" i="118"/>
  <c r="M137" i="114"/>
  <c r="M184" i="114" s="1"/>
  <c r="M185" i="114" s="1"/>
  <c r="N156" i="114"/>
  <c r="N157" i="114" s="1"/>
  <c r="N158" i="114" s="1"/>
  <c r="N160" i="114" s="1"/>
  <c r="N161" i="114" s="1"/>
  <c r="N164" i="114" s="1"/>
  <c r="N131" i="114"/>
  <c r="N132" i="114" s="1"/>
  <c r="N134" i="114" s="1"/>
  <c r="X92" i="127"/>
  <c r="N183" i="114"/>
  <c r="N180" i="114"/>
  <c r="Y97" i="125"/>
  <c r="X92" i="124"/>
  <c r="Y97" i="126"/>
  <c r="Y97" i="127"/>
  <c r="N20" i="128"/>
  <c r="Z48" i="124"/>
  <c r="Z94" i="124" s="1"/>
  <c r="Z47" i="124"/>
  <c r="Z93" i="124" s="1"/>
  <c r="M29" i="128"/>
  <c r="Z50" i="124"/>
  <c r="Y95" i="124"/>
  <c r="Y151" i="124" s="1"/>
  <c r="Z99" i="125"/>
  <c r="Z98" i="125"/>
  <c r="O12" i="128"/>
  <c r="X92" i="125"/>
  <c r="Z48" i="123"/>
  <c r="Z94" i="123" s="1"/>
  <c r="Z47" i="123"/>
  <c r="Z93" i="123" s="1"/>
  <c r="Y150" i="125"/>
  <c r="Z50" i="123"/>
  <c r="Y95" i="123"/>
  <c r="Y151" i="123" s="1"/>
  <c r="Y150" i="126"/>
  <c r="F7" i="128"/>
  <c r="F15" i="128"/>
  <c r="F16" i="128" s="1"/>
  <c r="F14" i="128" s="1"/>
  <c r="F13" i="128" s="1"/>
  <c r="Z98" i="123"/>
  <c r="Z99" i="123"/>
  <c r="Z50" i="127"/>
  <c r="Y95" i="127"/>
  <c r="Y151" i="127" s="1"/>
  <c r="Y150" i="123"/>
  <c r="Y97" i="123"/>
  <c r="Q162" i="120"/>
  <c r="Z47" i="127"/>
  <c r="Z93" i="127" s="1"/>
  <c r="Z48" i="127"/>
  <c r="Z94" i="127" s="1"/>
  <c r="Z47" i="125"/>
  <c r="Z93" i="125" s="1"/>
  <c r="Z48" i="125"/>
  <c r="Z94" i="125" s="1"/>
  <c r="Z48" i="126"/>
  <c r="Z94" i="126" s="1"/>
  <c r="Z47" i="126"/>
  <c r="Z93" i="126" s="1"/>
  <c r="X92" i="123"/>
  <c r="Z99" i="126"/>
  <c r="Z98" i="126"/>
  <c r="Y150" i="127"/>
  <c r="Z50" i="125"/>
  <c r="Y95" i="125"/>
  <c r="Y151" i="125" s="1"/>
  <c r="Y97" i="124"/>
  <c r="Z99" i="127"/>
  <c r="Z98" i="127"/>
  <c r="X92" i="126"/>
  <c r="Y95" i="126"/>
  <c r="Y151" i="126" s="1"/>
  <c r="Z50" i="126"/>
  <c r="Y150" i="124"/>
  <c r="Z98" i="124"/>
  <c r="Z99" i="124"/>
  <c r="Y103" i="118"/>
  <c r="Q38" i="120" s="1"/>
  <c r="R95" i="120"/>
  <c r="Z104" i="118"/>
  <c r="Q177" i="114"/>
  <c r="Z93" i="118"/>
  <c r="Z97" i="118" s="1"/>
  <c r="Z179" i="118"/>
  <c r="Z181" i="118" s="1"/>
  <c r="Z203" i="118" s="1"/>
  <c r="X139" i="118"/>
  <c r="X141" i="118" s="1"/>
  <c r="X195" i="118" s="1"/>
  <c r="Z53" i="118"/>
  <c r="Z99" i="118" s="1"/>
  <c r="Z98" i="118" s="1"/>
  <c r="Z27" i="118"/>
  <c r="Z124" i="118" s="1"/>
  <c r="Z125" i="118" s="1"/>
  <c r="Q25" i="120"/>
  <c r="Y125" i="118"/>
  <c r="Y132" i="118"/>
  <c r="X173" i="118"/>
  <c r="X174" i="118" s="1"/>
  <c r="X175" i="118" s="1"/>
  <c r="X148" i="118"/>
  <c r="Y147" i="118"/>
  <c r="Y139" i="118"/>
  <c r="Z157" i="118"/>
  <c r="AA56" i="118"/>
  <c r="AA101" i="118" s="1"/>
  <c r="Q140" i="114"/>
  <c r="Q83" i="114"/>
  <c r="S45" i="114"/>
  <c r="R86" i="114"/>
  <c r="Z88" i="114"/>
  <c r="R174" i="120" s="1"/>
  <c r="R5" i="114"/>
  <c r="S160" i="120" l="1"/>
  <c r="S161" i="120" s="1"/>
  <c r="S162" i="120" s="1"/>
  <c r="Z103" i="118"/>
  <c r="R38" i="120" s="1"/>
  <c r="S136" i="120"/>
  <c r="S135" i="120"/>
  <c r="R137" i="120"/>
  <c r="T133" i="120"/>
  <c r="AA88" i="114"/>
  <c r="AB49" i="124"/>
  <c r="AB55" i="124"/>
  <c r="AB59" i="124" s="1"/>
  <c r="AB52" i="124"/>
  <c r="AB46" i="124"/>
  <c r="AB33" i="124"/>
  <c r="AB24" i="124"/>
  <c r="AA48" i="126"/>
  <c r="AA94" i="126" s="1"/>
  <c r="AA47" i="126"/>
  <c r="AA93" i="126" s="1"/>
  <c r="AA150" i="126" s="1"/>
  <c r="S25" i="120"/>
  <c r="AB49" i="126"/>
  <c r="AB33" i="126"/>
  <c r="AB52" i="126"/>
  <c r="AB55" i="126"/>
  <c r="AB59" i="126" s="1"/>
  <c r="AB24" i="126"/>
  <c r="AB46" i="126"/>
  <c r="AC26" i="124"/>
  <c r="AC26" i="123"/>
  <c r="U80" i="120"/>
  <c r="AC41" i="114"/>
  <c r="U165" i="120"/>
  <c r="U141" i="120"/>
  <c r="AC44" i="114"/>
  <c r="AC27" i="114"/>
  <c r="AC26" i="127"/>
  <c r="AC50" i="114"/>
  <c r="AC52" i="114" s="1"/>
  <c r="AC26" i="114"/>
  <c r="AC26" i="126"/>
  <c r="AC31" i="118"/>
  <c r="AC26" i="125"/>
  <c r="AC47" i="114"/>
  <c r="U132" i="120"/>
  <c r="U150" i="120"/>
  <c r="U155" i="120" s="1"/>
  <c r="U157" i="120" s="1"/>
  <c r="AC17" i="114"/>
  <c r="AC20" i="114" s="1"/>
  <c r="AC25" i="114"/>
  <c r="AC29" i="114"/>
  <c r="AA54" i="118"/>
  <c r="AA100" i="118" s="1"/>
  <c r="AA53" i="118"/>
  <c r="AA99" i="118" s="1"/>
  <c r="AA156" i="118" s="1"/>
  <c r="S174" i="120"/>
  <c r="AA48" i="125"/>
  <c r="AA94" i="125" s="1"/>
  <c r="AA47" i="125"/>
  <c r="AA93" i="125" s="1"/>
  <c r="AA150" i="125" s="1"/>
  <c r="AB33" i="127"/>
  <c r="AB46" i="127"/>
  <c r="AB49" i="127"/>
  <c r="AB52" i="127"/>
  <c r="AB55" i="127"/>
  <c r="AB59" i="127" s="1"/>
  <c r="AB24" i="127"/>
  <c r="S101" i="120"/>
  <c r="AC73" i="118"/>
  <c r="AC74" i="118"/>
  <c r="AC199" i="118"/>
  <c r="AC194" i="118"/>
  <c r="AA47" i="127"/>
  <c r="AA93" i="127" s="1"/>
  <c r="AA150" i="127" s="1"/>
  <c r="AA48" i="127"/>
  <c r="AA94" i="127" s="1"/>
  <c r="AB90" i="114"/>
  <c r="T158" i="120"/>
  <c r="T170" i="120"/>
  <c r="AB89" i="114"/>
  <c r="AA98" i="123"/>
  <c r="AA99" i="123"/>
  <c r="AA98" i="124"/>
  <c r="AA99" i="124"/>
  <c r="S115" i="120"/>
  <c r="AA41" i="118"/>
  <c r="S103" i="120" s="1"/>
  <c r="AA93" i="118"/>
  <c r="S95" i="120"/>
  <c r="AA179" i="118"/>
  <c r="AA181" i="118" s="1"/>
  <c r="AA203" i="118" s="1"/>
  <c r="AE58" i="114"/>
  <c r="AE22" i="114" s="1"/>
  <c r="AE28" i="114" s="1"/>
  <c r="AD71" i="118"/>
  <c r="AD61" i="114"/>
  <c r="AD60" i="114"/>
  <c r="AD23" i="114"/>
  <c r="AD182" i="114"/>
  <c r="V83" i="120"/>
  <c r="AB32" i="114"/>
  <c r="AB52" i="123"/>
  <c r="AB55" i="123"/>
  <c r="AB59" i="123" s="1"/>
  <c r="AB46" i="123"/>
  <c r="AB24" i="123"/>
  <c r="AB49" i="123"/>
  <c r="AB33" i="123"/>
  <c r="AB55" i="125"/>
  <c r="AB59" i="125" s="1"/>
  <c r="AB49" i="125"/>
  <c r="AB24" i="125"/>
  <c r="AB33" i="125"/>
  <c r="AB52" i="125"/>
  <c r="AB46" i="125"/>
  <c r="AA99" i="127"/>
  <c r="AA98" i="127"/>
  <c r="AA47" i="123"/>
  <c r="AA93" i="123" s="1"/>
  <c r="AA150" i="123" s="1"/>
  <c r="AA48" i="123"/>
  <c r="AA94" i="123" s="1"/>
  <c r="AA99" i="125"/>
  <c r="AA98" i="125"/>
  <c r="V84" i="120"/>
  <c r="AB33" i="114"/>
  <c r="Q4" i="128"/>
  <c r="Q12" i="128" s="1"/>
  <c r="Q20" i="128" s="1"/>
  <c r="Q29" i="128" s="1"/>
  <c r="T88" i="120"/>
  <c r="AB42" i="114"/>
  <c r="AB84" i="114" s="1"/>
  <c r="AB139" i="114" s="1"/>
  <c r="AB43" i="114"/>
  <c r="AB85" i="114" s="1"/>
  <c r="AB33" i="118"/>
  <c r="T42" i="120"/>
  <c r="AB52" i="118"/>
  <c r="AB39" i="118"/>
  <c r="T43" i="120"/>
  <c r="AB61" i="118"/>
  <c r="AB65" i="118" s="1"/>
  <c r="AB29" i="118"/>
  <c r="T41" i="120"/>
  <c r="AB58" i="118"/>
  <c r="AB55" i="118"/>
  <c r="AA99" i="126"/>
  <c r="AA98" i="126"/>
  <c r="AA47" i="124"/>
  <c r="AA93" i="124" s="1"/>
  <c r="AA150" i="124" s="1"/>
  <c r="AA48" i="124"/>
  <c r="AA94" i="124" s="1"/>
  <c r="AA66" i="118"/>
  <c r="AA104" i="118"/>
  <c r="AA105" i="118"/>
  <c r="E124" i="120"/>
  <c r="Z97" i="124"/>
  <c r="Z97" i="127"/>
  <c r="M191" i="114"/>
  <c r="M186" i="114"/>
  <c r="R162" i="120"/>
  <c r="N135" i="114"/>
  <c r="N136" i="114"/>
  <c r="N137" i="114" s="1"/>
  <c r="N184" i="114" s="1"/>
  <c r="F124" i="120" s="1"/>
  <c r="Y92" i="127"/>
  <c r="F123" i="120"/>
  <c r="Z97" i="125"/>
  <c r="Z97" i="126"/>
  <c r="Y92" i="123"/>
  <c r="Z150" i="125"/>
  <c r="Y92" i="125"/>
  <c r="AA50" i="125"/>
  <c r="Z95" i="125"/>
  <c r="Z151" i="125" s="1"/>
  <c r="Z150" i="123"/>
  <c r="Z95" i="124"/>
  <c r="Z151" i="124" s="1"/>
  <c r="AA50" i="124"/>
  <c r="AA50" i="127"/>
  <c r="Z95" i="127"/>
  <c r="Z151" i="127" s="1"/>
  <c r="F8" i="128"/>
  <c r="F6" i="128"/>
  <c r="F5" i="128" s="1"/>
  <c r="Z150" i="124"/>
  <c r="Y92" i="124"/>
  <c r="Y92" i="126"/>
  <c r="Z150" i="126"/>
  <c r="N29" i="128"/>
  <c r="AA50" i="126"/>
  <c r="Z95" i="126"/>
  <c r="Z151" i="126" s="1"/>
  <c r="Z150" i="127"/>
  <c r="Z97" i="123"/>
  <c r="O20" i="128"/>
  <c r="Z95" i="123"/>
  <c r="Z151" i="123" s="1"/>
  <c r="AA50" i="123"/>
  <c r="R121" i="120"/>
  <c r="R57" i="120"/>
  <c r="R39" i="120"/>
  <c r="R40" i="120"/>
  <c r="Z156" i="118"/>
  <c r="Z131" i="118"/>
  <c r="Z138" i="118" s="1"/>
  <c r="Z139" i="118" s="1"/>
  <c r="Y141" i="118"/>
  <c r="Y195" i="118" s="1"/>
  <c r="R25" i="120"/>
  <c r="S121" i="120"/>
  <c r="Y173" i="118"/>
  <c r="Y174" i="118" s="1"/>
  <c r="Y175" i="118" s="1"/>
  <c r="Y148" i="118"/>
  <c r="AB56" i="118"/>
  <c r="AB101" i="118" s="1"/>
  <c r="R140" i="114"/>
  <c r="R83" i="114"/>
  <c r="T45" i="114"/>
  <c r="S86" i="114"/>
  <c r="R10" i="114"/>
  <c r="S4" i="114"/>
  <c r="R11" i="114"/>
  <c r="R62" i="114" s="1"/>
  <c r="S137" i="120" l="1"/>
  <c r="T160" i="120"/>
  <c r="T161" i="120" s="1"/>
  <c r="T162" i="120" s="1"/>
  <c r="T136" i="120"/>
  <c r="T135" i="120"/>
  <c r="T137" i="120" s="1"/>
  <c r="U133" i="120"/>
  <c r="AA103" i="118"/>
  <c r="S38" i="120" s="1"/>
  <c r="AA97" i="127"/>
  <c r="AB88" i="114"/>
  <c r="AA27" i="118"/>
  <c r="AA124" i="118" s="1"/>
  <c r="AA131" i="118" s="1"/>
  <c r="T101" i="120"/>
  <c r="AB66" i="118"/>
  <c r="AB104" i="118"/>
  <c r="AB105" i="118"/>
  <c r="T25" i="120"/>
  <c r="AB48" i="127"/>
  <c r="AB94" i="127" s="1"/>
  <c r="AB47" i="127"/>
  <c r="AB93" i="127" s="1"/>
  <c r="AB150" i="127" s="1"/>
  <c r="AB48" i="125"/>
  <c r="AB94" i="125" s="1"/>
  <c r="AB47" i="125"/>
  <c r="AB93" i="125" s="1"/>
  <c r="AB150" i="125" s="1"/>
  <c r="T115" i="120"/>
  <c r="AB41" i="118"/>
  <c r="T103" i="120" s="1"/>
  <c r="AB93" i="118"/>
  <c r="AB179" i="118"/>
  <c r="AB181" i="118" s="1"/>
  <c r="AB203" i="118" s="1"/>
  <c r="N66" i="120" s="1"/>
  <c r="T95" i="120"/>
  <c r="S40" i="120"/>
  <c r="S57" i="120"/>
  <c r="AA97" i="118"/>
  <c r="S39" i="120"/>
  <c r="AA97" i="126"/>
  <c r="AD26" i="126"/>
  <c r="V141" i="120"/>
  <c r="AD44" i="114"/>
  <c r="AD26" i="125"/>
  <c r="AD50" i="114"/>
  <c r="AD52" i="114" s="1"/>
  <c r="AD26" i="123"/>
  <c r="AD41" i="114"/>
  <c r="AD26" i="124"/>
  <c r="AD31" i="118"/>
  <c r="AD47" i="114"/>
  <c r="AD26" i="114"/>
  <c r="AD27" i="114"/>
  <c r="V80" i="120"/>
  <c r="V132" i="120"/>
  <c r="V165" i="120"/>
  <c r="AD26" i="127"/>
  <c r="V150" i="120"/>
  <c r="V155" i="120" s="1"/>
  <c r="V157" i="120" s="1"/>
  <c r="AD25" i="114"/>
  <c r="AD24" i="114" s="1"/>
  <c r="AD17" i="114"/>
  <c r="AD29" i="114"/>
  <c r="AC33" i="125"/>
  <c r="AC24" i="125"/>
  <c r="AC49" i="125"/>
  <c r="AC55" i="125"/>
  <c r="AC59" i="125" s="1"/>
  <c r="AC52" i="125"/>
  <c r="AC46" i="125"/>
  <c r="AB99" i="126"/>
  <c r="AB98" i="126"/>
  <c r="AB97" i="126" s="1"/>
  <c r="U41" i="120"/>
  <c r="U42" i="120"/>
  <c r="AC61" i="118"/>
  <c r="AC65" i="118" s="1"/>
  <c r="AC58" i="118"/>
  <c r="AC29" i="118"/>
  <c r="U43" i="120"/>
  <c r="AC55" i="118"/>
  <c r="AC52" i="118"/>
  <c r="AC39" i="118"/>
  <c r="AC33" i="118"/>
  <c r="AB53" i="118"/>
  <c r="AB99" i="118" s="1"/>
  <c r="AB156" i="118" s="1"/>
  <c r="AB54" i="118"/>
  <c r="AB100" i="118" s="1"/>
  <c r="AB47" i="123"/>
  <c r="AB93" i="123" s="1"/>
  <c r="AB150" i="123" s="1"/>
  <c r="AB48" i="123"/>
  <c r="AB94" i="123" s="1"/>
  <c r="S112" i="120"/>
  <c r="S113" i="120"/>
  <c r="R4" i="128"/>
  <c r="U88" i="120"/>
  <c r="AC55" i="126"/>
  <c r="AC59" i="126" s="1"/>
  <c r="AC46" i="126"/>
  <c r="AC24" i="126"/>
  <c r="AC33" i="126"/>
  <c r="AC49" i="126"/>
  <c r="AC52" i="126"/>
  <c r="AC43" i="114"/>
  <c r="AC85" i="114" s="1"/>
  <c r="AC42" i="114"/>
  <c r="AC84" i="114" s="1"/>
  <c r="AC139" i="114" s="1"/>
  <c r="AB47" i="124"/>
  <c r="AB93" i="124" s="1"/>
  <c r="AB150" i="124" s="1"/>
  <c r="AB48" i="124"/>
  <c r="AB94" i="124" s="1"/>
  <c r="AA97" i="125"/>
  <c r="AB99" i="123"/>
  <c r="AB98" i="123"/>
  <c r="AD74" i="118"/>
  <c r="AD73" i="118"/>
  <c r="AD199" i="118"/>
  <c r="AD194" i="118"/>
  <c r="AA97" i="124"/>
  <c r="AC24" i="114"/>
  <c r="AC82" i="114"/>
  <c r="U152" i="120"/>
  <c r="U167" i="120"/>
  <c r="U82" i="120"/>
  <c r="U143" i="120"/>
  <c r="U146" i="120" s="1"/>
  <c r="AC162" i="114"/>
  <c r="AC164" i="114" s="1"/>
  <c r="W83" i="120"/>
  <c r="AC32" i="114"/>
  <c r="AB99" i="127"/>
  <c r="AB98" i="127"/>
  <c r="U158" i="120"/>
  <c r="U170" i="120"/>
  <c r="AC90" i="114"/>
  <c r="AC89" i="114"/>
  <c r="AC55" i="123"/>
  <c r="AC59" i="123" s="1"/>
  <c r="AC46" i="123"/>
  <c r="AC24" i="123"/>
  <c r="AC52" i="123"/>
  <c r="AC49" i="123"/>
  <c r="AC33" i="123"/>
  <c r="T121" i="120"/>
  <c r="AB98" i="124"/>
  <c r="AB99" i="124"/>
  <c r="AF58" i="114"/>
  <c r="AF22" i="114" s="1"/>
  <c r="AF28" i="114" s="1"/>
  <c r="AE71" i="118"/>
  <c r="AE60" i="114"/>
  <c r="AE61" i="114"/>
  <c r="AE23" i="114"/>
  <c r="AE182" i="114"/>
  <c r="AA97" i="123"/>
  <c r="AC24" i="127"/>
  <c r="AC55" i="127"/>
  <c r="AC59" i="127" s="1"/>
  <c r="AC49" i="127"/>
  <c r="AC52" i="127"/>
  <c r="AC33" i="127"/>
  <c r="AC46" i="127"/>
  <c r="AC24" i="124"/>
  <c r="AC52" i="124"/>
  <c r="AC46" i="124"/>
  <c r="AC55" i="124"/>
  <c r="AC59" i="124" s="1"/>
  <c r="AC49" i="124"/>
  <c r="AC33" i="124"/>
  <c r="AB98" i="125"/>
  <c r="AB99" i="125"/>
  <c r="W84" i="120"/>
  <c r="AC33" i="114"/>
  <c r="AB47" i="126"/>
  <c r="AB93" i="126" s="1"/>
  <c r="AB150" i="126" s="1"/>
  <c r="AB48" i="126"/>
  <c r="AB94" i="126" s="1"/>
  <c r="AA98" i="118"/>
  <c r="Z92" i="127"/>
  <c r="Z92" i="124"/>
  <c r="N185" i="114"/>
  <c r="Z92" i="126"/>
  <c r="M192" i="114"/>
  <c r="M193" i="114"/>
  <c r="Z92" i="123"/>
  <c r="O29" i="128"/>
  <c r="AA95" i="123"/>
  <c r="AB50" i="123"/>
  <c r="AB50" i="125"/>
  <c r="AA95" i="125"/>
  <c r="G7" i="128"/>
  <c r="G15" i="128"/>
  <c r="G16" i="128" s="1"/>
  <c r="G14" i="128" s="1"/>
  <c r="G13" i="128" s="1"/>
  <c r="Z92" i="125"/>
  <c r="AA95" i="127"/>
  <c r="AB50" i="127"/>
  <c r="AB50" i="124"/>
  <c r="AA95" i="124"/>
  <c r="AB50" i="126"/>
  <c r="AA95" i="126"/>
  <c r="Z132" i="118"/>
  <c r="Z141" i="118" s="1"/>
  <c r="Z195" i="118" s="1"/>
  <c r="R177" i="114"/>
  <c r="Z147" i="118"/>
  <c r="Z148" i="118" s="1"/>
  <c r="AA157" i="118"/>
  <c r="AC56" i="118"/>
  <c r="AC101" i="118" s="1"/>
  <c r="S140" i="114"/>
  <c r="S83" i="114"/>
  <c r="U45" i="114"/>
  <c r="T86" i="114"/>
  <c r="S5" i="114"/>
  <c r="U161" i="120" l="1"/>
  <c r="U160" i="120"/>
  <c r="U145" i="120"/>
  <c r="U147" i="120" s="1"/>
  <c r="U136" i="120"/>
  <c r="U135" i="120"/>
  <c r="U137" i="120" s="1"/>
  <c r="V133" i="120"/>
  <c r="AA125" i="118"/>
  <c r="AB103" i="118"/>
  <c r="U121" i="120" s="1"/>
  <c r="AB97" i="123"/>
  <c r="AB97" i="124"/>
  <c r="AC47" i="123"/>
  <c r="AC93" i="123" s="1"/>
  <c r="AC150" i="123" s="1"/>
  <c r="AC48" i="123"/>
  <c r="AC94" i="123" s="1"/>
  <c r="U26" i="120"/>
  <c r="U50" i="120"/>
  <c r="AC99" i="123"/>
  <c r="AC98" i="123"/>
  <c r="U81" i="120"/>
  <c r="U166" i="120"/>
  <c r="AC81" i="114"/>
  <c r="U151" i="120"/>
  <c r="U142" i="120"/>
  <c r="AC30" i="114"/>
  <c r="U89" i="120" s="1"/>
  <c r="U101" i="120"/>
  <c r="AD46" i="127"/>
  <c r="AD55" i="127"/>
  <c r="AD59" i="127" s="1"/>
  <c r="AD49" i="127"/>
  <c r="AD33" i="127"/>
  <c r="AD24" i="127"/>
  <c r="AD52" i="127"/>
  <c r="AD24" i="124"/>
  <c r="AD49" i="124"/>
  <c r="AD33" i="124"/>
  <c r="AD55" i="124"/>
  <c r="AD59" i="124" s="1"/>
  <c r="AD52" i="124"/>
  <c r="AD46" i="124"/>
  <c r="AC48" i="127"/>
  <c r="AC94" i="127" s="1"/>
  <c r="AC47" i="127"/>
  <c r="AC93" i="127" s="1"/>
  <c r="AC150" i="127" s="1"/>
  <c r="AC88" i="114"/>
  <c r="U162" i="120" s="1"/>
  <c r="AC54" i="118"/>
  <c r="AC100" i="118" s="1"/>
  <c r="AC53" i="118"/>
  <c r="AC99" i="118" s="1"/>
  <c r="AC156" i="118" s="1"/>
  <c r="AD42" i="114"/>
  <c r="AD84" i="114" s="1"/>
  <c r="AD139" i="114" s="1"/>
  <c r="AD43" i="114"/>
  <c r="AD85" i="114" s="1"/>
  <c r="AA138" i="118"/>
  <c r="AA132" i="118"/>
  <c r="V88" i="120"/>
  <c r="S4" i="128"/>
  <c r="V170" i="120"/>
  <c r="AD90" i="114"/>
  <c r="V158" i="120"/>
  <c r="AD89" i="114"/>
  <c r="AB97" i="125"/>
  <c r="AC47" i="126"/>
  <c r="AC93" i="126" s="1"/>
  <c r="AC150" i="126" s="1"/>
  <c r="AC48" i="126"/>
  <c r="AC94" i="126" s="1"/>
  <c r="V81" i="120"/>
  <c r="V151" i="120"/>
  <c r="V142" i="120"/>
  <c r="V166" i="120"/>
  <c r="AD81" i="114"/>
  <c r="AD30" i="114"/>
  <c r="V89" i="120" s="1"/>
  <c r="X84" i="120"/>
  <c r="AD33" i="114"/>
  <c r="AD52" i="125"/>
  <c r="AD49" i="125"/>
  <c r="AD55" i="125"/>
  <c r="AD59" i="125" s="1"/>
  <c r="AD46" i="125"/>
  <c r="AD33" i="125"/>
  <c r="AD24" i="125"/>
  <c r="AB27" i="118"/>
  <c r="AB124" i="118" s="1"/>
  <c r="AD55" i="123"/>
  <c r="AD59" i="123" s="1"/>
  <c r="AD24" i="123"/>
  <c r="AD52" i="123"/>
  <c r="AD49" i="123"/>
  <c r="AD46" i="123"/>
  <c r="AD33" i="123"/>
  <c r="AC99" i="127"/>
  <c r="AC98" i="127"/>
  <c r="AE73" i="118"/>
  <c r="AE74" i="118"/>
  <c r="AE199" i="118"/>
  <c r="AE194" i="118"/>
  <c r="AC99" i="126"/>
  <c r="AC98" i="126"/>
  <c r="AC48" i="125"/>
  <c r="AC94" i="125" s="1"/>
  <c r="AC47" i="125"/>
  <c r="AC93" i="125" s="1"/>
  <c r="AC150" i="125" s="1"/>
  <c r="X83" i="120"/>
  <c r="AD32" i="114"/>
  <c r="T112" i="120"/>
  <c r="T113" i="120"/>
  <c r="AE26" i="124"/>
  <c r="AE26" i="114"/>
  <c r="AE47" i="114"/>
  <c r="AE26" i="127"/>
  <c r="AE26" i="123"/>
  <c r="AE31" i="118"/>
  <c r="AE50" i="114"/>
  <c r="AE52" i="114" s="1"/>
  <c r="W165" i="120"/>
  <c r="AE27" i="114"/>
  <c r="AE44" i="114"/>
  <c r="W80" i="120"/>
  <c r="W141" i="120"/>
  <c r="AE26" i="126"/>
  <c r="W132" i="120"/>
  <c r="AE26" i="125"/>
  <c r="W150" i="120"/>
  <c r="W155" i="120" s="1"/>
  <c r="W157" i="120" s="1"/>
  <c r="AE41" i="114"/>
  <c r="AE25" i="114"/>
  <c r="AE24" i="114" s="1"/>
  <c r="AE17" i="114"/>
  <c r="AE29" i="114"/>
  <c r="AC98" i="124"/>
  <c r="AC99" i="124"/>
  <c r="AC48" i="124"/>
  <c r="AC94" i="124" s="1"/>
  <c r="AC47" i="124"/>
  <c r="AC93" i="124" s="1"/>
  <c r="AC150" i="124" s="1"/>
  <c r="AF71" i="118"/>
  <c r="AG58" i="114"/>
  <c r="AG22" i="114" s="1"/>
  <c r="AG28" i="114" s="1"/>
  <c r="AF60" i="114"/>
  <c r="AF61" i="114"/>
  <c r="AF23" i="114"/>
  <c r="AF182" i="114"/>
  <c r="AB97" i="127"/>
  <c r="AC66" i="118"/>
  <c r="AC105" i="118"/>
  <c r="AC104" i="118"/>
  <c r="AD82" i="114"/>
  <c r="V167" i="120"/>
  <c r="V82" i="120"/>
  <c r="V152" i="120"/>
  <c r="V143" i="120"/>
  <c r="V146" i="120" s="1"/>
  <c r="AD162" i="114"/>
  <c r="AD164" i="114" s="1"/>
  <c r="AB98" i="118"/>
  <c r="R6" i="128"/>
  <c r="R5" i="128" s="1"/>
  <c r="R12" i="128"/>
  <c r="R20" i="128" s="1"/>
  <c r="R29" i="128" s="1"/>
  <c r="AC93" i="118"/>
  <c r="AC41" i="118"/>
  <c r="U103" i="120" s="1"/>
  <c r="U95" i="120"/>
  <c r="AC179" i="118"/>
  <c r="AC181" i="118" s="1"/>
  <c r="AC203" i="118" s="1"/>
  <c r="AC98" i="125"/>
  <c r="AC99" i="125"/>
  <c r="AD39" i="118"/>
  <c r="V41" i="120"/>
  <c r="AD29" i="118"/>
  <c r="AD58" i="118"/>
  <c r="AD55" i="118"/>
  <c r="V43" i="120"/>
  <c r="V42" i="120"/>
  <c r="AD61" i="118"/>
  <c r="AD65" i="118" s="1"/>
  <c r="AD52" i="118"/>
  <c r="AD33" i="118"/>
  <c r="AD52" i="126"/>
  <c r="AD49" i="126"/>
  <c r="AD55" i="126"/>
  <c r="AD59" i="126" s="1"/>
  <c r="AD24" i="126"/>
  <c r="AD33" i="126"/>
  <c r="AD46" i="126"/>
  <c r="T40" i="120"/>
  <c r="T57" i="120"/>
  <c r="AB97" i="118"/>
  <c r="T39" i="120"/>
  <c r="N191" i="114"/>
  <c r="N186" i="114"/>
  <c r="AC50" i="126"/>
  <c r="AB95" i="126"/>
  <c r="AA151" i="124"/>
  <c r="AA92" i="124"/>
  <c r="AA151" i="126"/>
  <c r="AA92" i="126"/>
  <c r="AC50" i="124"/>
  <c r="AB95" i="124"/>
  <c r="AB95" i="123"/>
  <c r="AC50" i="123"/>
  <c r="AC50" i="127"/>
  <c r="AB95" i="127"/>
  <c r="AA151" i="123"/>
  <c r="AA92" i="123"/>
  <c r="AA151" i="127"/>
  <c r="AA92" i="127"/>
  <c r="G8" i="128"/>
  <c r="G6" i="128"/>
  <c r="G5" i="128" s="1"/>
  <c r="AA151" i="125"/>
  <c r="AA92" i="125"/>
  <c r="AC50" i="125"/>
  <c r="AB95" i="125"/>
  <c r="Z173" i="118"/>
  <c r="Z174" i="118" s="1"/>
  <c r="Z175" i="118" s="1"/>
  <c r="AB157" i="118"/>
  <c r="AD56" i="118"/>
  <c r="AD101" i="118" s="1"/>
  <c r="T140" i="114"/>
  <c r="T83" i="114"/>
  <c r="V45" i="114"/>
  <c r="U86" i="114"/>
  <c r="S10" i="114"/>
  <c r="S11" i="114"/>
  <c r="S62" i="114" s="1"/>
  <c r="T4" i="114"/>
  <c r="V161" i="120" l="1"/>
  <c r="V160" i="120"/>
  <c r="AC98" i="118"/>
  <c r="V145" i="120"/>
  <c r="V147" i="120" s="1"/>
  <c r="V135" i="120"/>
  <c r="V136" i="120"/>
  <c r="W133" i="120"/>
  <c r="T38" i="120"/>
  <c r="AC97" i="125"/>
  <c r="AD88" i="114"/>
  <c r="AC97" i="124"/>
  <c r="V162" i="120"/>
  <c r="AC27" i="118"/>
  <c r="AC124" i="118" s="1"/>
  <c r="AC125" i="118" s="1"/>
  <c r="AC97" i="123"/>
  <c r="AG71" i="118"/>
  <c r="AH58" i="114"/>
  <c r="AH22" i="114" s="1"/>
  <c r="AH28" i="114" s="1"/>
  <c r="AG60" i="114"/>
  <c r="AG61" i="114"/>
  <c r="AG23" i="114"/>
  <c r="AG182" i="114"/>
  <c r="AF73" i="118"/>
  <c r="AF74" i="118"/>
  <c r="AF199" i="118"/>
  <c r="AF194" i="118"/>
  <c r="AC97" i="127"/>
  <c r="AB131" i="118"/>
  <c r="AB125" i="118"/>
  <c r="S12" i="128"/>
  <c r="S20" i="128" s="1"/>
  <c r="S29" i="128" s="1"/>
  <c r="S6" i="128"/>
  <c r="S5" i="128" s="1"/>
  <c r="U25" i="120"/>
  <c r="U112" i="120"/>
  <c r="U113" i="120"/>
  <c r="U122" i="120"/>
  <c r="U57" i="120"/>
  <c r="AC97" i="118"/>
  <c r="U40" i="120"/>
  <c r="U39" i="120"/>
  <c r="W82" i="120"/>
  <c r="W143" i="120"/>
  <c r="W146" i="120" s="1"/>
  <c r="AE82" i="114"/>
  <c r="W167" i="120"/>
  <c r="W152" i="120"/>
  <c r="AE162" i="114"/>
  <c r="AE164" i="114" s="1"/>
  <c r="Y83" i="120"/>
  <c r="AE32" i="114"/>
  <c r="AC97" i="126"/>
  <c r="Y84" i="120"/>
  <c r="AE33" i="114"/>
  <c r="AD80" i="114"/>
  <c r="V24" i="120"/>
  <c r="AE49" i="127"/>
  <c r="AE52" i="127"/>
  <c r="AE33" i="127"/>
  <c r="AE46" i="127"/>
  <c r="AE24" i="127"/>
  <c r="AE55" i="127"/>
  <c r="AE59" i="127" s="1"/>
  <c r="AD98" i="123"/>
  <c r="AD99" i="123"/>
  <c r="AD93" i="118"/>
  <c r="AD41" i="118"/>
  <c r="V103" i="120" s="1"/>
  <c r="AD179" i="118"/>
  <c r="AD181" i="118" s="1"/>
  <c r="AD203" i="118" s="1"/>
  <c r="V95" i="120"/>
  <c r="AE43" i="114"/>
  <c r="AE85" i="114" s="1"/>
  <c r="AE42" i="114"/>
  <c r="AE84" i="114" s="1"/>
  <c r="AE139" i="114" s="1"/>
  <c r="AE52" i="124"/>
  <c r="AE55" i="124"/>
  <c r="AE59" i="124" s="1"/>
  <c r="AE46" i="124"/>
  <c r="AE33" i="124"/>
  <c r="AE49" i="124"/>
  <c r="AE24" i="124"/>
  <c r="AD47" i="126"/>
  <c r="AD93" i="126" s="1"/>
  <c r="AD150" i="126" s="1"/>
  <c r="AD48" i="126"/>
  <c r="AD94" i="126" s="1"/>
  <c r="AD54" i="118"/>
  <c r="AD100" i="118" s="1"/>
  <c r="AD53" i="118"/>
  <c r="AD99" i="118" s="1"/>
  <c r="AD156" i="118" s="1"/>
  <c r="V101" i="120"/>
  <c r="AD47" i="123"/>
  <c r="AD93" i="123" s="1"/>
  <c r="AD150" i="123" s="1"/>
  <c r="AD48" i="123"/>
  <c r="AD94" i="123" s="1"/>
  <c r="AD47" i="125"/>
  <c r="AD93" i="125" s="1"/>
  <c r="AD150" i="125" s="1"/>
  <c r="AD48" i="125"/>
  <c r="AD94" i="125" s="1"/>
  <c r="AA147" i="118"/>
  <c r="AA139" i="118"/>
  <c r="AA141" i="118" s="1"/>
  <c r="AA195" i="118" s="1"/>
  <c r="AD47" i="124"/>
  <c r="AD93" i="124" s="1"/>
  <c r="AD150" i="124" s="1"/>
  <c r="AD48" i="124"/>
  <c r="AD94" i="124" s="1"/>
  <c r="AE81" i="114"/>
  <c r="W81" i="120"/>
  <c r="W151" i="120"/>
  <c r="W166" i="120"/>
  <c r="W142" i="120"/>
  <c r="AE30" i="114"/>
  <c r="W89" i="120" s="1"/>
  <c r="AD66" i="118"/>
  <c r="AD104" i="118"/>
  <c r="AD105" i="118"/>
  <c r="AF26" i="127"/>
  <c r="X165" i="120"/>
  <c r="AF26" i="123"/>
  <c r="AF41" i="114"/>
  <c r="AF26" i="126"/>
  <c r="X141" i="120"/>
  <c r="AF26" i="114"/>
  <c r="AF27" i="114"/>
  <c r="AF26" i="125"/>
  <c r="X132" i="120"/>
  <c r="AF31" i="118"/>
  <c r="AF44" i="114"/>
  <c r="AF26" i="124"/>
  <c r="X80" i="120"/>
  <c r="AF50" i="114"/>
  <c r="AF52" i="114" s="1"/>
  <c r="X150" i="120"/>
  <c r="X155" i="120" s="1"/>
  <c r="X157" i="120" s="1"/>
  <c r="AF47" i="114"/>
  <c r="AF25" i="114"/>
  <c r="AF24" i="114" s="1"/>
  <c r="AF17" i="114"/>
  <c r="AF29" i="114"/>
  <c r="AE49" i="125"/>
  <c r="AE46" i="125"/>
  <c r="AE52" i="125"/>
  <c r="AE55" i="125"/>
  <c r="AE59" i="125" s="1"/>
  <c r="AE24" i="125"/>
  <c r="AE33" i="125"/>
  <c r="W158" i="120"/>
  <c r="W170" i="120"/>
  <c r="AE90" i="114"/>
  <c r="AE89" i="114"/>
  <c r="AD98" i="125"/>
  <c r="AD99" i="125"/>
  <c r="V25" i="120"/>
  <c r="AC80" i="114"/>
  <c r="AC92" i="114" s="1"/>
  <c r="U24" i="120"/>
  <c r="V26" i="120"/>
  <c r="V50" i="120"/>
  <c r="AD99" i="124"/>
  <c r="AD98" i="124"/>
  <c r="AD98" i="127"/>
  <c r="AD99" i="127"/>
  <c r="AE39" i="118"/>
  <c r="AE29" i="118"/>
  <c r="W43" i="120"/>
  <c r="W41" i="120"/>
  <c r="AE55" i="118"/>
  <c r="AE52" i="118"/>
  <c r="AE61" i="118"/>
  <c r="AE65" i="118" s="1"/>
  <c r="W42" i="120"/>
  <c r="AE58" i="118"/>
  <c r="AE33" i="118"/>
  <c r="AD98" i="126"/>
  <c r="AD99" i="126"/>
  <c r="AC103" i="118"/>
  <c r="V121" i="120" s="1"/>
  <c r="T4" i="128"/>
  <c r="W88" i="120"/>
  <c r="AE55" i="126"/>
  <c r="AE59" i="126" s="1"/>
  <c r="AE49" i="126"/>
  <c r="AE52" i="126"/>
  <c r="AE24" i="126"/>
  <c r="AE46" i="126"/>
  <c r="AE33" i="126"/>
  <c r="AE46" i="123"/>
  <c r="AE55" i="123"/>
  <c r="AE59" i="123" s="1"/>
  <c r="AE52" i="123"/>
  <c r="AE33" i="123"/>
  <c r="AE49" i="123"/>
  <c r="AE24" i="123"/>
  <c r="AD47" i="127"/>
  <c r="AD93" i="127" s="1"/>
  <c r="AD150" i="127" s="1"/>
  <c r="AD48" i="127"/>
  <c r="AD94" i="127" s="1"/>
  <c r="N193" i="114"/>
  <c r="N192" i="114"/>
  <c r="AB151" i="126"/>
  <c r="AB92" i="126"/>
  <c r="AB151" i="125"/>
  <c r="AB92" i="125"/>
  <c r="AD50" i="126"/>
  <c r="AC95" i="126"/>
  <c r="AD50" i="123"/>
  <c r="AC95" i="123"/>
  <c r="AB151" i="124"/>
  <c r="AB92" i="124"/>
  <c r="AB151" i="123"/>
  <c r="AB92" i="123"/>
  <c r="AD50" i="124"/>
  <c r="AC95" i="124"/>
  <c r="AD50" i="125"/>
  <c r="AC95" i="125"/>
  <c r="H7" i="128"/>
  <c r="H15" i="128"/>
  <c r="H16" i="128" s="1"/>
  <c r="H14" i="128" s="1"/>
  <c r="H13" i="128" s="1"/>
  <c r="AB151" i="127"/>
  <c r="AB92" i="127"/>
  <c r="AC95" i="127"/>
  <c r="AD50" i="127"/>
  <c r="S177" i="114"/>
  <c r="AC157" i="118"/>
  <c r="AE56" i="118"/>
  <c r="AE101" i="118" s="1"/>
  <c r="U140" i="114"/>
  <c r="U83" i="114"/>
  <c r="W45" i="114"/>
  <c r="V86" i="114"/>
  <c r="T5" i="114"/>
  <c r="W160" i="120" l="1"/>
  <c r="W161" i="120" s="1"/>
  <c r="W145" i="120"/>
  <c r="W147" i="120" s="1"/>
  <c r="V137" i="120"/>
  <c r="W135" i="120"/>
  <c r="W136" i="120"/>
  <c r="X133" i="120"/>
  <c r="AC131" i="118"/>
  <c r="AC138" i="118" s="1"/>
  <c r="AD97" i="127"/>
  <c r="AD97" i="123"/>
  <c r="AF81" i="114"/>
  <c r="X142" i="120"/>
  <c r="X166" i="120"/>
  <c r="X151" i="120"/>
  <c r="X81" i="120"/>
  <c r="AF30" i="114"/>
  <c r="X89" i="120" s="1"/>
  <c r="V112" i="120"/>
  <c r="V113" i="120"/>
  <c r="AG31" i="118"/>
  <c r="AG50" i="114"/>
  <c r="AG52" i="114" s="1"/>
  <c r="Y150" i="120"/>
  <c r="Y155" i="120" s="1"/>
  <c r="Y157" i="120" s="1"/>
  <c r="Y80" i="120"/>
  <c r="AG26" i="114"/>
  <c r="AG44" i="114"/>
  <c r="Y132" i="120"/>
  <c r="AG47" i="114"/>
  <c r="Y165" i="120"/>
  <c r="AG26" i="126"/>
  <c r="AG26" i="127"/>
  <c r="AG26" i="124"/>
  <c r="AG26" i="123"/>
  <c r="AG41" i="114"/>
  <c r="AG27" i="114"/>
  <c r="Y141" i="120"/>
  <c r="AG26" i="125"/>
  <c r="AG25" i="114"/>
  <c r="AG24" i="114" s="1"/>
  <c r="AG17" i="114"/>
  <c r="AG29" i="114"/>
  <c r="Z84" i="120"/>
  <c r="AF33" i="114"/>
  <c r="AE80" i="114"/>
  <c r="W24" i="120"/>
  <c r="AE48" i="127"/>
  <c r="AE94" i="127" s="1"/>
  <c r="AE47" i="127"/>
  <c r="AE93" i="127" s="1"/>
  <c r="AE150" i="127" s="1"/>
  <c r="AF52" i="126"/>
  <c r="AF49" i="126"/>
  <c r="AF33" i="126"/>
  <c r="AF55" i="126"/>
  <c r="AF59" i="126" s="1"/>
  <c r="AF46" i="126"/>
  <c r="AF24" i="126"/>
  <c r="AE47" i="124"/>
  <c r="AE93" i="124" s="1"/>
  <c r="AE150" i="124" s="1"/>
  <c r="AE48" i="124"/>
  <c r="AE94" i="124" s="1"/>
  <c r="V40" i="120"/>
  <c r="AD97" i="118"/>
  <c r="V57" i="120"/>
  <c r="V39" i="120"/>
  <c r="W26" i="120"/>
  <c r="W50" i="120"/>
  <c r="AD97" i="126"/>
  <c r="AD97" i="124"/>
  <c r="AF42" i="114"/>
  <c r="AF84" i="114" s="1"/>
  <c r="AF139" i="114" s="1"/>
  <c r="AF43" i="114"/>
  <c r="AF85" i="114" s="1"/>
  <c r="AA173" i="118"/>
  <c r="AA174" i="118" s="1"/>
  <c r="AA175" i="118" s="1"/>
  <c r="AA148" i="118"/>
  <c r="AE98" i="124"/>
  <c r="AE99" i="124"/>
  <c r="AB132" i="118"/>
  <c r="AB138" i="118"/>
  <c r="AF46" i="124"/>
  <c r="AF49" i="124"/>
  <c r="AF24" i="124"/>
  <c r="AF33" i="124"/>
  <c r="AF52" i="124"/>
  <c r="AF55" i="124"/>
  <c r="AF59" i="124" s="1"/>
  <c r="X43" i="120"/>
  <c r="AF55" i="118"/>
  <c r="X42" i="120"/>
  <c r="AF61" i="118"/>
  <c r="AF65" i="118" s="1"/>
  <c r="AF52" i="118"/>
  <c r="X41" i="120"/>
  <c r="AF58" i="118"/>
  <c r="AF29" i="118"/>
  <c r="AF39" i="118"/>
  <c r="AF33" i="118"/>
  <c r="AF55" i="123"/>
  <c r="AF59" i="123" s="1"/>
  <c r="AF46" i="123"/>
  <c r="AF24" i="123"/>
  <c r="AF33" i="123"/>
  <c r="AF52" i="123"/>
  <c r="AF49" i="123"/>
  <c r="V27" i="120"/>
  <c r="AE47" i="123"/>
  <c r="AE93" i="123" s="1"/>
  <c r="AE150" i="123" s="1"/>
  <c r="AE48" i="123"/>
  <c r="AE94" i="123" s="1"/>
  <c r="T12" i="128"/>
  <c r="T20" i="128" s="1"/>
  <c r="T29" i="128" s="1"/>
  <c r="T6" i="128"/>
  <c r="T5" i="128" s="1"/>
  <c r="X88" i="120"/>
  <c r="U4" i="128"/>
  <c r="AE179" i="118"/>
  <c r="AE181" i="118" s="1"/>
  <c r="AE203" i="118" s="1"/>
  <c r="AE93" i="118"/>
  <c r="AE41" i="118"/>
  <c r="W103" i="120" s="1"/>
  <c r="W95" i="120"/>
  <c r="V122" i="120"/>
  <c r="X167" i="120"/>
  <c r="AF82" i="114"/>
  <c r="X82" i="120"/>
  <c r="X152" i="120"/>
  <c r="X143" i="120"/>
  <c r="X146" i="120" s="1"/>
  <c r="AF162" i="114"/>
  <c r="AF164" i="114" s="1"/>
  <c r="AE99" i="127"/>
  <c r="AE98" i="127"/>
  <c r="AD97" i="114"/>
  <c r="AD92" i="114"/>
  <c r="AC97" i="114"/>
  <c r="AI58" i="114"/>
  <c r="AI22" i="114" s="1"/>
  <c r="AI28" i="114" s="1"/>
  <c r="AH71" i="118"/>
  <c r="AH60" i="114"/>
  <c r="AH61" i="114"/>
  <c r="AH23" i="114"/>
  <c r="AH182" i="114"/>
  <c r="AE48" i="126"/>
  <c r="AE94" i="126" s="1"/>
  <c r="AE47" i="126"/>
  <c r="AE93" i="126" s="1"/>
  <c r="AE150" i="126" s="1"/>
  <c r="AE53" i="118"/>
  <c r="AE99" i="118" s="1"/>
  <c r="AE156" i="118" s="1"/>
  <c r="AE54" i="118"/>
  <c r="AE100" i="118" s="1"/>
  <c r="AE98" i="126"/>
  <c r="AE99" i="126"/>
  <c r="AE98" i="123"/>
  <c r="AE99" i="123"/>
  <c r="W101" i="120"/>
  <c r="AD97" i="125"/>
  <c r="AE98" i="125"/>
  <c r="AE99" i="125"/>
  <c r="AF46" i="125"/>
  <c r="AF52" i="125"/>
  <c r="AF55" i="125"/>
  <c r="AF59" i="125" s="1"/>
  <c r="AF24" i="125"/>
  <c r="AF49" i="125"/>
  <c r="AF33" i="125"/>
  <c r="AF24" i="127"/>
  <c r="AF46" i="127"/>
  <c r="AF55" i="127"/>
  <c r="AF59" i="127" s="1"/>
  <c r="AF49" i="127"/>
  <c r="AF52" i="127"/>
  <c r="AF33" i="127"/>
  <c r="AD98" i="118"/>
  <c r="AG74" i="118"/>
  <c r="AG73" i="118"/>
  <c r="AG199" i="118"/>
  <c r="AG194" i="118"/>
  <c r="U38" i="120"/>
  <c r="AE66" i="118"/>
  <c r="AE104" i="118"/>
  <c r="AE105" i="118"/>
  <c r="U27" i="120"/>
  <c r="AE88" i="114"/>
  <c r="AE47" i="125"/>
  <c r="AE93" i="125" s="1"/>
  <c r="AE150" i="125" s="1"/>
  <c r="AE48" i="125"/>
  <c r="AE94" i="125" s="1"/>
  <c r="X170" i="120"/>
  <c r="X158" i="120"/>
  <c r="AF90" i="114"/>
  <c r="AF89" i="114"/>
  <c r="Z83" i="120"/>
  <c r="AF32" i="114"/>
  <c r="AD103" i="118"/>
  <c r="AD27" i="118"/>
  <c r="AD124" i="118" s="1"/>
  <c r="H8" i="128"/>
  <c r="H6" i="128"/>
  <c r="H5" i="128" s="1"/>
  <c r="AE50" i="124"/>
  <c r="AD95" i="124"/>
  <c r="AE50" i="123"/>
  <c r="AD95" i="123"/>
  <c r="AC151" i="123"/>
  <c r="AC92" i="123"/>
  <c r="AC151" i="124"/>
  <c r="AC92" i="124"/>
  <c r="AC151" i="126"/>
  <c r="AC92" i="126"/>
  <c r="AE50" i="126"/>
  <c r="AD95" i="126"/>
  <c r="AE50" i="127"/>
  <c r="AD95" i="127"/>
  <c r="AC151" i="127"/>
  <c r="AC92" i="127"/>
  <c r="AC151" i="125"/>
  <c r="AC92" i="125"/>
  <c r="AD95" i="125"/>
  <c r="AE50" i="125"/>
  <c r="AF56" i="118"/>
  <c r="AF101" i="118" s="1"/>
  <c r="AD157" i="118"/>
  <c r="V140" i="114"/>
  <c r="V83" i="114"/>
  <c r="X45" i="114"/>
  <c r="W86" i="114"/>
  <c r="T10" i="114"/>
  <c r="T11" i="114"/>
  <c r="T62" i="114" s="1"/>
  <c r="U4" i="114"/>
  <c r="X160" i="120" l="1"/>
  <c r="X161" i="120" s="1"/>
  <c r="X162" i="120" s="1"/>
  <c r="W162" i="120"/>
  <c r="X145" i="120"/>
  <c r="X147" i="120" s="1"/>
  <c r="X135" i="120"/>
  <c r="X136" i="120"/>
  <c r="W137" i="120"/>
  <c r="Y133" i="120"/>
  <c r="AC132" i="118"/>
  <c r="AE103" i="118"/>
  <c r="W38" i="120" s="1"/>
  <c r="AE27" i="118"/>
  <c r="AE124" i="118" s="1"/>
  <c r="AE131" i="118" s="1"/>
  <c r="AG46" i="124"/>
  <c r="AG33" i="124"/>
  <c r="AG24" i="124"/>
  <c r="AG52" i="124"/>
  <c r="AG49" i="124"/>
  <c r="AG55" i="124"/>
  <c r="AG59" i="124" s="1"/>
  <c r="AF99" i="125"/>
  <c r="AF98" i="125"/>
  <c r="AD131" i="118"/>
  <c r="AD125" i="118"/>
  <c r="AE97" i="123"/>
  <c r="AE98" i="118"/>
  <c r="X101" i="120"/>
  <c r="Y167" i="120"/>
  <c r="Y82" i="120"/>
  <c r="AG82" i="114"/>
  <c r="AG162" i="114"/>
  <c r="AG164" i="114" s="1"/>
  <c r="Y143" i="120"/>
  <c r="Y146" i="120" s="1"/>
  <c r="Y152" i="120"/>
  <c r="AG33" i="127"/>
  <c r="AG24" i="127"/>
  <c r="AG52" i="127"/>
  <c r="AG49" i="127"/>
  <c r="AG55" i="127"/>
  <c r="AG59" i="127" s="1"/>
  <c r="AG46" i="127"/>
  <c r="AF179" i="118"/>
  <c r="AF181" i="118" s="1"/>
  <c r="AF203" i="118" s="1"/>
  <c r="X95" i="120"/>
  <c r="AF41" i="118"/>
  <c r="X103" i="120" s="1"/>
  <c r="AF93" i="118"/>
  <c r="AB139" i="118"/>
  <c r="AB141" i="118" s="1"/>
  <c r="AB195" i="118" s="1"/>
  <c r="AB147" i="118"/>
  <c r="AF99" i="127"/>
  <c r="AF98" i="127"/>
  <c r="U6" i="128"/>
  <c r="U5" i="128" s="1"/>
  <c r="U12" i="128"/>
  <c r="U20" i="128" s="1"/>
  <c r="U29" i="128" s="1"/>
  <c r="AG30" i="114"/>
  <c r="Y89" i="120" s="1"/>
  <c r="Y142" i="120"/>
  <c r="AG81" i="114"/>
  <c r="Y81" i="120"/>
  <c r="Y151" i="120"/>
  <c r="Y166" i="120"/>
  <c r="AG52" i="126"/>
  <c r="AG33" i="126"/>
  <c r="AG46" i="126"/>
  <c r="AG55" i="126"/>
  <c r="AG59" i="126" s="1"/>
  <c r="AG24" i="126"/>
  <c r="AG49" i="126"/>
  <c r="AF47" i="127"/>
  <c r="AF93" i="127" s="1"/>
  <c r="AF150" i="127" s="1"/>
  <c r="AF48" i="127"/>
  <c r="AF94" i="127" s="1"/>
  <c r="AE97" i="126"/>
  <c r="AH26" i="125"/>
  <c r="Z132" i="120"/>
  <c r="AH26" i="124"/>
  <c r="AH26" i="123"/>
  <c r="AH41" i="114"/>
  <c r="AH26" i="114"/>
  <c r="Z80" i="120"/>
  <c r="AH31" i="118"/>
  <c r="AH26" i="127"/>
  <c r="Z141" i="120"/>
  <c r="AH47" i="114"/>
  <c r="AH44" i="114"/>
  <c r="AH26" i="126"/>
  <c r="Z150" i="120"/>
  <c r="Z155" i="120" s="1"/>
  <c r="Z157" i="120" s="1"/>
  <c r="AH50" i="114"/>
  <c r="AH52" i="114" s="1"/>
  <c r="AH27" i="114"/>
  <c r="Z165" i="120"/>
  <c r="AH29" i="114"/>
  <c r="AH17" i="114"/>
  <c r="AH25" i="114"/>
  <c r="AH24" i="114" s="1"/>
  <c r="AE97" i="124"/>
  <c r="AG55" i="125"/>
  <c r="AG59" i="125" s="1"/>
  <c r="AG52" i="125"/>
  <c r="AG24" i="125"/>
  <c r="AG49" i="125"/>
  <c r="AG33" i="125"/>
  <c r="AG46" i="125"/>
  <c r="AG29" i="118"/>
  <c r="AG52" i="118"/>
  <c r="Y41" i="120"/>
  <c r="Y42" i="120"/>
  <c r="Y43" i="120"/>
  <c r="AG39" i="118"/>
  <c r="AG58" i="118"/>
  <c r="AG61" i="118"/>
  <c r="AG65" i="118" s="1"/>
  <c r="AG55" i="118"/>
  <c r="AG33" i="118"/>
  <c r="V38" i="120"/>
  <c r="W121" i="120"/>
  <c r="AF47" i="125"/>
  <c r="AF93" i="125" s="1"/>
  <c r="AF150" i="125" s="1"/>
  <c r="AF48" i="125"/>
  <c r="AF94" i="125" s="1"/>
  <c r="AF98" i="124"/>
  <c r="AF99" i="124"/>
  <c r="AG90" i="114"/>
  <c r="Y158" i="120"/>
  <c r="Y170" i="120"/>
  <c r="AG89" i="114"/>
  <c r="W25" i="120"/>
  <c r="W27" i="120" s="1"/>
  <c r="X121" i="120"/>
  <c r="AE97" i="114"/>
  <c r="AE97" i="125"/>
  <c r="AE97" i="127"/>
  <c r="AF47" i="126"/>
  <c r="AF93" i="126" s="1"/>
  <c r="AF150" i="126" s="1"/>
  <c r="AF48" i="126"/>
  <c r="AF94" i="126" s="1"/>
  <c r="AE92" i="114"/>
  <c r="X26" i="120"/>
  <c r="X50" i="120"/>
  <c r="AF88" i="114"/>
  <c r="AC147" i="118"/>
  <c r="AC139" i="118"/>
  <c r="AC141" i="118" s="1"/>
  <c r="AC195" i="118" s="1"/>
  <c r="AF48" i="123"/>
  <c r="AF94" i="123" s="1"/>
  <c r="AF47" i="123"/>
  <c r="AF93" i="123" s="1"/>
  <c r="AF150" i="123" s="1"/>
  <c r="AF54" i="118"/>
  <c r="AF100" i="118" s="1"/>
  <c r="AF53" i="118"/>
  <c r="AF99" i="118" s="1"/>
  <c r="AF156" i="118" s="1"/>
  <c r="AF98" i="126"/>
  <c r="AF99" i="126"/>
  <c r="AA84" i="120"/>
  <c r="AG33" i="114"/>
  <c r="X24" i="120"/>
  <c r="AF80" i="114"/>
  <c r="AH74" i="118"/>
  <c r="AH73" i="118"/>
  <c r="AH199" i="118"/>
  <c r="AH194" i="118"/>
  <c r="AF98" i="123"/>
  <c r="AF99" i="123"/>
  <c r="AF66" i="118"/>
  <c r="AF105" i="118"/>
  <c r="AF104" i="118"/>
  <c r="AG43" i="114"/>
  <c r="AG85" i="114" s="1"/>
  <c r="AG42" i="114"/>
  <c r="AG84" i="114" s="1"/>
  <c r="AG139" i="114" s="1"/>
  <c r="W112" i="120"/>
  <c r="W113" i="120"/>
  <c r="AJ58" i="114"/>
  <c r="AJ22" i="114" s="1"/>
  <c r="AJ28" i="114" s="1"/>
  <c r="AI71" i="118"/>
  <c r="AI61" i="114"/>
  <c r="AI60" i="114"/>
  <c r="AI23" i="114"/>
  <c r="AI182" i="114"/>
  <c r="W122" i="120"/>
  <c r="W57" i="120"/>
  <c r="W40" i="120"/>
  <c r="AE97" i="118"/>
  <c r="W39" i="120"/>
  <c r="AF47" i="124"/>
  <c r="AF93" i="124" s="1"/>
  <c r="AF150" i="124" s="1"/>
  <c r="AF48" i="124"/>
  <c r="AF94" i="124" s="1"/>
  <c r="Y88" i="120"/>
  <c r="V4" i="128"/>
  <c r="AG55" i="123"/>
  <c r="AG59" i="123" s="1"/>
  <c r="AG49" i="123"/>
  <c r="AG52" i="123"/>
  <c r="AG24" i="123"/>
  <c r="AG46" i="123"/>
  <c r="AG33" i="123"/>
  <c r="AA83" i="120"/>
  <c r="AG32" i="114"/>
  <c r="AD151" i="123"/>
  <c r="AD92" i="123"/>
  <c r="AF50" i="123"/>
  <c r="AE95" i="123"/>
  <c r="AD151" i="127"/>
  <c r="AD92" i="127"/>
  <c r="AD151" i="124"/>
  <c r="AD92" i="124"/>
  <c r="I7" i="128"/>
  <c r="I15" i="128"/>
  <c r="I16" i="128" s="1"/>
  <c r="I14" i="128" s="1"/>
  <c r="I13" i="128" s="1"/>
  <c r="AD151" i="125"/>
  <c r="AD92" i="125"/>
  <c r="AF50" i="127"/>
  <c r="AE95" i="127"/>
  <c r="AF50" i="124"/>
  <c r="AE95" i="124"/>
  <c r="AE95" i="125"/>
  <c r="AF50" i="125"/>
  <c r="AD151" i="126"/>
  <c r="AD92" i="126"/>
  <c r="AF50" i="126"/>
  <c r="AE95" i="126"/>
  <c r="T177" i="114"/>
  <c r="AG56" i="118"/>
  <c r="AG101" i="118" s="1"/>
  <c r="AE157" i="118"/>
  <c r="W140" i="114"/>
  <c r="W83" i="114"/>
  <c r="Y45" i="114"/>
  <c r="X86" i="114"/>
  <c r="U5" i="114"/>
  <c r="Y160" i="120" l="1"/>
  <c r="Y161" i="120" s="1"/>
  <c r="Y162" i="120" s="1"/>
  <c r="Y145" i="120"/>
  <c r="Y147" i="120" s="1"/>
  <c r="Y135" i="120"/>
  <c r="Y136" i="120"/>
  <c r="X137" i="120"/>
  <c r="Z133" i="120"/>
  <c r="AG88" i="114"/>
  <c r="AF27" i="118"/>
  <c r="AF124" i="118" s="1"/>
  <c r="AF125" i="118" s="1"/>
  <c r="AF97" i="127"/>
  <c r="AE125" i="118"/>
  <c r="AF97" i="125"/>
  <c r="AF98" i="118"/>
  <c r="AF97" i="124"/>
  <c r="AF97" i="126"/>
  <c r="AK58" i="114"/>
  <c r="AK22" i="114" s="1"/>
  <c r="AK28" i="114" s="1"/>
  <c r="AJ71" i="118"/>
  <c r="AJ61" i="114"/>
  <c r="AJ60" i="114"/>
  <c r="AJ23" i="114"/>
  <c r="AJ182" i="114"/>
  <c r="AF97" i="114"/>
  <c r="AF92" i="114"/>
  <c r="Z158" i="120"/>
  <c r="Z170" i="120"/>
  <c r="AH90" i="114"/>
  <c r="AH89" i="114"/>
  <c r="X112" i="120"/>
  <c r="X113" i="120"/>
  <c r="AG99" i="123"/>
  <c r="AG98" i="123"/>
  <c r="AG66" i="118"/>
  <c r="AG105" i="118"/>
  <c r="AG104" i="118"/>
  <c r="AG47" i="125"/>
  <c r="AG93" i="125" s="1"/>
  <c r="AG150" i="125" s="1"/>
  <c r="AG48" i="125"/>
  <c r="AG94" i="125" s="1"/>
  <c r="AB83" i="120"/>
  <c r="AH32" i="114"/>
  <c r="AG99" i="124"/>
  <c r="AG98" i="124"/>
  <c r="Y25" i="120"/>
  <c r="AE138" i="118"/>
  <c r="AE132" i="118"/>
  <c r="AC173" i="118"/>
  <c r="AC174" i="118" s="1"/>
  <c r="AC175" i="118" s="1"/>
  <c r="AC148" i="118"/>
  <c r="AH49" i="124"/>
  <c r="AH33" i="124"/>
  <c r="AH24" i="124"/>
  <c r="AH52" i="124"/>
  <c r="AH46" i="124"/>
  <c r="AH55" i="124"/>
  <c r="AH59" i="124" s="1"/>
  <c r="AG99" i="126"/>
  <c r="AG98" i="126"/>
  <c r="AG98" i="127"/>
  <c r="AG99" i="127"/>
  <c r="Y26" i="120"/>
  <c r="Y50" i="120"/>
  <c r="AD132" i="118"/>
  <c r="AD138" i="118"/>
  <c r="V12" i="128"/>
  <c r="V20" i="128" s="1"/>
  <c r="V29" i="128" s="1"/>
  <c r="V6" i="128"/>
  <c r="V5" i="128" s="1"/>
  <c r="AH46" i="123"/>
  <c r="AH24" i="123"/>
  <c r="AH55" i="123"/>
  <c r="AH59" i="123" s="1"/>
  <c r="AH33" i="123"/>
  <c r="AH49" i="123"/>
  <c r="AH52" i="123"/>
  <c r="AI26" i="126"/>
  <c r="AI44" i="114"/>
  <c r="AA141" i="120"/>
  <c r="AI27" i="114"/>
  <c r="AI26" i="125"/>
  <c r="AI41" i="114"/>
  <c r="AI26" i="124"/>
  <c r="AA80" i="120"/>
  <c r="AI26" i="123"/>
  <c r="AA150" i="120"/>
  <c r="AA155" i="120" s="1"/>
  <c r="AA157" i="120" s="1"/>
  <c r="AA132" i="120"/>
  <c r="AI31" i="118"/>
  <c r="AI26" i="114"/>
  <c r="AI26" i="127"/>
  <c r="AI47" i="114"/>
  <c r="AA165" i="120"/>
  <c r="AI50" i="114"/>
  <c r="AI52" i="114" s="1"/>
  <c r="AI29" i="114"/>
  <c r="AI25" i="114"/>
  <c r="AI17" i="114"/>
  <c r="AG47" i="123"/>
  <c r="AG93" i="123" s="1"/>
  <c r="AG150" i="123" s="1"/>
  <c r="AG48" i="123"/>
  <c r="AG94" i="123" s="1"/>
  <c r="X25" i="120"/>
  <c r="X27" i="120" s="1"/>
  <c r="Z88" i="120"/>
  <c r="W4" i="128"/>
  <c r="AG48" i="126"/>
  <c r="AG94" i="126" s="1"/>
  <c r="AG47" i="126"/>
  <c r="AG93" i="126" s="1"/>
  <c r="AG150" i="126" s="1"/>
  <c r="X122" i="120"/>
  <c r="X40" i="120"/>
  <c r="AF97" i="118"/>
  <c r="X57" i="120"/>
  <c r="X39" i="120"/>
  <c r="AH42" i="114"/>
  <c r="AH84" i="114" s="1"/>
  <c r="AH139" i="114" s="1"/>
  <c r="AH43" i="114"/>
  <c r="AH85" i="114" s="1"/>
  <c r="Y101" i="120"/>
  <c r="AG47" i="118"/>
  <c r="AH162" i="114"/>
  <c r="AH164" i="114" s="1"/>
  <c r="Z143" i="120"/>
  <c r="Z146" i="120" s="1"/>
  <c r="Z167" i="120"/>
  <c r="AH82" i="114"/>
  <c r="Z152" i="120"/>
  <c r="Z82" i="120"/>
  <c r="AG99" i="125"/>
  <c r="AG98" i="125"/>
  <c r="AH55" i="127"/>
  <c r="AH59" i="127" s="1"/>
  <c r="AH24" i="127"/>
  <c r="AH49" i="127"/>
  <c r="AH52" i="127"/>
  <c r="AH46" i="127"/>
  <c r="AH33" i="127"/>
  <c r="AH24" i="125"/>
  <c r="AH52" i="125"/>
  <c r="AH46" i="125"/>
  <c r="AH55" i="125"/>
  <c r="AH59" i="125" s="1"/>
  <c r="AH49" i="125"/>
  <c r="AH33" i="125"/>
  <c r="AG48" i="124"/>
  <c r="AG94" i="124" s="1"/>
  <c r="AG47" i="124"/>
  <c r="AG93" i="124" s="1"/>
  <c r="AG150" i="124" s="1"/>
  <c r="AH30" i="114"/>
  <c r="Z89" i="120" s="1"/>
  <c r="Z81" i="120"/>
  <c r="Z151" i="120"/>
  <c r="Z166" i="120"/>
  <c r="AH81" i="114"/>
  <c r="Z142" i="120"/>
  <c r="AH52" i="126"/>
  <c r="AH55" i="126"/>
  <c r="AH59" i="126" s="1"/>
  <c r="AH46" i="126"/>
  <c r="AH24" i="126"/>
  <c r="AH33" i="126"/>
  <c r="AH49" i="126"/>
  <c r="AF97" i="123"/>
  <c r="AG80" i="114"/>
  <c r="AG92" i="114" s="1"/>
  <c r="Y24" i="120"/>
  <c r="AB173" i="118"/>
  <c r="AB174" i="118" s="1"/>
  <c r="AB175" i="118" s="1"/>
  <c r="AB148" i="118"/>
  <c r="AG48" i="127"/>
  <c r="AG94" i="127" s="1"/>
  <c r="AG47" i="127"/>
  <c r="AG93" i="127" s="1"/>
  <c r="AG150" i="127" s="1"/>
  <c r="AI73" i="118"/>
  <c r="AI74" i="118"/>
  <c r="AI199" i="118"/>
  <c r="AI194" i="118"/>
  <c r="AF103" i="118"/>
  <c r="Y121" i="120" s="1"/>
  <c r="AG41" i="118"/>
  <c r="Y103" i="120" s="1"/>
  <c r="AG93" i="118"/>
  <c r="Y95" i="120"/>
  <c r="AG179" i="118"/>
  <c r="AG181" i="118" s="1"/>
  <c r="AG203" i="118" s="1"/>
  <c r="O66" i="120" s="1"/>
  <c r="AG53" i="118"/>
  <c r="AG99" i="118" s="1"/>
  <c r="AG156" i="118" s="1"/>
  <c r="AG54" i="118"/>
  <c r="AG100" i="118" s="1"/>
  <c r="AB84" i="120"/>
  <c r="AH33" i="114"/>
  <c r="AH39" i="118"/>
  <c r="AH52" i="118"/>
  <c r="AH61" i="118"/>
  <c r="AH65" i="118" s="1"/>
  <c r="AH29" i="118"/>
  <c r="Z42" i="120"/>
  <c r="AH58" i="118"/>
  <c r="Z41" i="120"/>
  <c r="AH55" i="118"/>
  <c r="Z43" i="120"/>
  <c r="AH33" i="118"/>
  <c r="AE151" i="126"/>
  <c r="AE92" i="126"/>
  <c r="AG50" i="126"/>
  <c r="AF95" i="126"/>
  <c r="I8" i="128"/>
  <c r="I6" i="128"/>
  <c r="I5" i="128" s="1"/>
  <c r="AG50" i="125"/>
  <c r="AF95" i="125"/>
  <c r="AE151" i="125"/>
  <c r="AE92" i="125"/>
  <c r="AE151" i="127"/>
  <c r="AE92" i="127"/>
  <c r="AG50" i="127"/>
  <c r="AF95" i="127"/>
  <c r="AE151" i="123"/>
  <c r="AE92" i="123"/>
  <c r="AE151" i="124"/>
  <c r="AE92" i="124"/>
  <c r="AG50" i="123"/>
  <c r="AF95" i="123"/>
  <c r="AG50" i="124"/>
  <c r="AF95" i="124"/>
  <c r="AF157" i="118"/>
  <c r="AH56" i="118"/>
  <c r="AH101" i="118" s="1"/>
  <c r="X140" i="114"/>
  <c r="X83" i="114"/>
  <c r="Z45" i="114"/>
  <c r="Y86" i="114"/>
  <c r="V4" i="114"/>
  <c r="U11" i="114"/>
  <c r="U62" i="114" s="1"/>
  <c r="U10" i="114"/>
  <c r="Z161" i="120" l="1"/>
  <c r="Z160" i="120"/>
  <c r="Z145" i="120"/>
  <c r="Z147" i="120" s="1"/>
  <c r="Z135" i="120"/>
  <c r="Z136" i="120"/>
  <c r="Y137" i="120"/>
  <c r="AA133" i="120"/>
  <c r="AF131" i="118"/>
  <c r="AF132" i="118" s="1"/>
  <c r="AG97" i="125"/>
  <c r="AG97" i="124"/>
  <c r="AG97" i="123"/>
  <c r="AG97" i="126"/>
  <c r="AH88" i="114"/>
  <c r="Z162" i="120" s="1"/>
  <c r="AG103" i="118"/>
  <c r="Y38" i="120" s="1"/>
  <c r="AG97" i="127"/>
  <c r="Z121" i="120"/>
  <c r="AG98" i="118"/>
  <c r="AH66" i="118"/>
  <c r="AH104" i="118"/>
  <c r="AH105" i="118"/>
  <c r="AH47" i="125"/>
  <c r="AH93" i="125" s="1"/>
  <c r="AH150" i="125" s="1"/>
  <c r="AH48" i="125"/>
  <c r="AH94" i="125" s="1"/>
  <c r="AH99" i="127"/>
  <c r="AH98" i="127"/>
  <c r="AA167" i="120"/>
  <c r="AA152" i="120"/>
  <c r="AI82" i="114"/>
  <c r="AA143" i="120"/>
  <c r="AA146" i="120" s="1"/>
  <c r="AI162" i="114"/>
  <c r="AI164" i="114" s="1"/>
  <c r="AA82" i="120"/>
  <c r="AH47" i="123"/>
  <c r="AH93" i="123" s="1"/>
  <c r="AH150" i="123" s="1"/>
  <c r="AH48" i="123"/>
  <c r="AH94" i="123" s="1"/>
  <c r="AG97" i="114"/>
  <c r="I18" i="120" s="1"/>
  <c r="I65" i="120" s="1"/>
  <c r="AF138" i="118"/>
  <c r="AE139" i="118"/>
  <c r="AE141" i="118" s="1"/>
  <c r="AE195" i="118" s="1"/>
  <c r="AE147" i="118"/>
  <c r="Y40" i="120"/>
  <c r="AG97" i="118"/>
  <c r="Y57" i="120"/>
  <c r="Y39" i="120"/>
  <c r="Z101" i="120"/>
  <c r="AI90" i="114"/>
  <c r="AA158" i="120"/>
  <c r="AA170" i="120"/>
  <c r="AI89" i="114"/>
  <c r="AI46" i="123"/>
  <c r="AI49" i="123"/>
  <c r="AI55" i="123"/>
  <c r="AI59" i="123" s="1"/>
  <c r="AI24" i="123"/>
  <c r="AI33" i="123"/>
  <c r="AI52" i="123"/>
  <c r="AI52" i="126"/>
  <c r="AI46" i="126"/>
  <c r="AI55" i="126"/>
  <c r="AI59" i="126" s="1"/>
  <c r="AI24" i="126"/>
  <c r="AI49" i="126"/>
  <c r="AI33" i="126"/>
  <c r="Z25" i="120"/>
  <c r="AC84" i="120"/>
  <c r="AI33" i="114"/>
  <c r="AD147" i="118"/>
  <c r="AD139" i="118"/>
  <c r="AD141" i="118" s="1"/>
  <c r="AD195" i="118" s="1"/>
  <c r="W12" i="128"/>
  <c r="W20" i="128" s="1"/>
  <c r="W29" i="128" s="1"/>
  <c r="W6" i="128"/>
  <c r="W5" i="128" s="1"/>
  <c r="AH41" i="118"/>
  <c r="Z103" i="120" s="1"/>
  <c r="AH93" i="118"/>
  <c r="Z122" i="120" s="1"/>
  <c r="AH179" i="118"/>
  <c r="AH181" i="118" s="1"/>
  <c r="AH203" i="118" s="1"/>
  <c r="Z95" i="120"/>
  <c r="AA88" i="120"/>
  <c r="X4" i="128"/>
  <c r="AB150" i="120"/>
  <c r="AB155" i="120" s="1"/>
  <c r="AB157" i="120" s="1"/>
  <c r="AB165" i="120"/>
  <c r="AJ44" i="114"/>
  <c r="AJ26" i="125"/>
  <c r="AJ26" i="124"/>
  <c r="AB141" i="120"/>
  <c r="AJ47" i="114"/>
  <c r="AJ26" i="126"/>
  <c r="AJ26" i="127"/>
  <c r="AJ26" i="123"/>
  <c r="AB80" i="120"/>
  <c r="AJ50" i="114"/>
  <c r="AJ52" i="114" s="1"/>
  <c r="AJ27" i="114"/>
  <c r="AJ26" i="114"/>
  <c r="AB132" i="120"/>
  <c r="AJ41" i="114"/>
  <c r="AJ31" i="118"/>
  <c r="AJ29" i="114"/>
  <c r="AJ25" i="114"/>
  <c r="AJ17" i="114"/>
  <c r="AH47" i="126"/>
  <c r="AH93" i="126" s="1"/>
  <c r="AH150" i="126" s="1"/>
  <c r="AH48" i="126"/>
  <c r="AH94" i="126" s="1"/>
  <c r="AG27" i="118"/>
  <c r="AG124" i="118" s="1"/>
  <c r="X38" i="120"/>
  <c r="AH99" i="126"/>
  <c r="AH98" i="126"/>
  <c r="Y27" i="120"/>
  <c r="AH47" i="127"/>
  <c r="AH93" i="127" s="1"/>
  <c r="AH150" i="127" s="1"/>
  <c r="AH48" i="127"/>
  <c r="AH94" i="127" s="1"/>
  <c r="Y112" i="120"/>
  <c r="Y113" i="120"/>
  <c r="AI33" i="124"/>
  <c r="AI46" i="124"/>
  <c r="AI24" i="124"/>
  <c r="AI55" i="124"/>
  <c r="AI59" i="124" s="1"/>
  <c r="AI49" i="124"/>
  <c r="AI52" i="124"/>
  <c r="AH99" i="124"/>
  <c r="AH98" i="124"/>
  <c r="AJ73" i="118"/>
  <c r="AJ74" i="118"/>
  <c r="AJ199" i="118"/>
  <c r="AJ194" i="118"/>
  <c r="AI55" i="118"/>
  <c r="AI39" i="118"/>
  <c r="AI58" i="118"/>
  <c r="AI29" i="118"/>
  <c r="AI52" i="118"/>
  <c r="AA41" i="120"/>
  <c r="AA43" i="120"/>
  <c r="AI61" i="118"/>
  <c r="AI65" i="118" s="1"/>
  <c r="AA42" i="120"/>
  <c r="AI33" i="118"/>
  <c r="AH53" i="118"/>
  <c r="AH99" i="118" s="1"/>
  <c r="AH156" i="118" s="1"/>
  <c r="AH54" i="118"/>
  <c r="AH100" i="118" s="1"/>
  <c r="AI33" i="127"/>
  <c r="AI24" i="127"/>
  <c r="AI52" i="127"/>
  <c r="AI46" i="127"/>
  <c r="AI49" i="127"/>
  <c r="AI55" i="127"/>
  <c r="AI59" i="127" s="1"/>
  <c r="AI42" i="114"/>
  <c r="AI84" i="114" s="1"/>
  <c r="AI139" i="114" s="1"/>
  <c r="AI43" i="114"/>
  <c r="AI85" i="114" s="1"/>
  <c r="AH48" i="124"/>
  <c r="AH94" i="124" s="1"/>
  <c r="AH47" i="124"/>
  <c r="AH93" i="124" s="1"/>
  <c r="AH150" i="124" s="1"/>
  <c r="AL58" i="114"/>
  <c r="AL22" i="114" s="1"/>
  <c r="AL28" i="114" s="1"/>
  <c r="AK71" i="118"/>
  <c r="AK61" i="114"/>
  <c r="AK60" i="114"/>
  <c r="AK23" i="114"/>
  <c r="AK182" i="114"/>
  <c r="AH99" i="125"/>
  <c r="AH98" i="125"/>
  <c r="AH97" i="125" s="1"/>
  <c r="AH80" i="114"/>
  <c r="Z24" i="120"/>
  <c r="Z26" i="120"/>
  <c r="Z50" i="120"/>
  <c r="AI24" i="114"/>
  <c r="AC83" i="120"/>
  <c r="AI32" i="114"/>
  <c r="AI33" i="125"/>
  <c r="AI49" i="125"/>
  <c r="AI24" i="125"/>
  <c r="AI52" i="125"/>
  <c r="AI46" i="125"/>
  <c r="AI55" i="125"/>
  <c r="AI59" i="125" s="1"/>
  <c r="AH99" i="123"/>
  <c r="AH98" i="123"/>
  <c r="Y122" i="120"/>
  <c r="AF151" i="125"/>
  <c r="AF92" i="125"/>
  <c r="AF151" i="126"/>
  <c r="AF92" i="126"/>
  <c r="AF151" i="123"/>
  <c r="AF92" i="123"/>
  <c r="AH50" i="123"/>
  <c r="AG95" i="123"/>
  <c r="AH50" i="125"/>
  <c r="AG95" i="125"/>
  <c r="AH50" i="126"/>
  <c r="AG95" i="126"/>
  <c r="J7" i="128"/>
  <c r="J15" i="128"/>
  <c r="J16" i="128" s="1"/>
  <c r="J14" i="128" s="1"/>
  <c r="J13" i="128" s="1"/>
  <c r="AF151" i="124"/>
  <c r="AF92" i="124"/>
  <c r="AF151" i="127"/>
  <c r="AF92" i="127"/>
  <c r="AH50" i="124"/>
  <c r="AG95" i="124"/>
  <c r="AH50" i="127"/>
  <c r="AG95" i="127"/>
  <c r="U177" i="114"/>
  <c r="AG157" i="118"/>
  <c r="AI56" i="118"/>
  <c r="AI101" i="118" s="1"/>
  <c r="Y140" i="114"/>
  <c r="Y83" i="114"/>
  <c r="AA45" i="114"/>
  <c r="Z86" i="114"/>
  <c r="V5" i="114"/>
  <c r="AA161" i="120" l="1"/>
  <c r="AA160" i="120"/>
  <c r="AA145" i="120"/>
  <c r="AA147" i="120" s="1"/>
  <c r="AA136" i="120"/>
  <c r="AA135" i="120"/>
  <c r="AA137" i="120" s="1"/>
  <c r="Z137" i="120"/>
  <c r="AB133" i="120"/>
  <c r="AH97" i="126"/>
  <c r="AH98" i="118"/>
  <c r="AH97" i="124"/>
  <c r="AI88" i="114"/>
  <c r="AA162" i="120" s="1"/>
  <c r="AI47" i="126"/>
  <c r="AI93" i="126" s="1"/>
  <c r="AI150" i="126" s="1"/>
  <c r="AI48" i="126"/>
  <c r="AI94" i="126" s="1"/>
  <c r="AI99" i="125"/>
  <c r="AI98" i="125"/>
  <c r="AI99" i="124"/>
  <c r="AI98" i="124"/>
  <c r="AJ24" i="124"/>
  <c r="AJ55" i="124"/>
  <c r="AJ59" i="124" s="1"/>
  <c r="AJ52" i="124"/>
  <c r="AJ49" i="124"/>
  <c r="AJ46" i="124"/>
  <c r="AJ33" i="124"/>
  <c r="AH97" i="127"/>
  <c r="AD83" i="120"/>
  <c r="AJ32" i="114"/>
  <c r="AI30" i="114"/>
  <c r="AA89" i="120" s="1"/>
  <c r="AA142" i="120"/>
  <c r="AA81" i="120"/>
  <c r="AA166" i="120"/>
  <c r="AA151" i="120"/>
  <c r="AI81" i="114"/>
  <c r="AD84" i="120"/>
  <c r="AJ33" i="114"/>
  <c r="AI48" i="125"/>
  <c r="AI94" i="125" s="1"/>
  <c r="AI47" i="125"/>
  <c r="AI93" i="125" s="1"/>
  <c r="AI150" i="125" s="1"/>
  <c r="AB170" i="120"/>
  <c r="AB158" i="120"/>
  <c r="AJ90" i="114"/>
  <c r="AJ89" i="114"/>
  <c r="AJ24" i="125"/>
  <c r="AJ52" i="125"/>
  <c r="AJ46" i="125"/>
  <c r="AJ55" i="125"/>
  <c r="AJ59" i="125" s="1"/>
  <c r="AJ33" i="125"/>
  <c r="AJ49" i="125"/>
  <c r="Z40" i="120"/>
  <c r="Z57" i="120"/>
  <c r="AH97" i="118"/>
  <c r="Z39" i="120"/>
  <c r="AI53" i="118"/>
  <c r="AI99" i="118" s="1"/>
  <c r="AI156" i="118" s="1"/>
  <c r="AI54" i="118"/>
  <c r="AI100" i="118" s="1"/>
  <c r="AE173" i="118"/>
  <c r="AE174" i="118" s="1"/>
  <c r="AE175" i="118" s="1"/>
  <c r="AE148" i="118"/>
  <c r="AB88" i="120"/>
  <c r="Y4" i="128"/>
  <c r="AJ46" i="123"/>
  <c r="AJ49" i="123"/>
  <c r="AJ52" i="123"/>
  <c r="AJ33" i="123"/>
  <c r="AJ55" i="123"/>
  <c r="AJ59" i="123" s="1"/>
  <c r="AJ24" i="123"/>
  <c r="AI66" i="118"/>
  <c r="AI104" i="118"/>
  <c r="AI105" i="118"/>
  <c r="AC150" i="120"/>
  <c r="AC155" i="120" s="1"/>
  <c r="AC157" i="120" s="1"/>
  <c r="AK26" i="114"/>
  <c r="AK32" i="114" s="1"/>
  <c r="AK26" i="123"/>
  <c r="AK26" i="127"/>
  <c r="AC132" i="120"/>
  <c r="AK26" i="126"/>
  <c r="AK27" i="114"/>
  <c r="AK33" i="114" s="1"/>
  <c r="AK26" i="125"/>
  <c r="AK26" i="124"/>
  <c r="AK50" i="114"/>
  <c r="AK52" i="114" s="1"/>
  <c r="AC165" i="120"/>
  <c r="AK31" i="118"/>
  <c r="AK41" i="114"/>
  <c r="AC141" i="120"/>
  <c r="AK44" i="114"/>
  <c r="AC80" i="120"/>
  <c r="AK47" i="114"/>
  <c r="AK29" i="114"/>
  <c r="AK17" i="114"/>
  <c r="AK25" i="114"/>
  <c r="AI98" i="127"/>
  <c r="AI99" i="127"/>
  <c r="AB41" i="120"/>
  <c r="AJ61" i="118"/>
  <c r="AJ65" i="118" s="1"/>
  <c r="AB42" i="120"/>
  <c r="AJ55" i="118"/>
  <c r="AB43" i="120"/>
  <c r="AJ52" i="118"/>
  <c r="AJ29" i="118"/>
  <c r="AJ58" i="118"/>
  <c r="AJ39" i="118"/>
  <c r="AJ33" i="118"/>
  <c r="AJ55" i="127"/>
  <c r="AJ59" i="127" s="1"/>
  <c r="AJ24" i="127"/>
  <c r="AJ33" i="127"/>
  <c r="AJ52" i="127"/>
  <c r="AJ49" i="127"/>
  <c r="AJ46" i="127"/>
  <c r="AI99" i="123"/>
  <c r="AI98" i="123"/>
  <c r="AH27" i="118"/>
  <c r="AH124" i="118" s="1"/>
  <c r="AF139" i="118"/>
  <c r="AF141" i="118" s="1"/>
  <c r="AF195" i="118" s="1"/>
  <c r="AF147" i="118"/>
  <c r="AA26" i="120"/>
  <c r="AA50" i="120"/>
  <c r="AI48" i="124"/>
  <c r="AI94" i="124" s="1"/>
  <c r="AI47" i="124"/>
  <c r="AI93" i="124" s="1"/>
  <c r="AI150" i="124" s="1"/>
  <c r="AJ24" i="114"/>
  <c r="AJ162" i="114"/>
  <c r="AJ164" i="114" s="1"/>
  <c r="AB143" i="120"/>
  <c r="AB146" i="120" s="1"/>
  <c r="AB82" i="120"/>
  <c r="AB167" i="120"/>
  <c r="AB152" i="120"/>
  <c r="AJ82" i="114"/>
  <c r="Z27" i="120"/>
  <c r="AH97" i="114"/>
  <c r="AH92" i="114"/>
  <c r="AK73" i="118"/>
  <c r="AK74" i="118"/>
  <c r="AK199" i="118"/>
  <c r="AK194" i="118"/>
  <c r="AI41" i="118"/>
  <c r="AA103" i="120" s="1"/>
  <c r="AA95" i="120"/>
  <c r="AI179" i="118"/>
  <c r="AI181" i="118" s="1"/>
  <c r="AI203" i="118" s="1"/>
  <c r="AI93" i="118"/>
  <c r="AA101" i="120"/>
  <c r="AJ43" i="114"/>
  <c r="AJ85" i="114" s="1"/>
  <c r="AJ42" i="114"/>
  <c r="AJ84" i="114" s="1"/>
  <c r="AJ139" i="114" s="1"/>
  <c r="AJ49" i="126"/>
  <c r="AJ55" i="126"/>
  <c r="AJ59" i="126" s="1"/>
  <c r="AJ24" i="126"/>
  <c r="AJ33" i="126"/>
  <c r="AJ52" i="126"/>
  <c r="AJ46" i="126"/>
  <c r="X6" i="128"/>
  <c r="X5" i="128" s="1"/>
  <c r="X12" i="128"/>
  <c r="X20" i="128" s="1"/>
  <c r="X29" i="128" s="1"/>
  <c r="Z113" i="120"/>
  <c r="Z112" i="120"/>
  <c r="AH103" i="118"/>
  <c r="AH97" i="123"/>
  <c r="AL71" i="118"/>
  <c r="AL61" i="114"/>
  <c r="AL60" i="114"/>
  <c r="AL23" i="114"/>
  <c r="AL182" i="114"/>
  <c r="AI48" i="127"/>
  <c r="AI94" i="127" s="1"/>
  <c r="AI47" i="127"/>
  <c r="AI93" i="127" s="1"/>
  <c r="AI150" i="127" s="1"/>
  <c r="AG131" i="118"/>
  <c r="AG125" i="118"/>
  <c r="AD173" i="118"/>
  <c r="AD174" i="118" s="1"/>
  <c r="AD175" i="118" s="1"/>
  <c r="AD148" i="118"/>
  <c r="AI99" i="126"/>
  <c r="AI98" i="126"/>
  <c r="AI97" i="126" s="1"/>
  <c r="AI48" i="123"/>
  <c r="AI94" i="123" s="1"/>
  <c r="AI47" i="123"/>
  <c r="AI93" i="123" s="1"/>
  <c r="AI150" i="123" s="1"/>
  <c r="AI50" i="126"/>
  <c r="AH95" i="126"/>
  <c r="AI50" i="124"/>
  <c r="AH95" i="124"/>
  <c r="AG151" i="125"/>
  <c r="AG92" i="125"/>
  <c r="AI50" i="125"/>
  <c r="AH95" i="125"/>
  <c r="AG151" i="123"/>
  <c r="AG92" i="123"/>
  <c r="AH95" i="123"/>
  <c r="AI50" i="123"/>
  <c r="AG151" i="127"/>
  <c r="AG92" i="127"/>
  <c r="J8" i="128"/>
  <c r="J6" i="128"/>
  <c r="J5" i="128" s="1"/>
  <c r="AH95" i="127"/>
  <c r="AI50" i="127"/>
  <c r="AG151" i="126"/>
  <c r="AG92" i="126"/>
  <c r="AG151" i="124"/>
  <c r="AG92" i="124"/>
  <c r="AH157" i="118"/>
  <c r="AJ56" i="118"/>
  <c r="AJ101" i="118" s="1"/>
  <c r="AB45" i="114"/>
  <c r="AA86" i="114"/>
  <c r="Z140" i="114"/>
  <c r="Z83" i="114"/>
  <c r="V11" i="114"/>
  <c r="V62" i="114" s="1"/>
  <c r="W4" i="114"/>
  <c r="V10" i="114"/>
  <c r="AB161" i="120" l="1"/>
  <c r="AB160" i="120"/>
  <c r="AB145" i="120"/>
  <c r="AB147" i="120" s="1"/>
  <c r="AB136" i="120"/>
  <c r="AB135" i="120"/>
  <c r="AB137" i="120" s="1"/>
  <c r="AC133" i="120"/>
  <c r="AA25" i="120"/>
  <c r="AI97" i="127"/>
  <c r="AI98" i="118"/>
  <c r="AI103" i="118"/>
  <c r="AA38" i="120" s="1"/>
  <c r="AI97" i="124"/>
  <c r="AI27" i="118"/>
  <c r="AI124" i="118" s="1"/>
  <c r="AI131" i="118" s="1"/>
  <c r="AI97" i="125"/>
  <c r="AI97" i="123"/>
  <c r="AC42" i="120"/>
  <c r="AK58" i="118"/>
  <c r="AK39" i="118"/>
  <c r="AC43" i="120"/>
  <c r="AK61" i="118"/>
  <c r="AK65" i="118" s="1"/>
  <c r="AK55" i="118"/>
  <c r="AK52" i="118"/>
  <c r="AC41" i="120"/>
  <c r="AK29" i="118"/>
  <c r="AK33" i="118"/>
  <c r="AK55" i="127"/>
  <c r="AK59" i="127" s="1"/>
  <c r="AK49" i="127"/>
  <c r="AK52" i="127"/>
  <c r="AK46" i="127"/>
  <c r="AK33" i="127"/>
  <c r="AK24" i="127"/>
  <c r="AJ99" i="123"/>
  <c r="AJ98" i="123"/>
  <c r="AA122" i="120"/>
  <c r="AA40" i="120"/>
  <c r="AA57" i="120"/>
  <c r="AI97" i="118"/>
  <c r="AA39" i="120"/>
  <c r="AK49" i="123"/>
  <c r="AK55" i="123"/>
  <c r="AK59" i="123" s="1"/>
  <c r="AK33" i="123"/>
  <c r="AK46" i="123"/>
  <c r="AK24" i="123"/>
  <c r="AK52" i="123"/>
  <c r="AG138" i="118"/>
  <c r="AG132" i="118"/>
  <c r="AJ99" i="124"/>
  <c r="AJ98" i="124"/>
  <c r="AJ99" i="126"/>
  <c r="AJ98" i="126"/>
  <c r="AH125" i="118"/>
  <c r="AH131" i="118"/>
  <c r="AJ99" i="127"/>
  <c r="AJ98" i="127"/>
  <c r="AC88" i="120"/>
  <c r="Z4" i="128"/>
  <c r="AC170" i="120"/>
  <c r="AK90" i="114"/>
  <c r="AC158" i="120"/>
  <c r="AK89" i="114"/>
  <c r="AJ98" i="125"/>
  <c r="AJ99" i="125"/>
  <c r="AK43" i="114"/>
  <c r="AK85" i="114" s="1"/>
  <c r="AK42" i="114"/>
  <c r="AK84" i="114" s="1"/>
  <c r="AK139" i="114" s="1"/>
  <c r="AF173" i="118"/>
  <c r="AF174" i="118" s="1"/>
  <c r="AF175" i="118" s="1"/>
  <c r="AF148" i="118"/>
  <c r="Z38" i="120"/>
  <c r="AA121" i="120"/>
  <c r="AD80" i="120"/>
  <c r="AL31" i="118"/>
  <c r="AL27" i="114"/>
  <c r="AL33" i="114" s="1"/>
  <c r="AD132" i="120"/>
  <c r="AL26" i="125"/>
  <c r="AL26" i="124"/>
  <c r="AL26" i="127"/>
  <c r="AD165" i="120"/>
  <c r="AL41" i="114"/>
  <c r="AD150" i="120"/>
  <c r="AD155" i="120" s="1"/>
  <c r="AD157" i="120" s="1"/>
  <c r="AL26" i="114"/>
  <c r="AL32" i="114" s="1"/>
  <c r="AL47" i="114"/>
  <c r="AD141" i="120"/>
  <c r="AL26" i="123"/>
  <c r="AL50" i="114"/>
  <c r="AL52" i="114" s="1"/>
  <c r="AL44" i="114"/>
  <c r="AL26" i="126"/>
  <c r="AL29" i="114"/>
  <c r="AL25" i="114"/>
  <c r="AB166" i="120"/>
  <c r="AJ81" i="114"/>
  <c r="AJ30" i="114"/>
  <c r="AB89" i="120" s="1"/>
  <c r="AB142" i="120"/>
  <c r="AB151" i="120"/>
  <c r="AB81" i="120"/>
  <c r="AK24" i="124"/>
  <c r="AK55" i="124"/>
  <c r="AK59" i="124" s="1"/>
  <c r="AK46" i="124"/>
  <c r="AK52" i="124"/>
  <c r="AK49" i="124"/>
  <c r="AK33" i="124"/>
  <c r="AJ47" i="125"/>
  <c r="AJ93" i="125" s="1"/>
  <c r="AJ150" i="125" s="1"/>
  <c r="AJ48" i="125"/>
  <c r="AJ94" i="125" s="1"/>
  <c r="AA112" i="120"/>
  <c r="AA113" i="120"/>
  <c r="AK24" i="114"/>
  <c r="AC82" i="120"/>
  <c r="AC143" i="120"/>
  <c r="AC146" i="120" s="1"/>
  <c r="AK162" i="114"/>
  <c r="AK164" i="114" s="1"/>
  <c r="AC152" i="120"/>
  <c r="AC167" i="120"/>
  <c r="AK82" i="114"/>
  <c r="AB26" i="120"/>
  <c r="AB50" i="120"/>
  <c r="AB95" i="120"/>
  <c r="AJ179" i="118"/>
  <c r="AJ181" i="118" s="1"/>
  <c r="AJ203" i="118" s="1"/>
  <c r="AJ41" i="118"/>
  <c r="AB103" i="120" s="1"/>
  <c r="AJ93" i="118"/>
  <c r="AB122" i="120" s="1"/>
  <c r="AJ66" i="118"/>
  <c r="AJ104" i="118"/>
  <c r="AJ105" i="118"/>
  <c r="AK46" i="125"/>
  <c r="AK52" i="125"/>
  <c r="AK24" i="125"/>
  <c r="AK49" i="125"/>
  <c r="AK55" i="125"/>
  <c r="AK59" i="125" s="1"/>
  <c r="AK33" i="125"/>
  <c r="AJ47" i="123"/>
  <c r="AJ93" i="123" s="1"/>
  <c r="AJ150" i="123" s="1"/>
  <c r="AJ48" i="123"/>
  <c r="AJ94" i="123" s="1"/>
  <c r="AJ48" i="124"/>
  <c r="AJ94" i="124" s="1"/>
  <c r="AJ47" i="124"/>
  <c r="AJ93" i="124" s="1"/>
  <c r="AJ150" i="124" s="1"/>
  <c r="AJ54" i="118"/>
  <c r="AJ100" i="118" s="1"/>
  <c r="AJ53" i="118"/>
  <c r="AJ99" i="118" s="1"/>
  <c r="AJ156" i="118" s="1"/>
  <c r="AJ47" i="127"/>
  <c r="AJ93" i="127" s="1"/>
  <c r="AJ150" i="127" s="1"/>
  <c r="AJ48" i="127"/>
  <c r="AJ94" i="127" s="1"/>
  <c r="AB101" i="120"/>
  <c r="Y6" i="128"/>
  <c r="Y5" i="128" s="1"/>
  <c r="Y12" i="128"/>
  <c r="Y20" i="128" s="1"/>
  <c r="Y29" i="128" s="1"/>
  <c r="AL73" i="118"/>
  <c r="AL74" i="118"/>
  <c r="AL199" i="118"/>
  <c r="AL194" i="118"/>
  <c r="AJ48" i="126"/>
  <c r="AJ94" i="126" s="1"/>
  <c r="AJ47" i="126"/>
  <c r="AJ93" i="126" s="1"/>
  <c r="AJ150" i="126" s="1"/>
  <c r="AK24" i="126"/>
  <c r="AK33" i="126"/>
  <c r="AK49" i="126"/>
  <c r="AK55" i="126"/>
  <c r="AK59" i="126" s="1"/>
  <c r="AK46" i="126"/>
  <c r="AK52" i="126"/>
  <c r="AJ88" i="114"/>
  <c r="AB162" i="120" s="1"/>
  <c r="AI80" i="114"/>
  <c r="AA24" i="120"/>
  <c r="AH151" i="126"/>
  <c r="AH92" i="126"/>
  <c r="AH151" i="123"/>
  <c r="AH92" i="123"/>
  <c r="AH151" i="125"/>
  <c r="AH92" i="125"/>
  <c r="AJ50" i="125"/>
  <c r="AI95" i="125"/>
  <c r="AH151" i="124"/>
  <c r="AH92" i="124"/>
  <c r="AJ50" i="126"/>
  <c r="AI95" i="126"/>
  <c r="AJ50" i="124"/>
  <c r="AI95" i="124"/>
  <c r="AJ50" i="123"/>
  <c r="AI95" i="123"/>
  <c r="AJ50" i="127"/>
  <c r="AI95" i="127"/>
  <c r="AH151" i="127"/>
  <c r="AH92" i="127"/>
  <c r="K15" i="128"/>
  <c r="K16" i="128" s="1"/>
  <c r="K14" i="128" s="1"/>
  <c r="K13" i="128" s="1"/>
  <c r="K7" i="128"/>
  <c r="V177" i="114"/>
  <c r="AK56" i="118"/>
  <c r="AK101" i="118" s="1"/>
  <c r="AI157" i="118"/>
  <c r="AA140" i="114"/>
  <c r="AA83" i="114"/>
  <c r="AC45" i="114"/>
  <c r="AB86" i="114"/>
  <c r="W5" i="114"/>
  <c r="AA27" i="120" l="1"/>
  <c r="AC161" i="120"/>
  <c r="AC160" i="120"/>
  <c r="AB121" i="120"/>
  <c r="AC145" i="120"/>
  <c r="AC147" i="120" s="1"/>
  <c r="AC136" i="120"/>
  <c r="AC135" i="120"/>
  <c r="AC137" i="120" s="1"/>
  <c r="AD133" i="120"/>
  <c r="AJ97" i="125"/>
  <c r="AJ27" i="118"/>
  <c r="AJ124" i="118" s="1"/>
  <c r="AJ131" i="118" s="1"/>
  <c r="AI125" i="118"/>
  <c r="AJ97" i="124"/>
  <c r="AI138" i="118"/>
  <c r="AI132" i="118"/>
  <c r="AK47" i="125"/>
  <c r="AK93" i="125" s="1"/>
  <c r="AK150" i="125" s="1"/>
  <c r="AK48" i="125"/>
  <c r="AK94" i="125" s="1"/>
  <c r="AB24" i="120"/>
  <c r="AJ80" i="114"/>
  <c r="AJ92" i="114" s="1"/>
  <c r="AK53" i="118"/>
  <c r="AK99" i="118" s="1"/>
  <c r="AK156" i="118" s="1"/>
  <c r="AK54" i="118"/>
  <c r="AK100" i="118" s="1"/>
  <c r="AK47" i="126"/>
  <c r="AK93" i="126" s="1"/>
  <c r="AK150" i="126" s="1"/>
  <c r="AK48" i="126"/>
  <c r="AK94" i="126" s="1"/>
  <c r="AB112" i="120"/>
  <c r="AB113" i="120"/>
  <c r="AJ103" i="118"/>
  <c r="AB38" i="120" s="1"/>
  <c r="AK99" i="124"/>
  <c r="AK98" i="124"/>
  <c r="AL24" i="114"/>
  <c r="AD167" i="120"/>
  <c r="AD143" i="120"/>
  <c r="AD146" i="120" s="1"/>
  <c r="AD82" i="120"/>
  <c r="AD152" i="120"/>
  <c r="AL82" i="114"/>
  <c r="AL162" i="114"/>
  <c r="AL164" i="114" s="1"/>
  <c r="AJ98" i="118"/>
  <c r="AJ97" i="126"/>
  <c r="AK47" i="123"/>
  <c r="AK93" i="123" s="1"/>
  <c r="AK150" i="123" s="1"/>
  <c r="AK48" i="123"/>
  <c r="AK94" i="123" s="1"/>
  <c r="AK47" i="127"/>
  <c r="AK93" i="127" s="1"/>
  <c r="AK150" i="127" s="1"/>
  <c r="AK48" i="127"/>
  <c r="AK94" i="127" s="1"/>
  <c r="AC26" i="120"/>
  <c r="AC50" i="120"/>
  <c r="AD88" i="120"/>
  <c r="AA4" i="128"/>
  <c r="AL39" i="118"/>
  <c r="AL52" i="118"/>
  <c r="AD41" i="120"/>
  <c r="AL55" i="118"/>
  <c r="AD43" i="120"/>
  <c r="AL58" i="118"/>
  <c r="AD42" i="120"/>
  <c r="AL61" i="118"/>
  <c r="AL65" i="118" s="1"/>
  <c r="AL29" i="118"/>
  <c r="AL33" i="118"/>
  <c r="Z6" i="128"/>
  <c r="Z5" i="128" s="1"/>
  <c r="Z12" i="128"/>
  <c r="Z20" i="128" s="1"/>
  <c r="Z29" i="128" s="1"/>
  <c r="AK66" i="118"/>
  <c r="AK104" i="118"/>
  <c r="AK105" i="118"/>
  <c r="AK98" i="125"/>
  <c r="AK99" i="125"/>
  <c r="AL52" i="126"/>
  <c r="AL49" i="126"/>
  <c r="AL55" i="126"/>
  <c r="AL59" i="126" s="1"/>
  <c r="AL46" i="126"/>
  <c r="AL33" i="126"/>
  <c r="AL24" i="126"/>
  <c r="AL43" i="114"/>
  <c r="AL85" i="114" s="1"/>
  <c r="AL42" i="114"/>
  <c r="AL84" i="114" s="1"/>
  <c r="AL139" i="114" s="1"/>
  <c r="AK98" i="123"/>
  <c r="AK99" i="123"/>
  <c r="AK98" i="127"/>
  <c r="AK99" i="127"/>
  <c r="AK47" i="124"/>
  <c r="AK93" i="124" s="1"/>
  <c r="AK150" i="124" s="1"/>
  <c r="AK48" i="124"/>
  <c r="AK94" i="124" s="1"/>
  <c r="AB57" i="120"/>
  <c r="AB40" i="120"/>
  <c r="AJ97" i="118"/>
  <c r="AB39" i="120"/>
  <c r="AJ97" i="127"/>
  <c r="AJ97" i="123"/>
  <c r="AC101" i="120"/>
  <c r="AB25" i="120"/>
  <c r="AL49" i="125"/>
  <c r="AL55" i="125"/>
  <c r="AL59" i="125" s="1"/>
  <c r="AL52" i="125"/>
  <c r="AL24" i="125"/>
  <c r="AL46" i="125"/>
  <c r="AL33" i="125"/>
  <c r="AK98" i="126"/>
  <c r="AK99" i="126"/>
  <c r="AL90" i="114"/>
  <c r="AD158" i="120"/>
  <c r="AD170" i="120"/>
  <c r="AL89" i="114"/>
  <c r="AM52" i="114"/>
  <c r="AL52" i="127"/>
  <c r="AL55" i="127"/>
  <c r="AL59" i="127" s="1"/>
  <c r="AL49" i="127"/>
  <c r="AL33" i="127"/>
  <c r="AL46" i="127"/>
  <c r="AL24" i="127"/>
  <c r="AK179" i="118"/>
  <c r="AK181" i="118" s="1"/>
  <c r="AK203" i="118" s="1"/>
  <c r="AK41" i="118"/>
  <c r="AC103" i="120" s="1"/>
  <c r="AK93" i="118"/>
  <c r="AC122" i="120" s="1"/>
  <c r="AC95" i="120"/>
  <c r="AK30" i="114"/>
  <c r="AC89" i="120" s="1"/>
  <c r="AC81" i="120"/>
  <c r="AC142" i="120"/>
  <c r="AC151" i="120"/>
  <c r="AC166" i="120"/>
  <c r="AK81" i="114"/>
  <c r="AI92" i="114"/>
  <c r="AI97" i="114"/>
  <c r="AL49" i="123"/>
  <c r="AL33" i="123"/>
  <c r="AL55" i="123"/>
  <c r="AL59" i="123" s="1"/>
  <c r="AL24" i="123"/>
  <c r="AL46" i="123"/>
  <c r="AL52" i="123"/>
  <c r="AL52" i="124"/>
  <c r="AL55" i="124"/>
  <c r="AL59" i="124" s="1"/>
  <c r="AL49" i="124"/>
  <c r="AL46" i="124"/>
  <c r="AL33" i="124"/>
  <c r="AL24" i="124"/>
  <c r="AK88" i="114"/>
  <c r="AH138" i="118"/>
  <c r="AH132" i="118"/>
  <c r="AG139" i="118"/>
  <c r="AG141" i="118" s="1"/>
  <c r="AG195" i="118" s="1"/>
  <c r="AG147" i="118"/>
  <c r="AJ95" i="127"/>
  <c r="AK50" i="127"/>
  <c r="AI151" i="126"/>
  <c r="AI92" i="126"/>
  <c r="AI151" i="127"/>
  <c r="AI92" i="127"/>
  <c r="AI151" i="123"/>
  <c r="AI92" i="123"/>
  <c r="AJ95" i="123"/>
  <c r="AK50" i="123"/>
  <c r="K8" i="128"/>
  <c r="K6" i="128"/>
  <c r="K5" i="128" s="1"/>
  <c r="AK50" i="126"/>
  <c r="AJ95" i="126"/>
  <c r="AI151" i="124"/>
  <c r="AI92" i="124"/>
  <c r="AI151" i="125"/>
  <c r="AI92" i="125"/>
  <c r="AK50" i="124"/>
  <c r="AJ95" i="124"/>
  <c r="AJ95" i="125"/>
  <c r="AK50" i="125"/>
  <c r="AJ157" i="118"/>
  <c r="AL56" i="118"/>
  <c r="AL101" i="118" s="1"/>
  <c r="AB140" i="114"/>
  <c r="AB83" i="114"/>
  <c r="AD45" i="114"/>
  <c r="AC86" i="114"/>
  <c r="W11" i="114"/>
  <c r="W62" i="114" s="1"/>
  <c r="X4" i="114"/>
  <c r="W10" i="114"/>
  <c r="AD160" i="120" l="1"/>
  <c r="AD161" i="120" s="1"/>
  <c r="AK98" i="118"/>
  <c r="AD145" i="120"/>
  <c r="AD147" i="120" s="1"/>
  <c r="AD136" i="120"/>
  <c r="AD135" i="120"/>
  <c r="AD137" i="120" s="1"/>
  <c r="AE137" i="120" s="1"/>
  <c r="AJ125" i="118"/>
  <c r="AK97" i="123"/>
  <c r="AJ97" i="114"/>
  <c r="AC121" i="120"/>
  <c r="AK97" i="124"/>
  <c r="AL88" i="114"/>
  <c r="E7" i="120" s="1"/>
  <c r="AK97" i="125"/>
  <c r="AL99" i="124"/>
  <c r="AL98" i="124"/>
  <c r="AM59" i="124"/>
  <c r="AH139" i="118"/>
  <c r="AH141" i="118" s="1"/>
  <c r="AH195" i="118" s="1"/>
  <c r="AH147" i="118"/>
  <c r="AK80" i="114"/>
  <c r="AK92" i="114" s="1"/>
  <c r="AC24" i="120"/>
  <c r="AD151" i="120"/>
  <c r="AD166" i="120"/>
  <c r="AD142" i="120"/>
  <c r="AL30" i="114"/>
  <c r="AD89" i="120" s="1"/>
  <c r="AD81" i="120"/>
  <c r="AL81" i="114"/>
  <c r="AL47" i="123"/>
  <c r="AL93" i="123" s="1"/>
  <c r="AL150" i="123" s="1"/>
  <c r="AL48" i="123"/>
  <c r="AL94" i="123" s="1"/>
  <c r="AL47" i="125"/>
  <c r="AL93" i="125" s="1"/>
  <c r="AL150" i="125" s="1"/>
  <c r="AL48" i="125"/>
  <c r="AL94" i="125" s="1"/>
  <c r="AD50" i="120"/>
  <c r="AD26" i="120"/>
  <c r="AB27" i="120"/>
  <c r="AC25" i="120"/>
  <c r="AK97" i="114"/>
  <c r="AL47" i="127"/>
  <c r="AL93" i="127" s="1"/>
  <c r="AL150" i="127" s="1"/>
  <c r="AL48" i="127"/>
  <c r="AL94" i="127" s="1"/>
  <c r="AL47" i="124"/>
  <c r="AL93" i="124" s="1"/>
  <c r="AL150" i="124" s="1"/>
  <c r="AL48" i="124"/>
  <c r="AL94" i="124" s="1"/>
  <c r="AK27" i="118"/>
  <c r="AK124" i="118" s="1"/>
  <c r="AL41" i="118"/>
  <c r="AD103" i="120" s="1"/>
  <c r="AL179" i="118"/>
  <c r="AL181" i="118" s="1"/>
  <c r="AL203" i="118" s="1"/>
  <c r="P66" i="120" s="1"/>
  <c r="AL93" i="118"/>
  <c r="AD122" i="120" s="1"/>
  <c r="AD95" i="120"/>
  <c r="AL54" i="118"/>
  <c r="AL100" i="118" s="1"/>
  <c r="AL53" i="118"/>
  <c r="AL99" i="118" s="1"/>
  <c r="AL156" i="118" s="1"/>
  <c r="AL98" i="123"/>
  <c r="AL99" i="123"/>
  <c r="AM59" i="123"/>
  <c r="AG173" i="118"/>
  <c r="AG174" i="118" s="1"/>
  <c r="AG175" i="118" s="1"/>
  <c r="AG148" i="118"/>
  <c r="AC112" i="120"/>
  <c r="AC113" i="120"/>
  <c r="AJ132" i="118"/>
  <c r="AJ138" i="118"/>
  <c r="AD101" i="120"/>
  <c r="AC162" i="120"/>
  <c r="AL105" i="118"/>
  <c r="AL104" i="118"/>
  <c r="AL66" i="118"/>
  <c r="AM65" i="118"/>
  <c r="AA6" i="128"/>
  <c r="AA5" i="128" s="1"/>
  <c r="AA12" i="128"/>
  <c r="AA20" i="128" s="1"/>
  <c r="AA29" i="128" s="1"/>
  <c r="AL98" i="127"/>
  <c r="AL99" i="127"/>
  <c r="AM59" i="127"/>
  <c r="AL98" i="125"/>
  <c r="AL99" i="125"/>
  <c r="AM59" i="125"/>
  <c r="AL47" i="126"/>
  <c r="AL93" i="126" s="1"/>
  <c r="AL150" i="126" s="1"/>
  <c r="AL48" i="126"/>
  <c r="AL94" i="126" s="1"/>
  <c r="AC57" i="120"/>
  <c r="AK97" i="118"/>
  <c r="AC40" i="120"/>
  <c r="AC39" i="120"/>
  <c r="AK97" i="126"/>
  <c r="AK97" i="127"/>
  <c r="AL99" i="126"/>
  <c r="AL98" i="126"/>
  <c r="AM59" i="126"/>
  <c r="AK103" i="118"/>
  <c r="AC38" i="120" s="1"/>
  <c r="AI139" i="118"/>
  <c r="AI141" i="118" s="1"/>
  <c r="AI195" i="118" s="1"/>
  <c r="AI147" i="118"/>
  <c r="AK95" i="124"/>
  <c r="AL50" i="124"/>
  <c r="AL95" i="124" s="1"/>
  <c r="AL50" i="127"/>
  <c r="AL95" i="127" s="1"/>
  <c r="AK95" i="127"/>
  <c r="AJ151" i="127"/>
  <c r="AJ92" i="127"/>
  <c r="L15" i="128"/>
  <c r="L16" i="128" s="1"/>
  <c r="L14" i="128" s="1"/>
  <c r="L13" i="128" s="1"/>
  <c r="L7" i="128"/>
  <c r="AL50" i="123"/>
  <c r="AL95" i="123" s="1"/>
  <c r="AK95" i="123"/>
  <c r="AK95" i="126"/>
  <c r="AL50" i="126"/>
  <c r="AL95" i="126" s="1"/>
  <c r="AJ151" i="123"/>
  <c r="AJ92" i="123"/>
  <c r="AJ151" i="126"/>
  <c r="AJ92" i="126"/>
  <c r="AK95" i="125"/>
  <c r="AL50" i="125"/>
  <c r="AL95" i="125" s="1"/>
  <c r="AJ151" i="125"/>
  <c r="AJ92" i="125"/>
  <c r="AJ151" i="124"/>
  <c r="AJ92" i="124"/>
  <c r="W177" i="114"/>
  <c r="AK157" i="118"/>
  <c r="AL157" i="118"/>
  <c r="AC140" i="114"/>
  <c r="AC141" i="114" s="1"/>
  <c r="AC83" i="114"/>
  <c r="AC190" i="114" s="1"/>
  <c r="AE45" i="114"/>
  <c r="AD86" i="114"/>
  <c r="X5" i="114"/>
  <c r="AH137" i="120" l="1"/>
  <c r="AL27" i="118"/>
  <c r="AL124" i="118" s="1"/>
  <c r="AL125" i="118" s="1"/>
  <c r="AD25" i="120"/>
  <c r="AL97" i="124"/>
  <c r="AL97" i="127"/>
  <c r="AD162" i="120"/>
  <c r="AE162" i="120" s="1"/>
  <c r="AL103" i="118"/>
  <c r="AD38" i="120" s="1"/>
  <c r="AC27" i="120"/>
  <c r="AI148" i="118"/>
  <c r="AI173" i="118"/>
  <c r="AI174" i="118" s="1"/>
  <c r="AI175" i="118" s="1"/>
  <c r="AL97" i="125"/>
  <c r="AL97" i="123"/>
  <c r="AL80" i="114"/>
  <c r="AD24" i="120"/>
  <c r="AD27" i="120" s="1"/>
  <c r="AH173" i="118"/>
  <c r="AH174" i="118" s="1"/>
  <c r="AH175" i="118" s="1"/>
  <c r="AH148" i="118"/>
  <c r="AL97" i="126"/>
  <c r="AL131" i="118"/>
  <c r="AL98" i="118"/>
  <c r="AD40" i="120"/>
  <c r="AD57" i="120"/>
  <c r="AD61" i="120" s="1"/>
  <c r="AD64" i="120" s="1"/>
  <c r="AL97" i="118"/>
  <c r="AD39" i="120"/>
  <c r="AD112" i="120"/>
  <c r="AD113" i="120"/>
  <c r="AK125" i="118"/>
  <c r="AK131" i="118"/>
  <c r="AJ139" i="118"/>
  <c r="AJ141" i="118" s="1"/>
  <c r="AJ195" i="118" s="1"/>
  <c r="AJ147" i="118"/>
  <c r="AD121" i="120"/>
  <c r="AE121" i="120" s="1"/>
  <c r="AL151" i="125"/>
  <c r="AL92" i="125"/>
  <c r="AL151" i="126"/>
  <c r="AL92" i="126"/>
  <c r="AK151" i="127"/>
  <c r="AK92" i="127"/>
  <c r="AL151" i="124"/>
  <c r="AL92" i="124"/>
  <c r="AK151" i="125"/>
  <c r="AK92" i="125"/>
  <c r="AK151" i="126"/>
  <c r="AK92" i="126"/>
  <c r="AL151" i="127"/>
  <c r="AL92" i="127"/>
  <c r="AK151" i="124"/>
  <c r="AK92" i="124"/>
  <c r="AK151" i="123"/>
  <c r="AK92" i="123"/>
  <c r="AL151" i="123"/>
  <c r="AL92" i="123"/>
  <c r="L8" i="128"/>
  <c r="L6" i="128"/>
  <c r="L5" i="128" s="1"/>
  <c r="AD140" i="114"/>
  <c r="AD141" i="114" s="1"/>
  <c r="AD83" i="114"/>
  <c r="AD190" i="114" s="1"/>
  <c r="AF45" i="114"/>
  <c r="AE86" i="114"/>
  <c r="AC95" i="114"/>
  <c r="AC91" i="114"/>
  <c r="AC94" i="114" s="1"/>
  <c r="Y4" i="114"/>
  <c r="X10" i="114"/>
  <c r="X11" i="114"/>
  <c r="X62" i="114" s="1"/>
  <c r="AH162" i="120" l="1"/>
  <c r="F7" i="120"/>
  <c r="G7" i="120" s="1"/>
  <c r="H7" i="120" s="1"/>
  <c r="AL92" i="114"/>
  <c r="AL97" i="114"/>
  <c r="J18" i="120" s="1"/>
  <c r="J65" i="120" s="1"/>
  <c r="AL138" i="118"/>
  <c r="AL132" i="118"/>
  <c r="AK132" i="118"/>
  <c r="AK138" i="118"/>
  <c r="AJ173" i="118"/>
  <c r="AJ174" i="118" s="1"/>
  <c r="AJ175" i="118" s="1"/>
  <c r="AJ148" i="118"/>
  <c r="M7" i="128"/>
  <c r="M15" i="128"/>
  <c r="M16" i="128" s="1"/>
  <c r="M14" i="128" s="1"/>
  <c r="M13" i="128" s="1"/>
  <c r="X177" i="114"/>
  <c r="AE140" i="114"/>
  <c r="AE141" i="114" s="1"/>
  <c r="AE83" i="114"/>
  <c r="AE190" i="114" s="1"/>
  <c r="AG45" i="114"/>
  <c r="AF86" i="114"/>
  <c r="AD95" i="114"/>
  <c r="AD91" i="114"/>
  <c r="AD94" i="114" s="1"/>
  <c r="Y5" i="114"/>
  <c r="AL147" i="118" l="1"/>
  <c r="AL139" i="118"/>
  <c r="AL141" i="118" s="1"/>
  <c r="AL195" i="118" s="1"/>
  <c r="AK147" i="118"/>
  <c r="AK139" i="118"/>
  <c r="AK141" i="118" s="1"/>
  <c r="AK195" i="118" s="1"/>
  <c r="M8" i="128"/>
  <c r="M6" i="128"/>
  <c r="M5" i="128" s="1"/>
  <c r="AF140" i="114"/>
  <c r="AF141" i="114" s="1"/>
  <c r="AF83" i="114"/>
  <c r="AF190" i="114" s="1"/>
  <c r="AH45" i="114"/>
  <c r="AG86" i="114"/>
  <c r="AE91" i="114"/>
  <c r="AE94" i="114" s="1"/>
  <c r="AE95" i="114"/>
  <c r="Z4" i="114"/>
  <c r="Y10" i="114"/>
  <c r="Y11" i="114"/>
  <c r="Y62" i="114" s="1"/>
  <c r="AK148" i="118" l="1"/>
  <c r="AK173" i="118"/>
  <c r="AK174" i="118" s="1"/>
  <c r="AK175" i="118" s="1"/>
  <c r="AL173" i="118"/>
  <c r="AL174" i="118" s="1"/>
  <c r="AL175" i="118" s="1"/>
  <c r="AL148" i="118"/>
  <c r="N15" i="128"/>
  <c r="N16" i="128" s="1"/>
  <c r="N14" i="128" s="1"/>
  <c r="N13" i="128" s="1"/>
  <c r="N7" i="128"/>
  <c r="Y177" i="114"/>
  <c r="AG140" i="114"/>
  <c r="AG141" i="114" s="1"/>
  <c r="AG83" i="114"/>
  <c r="AG190" i="114" s="1"/>
  <c r="AI45" i="114"/>
  <c r="AH86" i="114"/>
  <c r="AF95" i="114"/>
  <c r="AF91" i="114"/>
  <c r="AF94" i="114" s="1"/>
  <c r="Z5" i="114"/>
  <c r="N8" i="128" l="1"/>
  <c r="N6" i="128"/>
  <c r="N5" i="128" s="1"/>
  <c r="AJ45" i="114"/>
  <c r="AI86" i="114"/>
  <c r="AG91" i="114"/>
  <c r="AG94" i="114" s="1"/>
  <c r="AG95" i="114"/>
  <c r="AH140" i="114"/>
  <c r="AH141" i="114" s="1"/>
  <c r="AH83" i="114"/>
  <c r="AH190" i="114" s="1"/>
  <c r="Z10" i="114"/>
  <c r="Z11" i="114"/>
  <c r="Z62" i="114" s="1"/>
  <c r="AA4" i="114"/>
  <c r="O7" i="128" l="1"/>
  <c r="O15" i="128"/>
  <c r="O16" i="128" s="1"/>
  <c r="O14" i="128" s="1"/>
  <c r="O13" i="128" s="1"/>
  <c r="Z177" i="114"/>
  <c r="AH91" i="114"/>
  <c r="AH94" i="114" s="1"/>
  <c r="AH95" i="114"/>
  <c r="AI140" i="114"/>
  <c r="AI141" i="114" s="1"/>
  <c r="AI83" i="114"/>
  <c r="AI190" i="114" s="1"/>
  <c r="AK45" i="114"/>
  <c r="AJ86" i="114"/>
  <c r="AA5" i="114"/>
  <c r="O8" i="128" l="1"/>
  <c r="O6" i="128"/>
  <c r="O5" i="128" s="1"/>
  <c r="AL45" i="114"/>
  <c r="AL86" i="114" s="1"/>
  <c r="AK86" i="114"/>
  <c r="AJ140" i="114"/>
  <c r="AJ141" i="114" s="1"/>
  <c r="AJ83" i="114"/>
  <c r="AJ190" i="114" s="1"/>
  <c r="AI91" i="114"/>
  <c r="AI94" i="114" s="1"/>
  <c r="AI95" i="114"/>
  <c r="AA10" i="114"/>
  <c r="AB4" i="114"/>
  <c r="AA11" i="114"/>
  <c r="AA62" i="114" s="1"/>
  <c r="P7" i="128" l="1"/>
  <c r="P15" i="128"/>
  <c r="P16" i="128" s="1"/>
  <c r="P14" i="128" s="1"/>
  <c r="P13" i="128" s="1"/>
  <c r="AA177" i="114"/>
  <c r="AL140" i="114"/>
  <c r="AL141" i="114" s="1"/>
  <c r="AL83" i="114"/>
  <c r="AL190" i="114" s="1"/>
  <c r="AJ95" i="114"/>
  <c r="AJ91" i="114"/>
  <c r="AJ94" i="114" s="1"/>
  <c r="AK140" i="114"/>
  <c r="AK141" i="114" s="1"/>
  <c r="AK83" i="114"/>
  <c r="AK190" i="114" s="1"/>
  <c r="AB5" i="114"/>
  <c r="P8" i="128" l="1"/>
  <c r="P6" i="128"/>
  <c r="P5" i="128" s="1"/>
  <c r="AL91" i="114"/>
  <c r="AL95" i="114"/>
  <c r="AK95" i="114"/>
  <c r="AK91" i="114"/>
  <c r="AK94" i="114" s="1"/>
  <c r="AB10" i="114"/>
  <c r="AB11" i="114"/>
  <c r="AB62" i="114" s="1"/>
  <c r="AC4" i="114"/>
  <c r="Q15" i="128" l="1"/>
  <c r="Q16" i="128" s="1"/>
  <c r="Q14" i="128" s="1"/>
  <c r="Q13" i="128" s="1"/>
  <c r="Q7" i="128"/>
  <c r="AB177" i="114"/>
  <c r="T171" i="120"/>
  <c r="T172" i="120" s="1"/>
  <c r="T173" i="120" s="1"/>
  <c r="T174" i="120" s="1"/>
  <c r="AC5" i="114"/>
  <c r="Q8" i="128" l="1"/>
  <c r="Q6" i="128"/>
  <c r="Q5" i="128" s="1"/>
  <c r="AC11" i="114"/>
  <c r="AD4" i="114"/>
  <c r="AC10" i="114"/>
  <c r="AC62" i="114" l="1"/>
  <c r="AC31" i="114"/>
  <c r="R15" i="128"/>
  <c r="R16" i="128" s="1"/>
  <c r="R14" i="128" s="1"/>
  <c r="R13" i="128" s="1"/>
  <c r="R23" i="128"/>
  <c r="R24" i="128" s="1"/>
  <c r="R22" i="128" s="1"/>
  <c r="R21" i="128" s="1"/>
  <c r="AC177" i="114"/>
  <c r="U91" i="120"/>
  <c r="U171" i="120"/>
  <c r="U172" i="120" s="1"/>
  <c r="U173" i="120" s="1"/>
  <c r="U174" i="120" s="1"/>
  <c r="AD5" i="114"/>
  <c r="U181" i="120" l="1"/>
  <c r="AC19" i="114"/>
  <c r="U90" i="120"/>
  <c r="AD11" i="114"/>
  <c r="AE4" i="114"/>
  <c r="AD10" i="114"/>
  <c r="AC107" i="114" l="1"/>
  <c r="U180" i="120"/>
  <c r="U183" i="120" s="1"/>
  <c r="U184" i="120" s="1"/>
  <c r="U185" i="120" s="1"/>
  <c r="AD62" i="114"/>
  <c r="AD31" i="114"/>
  <c r="S15" i="128"/>
  <c r="S16" i="128" s="1"/>
  <c r="S14" i="128" s="1"/>
  <c r="S13" i="128" s="1"/>
  <c r="S23" i="128"/>
  <c r="S24" i="128" s="1"/>
  <c r="S22" i="128" s="1"/>
  <c r="S21" i="128" s="1"/>
  <c r="AD177" i="114"/>
  <c r="V91" i="120"/>
  <c r="V171" i="120"/>
  <c r="V172" i="120" s="1"/>
  <c r="V173" i="120" s="1"/>
  <c r="V174" i="120" s="1"/>
  <c r="AE5" i="114"/>
  <c r="V181" i="120" l="1"/>
  <c r="V90" i="120"/>
  <c r="AD19" i="114"/>
  <c r="AC114" i="114"/>
  <c r="AC108" i="114"/>
  <c r="AE11" i="114"/>
  <c r="AF4" i="114"/>
  <c r="AE10" i="114"/>
  <c r="AD107" i="114" l="1"/>
  <c r="V180" i="120"/>
  <c r="V183" i="120" s="1"/>
  <c r="V184" i="120" s="1"/>
  <c r="V185" i="120" s="1"/>
  <c r="AC121" i="114"/>
  <c r="AC115" i="114"/>
  <c r="AE62" i="114"/>
  <c r="AE31" i="114"/>
  <c r="T15" i="128"/>
  <c r="T16" i="128" s="1"/>
  <c r="T14" i="128" s="1"/>
  <c r="T13" i="128" s="1"/>
  <c r="T23" i="128"/>
  <c r="T24" i="128" s="1"/>
  <c r="T22" i="128" s="1"/>
  <c r="T21" i="128" s="1"/>
  <c r="AE177" i="114"/>
  <c r="W91" i="120"/>
  <c r="W171" i="120"/>
  <c r="W172" i="120" s="1"/>
  <c r="W173" i="120" s="1"/>
  <c r="W174" i="120" s="1"/>
  <c r="AF5" i="114"/>
  <c r="W181" i="120" l="1"/>
  <c r="W90" i="120"/>
  <c r="AE19" i="114"/>
  <c r="AC130" i="114"/>
  <c r="AC122" i="114"/>
  <c r="AC124" i="114" s="1"/>
  <c r="AC178" i="114" s="1"/>
  <c r="AC179" i="114" s="1"/>
  <c r="AD114" i="114"/>
  <c r="AD108" i="114"/>
  <c r="AG4" i="114"/>
  <c r="AF10" i="114"/>
  <c r="AF11" i="114"/>
  <c r="AC180" i="114" l="1"/>
  <c r="AC183" i="114"/>
  <c r="AE107" i="114"/>
  <c r="W180" i="120"/>
  <c r="W183" i="120" s="1"/>
  <c r="W184" i="120" s="1"/>
  <c r="W185" i="120" s="1"/>
  <c r="AC156" i="114"/>
  <c r="AC157" i="114" s="1"/>
  <c r="AC158" i="114" s="1"/>
  <c r="AC131" i="114"/>
  <c r="AC132" i="114" s="1"/>
  <c r="AC134" i="114" s="1"/>
  <c r="AF62" i="114"/>
  <c r="AF31" i="114"/>
  <c r="AD121" i="114"/>
  <c r="AD115" i="114"/>
  <c r="U15" i="128"/>
  <c r="U16" i="128" s="1"/>
  <c r="U14" i="128" s="1"/>
  <c r="U13" i="128" s="1"/>
  <c r="U23" i="128"/>
  <c r="U24" i="128" s="1"/>
  <c r="U22" i="128" s="1"/>
  <c r="U21" i="128" s="1"/>
  <c r="AF177" i="114"/>
  <c r="X91" i="120"/>
  <c r="X171" i="120"/>
  <c r="X172" i="120" s="1"/>
  <c r="X173" i="120" s="1"/>
  <c r="X174" i="120" s="1"/>
  <c r="AG5" i="114"/>
  <c r="AC136" i="114" l="1"/>
  <c r="AC135" i="114"/>
  <c r="AE114" i="114"/>
  <c r="AE108" i="114"/>
  <c r="AD130" i="114"/>
  <c r="AD122" i="114"/>
  <c r="AD124" i="114" s="1"/>
  <c r="AD178" i="114" s="1"/>
  <c r="AD179" i="114" s="1"/>
  <c r="X181" i="120"/>
  <c r="X90" i="120"/>
  <c r="AF19" i="114"/>
  <c r="AG10" i="114"/>
  <c r="AH4" i="114"/>
  <c r="AG11" i="114"/>
  <c r="AD156" i="114" l="1"/>
  <c r="AD157" i="114" s="1"/>
  <c r="AD158" i="114" s="1"/>
  <c r="AD131" i="114"/>
  <c r="AD132" i="114" s="1"/>
  <c r="AD134" i="114" s="1"/>
  <c r="AF107" i="114"/>
  <c r="X180" i="120"/>
  <c r="X183" i="120" s="1"/>
  <c r="X184" i="120" s="1"/>
  <c r="X185" i="120" s="1"/>
  <c r="AE121" i="114"/>
  <c r="AE115" i="114"/>
  <c r="AC137" i="114"/>
  <c r="AC184" i="114" s="1"/>
  <c r="AG62" i="114"/>
  <c r="AG31" i="114"/>
  <c r="AD183" i="114"/>
  <c r="AD180" i="114"/>
  <c r="V15" i="128"/>
  <c r="V16" i="128" s="1"/>
  <c r="V14" i="128" s="1"/>
  <c r="V13" i="128" s="1"/>
  <c r="V23" i="128"/>
  <c r="V24" i="128" s="1"/>
  <c r="V22" i="128" s="1"/>
  <c r="V21" i="128" s="1"/>
  <c r="AG177" i="114"/>
  <c r="Y91" i="120"/>
  <c r="Y171" i="120"/>
  <c r="Y172" i="120" s="1"/>
  <c r="Y173" i="120" s="1"/>
  <c r="Y174" i="120" s="1"/>
  <c r="AH5" i="114"/>
  <c r="AC185" i="114" l="1"/>
  <c r="AE130" i="114"/>
  <c r="AE122" i="114"/>
  <c r="AE124" i="114" s="1"/>
  <c r="AE178" i="114" s="1"/>
  <c r="AE179" i="114" s="1"/>
  <c r="AF108" i="114"/>
  <c r="AF114" i="114"/>
  <c r="AD135" i="114"/>
  <c r="AD136" i="114"/>
  <c r="AG19" i="114"/>
  <c r="Y181" i="120"/>
  <c r="Y90" i="120"/>
  <c r="AI4" i="114"/>
  <c r="AH10" i="114"/>
  <c r="AH11" i="114"/>
  <c r="AD137" i="114" l="1"/>
  <c r="AD184" i="114" s="1"/>
  <c r="AD185" i="114" s="1"/>
  <c r="AE180" i="114"/>
  <c r="AE183" i="114"/>
  <c r="AE156" i="114"/>
  <c r="AE157" i="114" s="1"/>
  <c r="AE158" i="114" s="1"/>
  <c r="AE131" i="114"/>
  <c r="AE132" i="114" s="1"/>
  <c r="AE134" i="114" s="1"/>
  <c r="AC191" i="114"/>
  <c r="AH62" i="114"/>
  <c r="AH31" i="114"/>
  <c r="Y180" i="120"/>
  <c r="Y183" i="120" s="1"/>
  <c r="Y184" i="120" s="1"/>
  <c r="Y185" i="120" s="1"/>
  <c r="AG107" i="114"/>
  <c r="AF115" i="114"/>
  <c r="AF121" i="114"/>
  <c r="W15" i="128"/>
  <c r="W16" i="128" s="1"/>
  <c r="W14" i="128" s="1"/>
  <c r="W13" i="128" s="1"/>
  <c r="W23" i="128"/>
  <c r="W24" i="128" s="1"/>
  <c r="W22" i="128" s="1"/>
  <c r="W21" i="128" s="1"/>
  <c r="AH177" i="114"/>
  <c r="Z91" i="120"/>
  <c r="Z171" i="120"/>
  <c r="Z172" i="120" s="1"/>
  <c r="Z173" i="120" s="1"/>
  <c r="Z174" i="120" s="1"/>
  <c r="AI5" i="114"/>
  <c r="AE136" i="114" l="1"/>
  <c r="AE135" i="114"/>
  <c r="AC193" i="114"/>
  <c r="AC192" i="114"/>
  <c r="AG108" i="114"/>
  <c r="AG114" i="114"/>
  <c r="AD191" i="114"/>
  <c r="AF122" i="114"/>
  <c r="AF124" i="114" s="1"/>
  <c r="AF178" i="114" s="1"/>
  <c r="AF179" i="114" s="1"/>
  <c r="AF130" i="114"/>
  <c r="AH19" i="114"/>
  <c r="Z181" i="120"/>
  <c r="Z90" i="120"/>
  <c r="AI10" i="114"/>
  <c r="AI11" i="114"/>
  <c r="AJ4" i="114"/>
  <c r="AG121" i="114" l="1"/>
  <c r="AG115" i="114"/>
  <c r="AF131" i="114"/>
  <c r="AF132" i="114" s="1"/>
  <c r="AF134" i="114" s="1"/>
  <c r="AF156" i="114"/>
  <c r="AF157" i="114" s="1"/>
  <c r="AF158" i="114" s="1"/>
  <c r="Z180" i="120"/>
  <c r="Z183" i="120" s="1"/>
  <c r="Z184" i="120" s="1"/>
  <c r="Z185" i="120" s="1"/>
  <c r="AH107" i="114"/>
  <c r="AF180" i="114"/>
  <c r="AF183" i="114"/>
  <c r="AE137" i="114"/>
  <c r="AE184" i="114" s="1"/>
  <c r="AI62" i="114"/>
  <c r="AI31" i="114"/>
  <c r="AD193" i="114"/>
  <c r="AD192" i="114"/>
  <c r="X15" i="128"/>
  <c r="X16" i="128" s="1"/>
  <c r="X14" i="128" s="1"/>
  <c r="X13" i="128" s="1"/>
  <c r="X23" i="128"/>
  <c r="X24" i="128" s="1"/>
  <c r="X22" i="128" s="1"/>
  <c r="X21" i="128" s="1"/>
  <c r="AI177" i="114"/>
  <c r="AA91" i="120"/>
  <c r="AA171" i="120"/>
  <c r="AA172" i="120" s="1"/>
  <c r="AA173" i="120" s="1"/>
  <c r="AA174" i="120" s="1"/>
  <c r="AJ5" i="114"/>
  <c r="AF135" i="114" l="1"/>
  <c r="AF136" i="114"/>
  <c r="AH114" i="114"/>
  <c r="AH108" i="114"/>
  <c r="AI19" i="114"/>
  <c r="AA90" i="120"/>
  <c r="AA181" i="120"/>
  <c r="AE185" i="114"/>
  <c r="AG122" i="114"/>
  <c r="AG124" i="114" s="1"/>
  <c r="AG178" i="114" s="1"/>
  <c r="AG179" i="114" s="1"/>
  <c r="AG130" i="114"/>
  <c r="AJ10" i="114"/>
  <c r="AJ11" i="114"/>
  <c r="AK4" i="114"/>
  <c r="AI107" i="114" l="1"/>
  <c r="AA180" i="120"/>
  <c r="AA183" i="120" s="1"/>
  <c r="AA184" i="120" s="1"/>
  <c r="AA185" i="120" s="1"/>
  <c r="AJ62" i="114"/>
  <c r="AJ31" i="114"/>
  <c r="AE191" i="114"/>
  <c r="AH121" i="114"/>
  <c r="AH115" i="114"/>
  <c r="AG131" i="114"/>
  <c r="AG132" i="114" s="1"/>
  <c r="AG134" i="114" s="1"/>
  <c r="AG156" i="114"/>
  <c r="AG157" i="114" s="1"/>
  <c r="AG158" i="114" s="1"/>
  <c r="AF137" i="114"/>
  <c r="AF184" i="114" s="1"/>
  <c r="AG180" i="114"/>
  <c r="AG183" i="114"/>
  <c r="Y15" i="128"/>
  <c r="Y16" i="128" s="1"/>
  <c r="Y14" i="128" s="1"/>
  <c r="Y13" i="128" s="1"/>
  <c r="Y23" i="128"/>
  <c r="Y24" i="128" s="1"/>
  <c r="Y22" i="128" s="1"/>
  <c r="Y21" i="128" s="1"/>
  <c r="AJ177" i="114"/>
  <c r="AB91" i="120"/>
  <c r="AB171" i="120"/>
  <c r="AB172" i="120" s="1"/>
  <c r="AB173" i="120" s="1"/>
  <c r="AB174" i="120" s="1"/>
  <c r="AK5" i="114"/>
  <c r="AH130" i="114" l="1"/>
  <c r="AH122" i="114"/>
  <c r="AH124" i="114" s="1"/>
  <c r="AH178" i="114" s="1"/>
  <c r="AH179" i="114" s="1"/>
  <c r="AE193" i="114"/>
  <c r="AE192" i="114"/>
  <c r="AJ19" i="114"/>
  <c r="AB90" i="120"/>
  <c r="AB181" i="120"/>
  <c r="AF185" i="114"/>
  <c r="AG136" i="114"/>
  <c r="AG135" i="114"/>
  <c r="AI114" i="114"/>
  <c r="AI108" i="114"/>
  <c r="AK11" i="114"/>
  <c r="AL4" i="114"/>
  <c r="AK10" i="114"/>
  <c r="AG137" i="114" l="1"/>
  <c r="AG184" i="114" s="1"/>
  <c r="AG185" i="114" s="1"/>
  <c r="AB180" i="120"/>
  <c r="AB183" i="120" s="1"/>
  <c r="AB184" i="120" s="1"/>
  <c r="AB185" i="120" s="1"/>
  <c r="AJ107" i="114"/>
  <c r="AI121" i="114"/>
  <c r="AI115" i="114"/>
  <c r="AF191" i="114"/>
  <c r="AK62" i="114"/>
  <c r="AK31" i="114"/>
  <c r="AH180" i="114"/>
  <c r="AH183" i="114"/>
  <c r="AH156" i="114"/>
  <c r="AH157" i="114" s="1"/>
  <c r="AH158" i="114" s="1"/>
  <c r="AH131" i="114"/>
  <c r="AH132" i="114" s="1"/>
  <c r="AH134" i="114" s="1"/>
  <c r="Z15" i="128"/>
  <c r="Z16" i="128" s="1"/>
  <c r="Z14" i="128" s="1"/>
  <c r="Z13" i="128" s="1"/>
  <c r="Z23" i="128"/>
  <c r="Z24" i="128" s="1"/>
  <c r="Z22" i="128" s="1"/>
  <c r="Z21" i="128" s="1"/>
  <c r="AK177" i="114"/>
  <c r="AC91" i="120"/>
  <c r="AC171" i="120"/>
  <c r="AC172" i="120" s="1"/>
  <c r="AC173" i="120" s="1"/>
  <c r="AC174" i="120" s="1"/>
  <c r="AL5" i="114"/>
  <c r="AH135" i="114" l="1"/>
  <c r="AH136" i="114"/>
  <c r="AG191" i="114"/>
  <c r="I66" i="120"/>
  <c r="AF192" i="114"/>
  <c r="AF193" i="114"/>
  <c r="AI130" i="114"/>
  <c r="AI122" i="114"/>
  <c r="AI124" i="114" s="1"/>
  <c r="AI178" i="114" s="1"/>
  <c r="AI179" i="114" s="1"/>
  <c r="AJ108" i="114"/>
  <c r="AJ114" i="114"/>
  <c r="AC90" i="120"/>
  <c r="AK19" i="114"/>
  <c r="AC181" i="120"/>
  <c r="AL11" i="114"/>
  <c r="AL10" i="114"/>
  <c r="AJ115" i="114" l="1"/>
  <c r="AJ121" i="114"/>
  <c r="AK107" i="114"/>
  <c r="AC180" i="120"/>
  <c r="AC183" i="120" s="1"/>
  <c r="AC184" i="120" s="1"/>
  <c r="AC185" i="120" s="1"/>
  <c r="AI180" i="114"/>
  <c r="AI183" i="114"/>
  <c r="AG192" i="114"/>
  <c r="AG193" i="114"/>
  <c r="AI156" i="114"/>
  <c r="AI157" i="114" s="1"/>
  <c r="AI158" i="114" s="1"/>
  <c r="AI131" i="114"/>
  <c r="AI132" i="114" s="1"/>
  <c r="AI134" i="114" s="1"/>
  <c r="AL62" i="114"/>
  <c r="AL31" i="114"/>
  <c r="AH137" i="114"/>
  <c r="AH184" i="114" s="1"/>
  <c r="AA15" i="128"/>
  <c r="AA16" i="128" s="1"/>
  <c r="AA14" i="128" s="1"/>
  <c r="AA13" i="128" s="1"/>
  <c r="AA23" i="128"/>
  <c r="AA24" i="128" s="1"/>
  <c r="AA22" i="128" s="1"/>
  <c r="AA21" i="128" s="1"/>
  <c r="AL177" i="114"/>
  <c r="AD91" i="120"/>
  <c r="AD171" i="120"/>
  <c r="AD172" i="120" s="1"/>
  <c r="AD173" i="120" s="1"/>
  <c r="AD174" i="120" s="1"/>
  <c r="K29" i="114"/>
  <c r="K27" i="114"/>
  <c r="K47" i="114"/>
  <c r="K44" i="114"/>
  <c r="K26" i="114"/>
  <c r="K24" i="114"/>
  <c r="F22" i="84"/>
  <c r="F21" i="84"/>
  <c r="K22" i="84" s="1"/>
  <c r="AH185" i="114" l="1"/>
  <c r="AL19" i="114"/>
  <c r="AD181" i="120"/>
  <c r="AD90" i="120"/>
  <c r="AK114" i="114"/>
  <c r="AK108" i="114"/>
  <c r="AJ130" i="114"/>
  <c r="AJ122" i="114"/>
  <c r="AJ124" i="114" s="1"/>
  <c r="AJ178" i="114" s="1"/>
  <c r="AJ179" i="114" s="1"/>
  <c r="AI135" i="114"/>
  <c r="AI136" i="114"/>
  <c r="AH174" i="120"/>
  <c r="AE174" i="120"/>
  <c r="K33" i="114"/>
  <c r="E84" i="120"/>
  <c r="K32" i="114"/>
  <c r="E83" i="120"/>
  <c r="K162" i="114"/>
  <c r="K45" i="114"/>
  <c r="K46" i="114"/>
  <c r="K30" i="114"/>
  <c r="K81" i="114"/>
  <c r="K88" i="114"/>
  <c r="K139" i="114"/>
  <c r="K43" i="114"/>
  <c r="K85" i="114" s="1"/>
  <c r="K35" i="114"/>
  <c r="K36" i="114"/>
  <c r="R22" i="84"/>
  <c r="AH22" i="84"/>
  <c r="Z22" i="84"/>
  <c r="Q22" i="84"/>
  <c r="P22" i="84"/>
  <c r="O22" i="84"/>
  <c r="N22" i="84"/>
  <c r="M22" i="84"/>
  <c r="AG22" i="84"/>
  <c r="Y22" i="84"/>
  <c r="AF22" i="84"/>
  <c r="X22" i="84"/>
  <c r="J22" i="84"/>
  <c r="AE22" i="84"/>
  <c r="W22" i="84"/>
  <c r="AL22" i="84"/>
  <c r="AD22" i="84"/>
  <c r="V22" i="84"/>
  <c r="AK22" i="84"/>
  <c r="AC22" i="84"/>
  <c r="U22" i="84"/>
  <c r="AJ22" i="84"/>
  <c r="AB22" i="84"/>
  <c r="T22" i="84"/>
  <c r="L22" i="84"/>
  <c r="AI22" i="84"/>
  <c r="AA22" i="84"/>
  <c r="S22" i="84"/>
  <c r="A2" i="114"/>
  <c r="H86" i="112"/>
  <c r="E85" i="112"/>
  <c r="F85" i="112" s="1"/>
  <c r="G85" i="112" s="1"/>
  <c r="H85" i="112" s="1"/>
  <c r="I85" i="112" s="1"/>
  <c r="J85" i="112" s="1"/>
  <c r="E51" i="112"/>
  <c r="F51" i="112" s="1"/>
  <c r="G51" i="112" s="1"/>
  <c r="H51" i="112" s="1"/>
  <c r="I51" i="112" s="1"/>
  <c r="J51" i="112" s="1"/>
  <c r="E41" i="112"/>
  <c r="F41" i="112" s="1"/>
  <c r="G41" i="112" s="1"/>
  <c r="H41" i="112" s="1"/>
  <c r="I41" i="112" s="1"/>
  <c r="J41" i="112" s="1"/>
  <c r="F32" i="112"/>
  <c r="G32" i="112" s="1"/>
  <c r="H32" i="112" s="1"/>
  <c r="I32" i="112" s="1"/>
  <c r="J32" i="112" s="1"/>
  <c r="K32" i="112" s="1"/>
  <c r="N16" i="125" l="1"/>
  <c r="N17" i="125" s="1"/>
  <c r="N16" i="127"/>
  <c r="N17" i="127" s="1"/>
  <c r="N16" i="124"/>
  <c r="N17" i="124" s="1"/>
  <c r="N16" i="126"/>
  <c r="N17" i="126" s="1"/>
  <c r="N19" i="127"/>
  <c r="N20" i="127" s="1"/>
  <c r="N19" i="126"/>
  <c r="N20" i="126" s="1"/>
  <c r="N19" i="124"/>
  <c r="N20" i="124" s="1"/>
  <c r="N19" i="125"/>
  <c r="N20" i="125" s="1"/>
  <c r="N19" i="123"/>
  <c r="N20" i="123" s="1"/>
  <c r="N16" i="123"/>
  <c r="N17" i="123" s="1"/>
  <c r="AI137" i="114"/>
  <c r="AI184" i="114" s="1"/>
  <c r="AL107" i="114"/>
  <c r="AD180" i="120"/>
  <c r="AD183" i="120" s="1"/>
  <c r="AD184" i="120" s="1"/>
  <c r="AD185" i="120" s="1"/>
  <c r="AJ180" i="114"/>
  <c r="AJ183" i="114"/>
  <c r="AH191" i="114"/>
  <c r="AJ131" i="114"/>
  <c r="AJ132" i="114" s="1"/>
  <c r="AJ134" i="114" s="1"/>
  <c r="AJ156" i="114"/>
  <c r="AJ157" i="114" s="1"/>
  <c r="AJ158" i="114" s="1"/>
  <c r="AK121" i="114"/>
  <c r="AK115" i="114"/>
  <c r="K19" i="114"/>
  <c r="K107" i="114" s="1"/>
  <c r="K114" i="114" s="1"/>
  <c r="K121" i="114" s="1"/>
  <c r="N16" i="118"/>
  <c r="K86" i="114"/>
  <c r="K140" i="114" s="1"/>
  <c r="K141" i="114" s="1"/>
  <c r="I86" i="112"/>
  <c r="N15" i="114"/>
  <c r="N16" i="114" s="1"/>
  <c r="K80" i="114"/>
  <c r="K92" i="114" s="1"/>
  <c r="I5" i="84"/>
  <c r="J4" i="84" s="1"/>
  <c r="E23" i="112"/>
  <c r="F23" i="112" s="1"/>
  <c r="G23" i="112" s="1"/>
  <c r="H23" i="112" s="1"/>
  <c r="I23" i="112" s="1"/>
  <c r="J23" i="112" s="1"/>
  <c r="E9" i="112"/>
  <c r="A2" i="113"/>
  <c r="N17" i="118" l="1"/>
  <c r="N21" i="118"/>
  <c r="N25" i="118" s="1"/>
  <c r="O16" i="125"/>
  <c r="O17" i="125" s="1"/>
  <c r="O19" i="124"/>
  <c r="O16" i="127"/>
  <c r="O17" i="127" s="1"/>
  <c r="O16" i="126"/>
  <c r="O17" i="126" s="1"/>
  <c r="O19" i="125"/>
  <c r="O20" i="125" s="1"/>
  <c r="O19" i="127"/>
  <c r="O20" i="127" s="1"/>
  <c r="O19" i="126"/>
  <c r="O20" i="126" s="1"/>
  <c r="O16" i="124"/>
  <c r="O17" i="124" s="1"/>
  <c r="O16" i="123"/>
  <c r="O17" i="123" s="1"/>
  <c r="O19" i="123"/>
  <c r="K97" i="114"/>
  <c r="F6" i="118"/>
  <c r="F6" i="126"/>
  <c r="F6" i="127"/>
  <c r="F6" i="124"/>
  <c r="F6" i="125"/>
  <c r="F6" i="123"/>
  <c r="C33" i="128"/>
  <c r="N14" i="118"/>
  <c r="N15" i="118"/>
  <c r="AJ135" i="114"/>
  <c r="AJ136" i="114"/>
  <c r="AH192" i="114"/>
  <c r="AH193" i="114"/>
  <c r="AK122" i="114"/>
  <c r="AK124" i="114" s="1"/>
  <c r="AK178" i="114" s="1"/>
  <c r="AK179" i="114" s="1"/>
  <c r="AK130" i="114"/>
  <c r="AL114" i="114"/>
  <c r="AL108" i="114"/>
  <c r="AI185" i="114"/>
  <c r="C23" i="128"/>
  <c r="C24" i="128" s="1"/>
  <c r="F91" i="120"/>
  <c r="K108" i="114"/>
  <c r="K115" i="114"/>
  <c r="E18" i="120"/>
  <c r="N17" i="114"/>
  <c r="F86" i="120"/>
  <c r="N19" i="118"/>
  <c r="F99" i="120"/>
  <c r="K130" i="114"/>
  <c r="K122" i="114"/>
  <c r="O16" i="118"/>
  <c r="K83" i="114"/>
  <c r="J86" i="112"/>
  <c r="O15" i="114"/>
  <c r="O16" i="114" s="1"/>
  <c r="O25" i="114" s="1"/>
  <c r="E11" i="112"/>
  <c r="F6" i="114"/>
  <c r="J5" i="84"/>
  <c r="J12" i="84" s="1"/>
  <c r="E6" i="84"/>
  <c r="A2" i="112"/>
  <c r="O21" i="118" l="1"/>
  <c r="P16" i="118"/>
  <c r="N22" i="118"/>
  <c r="F108" i="120" s="1"/>
  <c r="F114" i="120"/>
  <c r="F107" i="120"/>
  <c r="G6" i="127"/>
  <c r="G6" i="130"/>
  <c r="P21" i="118"/>
  <c r="O17" i="118"/>
  <c r="P19" i="124"/>
  <c r="P19" i="125"/>
  <c r="P16" i="127"/>
  <c r="P16" i="125"/>
  <c r="P19" i="127"/>
  <c r="P19" i="126"/>
  <c r="P16" i="124"/>
  <c r="P16" i="126"/>
  <c r="P16" i="123"/>
  <c r="P19" i="123"/>
  <c r="M14" i="118"/>
  <c r="O20" i="123"/>
  <c r="O28" i="123"/>
  <c r="O28" i="124"/>
  <c r="O20" i="124"/>
  <c r="O25" i="118"/>
  <c r="D33" i="128"/>
  <c r="D31" i="128" s="1"/>
  <c r="D30" i="128" s="1"/>
  <c r="AK180" i="114"/>
  <c r="AK183" i="114"/>
  <c r="AI191" i="114"/>
  <c r="AK156" i="114"/>
  <c r="AK157" i="114" s="1"/>
  <c r="AK158" i="114" s="1"/>
  <c r="AK131" i="114"/>
  <c r="AK132" i="114" s="1"/>
  <c r="AK134" i="114" s="1"/>
  <c r="O31" i="114"/>
  <c r="O24" i="114"/>
  <c r="O82" i="114"/>
  <c r="O162" i="114"/>
  <c r="G167" i="120"/>
  <c r="G143" i="120"/>
  <c r="G146" i="120" s="1"/>
  <c r="G147" i="120" s="1"/>
  <c r="G82" i="120"/>
  <c r="G152" i="120"/>
  <c r="G155" i="120" s="1"/>
  <c r="AL121" i="114"/>
  <c r="AL115" i="114"/>
  <c r="AJ137" i="114"/>
  <c r="AJ184" i="114" s="1"/>
  <c r="D23" i="128"/>
  <c r="D24" i="128" s="1"/>
  <c r="G91" i="120"/>
  <c r="K6" i="127"/>
  <c r="L6" i="127"/>
  <c r="M6" i="127"/>
  <c r="N6" i="127"/>
  <c r="O6" i="127"/>
  <c r="P6" i="127"/>
  <c r="Q6" i="127"/>
  <c r="R6" i="127"/>
  <c r="S6" i="127"/>
  <c r="T6" i="127"/>
  <c r="U6" i="127"/>
  <c r="V6" i="127"/>
  <c r="W6" i="127"/>
  <c r="X6" i="127"/>
  <c r="Y6" i="127"/>
  <c r="Z6" i="127"/>
  <c r="AA6" i="127"/>
  <c r="AB6" i="127"/>
  <c r="AC6" i="127"/>
  <c r="AD6" i="127"/>
  <c r="AE6" i="127"/>
  <c r="AF6" i="127"/>
  <c r="AG6" i="127"/>
  <c r="AH6" i="127"/>
  <c r="AI6" i="127"/>
  <c r="AJ6" i="127"/>
  <c r="AK6" i="127"/>
  <c r="AL6" i="127"/>
  <c r="K124" i="114"/>
  <c r="K178" i="114" s="1"/>
  <c r="K179" i="114" s="1"/>
  <c r="K183" i="114" s="1"/>
  <c r="G6" i="125"/>
  <c r="K6" i="125" s="1"/>
  <c r="G6" i="126"/>
  <c r="G6" i="123"/>
  <c r="K6" i="123" s="1"/>
  <c r="G6" i="124"/>
  <c r="H99" i="120"/>
  <c r="O19" i="118"/>
  <c r="G99" i="120"/>
  <c r="O17" i="114"/>
  <c r="G86" i="120"/>
  <c r="K91" i="114"/>
  <c r="K94" i="114" s="1"/>
  <c r="K156" i="114"/>
  <c r="K157" i="114" s="1"/>
  <c r="K158" i="114" s="1"/>
  <c r="K160" i="114" s="1"/>
  <c r="K161" i="114" s="1"/>
  <c r="K164" i="114" s="1"/>
  <c r="K131" i="114"/>
  <c r="K132" i="114" s="1"/>
  <c r="K134" i="114" s="1"/>
  <c r="K136" i="114" s="1"/>
  <c r="P15" i="114"/>
  <c r="P16" i="114" s="1"/>
  <c r="P25" i="114" s="1"/>
  <c r="E33" i="128"/>
  <c r="E31" i="128" s="1"/>
  <c r="E30" i="128" s="1"/>
  <c r="F6" i="84"/>
  <c r="G6" i="118"/>
  <c r="K95" i="114"/>
  <c r="K190" i="114"/>
  <c r="E14" i="112"/>
  <c r="F7" i="130" s="1"/>
  <c r="G6" i="114"/>
  <c r="K6" i="114" s="1"/>
  <c r="F27" i="84"/>
  <c r="F26" i="84"/>
  <c r="G114" i="120" l="1"/>
  <c r="G107" i="120"/>
  <c r="AH6" i="125"/>
  <c r="K6" i="130"/>
  <c r="L6" i="130"/>
  <c r="M6" i="130"/>
  <c r="N6" i="130"/>
  <c r="O6" i="130"/>
  <c r="P6" i="130"/>
  <c r="Q6" i="130"/>
  <c r="R6" i="130"/>
  <c r="S6" i="130"/>
  <c r="T6" i="130"/>
  <c r="U6" i="130"/>
  <c r="V6" i="130"/>
  <c r="W6" i="130"/>
  <c r="X6" i="130"/>
  <c r="Y6" i="130"/>
  <c r="Z6" i="130"/>
  <c r="AA6" i="130"/>
  <c r="AB6" i="130"/>
  <c r="AC6" i="130"/>
  <c r="AD6" i="130"/>
  <c r="AE6" i="130"/>
  <c r="AF6" i="130"/>
  <c r="AG6" i="130"/>
  <c r="AH6" i="130"/>
  <c r="AI6" i="130"/>
  <c r="AJ6" i="130"/>
  <c r="AK6" i="130"/>
  <c r="AL6" i="130"/>
  <c r="AF6" i="125"/>
  <c r="P17" i="118"/>
  <c r="O22" i="118"/>
  <c r="G108" i="120" s="1"/>
  <c r="O32" i="118"/>
  <c r="P6" i="125"/>
  <c r="AA6" i="123"/>
  <c r="Z6" i="123"/>
  <c r="O35" i="124"/>
  <c r="O173" i="124"/>
  <c r="O27" i="124"/>
  <c r="O87" i="124"/>
  <c r="Q19" i="126"/>
  <c r="P20" i="126"/>
  <c r="P28" i="126"/>
  <c r="Y6" i="123"/>
  <c r="O27" i="123"/>
  <c r="O87" i="123"/>
  <c r="O173" i="123"/>
  <c r="O35" i="123"/>
  <c r="Q19" i="127"/>
  <c r="P20" i="127"/>
  <c r="P28" i="127"/>
  <c r="Q16" i="124"/>
  <c r="P17" i="124"/>
  <c r="AK6" i="123"/>
  <c r="AI6" i="123"/>
  <c r="X6" i="123"/>
  <c r="Q16" i="125"/>
  <c r="P17" i="125"/>
  <c r="P28" i="125"/>
  <c r="AH6" i="123"/>
  <c r="S6" i="123"/>
  <c r="Q16" i="127"/>
  <c r="P17" i="127"/>
  <c r="AG6" i="123"/>
  <c r="P6" i="123"/>
  <c r="Q19" i="123"/>
  <c r="P20" i="123"/>
  <c r="P28" i="123"/>
  <c r="Q19" i="125"/>
  <c r="P20" i="125"/>
  <c r="AF6" i="123"/>
  <c r="N6" i="123"/>
  <c r="Q16" i="123"/>
  <c r="P17" i="123"/>
  <c r="Q19" i="124"/>
  <c r="P20" i="124"/>
  <c r="P28" i="124"/>
  <c r="AC6" i="123"/>
  <c r="Q16" i="126"/>
  <c r="P17" i="126"/>
  <c r="G166" i="120"/>
  <c r="O81" i="114"/>
  <c r="G142" i="120"/>
  <c r="G81" i="120"/>
  <c r="G151" i="120"/>
  <c r="G154" i="120" s="1"/>
  <c r="G157" i="120" s="1"/>
  <c r="O179" i="114"/>
  <c r="O141" i="114"/>
  <c r="O137" i="114"/>
  <c r="O30" i="114"/>
  <c r="G89" i="120" s="1"/>
  <c r="AL122" i="114"/>
  <c r="AL124" i="114" s="1"/>
  <c r="AL178" i="114" s="1"/>
  <c r="AL179" i="114" s="1"/>
  <c r="AL130" i="114"/>
  <c r="G90" i="120"/>
  <c r="G181" i="120"/>
  <c r="O19" i="114"/>
  <c r="P24" i="114"/>
  <c r="P31" i="114"/>
  <c r="H167" i="120"/>
  <c r="H152" i="120"/>
  <c r="H155" i="120" s="1"/>
  <c r="H143" i="120"/>
  <c r="H146" i="120" s="1"/>
  <c r="H147" i="120" s="1"/>
  <c r="H82" i="120"/>
  <c r="P162" i="114"/>
  <c r="P82" i="114"/>
  <c r="AI193" i="114"/>
  <c r="AI192" i="114"/>
  <c r="AK135" i="114"/>
  <c r="AK136" i="114"/>
  <c r="AJ185" i="114"/>
  <c r="G26" i="120"/>
  <c r="G50" i="120"/>
  <c r="G122" i="120"/>
  <c r="D22" i="128"/>
  <c r="D21" i="128" s="1"/>
  <c r="E23" i="128"/>
  <c r="E24" i="128" s="1"/>
  <c r="E22" i="128" s="1"/>
  <c r="E21" i="128" s="1"/>
  <c r="H91" i="120"/>
  <c r="AG6" i="125"/>
  <c r="Z6" i="125"/>
  <c r="Y6" i="125"/>
  <c r="X6" i="125"/>
  <c r="R6" i="125"/>
  <c r="F7" i="126"/>
  <c r="F7" i="127"/>
  <c r="Q6" i="125"/>
  <c r="AE6" i="125"/>
  <c r="W6" i="125"/>
  <c r="O6" i="125"/>
  <c r="AE6" i="123"/>
  <c r="V6" i="123"/>
  <c r="AL6" i="125"/>
  <c r="AD6" i="125"/>
  <c r="V6" i="125"/>
  <c r="N6" i="125"/>
  <c r="K180" i="114"/>
  <c r="AL6" i="123"/>
  <c r="AD6" i="123"/>
  <c r="U6" i="123"/>
  <c r="AK6" i="125"/>
  <c r="AC6" i="125"/>
  <c r="U6" i="125"/>
  <c r="M6" i="125"/>
  <c r="AJ6" i="125"/>
  <c r="AB6" i="125"/>
  <c r="T6" i="125"/>
  <c r="L6" i="125"/>
  <c r="AJ6" i="123"/>
  <c r="AB6" i="123"/>
  <c r="R6" i="123"/>
  <c r="AI6" i="125"/>
  <c r="AA6" i="125"/>
  <c r="S6" i="125"/>
  <c r="K6" i="126"/>
  <c r="L6" i="126"/>
  <c r="M6" i="126"/>
  <c r="N6" i="126"/>
  <c r="O6" i="126"/>
  <c r="P6" i="126"/>
  <c r="Q6" i="126"/>
  <c r="R6" i="126"/>
  <c r="S6" i="126"/>
  <c r="T6" i="126"/>
  <c r="U6" i="126"/>
  <c r="V6" i="126"/>
  <c r="W6" i="126"/>
  <c r="X6" i="126"/>
  <c r="Y6" i="126"/>
  <c r="Z6" i="126"/>
  <c r="AA6" i="126"/>
  <c r="AB6" i="126"/>
  <c r="AC6" i="126"/>
  <c r="AD6" i="126"/>
  <c r="AE6" i="126"/>
  <c r="AF6" i="126"/>
  <c r="AG6" i="126"/>
  <c r="AH6" i="126"/>
  <c r="AI6" i="126"/>
  <c r="AJ6" i="126"/>
  <c r="AK6" i="126"/>
  <c r="AL6" i="126"/>
  <c r="F7" i="124"/>
  <c r="F7" i="125"/>
  <c r="M6" i="123"/>
  <c r="T6" i="123"/>
  <c r="L6" i="123"/>
  <c r="Q6" i="123"/>
  <c r="W6" i="123"/>
  <c r="O6" i="123"/>
  <c r="K6" i="124"/>
  <c r="L6" i="124"/>
  <c r="M6" i="124"/>
  <c r="N6" i="124"/>
  <c r="O6" i="124"/>
  <c r="P6" i="124"/>
  <c r="Q6" i="124"/>
  <c r="R6" i="124"/>
  <c r="S6" i="124"/>
  <c r="T6" i="124"/>
  <c r="U6" i="124"/>
  <c r="V6" i="124"/>
  <c r="W6" i="124"/>
  <c r="X6" i="124"/>
  <c r="Y6" i="124"/>
  <c r="Z6" i="124"/>
  <c r="AA6" i="124"/>
  <c r="AB6" i="124"/>
  <c r="AC6" i="124"/>
  <c r="AD6" i="124"/>
  <c r="AE6" i="124"/>
  <c r="AF6" i="124"/>
  <c r="AG6" i="124"/>
  <c r="AH6" i="124"/>
  <c r="AI6" i="124"/>
  <c r="AJ6" i="124"/>
  <c r="AK6" i="124"/>
  <c r="AL6" i="124"/>
  <c r="F7" i="118"/>
  <c r="F7" i="123"/>
  <c r="Q15" i="114"/>
  <c r="Q16" i="114" s="1"/>
  <c r="Q25" i="114" s="1"/>
  <c r="H86" i="120"/>
  <c r="K135" i="114"/>
  <c r="K137" i="114" s="1"/>
  <c r="K184" i="114" s="1"/>
  <c r="P17" i="114"/>
  <c r="P25" i="118"/>
  <c r="Q16" i="118"/>
  <c r="P19" i="118"/>
  <c r="K6" i="118"/>
  <c r="L6" i="118"/>
  <c r="M6" i="118"/>
  <c r="N6" i="118"/>
  <c r="O6" i="118"/>
  <c r="P6" i="118"/>
  <c r="Q6" i="118"/>
  <c r="R6" i="118"/>
  <c r="S6" i="118"/>
  <c r="T6" i="118"/>
  <c r="U6" i="118"/>
  <c r="V6" i="118"/>
  <c r="W6" i="118"/>
  <c r="X6" i="118"/>
  <c r="Y6" i="118"/>
  <c r="Z6" i="118"/>
  <c r="AA6" i="118"/>
  <c r="AB6" i="118"/>
  <c r="AC6" i="118"/>
  <c r="AD6" i="118"/>
  <c r="AE6" i="118"/>
  <c r="AF6" i="118"/>
  <c r="AG6" i="118"/>
  <c r="AH6" i="118"/>
  <c r="AI6" i="118"/>
  <c r="AJ6" i="118"/>
  <c r="AK6" i="118"/>
  <c r="AL6" i="118"/>
  <c r="AG6" i="114"/>
  <c r="Z6" i="114"/>
  <c r="AH6" i="114"/>
  <c r="Y6" i="114"/>
  <c r="R6" i="114"/>
  <c r="X6" i="114"/>
  <c r="P6" i="114"/>
  <c r="AE6" i="114"/>
  <c r="W6" i="114"/>
  <c r="O6" i="114"/>
  <c r="AF6" i="114"/>
  <c r="AL6" i="114"/>
  <c r="AD6" i="114"/>
  <c r="V6" i="114"/>
  <c r="N6" i="114"/>
  <c r="U6" i="114"/>
  <c r="M6" i="114"/>
  <c r="E16" i="112"/>
  <c r="G7" i="130" s="1"/>
  <c r="K7" i="130" s="1"/>
  <c r="F7" i="114"/>
  <c r="E7" i="84"/>
  <c r="AK6" i="114"/>
  <c r="AJ6" i="114"/>
  <c r="AB6" i="114"/>
  <c r="T6" i="114"/>
  <c r="L6" i="114"/>
  <c r="Q6" i="114"/>
  <c r="AC6" i="114"/>
  <c r="AI6" i="114"/>
  <c r="AA6" i="114"/>
  <c r="S6" i="114"/>
  <c r="AD26" i="84"/>
  <c r="N26" i="84"/>
  <c r="AL26" i="84"/>
  <c r="V26" i="84"/>
  <c r="Y26" i="84"/>
  <c r="Q26" i="84"/>
  <c r="AG26" i="84"/>
  <c r="J26" i="84"/>
  <c r="R26" i="84"/>
  <c r="Z26" i="84"/>
  <c r="AH26" i="84"/>
  <c r="M26" i="84"/>
  <c r="U26" i="84"/>
  <c r="AC26" i="84"/>
  <c r="AK26" i="84"/>
  <c r="L27" i="84"/>
  <c r="AA27" i="84"/>
  <c r="O27" i="84"/>
  <c r="AE27" i="84"/>
  <c r="K26" i="84"/>
  <c r="O26" i="84"/>
  <c r="S26" i="84"/>
  <c r="W26" i="84"/>
  <c r="AA26" i="84"/>
  <c r="AE26" i="84"/>
  <c r="AI26" i="84"/>
  <c r="S27" i="84"/>
  <c r="AI27" i="84"/>
  <c r="AL27" i="84"/>
  <c r="AH27" i="84"/>
  <c r="AD27" i="84"/>
  <c r="Z27" i="84"/>
  <c r="V27" i="84"/>
  <c r="R27" i="84"/>
  <c r="N27" i="84"/>
  <c r="J27" i="84"/>
  <c r="AK27" i="84"/>
  <c r="AG27" i="84"/>
  <c r="AC27" i="84"/>
  <c r="Y27" i="84"/>
  <c r="U27" i="84"/>
  <c r="Q27" i="84"/>
  <c r="M27" i="84"/>
  <c r="AJ27" i="84"/>
  <c r="AF27" i="84"/>
  <c r="AB27" i="84"/>
  <c r="X27" i="84"/>
  <c r="T27" i="84"/>
  <c r="P27" i="84"/>
  <c r="L26" i="84"/>
  <c r="P26" i="84"/>
  <c r="T26" i="84"/>
  <c r="X26" i="84"/>
  <c r="AB26" i="84"/>
  <c r="AF26" i="84"/>
  <c r="AJ26" i="84"/>
  <c r="K27" i="84"/>
  <c r="W27" i="84"/>
  <c r="Q21" i="118" l="1"/>
  <c r="F33" i="128" s="1"/>
  <c r="F31" i="128" s="1"/>
  <c r="F30" i="128" s="1"/>
  <c r="R16" i="118"/>
  <c r="S16" i="118" s="1"/>
  <c r="T16" i="118" s="1"/>
  <c r="U16" i="118" s="1"/>
  <c r="U21" i="118" s="1"/>
  <c r="H114" i="120"/>
  <c r="H107" i="120"/>
  <c r="R7" i="130"/>
  <c r="AG7" i="130"/>
  <c r="Y7" i="130"/>
  <c r="Q7" i="130"/>
  <c r="AF7" i="130"/>
  <c r="X7" i="130"/>
  <c r="P7" i="130"/>
  <c r="AH7" i="130"/>
  <c r="AE7" i="130"/>
  <c r="W7" i="130"/>
  <c r="O7" i="130"/>
  <c r="AL7" i="130"/>
  <c r="AD7" i="130"/>
  <c r="V7" i="130"/>
  <c r="N7" i="130"/>
  <c r="Z7" i="130"/>
  <c r="AK7" i="130"/>
  <c r="AC7" i="130"/>
  <c r="U7" i="130"/>
  <c r="M7" i="130"/>
  <c r="AJ7" i="130"/>
  <c r="AB7" i="130"/>
  <c r="T7" i="130"/>
  <c r="L7" i="130"/>
  <c r="AI7" i="130"/>
  <c r="AA7" i="130"/>
  <c r="S7" i="130"/>
  <c r="P32" i="118"/>
  <c r="P22" i="118"/>
  <c r="H108" i="120" s="1"/>
  <c r="Q17" i="118"/>
  <c r="R19" i="123"/>
  <c r="Q20" i="123"/>
  <c r="Q28" i="123"/>
  <c r="P27" i="125"/>
  <c r="P87" i="125"/>
  <c r="P35" i="125"/>
  <c r="P22" i="125" s="1"/>
  <c r="P118" i="125" s="1"/>
  <c r="P173" i="125"/>
  <c r="R16" i="123"/>
  <c r="Q17" i="123"/>
  <c r="R16" i="125"/>
  <c r="Q17" i="125"/>
  <c r="Q28" i="125"/>
  <c r="R19" i="127"/>
  <c r="Q28" i="127"/>
  <c r="Q20" i="127"/>
  <c r="R19" i="126"/>
  <c r="Q20" i="126"/>
  <c r="Q28" i="126"/>
  <c r="P87" i="126"/>
  <c r="P173" i="126"/>
  <c r="P35" i="126"/>
  <c r="P22" i="126" s="1"/>
  <c r="P118" i="126" s="1"/>
  <c r="P25" i="126"/>
  <c r="R19" i="124"/>
  <c r="Q28" i="124"/>
  <c r="Q20" i="124"/>
  <c r="R16" i="126"/>
  <c r="Q17" i="126"/>
  <c r="O190" i="124"/>
  <c r="O148" i="124"/>
  <c r="O152" i="124"/>
  <c r="O86" i="124"/>
  <c r="O34" i="124"/>
  <c r="O31" i="124"/>
  <c r="R16" i="127"/>
  <c r="Q17" i="127"/>
  <c r="P27" i="124"/>
  <c r="P87" i="124"/>
  <c r="P173" i="124"/>
  <c r="P35" i="124"/>
  <c r="R19" i="125"/>
  <c r="Q20" i="125"/>
  <c r="O86" i="123"/>
  <c r="O31" i="123"/>
  <c r="O34" i="123"/>
  <c r="O148" i="123"/>
  <c r="O152" i="123"/>
  <c r="P27" i="123"/>
  <c r="P173" i="123"/>
  <c r="P87" i="123"/>
  <c r="P35" i="123"/>
  <c r="R16" i="124"/>
  <c r="Q17" i="124"/>
  <c r="P81" i="114"/>
  <c r="P30" i="114"/>
  <c r="H89" i="120" s="1"/>
  <c r="H142" i="120"/>
  <c r="H81" i="120"/>
  <c r="H166" i="120"/>
  <c r="P137" i="114"/>
  <c r="P179" i="114"/>
  <c r="H151" i="120"/>
  <c r="H154" i="120" s="1"/>
  <c r="H157" i="120" s="1"/>
  <c r="P141" i="114"/>
  <c r="AJ191" i="114"/>
  <c r="H26" i="120"/>
  <c r="H50" i="120"/>
  <c r="G180" i="120"/>
  <c r="G183" i="120" s="1"/>
  <c r="G184" i="120" s="1"/>
  <c r="G185" i="120" s="1"/>
  <c r="O107" i="114"/>
  <c r="O183" i="114"/>
  <c r="O180" i="114"/>
  <c r="AK137" i="114"/>
  <c r="AK184" i="114" s="1"/>
  <c r="Q24" i="114"/>
  <c r="Q31" i="114"/>
  <c r="I82" i="120"/>
  <c r="I167" i="120"/>
  <c r="Q162" i="114"/>
  <c r="Q164" i="114" s="1"/>
  <c r="Q186" i="114" s="1"/>
  <c r="I143" i="120"/>
  <c r="I146" i="120" s="1"/>
  <c r="I147" i="120" s="1"/>
  <c r="I152" i="120"/>
  <c r="I155" i="120" s="1"/>
  <c r="Q82" i="114"/>
  <c r="AL156" i="114"/>
  <c r="AL157" i="114" s="1"/>
  <c r="AL158" i="114" s="1"/>
  <c r="AL131" i="114"/>
  <c r="AL132" i="114" s="1"/>
  <c r="AL134" i="114" s="1"/>
  <c r="AL183" i="114"/>
  <c r="AL180" i="114"/>
  <c r="O80" i="114"/>
  <c r="G24" i="120"/>
  <c r="G27" i="120" s="1"/>
  <c r="H181" i="120"/>
  <c r="H90" i="120"/>
  <c r="P19" i="114"/>
  <c r="I86" i="120"/>
  <c r="F23" i="128"/>
  <c r="F24" i="128" s="1"/>
  <c r="F22" i="128" s="1"/>
  <c r="F21" i="128" s="1"/>
  <c r="F25" i="128" s="1"/>
  <c r="I91" i="120"/>
  <c r="G7" i="126"/>
  <c r="R7" i="126" s="1"/>
  <c r="G7" i="127"/>
  <c r="K7" i="127" s="1"/>
  <c r="AE7" i="126"/>
  <c r="G7" i="124"/>
  <c r="K7" i="124" s="1"/>
  <c r="G7" i="125"/>
  <c r="K7" i="125" s="1"/>
  <c r="X7" i="125"/>
  <c r="AC7" i="125"/>
  <c r="AF7" i="124"/>
  <c r="AL7" i="124"/>
  <c r="AD7" i="124"/>
  <c r="N7" i="124"/>
  <c r="Z7" i="124"/>
  <c r="AJ7" i="124"/>
  <c r="K191" i="114"/>
  <c r="G7" i="118"/>
  <c r="K7" i="118" s="1"/>
  <c r="G7" i="123"/>
  <c r="P7" i="123" s="1"/>
  <c r="I99" i="120"/>
  <c r="Q17" i="114"/>
  <c r="R15" i="114"/>
  <c r="R16" i="114" s="1"/>
  <c r="R25" i="114" s="1"/>
  <c r="R21" i="118"/>
  <c r="G33" i="128" s="1"/>
  <c r="G31" i="128" s="1"/>
  <c r="G30" i="128" s="1"/>
  <c r="Q19" i="118"/>
  <c r="Q25" i="118"/>
  <c r="F7" i="84"/>
  <c r="G7" i="114"/>
  <c r="K7" i="114" s="1"/>
  <c r="A2" i="84"/>
  <c r="I114" i="120" l="1"/>
  <c r="I107" i="120"/>
  <c r="R17" i="118"/>
  <c r="P7" i="124"/>
  <c r="T7" i="124"/>
  <c r="Q7" i="124"/>
  <c r="Q32" i="118"/>
  <c r="Q22" i="118"/>
  <c r="I108" i="120" s="1"/>
  <c r="S7" i="124"/>
  <c r="M7" i="124"/>
  <c r="Y7" i="124"/>
  <c r="AI7" i="124"/>
  <c r="AK7" i="124"/>
  <c r="AE7" i="124"/>
  <c r="Q7" i="125"/>
  <c r="AA7" i="124"/>
  <c r="U7" i="124"/>
  <c r="W7" i="124"/>
  <c r="L7" i="124"/>
  <c r="R7" i="124"/>
  <c r="AG7" i="124"/>
  <c r="AB7" i="124"/>
  <c r="V7" i="124"/>
  <c r="X7" i="124"/>
  <c r="S7" i="126"/>
  <c r="AB7" i="126"/>
  <c r="AG7" i="125"/>
  <c r="W7" i="125"/>
  <c r="P7" i="126"/>
  <c r="AF7" i="125"/>
  <c r="U7" i="125"/>
  <c r="Z7" i="126"/>
  <c r="AE7" i="125"/>
  <c r="T7" i="125"/>
  <c r="AD7" i="125"/>
  <c r="R7" i="125"/>
  <c r="AA7" i="126"/>
  <c r="AH7" i="124"/>
  <c r="AC7" i="124"/>
  <c r="O7" i="124"/>
  <c r="AL7" i="125"/>
  <c r="AB7" i="125"/>
  <c r="N7" i="125"/>
  <c r="AC7" i="126"/>
  <c r="W7" i="123"/>
  <c r="AK7" i="125"/>
  <c r="Z7" i="125"/>
  <c r="L7" i="125"/>
  <c r="AD7" i="126"/>
  <c r="AJ7" i="125"/>
  <c r="P148" i="123"/>
  <c r="P190" i="123"/>
  <c r="P86" i="123"/>
  <c r="P31" i="123"/>
  <c r="P34" i="123"/>
  <c r="P152" i="123"/>
  <c r="S19" i="125"/>
  <c r="R20" i="125"/>
  <c r="S16" i="127"/>
  <c r="R17" i="127"/>
  <c r="O194" i="124"/>
  <c r="O191" i="124"/>
  <c r="P119" i="125"/>
  <c r="P125" i="125"/>
  <c r="P125" i="126"/>
  <c r="P119" i="126"/>
  <c r="S19" i="127"/>
  <c r="R28" i="127"/>
  <c r="R20" i="127"/>
  <c r="P91" i="125"/>
  <c r="U7" i="126"/>
  <c r="O90" i="124"/>
  <c r="O38" i="124"/>
  <c r="O22" i="124" s="1"/>
  <c r="O118" i="124" s="1"/>
  <c r="S16" i="126"/>
  <c r="R17" i="126"/>
  <c r="Q27" i="125"/>
  <c r="Q87" i="125"/>
  <c r="Q91" i="125" s="1"/>
  <c r="Q173" i="125"/>
  <c r="Q175" i="125" s="1"/>
  <c r="Q197" i="125" s="1"/>
  <c r="Q35" i="125"/>
  <c r="Q22" i="125" s="1"/>
  <c r="Q118" i="125" s="1"/>
  <c r="P152" i="125"/>
  <c r="P148" i="125"/>
  <c r="P86" i="125"/>
  <c r="P85" i="125" s="1"/>
  <c r="P25" i="125"/>
  <c r="P190" i="125"/>
  <c r="P34" i="125"/>
  <c r="S19" i="126"/>
  <c r="R20" i="126"/>
  <c r="R28" i="126"/>
  <c r="O25" i="124"/>
  <c r="P91" i="126"/>
  <c r="P85" i="126"/>
  <c r="Q27" i="123"/>
  <c r="Q35" i="123"/>
  <c r="Q173" i="123"/>
  <c r="Q175" i="123" s="1"/>
  <c r="Q197" i="123" s="1"/>
  <c r="Q87" i="123"/>
  <c r="S16" i="123"/>
  <c r="R17" i="123"/>
  <c r="S16" i="124"/>
  <c r="R17" i="124"/>
  <c r="P86" i="124"/>
  <c r="P190" i="124"/>
  <c r="P31" i="124"/>
  <c r="P148" i="124"/>
  <c r="P152" i="124"/>
  <c r="P34" i="124"/>
  <c r="Q27" i="124"/>
  <c r="Q87" i="124"/>
  <c r="Q35" i="124"/>
  <c r="Q173" i="124"/>
  <c r="Q175" i="124" s="1"/>
  <c r="Q197" i="124" s="1"/>
  <c r="Q173" i="126"/>
  <c r="Q175" i="126" s="1"/>
  <c r="Q197" i="126" s="1"/>
  <c r="Q27" i="126"/>
  <c r="Q87" i="126"/>
  <c r="Q35" i="126"/>
  <c r="S16" i="125"/>
  <c r="R28" i="125"/>
  <c r="R17" i="125"/>
  <c r="V7" i="125"/>
  <c r="W7" i="126"/>
  <c r="O25" i="123"/>
  <c r="O90" i="123"/>
  <c r="O91" i="123" s="1"/>
  <c r="O38" i="123"/>
  <c r="O22" i="123" s="1"/>
  <c r="O118" i="123" s="1"/>
  <c r="S19" i="124"/>
  <c r="R20" i="124"/>
  <c r="R28" i="124"/>
  <c r="S19" i="123"/>
  <c r="R28" i="123"/>
  <c r="R20" i="123"/>
  <c r="P7" i="118"/>
  <c r="AH7" i="118"/>
  <c r="AI7" i="118"/>
  <c r="T7" i="118"/>
  <c r="AJ7" i="118"/>
  <c r="R24" i="114"/>
  <c r="R31" i="114"/>
  <c r="J167" i="120"/>
  <c r="R82" i="114"/>
  <c r="J143" i="120"/>
  <c r="J146" i="120" s="1"/>
  <c r="J147" i="120" s="1"/>
  <c r="R162" i="114"/>
  <c r="R164" i="114" s="1"/>
  <c r="R186" i="114" s="1"/>
  <c r="J152" i="120"/>
  <c r="J155" i="120" s="1"/>
  <c r="J82" i="120"/>
  <c r="P107" i="114"/>
  <c r="H180" i="120"/>
  <c r="H183" i="120" s="1"/>
  <c r="H184" i="120" s="1"/>
  <c r="H185" i="120" s="1"/>
  <c r="P183" i="114"/>
  <c r="P180" i="114"/>
  <c r="AL135" i="114"/>
  <c r="AL136" i="114"/>
  <c r="Q141" i="114"/>
  <c r="Q30" i="114"/>
  <c r="I151" i="120"/>
  <c r="I154" i="120" s="1"/>
  <c r="I157" i="120" s="1"/>
  <c r="I81" i="120"/>
  <c r="Q81" i="114"/>
  <c r="I166" i="120"/>
  <c r="I142" i="120"/>
  <c r="I90" i="120"/>
  <c r="I181" i="120"/>
  <c r="Q19" i="114"/>
  <c r="I26" i="120"/>
  <c r="I50" i="120"/>
  <c r="AK185" i="114"/>
  <c r="AJ192" i="114"/>
  <c r="AJ193" i="114"/>
  <c r="O114" i="114"/>
  <c r="O108" i="114"/>
  <c r="O95" i="114"/>
  <c r="O97" i="114"/>
  <c r="O190" i="114"/>
  <c r="O92" i="114"/>
  <c r="O91" i="114"/>
  <c r="O94" i="114" s="1"/>
  <c r="P80" i="114"/>
  <c r="H24" i="120"/>
  <c r="H27" i="120" s="1"/>
  <c r="J86" i="120"/>
  <c r="G23" i="128"/>
  <c r="G24" i="128" s="1"/>
  <c r="G22" i="128" s="1"/>
  <c r="G21" i="128" s="1"/>
  <c r="G25" i="128" s="1"/>
  <c r="J91" i="120"/>
  <c r="S15" i="114"/>
  <c r="S16" i="114" s="1"/>
  <c r="S25" i="114" s="1"/>
  <c r="R17" i="114"/>
  <c r="S7" i="127"/>
  <c r="AH7" i="126"/>
  <c r="AJ7" i="126"/>
  <c r="AL7" i="126"/>
  <c r="X7" i="126"/>
  <c r="AH7" i="127"/>
  <c r="Z7" i="127"/>
  <c r="R7" i="127"/>
  <c r="K7" i="126"/>
  <c r="M7" i="126"/>
  <c r="O7" i="126"/>
  <c r="AF7" i="126"/>
  <c r="AG7" i="127"/>
  <c r="Y7" i="127"/>
  <c r="Q7" i="127"/>
  <c r="AF7" i="127"/>
  <c r="P7" i="127"/>
  <c r="AE7" i="127"/>
  <c r="O7" i="127"/>
  <c r="AI7" i="126"/>
  <c r="Q7" i="126"/>
  <c r="AL7" i="127"/>
  <c r="AD7" i="127"/>
  <c r="V7" i="127"/>
  <c r="N7" i="118"/>
  <c r="L7" i="126"/>
  <c r="N7" i="126"/>
  <c r="Y7" i="126"/>
  <c r="AK7" i="127"/>
  <c r="AC7" i="127"/>
  <c r="U7" i="127"/>
  <c r="M7" i="127"/>
  <c r="X7" i="127"/>
  <c r="W7" i="127"/>
  <c r="AK7" i="126"/>
  <c r="N7" i="127"/>
  <c r="V7" i="118"/>
  <c r="T7" i="126"/>
  <c r="V7" i="126"/>
  <c r="AG7" i="126"/>
  <c r="AJ7" i="127"/>
  <c r="AB7" i="127"/>
  <c r="T7" i="127"/>
  <c r="L7" i="127"/>
  <c r="AI7" i="127"/>
  <c r="AA7" i="127"/>
  <c r="AB7" i="118"/>
  <c r="AD7" i="118"/>
  <c r="AH7" i="123"/>
  <c r="M7" i="125"/>
  <c r="M7" i="118"/>
  <c r="AF7" i="118"/>
  <c r="L7" i="123"/>
  <c r="Q7" i="118"/>
  <c r="U7" i="118"/>
  <c r="AK7" i="118"/>
  <c r="Y7" i="118"/>
  <c r="S7" i="118"/>
  <c r="AE7" i="118"/>
  <c r="AG7" i="118"/>
  <c r="AH7" i="125"/>
  <c r="Y7" i="125"/>
  <c r="P7" i="125"/>
  <c r="O7" i="125"/>
  <c r="AL7" i="118"/>
  <c r="R7" i="118"/>
  <c r="AA7" i="118"/>
  <c r="AC7" i="118"/>
  <c r="O7" i="118"/>
  <c r="Z7" i="118"/>
  <c r="AI7" i="125"/>
  <c r="AA7" i="125"/>
  <c r="S7" i="125"/>
  <c r="L7" i="118"/>
  <c r="W7" i="118"/>
  <c r="X7" i="118"/>
  <c r="AE7" i="123"/>
  <c r="AB7" i="123"/>
  <c r="Z7" i="123"/>
  <c r="T7" i="123"/>
  <c r="R7" i="123"/>
  <c r="AJ7" i="123"/>
  <c r="O7" i="123"/>
  <c r="AL7" i="123"/>
  <c r="AD7" i="123"/>
  <c r="V7" i="123"/>
  <c r="N7" i="123"/>
  <c r="AK7" i="123"/>
  <c r="AC7" i="123"/>
  <c r="U7" i="123"/>
  <c r="M7" i="123"/>
  <c r="AI7" i="123"/>
  <c r="AA7" i="123"/>
  <c r="S7" i="123"/>
  <c r="K7" i="123"/>
  <c r="AG7" i="123"/>
  <c r="Y7" i="123"/>
  <c r="Q7" i="123"/>
  <c r="AF7" i="123"/>
  <c r="X7" i="123"/>
  <c r="J99" i="120"/>
  <c r="K192" i="114"/>
  <c r="J192" i="114" s="1"/>
  <c r="K193" i="114"/>
  <c r="J193" i="114" s="1"/>
  <c r="R25" i="118"/>
  <c r="R19" i="118"/>
  <c r="Z7" i="114"/>
  <c r="AH7" i="114"/>
  <c r="R7" i="114"/>
  <c r="X7" i="114"/>
  <c r="P7" i="114"/>
  <c r="AG7" i="114"/>
  <c r="AL7" i="114"/>
  <c r="AD7" i="114"/>
  <c r="V7" i="114"/>
  <c r="N7" i="114"/>
  <c r="Y7" i="114"/>
  <c r="AE7" i="114"/>
  <c r="M7" i="114"/>
  <c r="Q7" i="114"/>
  <c r="W7" i="114"/>
  <c r="AK7" i="114"/>
  <c r="U7" i="114"/>
  <c r="AJ7" i="114"/>
  <c r="AB7" i="114"/>
  <c r="T7" i="114"/>
  <c r="L7" i="114"/>
  <c r="AF7" i="114"/>
  <c r="O7" i="114"/>
  <c r="AC7" i="114"/>
  <c r="AI7" i="114"/>
  <c r="AA7" i="114"/>
  <c r="S7" i="114"/>
  <c r="J17" i="84"/>
  <c r="S17" i="118" l="1"/>
  <c r="J114" i="120"/>
  <c r="J107" i="120"/>
  <c r="I89" i="120"/>
  <c r="Q36" i="114"/>
  <c r="S21" i="118"/>
  <c r="H33" i="128" s="1"/>
  <c r="H31" i="128" s="1"/>
  <c r="H30" i="128" s="1"/>
  <c r="R32" i="118"/>
  <c r="R22" i="118"/>
  <c r="J108" i="120" s="1"/>
  <c r="R27" i="123"/>
  <c r="R87" i="123"/>
  <c r="R173" i="123"/>
  <c r="R175" i="123" s="1"/>
  <c r="R197" i="123" s="1"/>
  <c r="R35" i="123"/>
  <c r="R27" i="126"/>
  <c r="R87" i="126"/>
  <c r="R173" i="126"/>
  <c r="R175" i="126" s="1"/>
  <c r="R197" i="126" s="1"/>
  <c r="R35" i="126"/>
  <c r="P102" i="125"/>
  <c r="P105" i="125" s="1"/>
  <c r="P103" i="125"/>
  <c r="P201" i="125"/>
  <c r="P106" i="125"/>
  <c r="T16" i="126"/>
  <c r="S17" i="126"/>
  <c r="T16" i="123"/>
  <c r="S17" i="123"/>
  <c r="O125" i="124"/>
  <c r="O119" i="124"/>
  <c r="T19" i="127"/>
  <c r="S28" i="127"/>
  <c r="S20" i="127"/>
  <c r="P90" i="123"/>
  <c r="P91" i="123" s="1"/>
  <c r="P38" i="123"/>
  <c r="P22" i="123" s="1"/>
  <c r="P118" i="123" s="1"/>
  <c r="Q34" i="126"/>
  <c r="Q148" i="126"/>
  <c r="Q190" i="126"/>
  <c r="Q86" i="126"/>
  <c r="Q152" i="126"/>
  <c r="Q31" i="126"/>
  <c r="R27" i="124"/>
  <c r="R173" i="124"/>
  <c r="R175" i="124" s="1"/>
  <c r="R197" i="124" s="1"/>
  <c r="R87" i="124"/>
  <c r="R35" i="124"/>
  <c r="P194" i="124"/>
  <c r="P191" i="124"/>
  <c r="T19" i="126"/>
  <c r="S20" i="126"/>
  <c r="S28" i="126"/>
  <c r="O85" i="124"/>
  <c r="O91" i="124"/>
  <c r="AL137" i="114"/>
  <c r="AL184" i="114" s="1"/>
  <c r="AL185" i="114" s="1"/>
  <c r="R173" i="125"/>
  <c r="R175" i="125" s="1"/>
  <c r="R197" i="125" s="1"/>
  <c r="R35" i="125"/>
  <c r="R22" i="125" s="1"/>
  <c r="R118" i="125" s="1"/>
  <c r="R27" i="125"/>
  <c r="R87" i="125"/>
  <c r="R91" i="125" s="1"/>
  <c r="Q34" i="123"/>
  <c r="Q148" i="123"/>
  <c r="Q190" i="123"/>
  <c r="Q86" i="123"/>
  <c r="Q152" i="123"/>
  <c r="Q31" i="123"/>
  <c r="Q25" i="123" s="1"/>
  <c r="O85" i="123"/>
  <c r="Q119" i="125"/>
  <c r="Q125" i="125"/>
  <c r="P132" i="126"/>
  <c r="P126" i="126"/>
  <c r="T16" i="127"/>
  <c r="S17" i="127"/>
  <c r="P191" i="123"/>
  <c r="P194" i="123"/>
  <c r="P90" i="124"/>
  <c r="P91" i="124" s="1"/>
  <c r="P38" i="124"/>
  <c r="P22" i="124" s="1"/>
  <c r="P118" i="124" s="1"/>
  <c r="T19" i="124"/>
  <c r="S28" i="124"/>
  <c r="S20" i="124"/>
  <c r="T16" i="125"/>
  <c r="S17" i="125"/>
  <c r="S28" i="125"/>
  <c r="Q190" i="124"/>
  <c r="Q148" i="124"/>
  <c r="Q31" i="124"/>
  <c r="Q86" i="124"/>
  <c r="Q34" i="124"/>
  <c r="Q152" i="124"/>
  <c r="O125" i="123"/>
  <c r="O119" i="123"/>
  <c r="P25" i="124"/>
  <c r="T16" i="124"/>
  <c r="S17" i="124"/>
  <c r="P103" i="126"/>
  <c r="P102" i="126"/>
  <c r="P105" i="126" s="1"/>
  <c r="P106" i="126"/>
  <c r="P201" i="126"/>
  <c r="P126" i="125"/>
  <c r="P132" i="125"/>
  <c r="T19" i="125"/>
  <c r="S20" i="125"/>
  <c r="T19" i="123"/>
  <c r="S28" i="123"/>
  <c r="S20" i="123"/>
  <c r="P191" i="125"/>
  <c r="P194" i="125"/>
  <c r="Q25" i="125"/>
  <c r="Q34" i="125"/>
  <c r="Q190" i="125"/>
  <c r="Q86" i="125"/>
  <c r="Q85" i="125" s="1"/>
  <c r="Q152" i="125"/>
  <c r="Q148" i="125"/>
  <c r="P25" i="123"/>
  <c r="S17" i="114"/>
  <c r="T15" i="114"/>
  <c r="T16" i="114" s="1"/>
  <c r="T25" i="114" s="1"/>
  <c r="L167" i="120" s="1"/>
  <c r="P91" i="114"/>
  <c r="P94" i="114" s="1"/>
  <c r="P95" i="114"/>
  <c r="P92" i="114"/>
  <c r="P190" i="114"/>
  <c r="P97" i="114"/>
  <c r="O121" i="114"/>
  <c r="O115" i="114"/>
  <c r="Q80" i="114"/>
  <c r="I24" i="120"/>
  <c r="S24" i="114"/>
  <c r="S31" i="114"/>
  <c r="K152" i="120"/>
  <c r="K143" i="120"/>
  <c r="S162" i="114"/>
  <c r="S164" i="114" s="1"/>
  <c r="K82" i="120"/>
  <c r="K167" i="120"/>
  <c r="S82" i="114"/>
  <c r="I180" i="120"/>
  <c r="I183" i="120" s="1"/>
  <c r="I184" i="120" s="1"/>
  <c r="I185" i="120" s="1"/>
  <c r="Q107" i="114"/>
  <c r="J26" i="120"/>
  <c r="J50" i="120"/>
  <c r="T82" i="114"/>
  <c r="P114" i="114"/>
  <c r="P108" i="114"/>
  <c r="R19" i="114"/>
  <c r="J181" i="120"/>
  <c r="J90" i="120"/>
  <c r="AK191" i="114"/>
  <c r="J151" i="120"/>
  <c r="J154" i="120" s="1"/>
  <c r="J157" i="120" s="1"/>
  <c r="J142" i="120"/>
  <c r="R81" i="114"/>
  <c r="J166" i="120"/>
  <c r="J81" i="120"/>
  <c r="R141" i="114"/>
  <c r="R30" i="114"/>
  <c r="J89" i="120" s="1"/>
  <c r="K86" i="120"/>
  <c r="H23" i="128"/>
  <c r="H24" i="128" s="1"/>
  <c r="H22" i="128" s="1"/>
  <c r="H21" i="128" s="1"/>
  <c r="H25" i="128" s="1"/>
  <c r="K91" i="120"/>
  <c r="L86" i="120"/>
  <c r="I23" i="128"/>
  <c r="I24" i="128" s="1"/>
  <c r="I22" i="128" s="1"/>
  <c r="I21" i="128" s="1"/>
  <c r="I25" i="128" s="1"/>
  <c r="K99" i="120"/>
  <c r="S19" i="118"/>
  <c r="S25" i="118"/>
  <c r="U15" i="114"/>
  <c r="U16" i="114" s="1"/>
  <c r="U25" i="114" s="1"/>
  <c r="AL17" i="114"/>
  <c r="J7" i="84"/>
  <c r="J21" i="84" s="1"/>
  <c r="K4" i="84"/>
  <c r="K5" i="84" s="1"/>
  <c r="J11" i="84"/>
  <c r="T17" i="118" l="1"/>
  <c r="K114" i="120"/>
  <c r="K107" i="120"/>
  <c r="S32" i="118"/>
  <c r="K155" i="120"/>
  <c r="K154" i="120"/>
  <c r="K157" i="120" s="1"/>
  <c r="K146" i="120"/>
  <c r="K145" i="120"/>
  <c r="K147" i="120" s="1"/>
  <c r="T24" i="114"/>
  <c r="L166" i="120" s="1"/>
  <c r="T31" i="114"/>
  <c r="L181" i="120" s="1"/>
  <c r="Q195" i="126"/>
  <c r="S22" i="118"/>
  <c r="K108" i="120" s="1"/>
  <c r="T19" i="118"/>
  <c r="T21" i="118"/>
  <c r="I33" i="128" s="1"/>
  <c r="I31" i="128" s="1"/>
  <c r="I30" i="128" s="1"/>
  <c r="L143" i="120"/>
  <c r="P85" i="123"/>
  <c r="P102" i="123" s="1"/>
  <c r="P105" i="123" s="1"/>
  <c r="Q194" i="124"/>
  <c r="Q191" i="124"/>
  <c r="Q195" i="125"/>
  <c r="Q103" i="125"/>
  <c r="Q108" i="125" s="1"/>
  <c r="Q102" i="125"/>
  <c r="Q105" i="125" s="1"/>
  <c r="Q106" i="125"/>
  <c r="Q201" i="125"/>
  <c r="S27" i="123"/>
  <c r="S87" i="123"/>
  <c r="S35" i="123"/>
  <c r="S173" i="123"/>
  <c r="S175" i="123" s="1"/>
  <c r="S197" i="123" s="1"/>
  <c r="S27" i="125"/>
  <c r="S87" i="125"/>
  <c r="S173" i="125"/>
  <c r="S175" i="125" s="1"/>
  <c r="S197" i="125" s="1"/>
  <c r="S35" i="125"/>
  <c r="S22" i="125" s="1"/>
  <c r="S118" i="125" s="1"/>
  <c r="O201" i="123"/>
  <c r="O103" i="123"/>
  <c r="O102" i="123"/>
  <c r="O105" i="123" s="1"/>
  <c r="O106" i="123"/>
  <c r="P85" i="124"/>
  <c r="U19" i="127"/>
  <c r="T28" i="127"/>
  <c r="T20" i="127"/>
  <c r="R148" i="126"/>
  <c r="R31" i="126"/>
  <c r="R25" i="126" s="1"/>
  <c r="R152" i="126"/>
  <c r="R34" i="126"/>
  <c r="R86" i="126"/>
  <c r="R190" i="126"/>
  <c r="F19" i="120"/>
  <c r="I27" i="120"/>
  <c r="Q191" i="125"/>
  <c r="Q194" i="125"/>
  <c r="U19" i="123"/>
  <c r="T28" i="123"/>
  <c r="T20" i="123"/>
  <c r="O106" i="124"/>
  <c r="O102" i="124"/>
  <c r="O105" i="124" s="1"/>
  <c r="O103" i="124"/>
  <c r="O201" i="124"/>
  <c r="Q191" i="126"/>
  <c r="Q194" i="126"/>
  <c r="Q196" i="126" s="1"/>
  <c r="P108" i="125"/>
  <c r="P108" i="126"/>
  <c r="Q195" i="124"/>
  <c r="U16" i="125"/>
  <c r="T17" i="125"/>
  <c r="T28" i="125"/>
  <c r="Q38" i="123"/>
  <c r="Q22" i="123" s="1"/>
  <c r="Q118" i="123" s="1"/>
  <c r="Q90" i="123"/>
  <c r="O132" i="124"/>
  <c r="O126" i="124"/>
  <c r="Q38" i="126"/>
  <c r="Q22" i="126" s="1"/>
  <c r="Q118" i="126" s="1"/>
  <c r="Q90" i="126"/>
  <c r="Q91" i="126" s="1"/>
  <c r="T162" i="114"/>
  <c r="T164" i="114" s="1"/>
  <c r="T17" i="114"/>
  <c r="L152" i="120"/>
  <c r="AL19" i="125"/>
  <c r="AL20" i="125" s="1"/>
  <c r="U19" i="125"/>
  <c r="T20" i="125"/>
  <c r="U16" i="127"/>
  <c r="T17" i="127"/>
  <c r="Q195" i="123"/>
  <c r="R86" i="125"/>
  <c r="R85" i="125" s="1"/>
  <c r="R190" i="125"/>
  <c r="R34" i="125"/>
  <c r="R25" i="125"/>
  <c r="R152" i="125"/>
  <c r="R148" i="125"/>
  <c r="S173" i="126"/>
  <c r="S175" i="126" s="1"/>
  <c r="S197" i="126" s="1"/>
  <c r="S87" i="126"/>
  <c r="S27" i="126"/>
  <c r="S35" i="126"/>
  <c r="R86" i="124"/>
  <c r="R34" i="124"/>
  <c r="R152" i="124"/>
  <c r="R148" i="124"/>
  <c r="R31" i="124"/>
  <c r="R190" i="124"/>
  <c r="R34" i="123"/>
  <c r="R31" i="123"/>
  <c r="R190" i="123"/>
  <c r="R148" i="123"/>
  <c r="R86" i="123"/>
  <c r="R152" i="123"/>
  <c r="P119" i="124"/>
  <c r="P125" i="124"/>
  <c r="U16" i="126"/>
  <c r="T17" i="126"/>
  <c r="O132" i="123"/>
  <c r="O126" i="123"/>
  <c r="L91" i="120"/>
  <c r="L82" i="120"/>
  <c r="P141" i="125"/>
  <c r="P133" i="125"/>
  <c r="P135" i="125" s="1"/>
  <c r="P189" i="125" s="1"/>
  <c r="U16" i="124"/>
  <c r="T17" i="124"/>
  <c r="S173" i="124"/>
  <c r="S175" i="124" s="1"/>
  <c r="S197" i="124" s="1"/>
  <c r="S27" i="124"/>
  <c r="S87" i="124"/>
  <c r="S35" i="124"/>
  <c r="R119" i="125"/>
  <c r="R125" i="125"/>
  <c r="P125" i="123"/>
  <c r="P119" i="123"/>
  <c r="U16" i="123"/>
  <c r="T17" i="123"/>
  <c r="Q132" i="125"/>
  <c r="Q126" i="125"/>
  <c r="Q25" i="124"/>
  <c r="Q90" i="124"/>
  <c r="Q91" i="124" s="1"/>
  <c r="Q38" i="124"/>
  <c r="Q22" i="124" s="1"/>
  <c r="Q118" i="124" s="1"/>
  <c r="U19" i="124"/>
  <c r="T28" i="124"/>
  <c r="T20" i="124"/>
  <c r="P141" i="126"/>
  <c r="P133" i="126"/>
  <c r="P135" i="126" s="1"/>
  <c r="P189" i="126" s="1"/>
  <c r="Q194" i="123"/>
  <c r="Q191" i="123"/>
  <c r="U19" i="126"/>
  <c r="T28" i="126"/>
  <c r="T20" i="126"/>
  <c r="Q25" i="126"/>
  <c r="S19" i="114"/>
  <c r="K181" i="120"/>
  <c r="K90" i="120"/>
  <c r="R107" i="114"/>
  <c r="J180" i="120"/>
  <c r="J183" i="120" s="1"/>
  <c r="J184" i="120" s="1"/>
  <c r="J185" i="120" s="1"/>
  <c r="S81" i="114"/>
  <c r="K81" i="120"/>
  <c r="K142" i="120"/>
  <c r="S141" i="114"/>
  <c r="K166" i="120"/>
  <c r="K151" i="120"/>
  <c r="S30" i="114"/>
  <c r="K89" i="120" s="1"/>
  <c r="O130" i="114"/>
  <c r="O122" i="114"/>
  <c r="O124" i="114" s="1"/>
  <c r="O178" i="114" s="1"/>
  <c r="J24" i="120"/>
  <c r="J27" i="120" s="1"/>
  <c r="R80" i="114"/>
  <c r="AL191" i="114"/>
  <c r="J66" i="120"/>
  <c r="U24" i="114"/>
  <c r="U31" i="114"/>
  <c r="U162" i="114"/>
  <c r="U164" i="114" s="1"/>
  <c r="U82" i="114"/>
  <c r="M82" i="120"/>
  <c r="M152" i="120"/>
  <c r="M167" i="120"/>
  <c r="M143" i="120"/>
  <c r="L90" i="120"/>
  <c r="P115" i="114"/>
  <c r="P121" i="114"/>
  <c r="L81" i="120"/>
  <c r="T81" i="114"/>
  <c r="Q108" i="114"/>
  <c r="Q114" i="114"/>
  <c r="K26" i="120"/>
  <c r="K50" i="120"/>
  <c r="L26" i="120"/>
  <c r="L50" i="120"/>
  <c r="AK193" i="114"/>
  <c r="AK192" i="114"/>
  <c r="Q97" i="114"/>
  <c r="Q92" i="114"/>
  <c r="Q190" i="114"/>
  <c r="Q95" i="114"/>
  <c r="Q91" i="114"/>
  <c r="Q94" i="114" s="1"/>
  <c r="M86" i="120"/>
  <c r="J23" i="128"/>
  <c r="J24" i="128" s="1"/>
  <c r="J22" i="128" s="1"/>
  <c r="J21" i="128" s="1"/>
  <c r="J25" i="128" s="1"/>
  <c r="M91" i="120"/>
  <c r="L99" i="120"/>
  <c r="J33" i="128"/>
  <c r="J31" i="128" s="1"/>
  <c r="J30" i="128" s="1"/>
  <c r="V15" i="114"/>
  <c r="V16" i="114" s="1"/>
  <c r="V25" i="114" s="1"/>
  <c r="U17" i="114"/>
  <c r="K17" i="84"/>
  <c r="U17" i="118" l="1"/>
  <c r="L114" i="120"/>
  <c r="L107" i="120"/>
  <c r="T30" i="118"/>
  <c r="U30" i="118"/>
  <c r="V30" i="118"/>
  <c r="M155" i="120"/>
  <c r="M154" i="120"/>
  <c r="M157" i="120" s="1"/>
  <c r="L155" i="120"/>
  <c r="L154" i="120"/>
  <c r="L157" i="120" s="1"/>
  <c r="M146" i="120"/>
  <c r="M145" i="120"/>
  <c r="M147" i="120" s="1"/>
  <c r="L146" i="120"/>
  <c r="L145" i="120"/>
  <c r="L147" i="120" s="1"/>
  <c r="L151" i="120"/>
  <c r="L142" i="120"/>
  <c r="T141" i="114"/>
  <c r="T19" i="114"/>
  <c r="T30" i="114"/>
  <c r="L89" i="120" s="1"/>
  <c r="Q196" i="123"/>
  <c r="Q85" i="124"/>
  <c r="Q103" i="124" s="1"/>
  <c r="Q108" i="124" s="1"/>
  <c r="P106" i="123"/>
  <c r="P201" i="123"/>
  <c r="R195" i="124"/>
  <c r="P103" i="123"/>
  <c r="P108" i="123" s="1"/>
  <c r="T25" i="118"/>
  <c r="T32" i="118"/>
  <c r="T22" i="118"/>
  <c r="L108" i="120" s="1"/>
  <c r="Q196" i="125"/>
  <c r="Q202" i="125" s="1"/>
  <c r="V19" i="126"/>
  <c r="U28" i="126"/>
  <c r="U20" i="126"/>
  <c r="V16" i="127"/>
  <c r="U17" i="127"/>
  <c r="Q125" i="126"/>
  <c r="Q119" i="126"/>
  <c r="V16" i="125"/>
  <c r="U28" i="125"/>
  <c r="U17" i="125"/>
  <c r="O133" i="123"/>
  <c r="O135" i="123" s="1"/>
  <c r="O189" i="123" s="1"/>
  <c r="O190" i="123" s="1"/>
  <c r="O141" i="123"/>
  <c r="R195" i="125"/>
  <c r="R90" i="126"/>
  <c r="R91" i="126" s="1"/>
  <c r="R38" i="126"/>
  <c r="R22" i="126" s="1"/>
  <c r="R118" i="126" s="1"/>
  <c r="R132" i="125"/>
  <c r="R126" i="125"/>
  <c r="V16" i="124"/>
  <c r="U17" i="124"/>
  <c r="R191" i="123"/>
  <c r="R194" i="123"/>
  <c r="V19" i="125"/>
  <c r="U20" i="125"/>
  <c r="O108" i="124"/>
  <c r="O108" i="123"/>
  <c r="V16" i="126"/>
  <c r="U17" i="126"/>
  <c r="O141" i="124"/>
  <c r="O133" i="124"/>
  <c r="O135" i="124" s="1"/>
  <c r="O189" i="124" s="1"/>
  <c r="S31" i="123"/>
  <c r="S152" i="123"/>
  <c r="S86" i="123"/>
  <c r="S34" i="123"/>
  <c r="R90" i="123"/>
  <c r="R38" i="123"/>
  <c r="R22" i="123" s="1"/>
  <c r="R118" i="123" s="1"/>
  <c r="Q141" i="125"/>
  <c r="Q133" i="125"/>
  <c r="Q135" i="125" s="1"/>
  <c r="Q189" i="125" s="1"/>
  <c r="P126" i="124"/>
  <c r="P132" i="124"/>
  <c r="S31" i="126"/>
  <c r="S25" i="126" s="1"/>
  <c r="S86" i="126"/>
  <c r="S34" i="126"/>
  <c r="S152" i="126"/>
  <c r="R191" i="125"/>
  <c r="R194" i="125"/>
  <c r="R196" i="125" s="1"/>
  <c r="Q85" i="123"/>
  <c r="Q91" i="123"/>
  <c r="R191" i="126"/>
  <c r="R194" i="126"/>
  <c r="S119" i="125"/>
  <c r="S125" i="125"/>
  <c r="P142" i="126"/>
  <c r="P143" i="126" s="1"/>
  <c r="P145" i="126" s="1"/>
  <c r="P167" i="126"/>
  <c r="P168" i="126" s="1"/>
  <c r="P169" i="126" s="1"/>
  <c r="P171" i="126" s="1"/>
  <c r="P172" i="126" s="1"/>
  <c r="P175" i="126" s="1"/>
  <c r="P167" i="125"/>
  <c r="P168" i="125" s="1"/>
  <c r="P169" i="125" s="1"/>
  <c r="P171" i="125" s="1"/>
  <c r="P172" i="125" s="1"/>
  <c r="P175" i="125" s="1"/>
  <c r="P142" i="125"/>
  <c r="P143" i="125" s="1"/>
  <c r="P145" i="125" s="1"/>
  <c r="R191" i="124"/>
  <c r="R194" i="124"/>
  <c r="R196" i="124" s="1"/>
  <c r="R103" i="125"/>
  <c r="R201" i="125"/>
  <c r="R102" i="125"/>
  <c r="R105" i="125" s="1"/>
  <c r="R106" i="125"/>
  <c r="Q119" i="123"/>
  <c r="Q125" i="123"/>
  <c r="V19" i="127"/>
  <c r="U28" i="127"/>
  <c r="U20" i="127"/>
  <c r="P126" i="123"/>
  <c r="P132" i="123"/>
  <c r="S31" i="124"/>
  <c r="S152" i="124"/>
  <c r="S34" i="124"/>
  <c r="S86" i="124"/>
  <c r="R25" i="123"/>
  <c r="R25" i="124"/>
  <c r="R90" i="124"/>
  <c r="R91" i="124" s="1"/>
  <c r="R38" i="124"/>
  <c r="R22" i="124" s="1"/>
  <c r="R118" i="124" s="1"/>
  <c r="T27" i="125"/>
  <c r="T87" i="125"/>
  <c r="T91" i="125" s="1"/>
  <c r="T35" i="125"/>
  <c r="T22" i="125" s="1"/>
  <c r="T118" i="125" s="1"/>
  <c r="T173" i="125"/>
  <c r="T175" i="125" s="1"/>
  <c r="T197" i="125" s="1"/>
  <c r="T27" i="123"/>
  <c r="T35" i="123"/>
  <c r="T87" i="123"/>
  <c r="T173" i="123"/>
  <c r="T175" i="123" s="1"/>
  <c r="T197" i="123" s="1"/>
  <c r="Q85" i="126"/>
  <c r="S91" i="125"/>
  <c r="Q125" i="124"/>
  <c r="Q119" i="124"/>
  <c r="T27" i="124"/>
  <c r="T173" i="124"/>
  <c r="T175" i="124" s="1"/>
  <c r="T197" i="124" s="1"/>
  <c r="T87" i="124"/>
  <c r="T35" i="124"/>
  <c r="V16" i="123"/>
  <c r="U17" i="123"/>
  <c r="T27" i="126"/>
  <c r="T173" i="126"/>
  <c r="T175" i="126" s="1"/>
  <c r="T197" i="126" s="1"/>
  <c r="T87" i="126"/>
  <c r="T35" i="126"/>
  <c r="V19" i="124"/>
  <c r="U28" i="124"/>
  <c r="U20" i="124"/>
  <c r="R195" i="123"/>
  <c r="V19" i="123"/>
  <c r="U28" i="123"/>
  <c r="U20" i="123"/>
  <c r="R195" i="126"/>
  <c r="P103" i="124"/>
  <c r="P108" i="124" s="1"/>
  <c r="P201" i="124"/>
  <c r="P102" i="124"/>
  <c r="P105" i="124" s="1"/>
  <c r="P106" i="124"/>
  <c r="S152" i="125"/>
  <c r="S25" i="125"/>
  <c r="S86" i="125"/>
  <c r="S85" i="125" s="1"/>
  <c r="S34" i="125"/>
  <c r="Q196" i="124"/>
  <c r="M90" i="120"/>
  <c r="U19" i="114"/>
  <c r="M181" i="120"/>
  <c r="O156" i="114"/>
  <c r="O157" i="114" s="1"/>
  <c r="O158" i="114" s="1"/>
  <c r="O160" i="114" s="1"/>
  <c r="O161" i="114" s="1"/>
  <c r="O164" i="114" s="1"/>
  <c r="O131" i="114"/>
  <c r="O132" i="114" s="1"/>
  <c r="O134" i="114" s="1"/>
  <c r="K24" i="120"/>
  <c r="K27" i="120" s="1"/>
  <c r="S80" i="114"/>
  <c r="L180" i="120"/>
  <c r="L183" i="120" s="1"/>
  <c r="L184" i="120" s="1"/>
  <c r="L185" i="120" s="1"/>
  <c r="T107" i="114"/>
  <c r="M142" i="120"/>
  <c r="U81" i="114"/>
  <c r="M81" i="120"/>
  <c r="U141" i="114"/>
  <c r="M166" i="120"/>
  <c r="M169" i="120" s="1"/>
  <c r="U30" i="114"/>
  <c r="M89" i="120" s="1"/>
  <c r="M151" i="120"/>
  <c r="AL192" i="114"/>
  <c r="AL193" i="114"/>
  <c r="V24" i="114"/>
  <c r="V31" i="114"/>
  <c r="N167" i="120"/>
  <c r="N143" i="120"/>
  <c r="N152" i="120"/>
  <c r="V162" i="114"/>
  <c r="V164" i="114" s="1"/>
  <c r="N82" i="120"/>
  <c r="V82" i="114"/>
  <c r="P122" i="114"/>
  <c r="P124" i="114" s="1"/>
  <c r="P178" i="114" s="1"/>
  <c r="P130" i="114"/>
  <c r="R97" i="114"/>
  <c r="F18" i="120" s="1"/>
  <c r="F65" i="120" s="1"/>
  <c r="R92" i="114"/>
  <c r="R190" i="114"/>
  <c r="R91" i="114"/>
  <c r="R94" i="114" s="1"/>
  <c r="R95" i="114"/>
  <c r="S107" i="114"/>
  <c r="K180" i="120"/>
  <c r="K183" i="120" s="1"/>
  <c r="K184" i="120" s="1"/>
  <c r="K185" i="120" s="1"/>
  <c r="Q115" i="114"/>
  <c r="Q121" i="114"/>
  <c r="R114" i="114"/>
  <c r="R108" i="114"/>
  <c r="M50" i="120"/>
  <c r="M122" i="120"/>
  <c r="M26" i="120"/>
  <c r="L24" i="120"/>
  <c r="L27" i="120" s="1"/>
  <c r="T80" i="114"/>
  <c r="N86" i="120"/>
  <c r="K23" i="128"/>
  <c r="K24" i="128" s="1"/>
  <c r="K22" i="128" s="1"/>
  <c r="K21" i="128" s="1"/>
  <c r="K25" i="128" s="1"/>
  <c r="N91" i="120"/>
  <c r="M99" i="120"/>
  <c r="V16" i="118"/>
  <c r="W16" i="118" s="1"/>
  <c r="U19" i="118"/>
  <c r="U25" i="118"/>
  <c r="W15" i="114"/>
  <c r="W16" i="114" s="1"/>
  <c r="W25" i="114" s="1"/>
  <c r="V17" i="114"/>
  <c r="K12" i="84"/>
  <c r="K11" i="84"/>
  <c r="L4" i="84"/>
  <c r="L5" i="84" s="1"/>
  <c r="V17" i="118" l="1"/>
  <c r="W17" i="118" s="1"/>
  <c r="U22" i="118"/>
  <c r="M108" i="120" s="1"/>
  <c r="M114" i="120"/>
  <c r="M107" i="120"/>
  <c r="N146" i="120"/>
  <c r="N145" i="120"/>
  <c r="N147" i="120" s="1"/>
  <c r="Q102" i="124"/>
  <c r="Q105" i="124" s="1"/>
  <c r="Q201" i="124"/>
  <c r="Q202" i="124" s="1"/>
  <c r="Q106" i="124"/>
  <c r="R85" i="126"/>
  <c r="U32" i="118"/>
  <c r="V21" i="118"/>
  <c r="K33" i="128" s="1"/>
  <c r="K31" i="128" s="1"/>
  <c r="K30" i="128" s="1"/>
  <c r="R202" i="125"/>
  <c r="R125" i="123"/>
  <c r="R119" i="123"/>
  <c r="W19" i="125"/>
  <c r="V20" i="125"/>
  <c r="R125" i="126"/>
  <c r="R119" i="126"/>
  <c r="W16" i="123"/>
  <c r="V17" i="123"/>
  <c r="T125" i="125"/>
  <c r="T119" i="125"/>
  <c r="P197" i="125"/>
  <c r="P195" i="125"/>
  <c r="P196" i="125" s="1"/>
  <c r="P202" i="125" s="1"/>
  <c r="R85" i="123"/>
  <c r="R91" i="123"/>
  <c r="W16" i="126"/>
  <c r="V17" i="126"/>
  <c r="R85" i="124"/>
  <c r="Q126" i="126"/>
  <c r="Q132" i="126"/>
  <c r="Q106" i="126"/>
  <c r="Q103" i="126"/>
  <c r="Q201" i="126"/>
  <c r="Q202" i="126" s="1"/>
  <c r="Q102" i="126"/>
  <c r="Q105" i="126" s="1"/>
  <c r="R203" i="125"/>
  <c r="R204" i="125"/>
  <c r="P197" i="126"/>
  <c r="P195" i="126"/>
  <c r="P196" i="126" s="1"/>
  <c r="P202" i="126" s="1"/>
  <c r="Q106" i="123"/>
  <c r="Q201" i="123"/>
  <c r="Q202" i="123" s="1"/>
  <c r="Q103" i="123"/>
  <c r="Q102" i="123"/>
  <c r="Q105" i="123" s="1"/>
  <c r="R196" i="123"/>
  <c r="P146" i="125"/>
  <c r="P147" i="125"/>
  <c r="U27" i="124"/>
  <c r="U87" i="124"/>
  <c r="U91" i="124" s="1"/>
  <c r="U173" i="124"/>
  <c r="U175" i="124" s="1"/>
  <c r="U197" i="124" s="1"/>
  <c r="U35" i="124"/>
  <c r="U22" i="124" s="1"/>
  <c r="U118" i="124" s="1"/>
  <c r="W19" i="124"/>
  <c r="V20" i="124"/>
  <c r="V28" i="124"/>
  <c r="T152" i="125"/>
  <c r="T86" i="125"/>
  <c r="T85" i="125" s="1"/>
  <c r="T34" i="125"/>
  <c r="T25" i="125"/>
  <c r="U35" i="127"/>
  <c r="U22" i="127" s="1"/>
  <c r="U118" i="127" s="1"/>
  <c r="U87" i="127"/>
  <c r="U91" i="127" s="1"/>
  <c r="U173" i="127"/>
  <c r="U175" i="127" s="1"/>
  <c r="U197" i="127" s="1"/>
  <c r="U27" i="127"/>
  <c r="R108" i="125"/>
  <c r="P146" i="126"/>
  <c r="P147" i="126"/>
  <c r="S90" i="126"/>
  <c r="S91" i="126" s="1"/>
  <c r="S38" i="126"/>
  <c r="S22" i="126" s="1"/>
  <c r="S118" i="126" s="1"/>
  <c r="O142" i="123"/>
  <c r="O143" i="123" s="1"/>
  <c r="O145" i="123" s="1"/>
  <c r="O167" i="123"/>
  <c r="O168" i="123" s="1"/>
  <c r="O169" i="123" s="1"/>
  <c r="O171" i="123" s="1"/>
  <c r="O172" i="123" s="1"/>
  <c r="O175" i="123" s="1"/>
  <c r="W16" i="127"/>
  <c r="V17" i="127"/>
  <c r="S103" i="125"/>
  <c r="S108" i="125" s="1"/>
  <c r="S201" i="125"/>
  <c r="S102" i="125"/>
  <c r="S105" i="125" s="1"/>
  <c r="S106" i="125"/>
  <c r="R125" i="124"/>
  <c r="R119" i="124"/>
  <c r="W19" i="127"/>
  <c r="V20" i="127"/>
  <c r="V28" i="127"/>
  <c r="Q203" i="125"/>
  <c r="Q204" i="125"/>
  <c r="P141" i="124"/>
  <c r="P133" i="124"/>
  <c r="P135" i="124" s="1"/>
  <c r="P189" i="124" s="1"/>
  <c r="S38" i="123"/>
  <c r="S22" i="123" s="1"/>
  <c r="S118" i="123" s="1"/>
  <c r="S90" i="123"/>
  <c r="S91" i="123" s="1"/>
  <c r="O194" i="123"/>
  <c r="O191" i="123"/>
  <c r="T86" i="124"/>
  <c r="T34" i="124"/>
  <c r="T152" i="124"/>
  <c r="T31" i="124"/>
  <c r="S25" i="124"/>
  <c r="S90" i="124"/>
  <c r="S91" i="124" s="1"/>
  <c r="S38" i="124"/>
  <c r="S22" i="124" s="1"/>
  <c r="S118" i="124" s="1"/>
  <c r="R103" i="126"/>
  <c r="R108" i="126" s="1"/>
  <c r="R102" i="126"/>
  <c r="R105" i="126" s="1"/>
  <c r="R201" i="126"/>
  <c r="R106" i="126"/>
  <c r="S132" i="125"/>
  <c r="S126" i="125"/>
  <c r="W16" i="124"/>
  <c r="V17" i="124"/>
  <c r="U173" i="126"/>
  <c r="U175" i="126" s="1"/>
  <c r="U197" i="126" s="1"/>
  <c r="U27" i="126"/>
  <c r="U87" i="126"/>
  <c r="U91" i="126" s="1"/>
  <c r="U35" i="126"/>
  <c r="U22" i="126" s="1"/>
  <c r="U118" i="126" s="1"/>
  <c r="U27" i="123"/>
  <c r="U35" i="123"/>
  <c r="U22" i="123" s="1"/>
  <c r="U118" i="123" s="1"/>
  <c r="U173" i="123"/>
  <c r="U175" i="123" s="1"/>
  <c r="U197" i="123" s="1"/>
  <c r="U87" i="123"/>
  <c r="U91" i="123" s="1"/>
  <c r="T152" i="123"/>
  <c r="T86" i="123"/>
  <c r="T34" i="123"/>
  <c r="T31" i="123"/>
  <c r="Q132" i="123"/>
  <c r="Q126" i="123"/>
  <c r="U35" i="125"/>
  <c r="U22" i="125" s="1"/>
  <c r="U118" i="125" s="1"/>
  <c r="U27" i="125"/>
  <c r="U87" i="125"/>
  <c r="U173" i="125"/>
  <c r="U175" i="125" s="1"/>
  <c r="U197" i="125" s="1"/>
  <c r="W19" i="126"/>
  <c r="V28" i="126"/>
  <c r="V20" i="126"/>
  <c r="W19" i="123"/>
  <c r="V28" i="123"/>
  <c r="V20" i="123"/>
  <c r="T31" i="126"/>
  <c r="T152" i="126"/>
  <c r="T34" i="126"/>
  <c r="T86" i="126"/>
  <c r="Q132" i="124"/>
  <c r="Q126" i="124"/>
  <c r="P133" i="123"/>
  <c r="P135" i="123" s="1"/>
  <c r="P189" i="123" s="1"/>
  <c r="P141" i="123"/>
  <c r="R196" i="126"/>
  <c r="Q167" i="125"/>
  <c r="Q168" i="125" s="1"/>
  <c r="Q169" i="125" s="1"/>
  <c r="Q142" i="125"/>
  <c r="Q143" i="125" s="1"/>
  <c r="Q145" i="125" s="1"/>
  <c r="S25" i="123"/>
  <c r="O167" i="124"/>
  <c r="O168" i="124" s="1"/>
  <c r="O169" i="124" s="1"/>
  <c r="O171" i="124" s="1"/>
  <c r="O172" i="124" s="1"/>
  <c r="O175" i="124" s="1"/>
  <c r="O142" i="124"/>
  <c r="O143" i="124" s="1"/>
  <c r="O145" i="124" s="1"/>
  <c r="R141" i="125"/>
  <c r="R133" i="125"/>
  <c r="R135" i="125" s="1"/>
  <c r="R189" i="125" s="1"/>
  <c r="W16" i="125"/>
  <c r="V28" i="125"/>
  <c r="V17" i="125"/>
  <c r="R121" i="114"/>
  <c r="R115" i="114"/>
  <c r="V19" i="114"/>
  <c r="N181" i="120"/>
  <c r="N90" i="120"/>
  <c r="O136" i="114"/>
  <c r="O135" i="114"/>
  <c r="O186" i="114"/>
  <c r="O184" i="114"/>
  <c r="N166" i="120"/>
  <c r="N169" i="120" s="1"/>
  <c r="V30" i="114"/>
  <c r="N89" i="120" s="1"/>
  <c r="N151" i="120"/>
  <c r="N81" i="120"/>
  <c r="V81" i="114"/>
  <c r="V141" i="114"/>
  <c r="N142" i="120"/>
  <c r="U80" i="114"/>
  <c r="M24" i="120"/>
  <c r="M27" i="120" s="1"/>
  <c r="S114" i="114"/>
  <c r="S108" i="114"/>
  <c r="N122" i="120"/>
  <c r="N50" i="120"/>
  <c r="N26" i="120"/>
  <c r="T97" i="114"/>
  <c r="T92" i="114"/>
  <c r="T190" i="114"/>
  <c r="T95" i="114"/>
  <c r="T91" i="114"/>
  <c r="T94" i="114" s="1"/>
  <c r="Q122" i="114"/>
  <c r="Q124" i="114" s="1"/>
  <c r="Q178" i="114" s="1"/>
  <c r="Q179" i="114" s="1"/>
  <c r="Q130" i="114"/>
  <c r="P156" i="114"/>
  <c r="P157" i="114" s="1"/>
  <c r="P158" i="114" s="1"/>
  <c r="P160" i="114" s="1"/>
  <c r="P161" i="114" s="1"/>
  <c r="P164" i="114" s="1"/>
  <c r="P131" i="114"/>
  <c r="P132" i="114" s="1"/>
  <c r="P134" i="114" s="1"/>
  <c r="T114" i="114"/>
  <c r="T108" i="114"/>
  <c r="U107" i="114"/>
  <c r="M180" i="120"/>
  <c r="M183" i="120" s="1"/>
  <c r="M184" i="120" s="1"/>
  <c r="M185" i="120" s="1"/>
  <c r="W31" i="114"/>
  <c r="W24" i="114"/>
  <c r="W82" i="114"/>
  <c r="O143" i="120"/>
  <c r="O82" i="120"/>
  <c r="W162" i="114"/>
  <c r="W164" i="114" s="1"/>
  <c r="G66" i="120" s="1"/>
  <c r="O152" i="120"/>
  <c r="O167" i="120"/>
  <c r="S92" i="114"/>
  <c r="S97" i="114"/>
  <c r="S190" i="114"/>
  <c r="S95" i="114"/>
  <c r="S91" i="114"/>
  <c r="S94" i="114" s="1"/>
  <c r="O86" i="120"/>
  <c r="L23" i="128"/>
  <c r="L24" i="128" s="1"/>
  <c r="L22" i="128" s="1"/>
  <c r="L21" i="128" s="1"/>
  <c r="L25" i="128" s="1"/>
  <c r="O91" i="120"/>
  <c r="W21" i="118"/>
  <c r="L33" i="128" s="1"/>
  <c r="L31" i="128" s="1"/>
  <c r="L30" i="128" s="1"/>
  <c r="N99" i="120"/>
  <c r="V19" i="118"/>
  <c r="X15" i="114"/>
  <c r="X16" i="114" s="1"/>
  <c r="X25" i="114" s="1"/>
  <c r="W17" i="114"/>
  <c r="L17" i="84"/>
  <c r="O146" i="120" l="1"/>
  <c r="O145" i="120"/>
  <c r="O147" i="120" s="1"/>
  <c r="N114" i="120"/>
  <c r="N107" i="120"/>
  <c r="V25" i="118"/>
  <c r="U40" i="118"/>
  <c r="M94" i="120"/>
  <c r="U158" i="118"/>
  <c r="U92" i="118"/>
  <c r="U196" i="118"/>
  <c r="V32" i="118"/>
  <c r="V22" i="118"/>
  <c r="N108" i="120" s="1"/>
  <c r="R202" i="126"/>
  <c r="U25" i="124"/>
  <c r="U34" i="124"/>
  <c r="U86" i="124"/>
  <c r="U85" i="124" s="1"/>
  <c r="U152" i="124"/>
  <c r="X16" i="126"/>
  <c r="W17" i="126"/>
  <c r="V27" i="125"/>
  <c r="V87" i="125"/>
  <c r="V91" i="125" s="1"/>
  <c r="V35" i="125"/>
  <c r="V22" i="125" s="1"/>
  <c r="V118" i="125" s="1"/>
  <c r="V173" i="125"/>
  <c r="V175" i="125" s="1"/>
  <c r="V197" i="125" s="1"/>
  <c r="X19" i="123"/>
  <c r="W28" i="123"/>
  <c r="W20" i="123"/>
  <c r="U119" i="125"/>
  <c r="U125" i="125"/>
  <c r="U25" i="123"/>
  <c r="U34" i="123"/>
  <c r="U152" i="123"/>
  <c r="U86" i="123"/>
  <c r="U85" i="123" s="1"/>
  <c r="T25" i="124"/>
  <c r="T90" i="124"/>
  <c r="T85" i="124" s="1"/>
  <c r="T38" i="124"/>
  <c r="T22" i="124" s="1"/>
  <c r="T118" i="124" s="1"/>
  <c r="X19" i="127"/>
  <c r="W28" i="127"/>
  <c r="W20" i="127"/>
  <c r="U119" i="127"/>
  <c r="U125" i="127"/>
  <c r="Q108" i="123"/>
  <c r="Q203" i="126"/>
  <c r="Q204" i="126"/>
  <c r="X16" i="123"/>
  <c r="W17" i="123"/>
  <c r="Q141" i="124"/>
  <c r="Q133" i="124"/>
  <c r="Q135" i="124" s="1"/>
  <c r="Q189" i="124" s="1"/>
  <c r="U25" i="125"/>
  <c r="U152" i="125"/>
  <c r="U34" i="125"/>
  <c r="U86" i="125"/>
  <c r="U85" i="125" s="1"/>
  <c r="S141" i="125"/>
  <c r="S133" i="125"/>
  <c r="S135" i="125" s="1"/>
  <c r="S189" i="125" s="1"/>
  <c r="S190" i="125" s="1"/>
  <c r="R204" i="126"/>
  <c r="R203" i="126"/>
  <c r="S125" i="123"/>
  <c r="S119" i="123"/>
  <c r="V173" i="124"/>
  <c r="V175" i="124" s="1"/>
  <c r="V197" i="124" s="1"/>
  <c r="V27" i="124"/>
  <c r="V87" i="124"/>
  <c r="V91" i="124" s="1"/>
  <c r="V35" i="124"/>
  <c r="V22" i="124" s="1"/>
  <c r="V118" i="124" s="1"/>
  <c r="Q204" i="123"/>
  <c r="Q203" i="123"/>
  <c r="Q108" i="126"/>
  <c r="R103" i="123"/>
  <c r="R108" i="123" s="1"/>
  <c r="R106" i="123"/>
  <c r="R102" i="123"/>
  <c r="R105" i="123" s="1"/>
  <c r="R201" i="123"/>
  <c r="R202" i="123" s="1"/>
  <c r="U125" i="123"/>
  <c r="U119" i="123"/>
  <c r="X16" i="125"/>
  <c r="W28" i="125"/>
  <c r="W17" i="125"/>
  <c r="X16" i="124"/>
  <c r="W17" i="124"/>
  <c r="X16" i="127"/>
  <c r="W17" i="127"/>
  <c r="P204" i="125"/>
  <c r="P203" i="125"/>
  <c r="R132" i="126"/>
  <c r="R126" i="126"/>
  <c r="V27" i="123"/>
  <c r="V173" i="123"/>
  <c r="V175" i="123" s="1"/>
  <c r="V197" i="123" s="1"/>
  <c r="V87" i="123"/>
  <c r="V91" i="123" s="1"/>
  <c r="V35" i="123"/>
  <c r="V22" i="123" s="1"/>
  <c r="V118" i="123" s="1"/>
  <c r="U34" i="126"/>
  <c r="U152" i="126"/>
  <c r="U148" i="126"/>
  <c r="U190" i="126"/>
  <c r="U86" i="126"/>
  <c r="U85" i="126" s="1"/>
  <c r="U25" i="126"/>
  <c r="R167" i="125"/>
  <c r="R168" i="125" s="1"/>
  <c r="R169" i="125" s="1"/>
  <c r="R142" i="125"/>
  <c r="R143" i="125" s="1"/>
  <c r="R145" i="125" s="1"/>
  <c r="P142" i="123"/>
  <c r="P143" i="123" s="1"/>
  <c r="P145" i="123" s="1"/>
  <c r="P167" i="123"/>
  <c r="P168" i="123" s="1"/>
  <c r="P169" i="123" s="1"/>
  <c r="P171" i="123" s="1"/>
  <c r="P172" i="123" s="1"/>
  <c r="P175" i="123" s="1"/>
  <c r="V27" i="126"/>
  <c r="V173" i="126"/>
  <c r="V175" i="126" s="1"/>
  <c r="V197" i="126" s="1"/>
  <c r="V87" i="126"/>
  <c r="V35" i="126"/>
  <c r="V22" i="126" s="1"/>
  <c r="V118" i="126" s="1"/>
  <c r="P167" i="124"/>
  <c r="P168" i="124" s="1"/>
  <c r="P169" i="124" s="1"/>
  <c r="P171" i="124" s="1"/>
  <c r="P172" i="124" s="1"/>
  <c r="P175" i="124" s="1"/>
  <c r="P142" i="124"/>
  <c r="P143" i="124" s="1"/>
  <c r="P145" i="124" s="1"/>
  <c r="R132" i="124"/>
  <c r="R126" i="124"/>
  <c r="O197" i="123"/>
  <c r="O195" i="123"/>
  <c r="O196" i="123" s="1"/>
  <c r="O202" i="123" s="1"/>
  <c r="X19" i="124"/>
  <c r="W28" i="124"/>
  <c r="W20" i="124"/>
  <c r="P204" i="126"/>
  <c r="P203" i="126"/>
  <c r="Q133" i="126"/>
  <c r="Q135" i="126" s="1"/>
  <c r="Q189" i="126" s="1"/>
  <c r="Q141" i="126"/>
  <c r="Q146" i="125"/>
  <c r="Q147" i="125"/>
  <c r="S119" i="126"/>
  <c r="S125" i="126"/>
  <c r="O147" i="124"/>
  <c r="O146" i="124"/>
  <c r="X19" i="126"/>
  <c r="W28" i="126"/>
  <c r="W20" i="126"/>
  <c r="Q141" i="123"/>
  <c r="Q133" i="123"/>
  <c r="Q135" i="123" s="1"/>
  <c r="Q189" i="123" s="1"/>
  <c r="S125" i="124"/>
  <c r="S119" i="124"/>
  <c r="O146" i="123"/>
  <c r="O147" i="123"/>
  <c r="U125" i="124"/>
  <c r="U119" i="124"/>
  <c r="S85" i="124"/>
  <c r="X19" i="125"/>
  <c r="W20" i="125"/>
  <c r="T25" i="123"/>
  <c r="T90" i="123"/>
  <c r="T38" i="123"/>
  <c r="T22" i="123" s="1"/>
  <c r="T118" i="123" s="1"/>
  <c r="O197" i="124"/>
  <c r="O195" i="124"/>
  <c r="O196" i="124" s="1"/>
  <c r="O202" i="124" s="1"/>
  <c r="T25" i="126"/>
  <c r="T90" i="126"/>
  <c r="T85" i="126" s="1"/>
  <c r="T38" i="126"/>
  <c r="T22" i="126" s="1"/>
  <c r="T118" i="126" s="1"/>
  <c r="U119" i="126"/>
  <c r="U125" i="126"/>
  <c r="U25" i="127"/>
  <c r="U86" i="127"/>
  <c r="U85" i="127" s="1"/>
  <c r="U34" i="127"/>
  <c r="U152" i="127"/>
  <c r="T201" i="125"/>
  <c r="T103" i="125"/>
  <c r="T102" i="125"/>
  <c r="T105" i="125" s="1"/>
  <c r="T106" i="125"/>
  <c r="S85" i="123"/>
  <c r="R201" i="124"/>
  <c r="R202" i="124" s="1"/>
  <c r="R106" i="124"/>
  <c r="R102" i="124"/>
  <c r="R105" i="124" s="1"/>
  <c r="R103" i="124"/>
  <c r="U91" i="125"/>
  <c r="V27" i="127"/>
  <c r="V35" i="127"/>
  <c r="V22" i="127" s="1"/>
  <c r="V118" i="127" s="1"/>
  <c r="V173" i="127"/>
  <c r="V175" i="127" s="1"/>
  <c r="V197" i="127" s="1"/>
  <c r="V87" i="127"/>
  <c r="V91" i="127" s="1"/>
  <c r="Q203" i="124"/>
  <c r="Q204" i="124"/>
  <c r="S85" i="126"/>
  <c r="T132" i="125"/>
  <c r="T126" i="125"/>
  <c r="R126" i="123"/>
  <c r="R132" i="123"/>
  <c r="Q180" i="114"/>
  <c r="Q183" i="114"/>
  <c r="N24" i="120"/>
  <c r="N27" i="120" s="1"/>
  <c r="V80" i="114"/>
  <c r="T115" i="114"/>
  <c r="T121" i="114"/>
  <c r="V107" i="114"/>
  <c r="N180" i="120"/>
  <c r="N183" i="120" s="1"/>
  <c r="N184" i="120" s="1"/>
  <c r="N185" i="120" s="1"/>
  <c r="W19" i="114"/>
  <c r="O181" i="120"/>
  <c r="O90" i="120"/>
  <c r="U114" i="114"/>
  <c r="U108" i="114"/>
  <c r="S121" i="114"/>
  <c r="S115" i="114"/>
  <c r="P135" i="114"/>
  <c r="P136" i="114"/>
  <c r="U97" i="114"/>
  <c r="U92" i="114"/>
  <c r="U190" i="114"/>
  <c r="U91" i="114"/>
  <c r="U94" i="114" s="1"/>
  <c r="U95" i="114"/>
  <c r="X24" i="114"/>
  <c r="X31" i="114"/>
  <c r="O26" i="120"/>
  <c r="O50" i="120"/>
  <c r="O122" i="120"/>
  <c r="O185" i="114"/>
  <c r="O191" i="114" s="1"/>
  <c r="P186" i="114"/>
  <c r="F66" i="120" s="1"/>
  <c r="P184" i="114"/>
  <c r="O166" i="120"/>
  <c r="O169" i="120" s="1"/>
  <c r="O151" i="120"/>
  <c r="O142" i="120"/>
  <c r="O81" i="120"/>
  <c r="W30" i="114"/>
  <c r="O89" i="120" s="1"/>
  <c r="W141" i="114"/>
  <c r="W81" i="114"/>
  <c r="Q131" i="114"/>
  <c r="Q132" i="114" s="1"/>
  <c r="Q134" i="114" s="1"/>
  <c r="Q156" i="114"/>
  <c r="Q157" i="114" s="1"/>
  <c r="Q158" i="114" s="1"/>
  <c r="R122" i="114"/>
  <c r="R124" i="114" s="1"/>
  <c r="R178" i="114" s="1"/>
  <c r="R179" i="114" s="1"/>
  <c r="R130" i="114"/>
  <c r="M23" i="128"/>
  <c r="M24" i="128" s="1"/>
  <c r="M22" i="128" s="1"/>
  <c r="M21" i="128" s="1"/>
  <c r="P91" i="120"/>
  <c r="O99" i="120"/>
  <c r="P86" i="120"/>
  <c r="X16" i="118"/>
  <c r="X21" i="118" s="1"/>
  <c r="M33" i="128" s="1"/>
  <c r="M31" i="128" s="1"/>
  <c r="M30" i="128" s="1"/>
  <c r="W19" i="118"/>
  <c r="W25" i="118"/>
  <c r="Y15" i="114"/>
  <c r="Y16" i="114" s="1"/>
  <c r="Y25" i="114" s="1"/>
  <c r="X17" i="114"/>
  <c r="L12" i="84"/>
  <c r="L11" i="84"/>
  <c r="M4" i="84"/>
  <c r="M5" i="84" s="1"/>
  <c r="U149" i="118" l="1"/>
  <c r="U151" i="118" s="1"/>
  <c r="U153" i="118" s="1"/>
  <c r="M102" i="120"/>
  <c r="O114" i="120"/>
  <c r="O107" i="120"/>
  <c r="S191" i="125"/>
  <c r="S194" i="125"/>
  <c r="V40" i="118"/>
  <c r="V196" i="118"/>
  <c r="V158" i="118"/>
  <c r="V92" i="118"/>
  <c r="N94" i="120"/>
  <c r="W32" i="118"/>
  <c r="W22" i="118"/>
  <c r="O108" i="120" s="1"/>
  <c r="X17" i="118"/>
  <c r="X32" i="118" s="1"/>
  <c r="U200" i="118"/>
  <c r="U197" i="118"/>
  <c r="M120" i="120"/>
  <c r="U91" i="118"/>
  <c r="U109" i="118" s="1"/>
  <c r="U114" i="118" s="1"/>
  <c r="M37" i="120"/>
  <c r="U152" i="118"/>
  <c r="T103" i="126"/>
  <c r="T108" i="126" s="1"/>
  <c r="T201" i="126"/>
  <c r="T102" i="126"/>
  <c r="T105" i="126" s="1"/>
  <c r="T106" i="126"/>
  <c r="Y16" i="127"/>
  <c r="X17" i="127"/>
  <c r="W27" i="127"/>
  <c r="W87" i="127"/>
  <c r="W91" i="127" s="1"/>
  <c r="W35" i="127"/>
  <c r="W22" i="127" s="1"/>
  <c r="W118" i="127" s="1"/>
  <c r="W173" i="127"/>
  <c r="W175" i="127" s="1"/>
  <c r="W197" i="127" s="1"/>
  <c r="S106" i="126"/>
  <c r="S102" i="126"/>
  <c r="S105" i="126" s="1"/>
  <c r="S103" i="126"/>
  <c r="S201" i="126"/>
  <c r="T108" i="125"/>
  <c r="T125" i="123"/>
  <c r="T119" i="123"/>
  <c r="W87" i="126"/>
  <c r="W91" i="126" s="1"/>
  <c r="W27" i="126"/>
  <c r="W173" i="126"/>
  <c r="W175" i="126" s="1"/>
  <c r="W197" i="126" s="1"/>
  <c r="W35" i="126"/>
  <c r="W22" i="126" s="1"/>
  <c r="W118" i="126" s="1"/>
  <c r="V91" i="126"/>
  <c r="U103" i="126"/>
  <c r="U108" i="126" s="1"/>
  <c r="U102" i="126"/>
  <c r="U105" i="126" s="1"/>
  <c r="U201" i="126"/>
  <c r="U106" i="126"/>
  <c r="V25" i="123"/>
  <c r="V86" i="123"/>
  <c r="V85" i="123" s="1"/>
  <c r="V34" i="123"/>
  <c r="V152" i="123"/>
  <c r="U132" i="123"/>
  <c r="U126" i="123"/>
  <c r="S132" i="123"/>
  <c r="S126" i="123"/>
  <c r="Y19" i="127"/>
  <c r="X28" i="127"/>
  <c r="X20" i="127"/>
  <c r="T141" i="125"/>
  <c r="T133" i="125"/>
  <c r="T135" i="125" s="1"/>
  <c r="T189" i="125" s="1"/>
  <c r="T190" i="125" s="1"/>
  <c r="V125" i="126"/>
  <c r="V119" i="126"/>
  <c r="R108" i="124"/>
  <c r="U126" i="126"/>
  <c r="U132" i="126"/>
  <c r="AM90" i="123"/>
  <c r="T91" i="123"/>
  <c r="Y19" i="126"/>
  <c r="X20" i="126"/>
  <c r="X28" i="126"/>
  <c r="R141" i="124"/>
  <c r="R133" i="124"/>
  <c r="R135" i="124" s="1"/>
  <c r="R189" i="124" s="1"/>
  <c r="U194" i="126"/>
  <c r="U191" i="126"/>
  <c r="Y16" i="124"/>
  <c r="X17" i="124"/>
  <c r="R204" i="123"/>
  <c r="R203" i="123"/>
  <c r="T119" i="124"/>
  <c r="T125" i="124"/>
  <c r="Y16" i="123"/>
  <c r="X17" i="123"/>
  <c r="T103" i="124"/>
  <c r="T108" i="124" s="1"/>
  <c r="T201" i="124"/>
  <c r="T102" i="124"/>
  <c r="T105" i="124" s="1"/>
  <c r="T106" i="124"/>
  <c r="W27" i="124"/>
  <c r="W173" i="124"/>
  <c r="W175" i="124" s="1"/>
  <c r="W197" i="124" s="1"/>
  <c r="W87" i="124"/>
  <c r="W91" i="124" s="1"/>
  <c r="W35" i="124"/>
  <c r="W22" i="124" s="1"/>
  <c r="W118" i="124" s="1"/>
  <c r="P147" i="124"/>
  <c r="P146" i="124"/>
  <c r="V86" i="126"/>
  <c r="V85" i="126" s="1"/>
  <c r="V34" i="126"/>
  <c r="V148" i="126"/>
  <c r="V25" i="126"/>
  <c r="V190" i="126"/>
  <c r="V152" i="126"/>
  <c r="R141" i="126"/>
  <c r="R133" i="126"/>
  <c r="R135" i="126" s="1"/>
  <c r="R189" i="126" s="1"/>
  <c r="T85" i="123"/>
  <c r="V119" i="124"/>
  <c r="V125" i="124"/>
  <c r="AM90" i="124"/>
  <c r="T91" i="124"/>
  <c r="U132" i="125"/>
  <c r="U126" i="125"/>
  <c r="V125" i="125"/>
  <c r="V119" i="125"/>
  <c r="T119" i="126"/>
  <c r="T125" i="126"/>
  <c r="Y19" i="124"/>
  <c r="X20" i="124"/>
  <c r="X28" i="124"/>
  <c r="P197" i="124"/>
  <c r="P195" i="124"/>
  <c r="P196" i="124" s="1"/>
  <c r="P202" i="124" s="1"/>
  <c r="P197" i="123"/>
  <c r="P195" i="123"/>
  <c r="P196" i="123" s="1"/>
  <c r="P202" i="123" s="1"/>
  <c r="U195" i="126"/>
  <c r="U103" i="124"/>
  <c r="U108" i="124" s="1"/>
  <c r="U201" i="124"/>
  <c r="U106" i="124"/>
  <c r="U102" i="124"/>
  <c r="U105" i="124" s="1"/>
  <c r="U126" i="124"/>
  <c r="U132" i="124"/>
  <c r="R204" i="124"/>
  <c r="R203" i="124"/>
  <c r="AM90" i="126"/>
  <c r="T91" i="126"/>
  <c r="Y19" i="125"/>
  <c r="X20" i="125"/>
  <c r="S126" i="124"/>
  <c r="S132" i="124"/>
  <c r="Q167" i="126"/>
  <c r="Q168" i="126" s="1"/>
  <c r="Q169" i="126" s="1"/>
  <c r="Q142" i="126"/>
  <c r="Q143" i="126" s="1"/>
  <c r="Q145" i="126" s="1"/>
  <c r="P146" i="123"/>
  <c r="P147" i="123"/>
  <c r="V152" i="124"/>
  <c r="V86" i="124"/>
  <c r="V85" i="124" s="1"/>
  <c r="V34" i="124"/>
  <c r="V25" i="124"/>
  <c r="U126" i="127"/>
  <c r="U132" i="127"/>
  <c r="U103" i="123"/>
  <c r="U108" i="123" s="1"/>
  <c r="U201" i="123"/>
  <c r="U102" i="123"/>
  <c r="U105" i="123" s="1"/>
  <c r="U106" i="123"/>
  <c r="V25" i="125"/>
  <c r="V152" i="125"/>
  <c r="V86" i="125"/>
  <c r="V85" i="125" s="1"/>
  <c r="V34" i="125"/>
  <c r="V125" i="127"/>
  <c r="V119" i="127"/>
  <c r="S103" i="123"/>
  <c r="S106" i="123"/>
  <c r="S201" i="123"/>
  <c r="S102" i="123"/>
  <c r="S105" i="123" s="1"/>
  <c r="S102" i="124"/>
  <c r="S105" i="124" s="1"/>
  <c r="S201" i="124"/>
  <c r="S103" i="124"/>
  <c r="S108" i="124" s="1"/>
  <c r="S106" i="124"/>
  <c r="S132" i="126"/>
  <c r="S126" i="126"/>
  <c r="R147" i="125"/>
  <c r="R146" i="125"/>
  <c r="V119" i="123"/>
  <c r="V125" i="123"/>
  <c r="W35" i="125"/>
  <c r="W22" i="125" s="1"/>
  <c r="W118" i="125" s="1"/>
  <c r="W87" i="125"/>
  <c r="W173" i="125"/>
  <c r="W175" i="125" s="1"/>
  <c r="W197" i="125" s="1"/>
  <c r="W27" i="125"/>
  <c r="S142" i="125"/>
  <c r="S143" i="125" s="1"/>
  <c r="S145" i="125" s="1"/>
  <c r="S167" i="125"/>
  <c r="S168" i="125" s="1"/>
  <c r="S169" i="125" s="1"/>
  <c r="Q167" i="124"/>
  <c r="Q168" i="124" s="1"/>
  <c r="Q169" i="124" s="1"/>
  <c r="Q142" i="124"/>
  <c r="Q143" i="124" s="1"/>
  <c r="Q145" i="124" s="1"/>
  <c r="W173" i="123"/>
  <c r="W175" i="123" s="1"/>
  <c r="W197" i="123" s="1"/>
  <c r="W87" i="123"/>
  <c r="W91" i="123" s="1"/>
  <c r="W35" i="123"/>
  <c r="W22" i="123" s="1"/>
  <c r="W118" i="123" s="1"/>
  <c r="W27" i="123"/>
  <c r="R141" i="123"/>
  <c r="R133" i="123"/>
  <c r="R135" i="123" s="1"/>
  <c r="R189" i="123" s="1"/>
  <c r="V25" i="127"/>
  <c r="V152" i="127"/>
  <c r="V34" i="127"/>
  <c r="V86" i="127"/>
  <c r="V85" i="127" s="1"/>
  <c r="U102" i="127"/>
  <c r="U105" i="127" s="1"/>
  <c r="U106" i="127"/>
  <c r="U201" i="127"/>
  <c r="U103" i="127"/>
  <c r="U108" i="127" s="1"/>
  <c r="O204" i="124"/>
  <c r="O203" i="124"/>
  <c r="Q167" i="123"/>
  <c r="Q168" i="123" s="1"/>
  <c r="Q169" i="123" s="1"/>
  <c r="Q142" i="123"/>
  <c r="Q143" i="123" s="1"/>
  <c r="Q145" i="123" s="1"/>
  <c r="O203" i="123"/>
  <c r="O204" i="123"/>
  <c r="Y16" i="125"/>
  <c r="X17" i="125"/>
  <c r="X28" i="125"/>
  <c r="U201" i="125"/>
  <c r="U103" i="125"/>
  <c r="U108" i="125" s="1"/>
  <c r="U102" i="125"/>
  <c r="U105" i="125" s="1"/>
  <c r="U106" i="125"/>
  <c r="Y19" i="123"/>
  <c r="X28" i="123"/>
  <c r="X20" i="123"/>
  <c r="Y16" i="126"/>
  <c r="X17" i="126"/>
  <c r="O192" i="114"/>
  <c r="O193" i="114"/>
  <c r="T122" i="114"/>
  <c r="T124" i="114" s="1"/>
  <c r="T178" i="114" s="1"/>
  <c r="T179" i="114" s="1"/>
  <c r="T130" i="114"/>
  <c r="O24" i="120"/>
  <c r="O27" i="120" s="1"/>
  <c r="W80" i="114"/>
  <c r="R183" i="114"/>
  <c r="R180" i="114"/>
  <c r="V92" i="114"/>
  <c r="V97" i="114"/>
  <c r="V190" i="114"/>
  <c r="V95" i="114"/>
  <c r="V91" i="114"/>
  <c r="V94" i="114" s="1"/>
  <c r="S130" i="114"/>
  <c r="S122" i="114"/>
  <c r="S124" i="114" s="1"/>
  <c r="S178" i="114" s="1"/>
  <c r="S179" i="114" s="1"/>
  <c r="R156" i="114"/>
  <c r="R157" i="114" s="1"/>
  <c r="R158" i="114" s="1"/>
  <c r="R131" i="114"/>
  <c r="R132" i="114" s="1"/>
  <c r="R134" i="114" s="1"/>
  <c r="W107" i="114"/>
  <c r="O180" i="120"/>
  <c r="O183" i="120" s="1"/>
  <c r="O184" i="120" s="1"/>
  <c r="O185" i="120" s="1"/>
  <c r="V108" i="114"/>
  <c r="V114" i="114"/>
  <c r="Y24" i="114"/>
  <c r="Y31" i="114"/>
  <c r="U121" i="114"/>
  <c r="U115" i="114"/>
  <c r="Q136" i="114"/>
  <c r="Q135" i="114"/>
  <c r="P185" i="114"/>
  <c r="P191" i="114" s="1"/>
  <c r="N23" i="128"/>
  <c r="N24" i="128" s="1"/>
  <c r="N22" i="128" s="1"/>
  <c r="N21" i="128" s="1"/>
  <c r="Q91" i="120"/>
  <c r="P99" i="120"/>
  <c r="X162" i="114"/>
  <c r="X164" i="114" s="1"/>
  <c r="P167" i="120"/>
  <c r="P152" i="120"/>
  <c r="P143" i="120"/>
  <c r="X82" i="114"/>
  <c r="P26" i="120" s="1"/>
  <c r="P81" i="120"/>
  <c r="X141" i="114"/>
  <c r="Q86" i="120"/>
  <c r="P82" i="120"/>
  <c r="Y16" i="118"/>
  <c r="Y21" i="118" s="1"/>
  <c r="N33" i="128" s="1"/>
  <c r="N31" i="128" s="1"/>
  <c r="N30" i="128" s="1"/>
  <c r="X19" i="118"/>
  <c r="X25" i="118"/>
  <c r="Z15" i="114"/>
  <c r="Z16" i="114" s="1"/>
  <c r="Z25" i="114" s="1"/>
  <c r="Y17" i="114"/>
  <c r="M17" i="84"/>
  <c r="F31" i="41"/>
  <c r="F32" i="41" s="1"/>
  <c r="F33" i="41" s="1"/>
  <c r="V149" i="118" l="1"/>
  <c r="V151" i="118" s="1"/>
  <c r="N102" i="120"/>
  <c r="P146" i="120"/>
  <c r="P145" i="120"/>
  <c r="P147" i="120" s="1"/>
  <c r="P114" i="120"/>
  <c r="P107" i="120"/>
  <c r="T194" i="125"/>
  <c r="T191" i="125"/>
  <c r="U154" i="118"/>
  <c r="U201" i="118" s="1"/>
  <c r="U202" i="118" s="1"/>
  <c r="W158" i="118"/>
  <c r="W40" i="118"/>
  <c r="W92" i="118"/>
  <c r="W196" i="118"/>
  <c r="O94" i="120"/>
  <c r="N37" i="120"/>
  <c r="N120" i="120"/>
  <c r="V91" i="118"/>
  <c r="V109" i="118" s="1"/>
  <c r="V114" i="118" s="1"/>
  <c r="V200" i="118"/>
  <c r="V197" i="118"/>
  <c r="Y17" i="118"/>
  <c r="Y32" i="118" s="1"/>
  <c r="X22" i="118"/>
  <c r="P108" i="120" s="1"/>
  <c r="V153" i="118"/>
  <c r="V152" i="118"/>
  <c r="Q137" i="114"/>
  <c r="Q184" i="114" s="1"/>
  <c r="Z16" i="126"/>
  <c r="Y17" i="126"/>
  <c r="X27" i="125"/>
  <c r="X87" i="125"/>
  <c r="X91" i="125" s="1"/>
  <c r="X173" i="125"/>
  <c r="X175" i="125" s="1"/>
  <c r="X197" i="125" s="1"/>
  <c r="X35" i="125"/>
  <c r="X22" i="125" s="1"/>
  <c r="X118" i="125" s="1"/>
  <c r="W125" i="123"/>
  <c r="W119" i="123"/>
  <c r="W34" i="125"/>
  <c r="W25" i="125"/>
  <c r="W152" i="125"/>
  <c r="W86" i="125"/>
  <c r="W85" i="125" s="1"/>
  <c r="Q146" i="126"/>
  <c r="Q147" i="126"/>
  <c r="V132" i="125"/>
  <c r="V126" i="125"/>
  <c r="U196" i="126"/>
  <c r="U202" i="126" s="1"/>
  <c r="U133" i="126"/>
  <c r="U135" i="126" s="1"/>
  <c r="U189" i="126" s="1"/>
  <c r="U141" i="126"/>
  <c r="V103" i="123"/>
  <c r="V108" i="123" s="1"/>
  <c r="V102" i="123"/>
  <c r="V105" i="123" s="1"/>
  <c r="V106" i="123"/>
  <c r="V201" i="123"/>
  <c r="W25" i="127"/>
  <c r="W34" i="127"/>
  <c r="W86" i="127"/>
  <c r="W85" i="127" s="1"/>
  <c r="W152" i="127"/>
  <c r="X173" i="124"/>
  <c r="X175" i="124" s="1"/>
  <c r="X197" i="124" s="1"/>
  <c r="X87" i="124"/>
  <c r="X91" i="124" s="1"/>
  <c r="X35" i="124"/>
  <c r="X22" i="124" s="1"/>
  <c r="X118" i="124" s="1"/>
  <c r="X27" i="124"/>
  <c r="T103" i="123"/>
  <c r="T108" i="123" s="1"/>
  <c r="T106" i="123"/>
  <c r="T102" i="123"/>
  <c r="T105" i="123" s="1"/>
  <c r="T201" i="123"/>
  <c r="S108" i="123"/>
  <c r="Z19" i="124"/>
  <c r="Y28" i="124"/>
  <c r="Y20" i="124"/>
  <c r="R167" i="126"/>
  <c r="R168" i="126" s="1"/>
  <c r="R169" i="126" s="1"/>
  <c r="R142" i="126"/>
  <c r="R143" i="126" s="1"/>
  <c r="R145" i="126" s="1"/>
  <c r="T167" i="125"/>
  <c r="T168" i="125" s="1"/>
  <c r="T169" i="125" s="1"/>
  <c r="T142" i="125"/>
  <c r="T143" i="125" s="1"/>
  <c r="T145" i="125" s="1"/>
  <c r="W125" i="126"/>
  <c r="W119" i="126"/>
  <c r="S147" i="125"/>
  <c r="S146" i="125"/>
  <c r="X173" i="123"/>
  <c r="X175" i="123" s="1"/>
  <c r="X197" i="123" s="1"/>
  <c r="X27" i="123"/>
  <c r="X87" i="123"/>
  <c r="X91" i="123" s="1"/>
  <c r="X35" i="123"/>
  <c r="X22" i="123" s="1"/>
  <c r="X118" i="123" s="1"/>
  <c r="Z16" i="125"/>
  <c r="Y28" i="125"/>
  <c r="Y17" i="125"/>
  <c r="W91" i="125"/>
  <c r="V103" i="124"/>
  <c r="V108" i="124" s="1"/>
  <c r="V106" i="124"/>
  <c r="V102" i="124"/>
  <c r="V105" i="124" s="1"/>
  <c r="V201" i="124"/>
  <c r="S133" i="124"/>
  <c r="S135" i="124" s="1"/>
  <c r="S189" i="124" s="1"/>
  <c r="S190" i="124" s="1"/>
  <c r="S141" i="124"/>
  <c r="T126" i="126"/>
  <c r="T132" i="126"/>
  <c r="U133" i="125"/>
  <c r="U135" i="125" s="1"/>
  <c r="U189" i="125" s="1"/>
  <c r="U190" i="125" s="1"/>
  <c r="U141" i="125"/>
  <c r="V195" i="126"/>
  <c r="W119" i="124"/>
  <c r="W125" i="124"/>
  <c r="R167" i="124"/>
  <c r="R168" i="124" s="1"/>
  <c r="R169" i="124" s="1"/>
  <c r="R142" i="124"/>
  <c r="R143" i="124" s="1"/>
  <c r="R145" i="124" s="1"/>
  <c r="S141" i="123"/>
  <c r="S133" i="123"/>
  <c r="S135" i="123" s="1"/>
  <c r="S189" i="123" s="1"/>
  <c r="S190" i="123" s="1"/>
  <c r="S108" i="126"/>
  <c r="Z16" i="127"/>
  <c r="Y17" i="127"/>
  <c r="V103" i="127"/>
  <c r="V108" i="127" s="1"/>
  <c r="V201" i="127"/>
  <c r="V106" i="127"/>
  <c r="V102" i="127"/>
  <c r="V105" i="127" s="1"/>
  <c r="W86" i="123"/>
  <c r="W85" i="123" s="1"/>
  <c r="W152" i="123"/>
  <c r="W34" i="123"/>
  <c r="W25" i="123"/>
  <c r="Z19" i="123"/>
  <c r="Y20" i="123"/>
  <c r="Y28" i="123"/>
  <c r="W119" i="125"/>
  <c r="W125" i="125"/>
  <c r="V132" i="127"/>
  <c r="V126" i="127"/>
  <c r="U133" i="124"/>
  <c r="U135" i="124" s="1"/>
  <c r="U189" i="124" s="1"/>
  <c r="U190" i="124" s="1"/>
  <c r="U141" i="124"/>
  <c r="P203" i="123"/>
  <c r="P204" i="123"/>
  <c r="V194" i="126"/>
  <c r="V191" i="126"/>
  <c r="Z16" i="123"/>
  <c r="Y17" i="123"/>
  <c r="X27" i="126"/>
  <c r="X35" i="126"/>
  <c r="X22" i="126" s="1"/>
  <c r="X118" i="126" s="1"/>
  <c r="X173" i="126"/>
  <c r="X175" i="126" s="1"/>
  <c r="X197" i="126" s="1"/>
  <c r="X87" i="126"/>
  <c r="X91" i="126" s="1"/>
  <c r="W148" i="126"/>
  <c r="W190" i="126"/>
  <c r="W34" i="126"/>
  <c r="W86" i="126"/>
  <c r="W85" i="126" s="1"/>
  <c r="W152" i="126"/>
  <c r="W25" i="126"/>
  <c r="Q146" i="124"/>
  <c r="Q147" i="124"/>
  <c r="V132" i="123"/>
  <c r="V126" i="123"/>
  <c r="U141" i="123"/>
  <c r="U133" i="123"/>
  <c r="U135" i="123" s="1"/>
  <c r="U189" i="123" s="1"/>
  <c r="U190" i="123" s="1"/>
  <c r="V201" i="126"/>
  <c r="V103" i="126"/>
  <c r="V108" i="126" s="1"/>
  <c r="V106" i="126"/>
  <c r="V102" i="126"/>
  <c r="V105" i="126" s="1"/>
  <c r="V126" i="126"/>
  <c r="V132" i="126"/>
  <c r="P50" i="120"/>
  <c r="V201" i="125"/>
  <c r="V102" i="125"/>
  <c r="V105" i="125" s="1"/>
  <c r="V103" i="125"/>
  <c r="V106" i="125"/>
  <c r="Z19" i="125"/>
  <c r="Y20" i="125"/>
  <c r="P204" i="124"/>
  <c r="P203" i="124"/>
  <c r="V132" i="124"/>
  <c r="V126" i="124"/>
  <c r="W25" i="124"/>
  <c r="W86" i="124"/>
  <c r="W85" i="124" s="1"/>
  <c r="W34" i="124"/>
  <c r="W152" i="124"/>
  <c r="Z16" i="124"/>
  <c r="Y17" i="124"/>
  <c r="Z19" i="126"/>
  <c r="Y20" i="126"/>
  <c r="Y28" i="126"/>
  <c r="X27" i="127"/>
  <c r="X87" i="127"/>
  <c r="X91" i="127" s="1"/>
  <c r="X173" i="127"/>
  <c r="X175" i="127" s="1"/>
  <c r="X197" i="127" s="1"/>
  <c r="X35" i="127"/>
  <c r="X22" i="127" s="1"/>
  <c r="X118" i="127" s="1"/>
  <c r="S141" i="126"/>
  <c r="S133" i="126"/>
  <c r="S135" i="126" s="1"/>
  <c r="S189" i="126" s="1"/>
  <c r="S190" i="126" s="1"/>
  <c r="Q146" i="123"/>
  <c r="Q147" i="123"/>
  <c r="R167" i="123"/>
  <c r="R168" i="123" s="1"/>
  <c r="R169" i="123" s="1"/>
  <c r="R142" i="123"/>
  <c r="R143" i="123" s="1"/>
  <c r="R145" i="123" s="1"/>
  <c r="U141" i="127"/>
  <c r="U133" i="127"/>
  <c r="U135" i="127" s="1"/>
  <c r="U189" i="127" s="1"/>
  <c r="U190" i="127" s="1"/>
  <c r="T126" i="124"/>
  <c r="T132" i="124"/>
  <c r="Z19" i="127"/>
  <c r="Y28" i="127"/>
  <c r="Y20" i="127"/>
  <c r="T126" i="123"/>
  <c r="T132" i="123"/>
  <c r="W125" i="127"/>
  <c r="W119" i="127"/>
  <c r="Q185" i="114"/>
  <c r="Q191" i="114" s="1"/>
  <c r="Q192" i="114" s="1"/>
  <c r="S156" i="114"/>
  <c r="S157" i="114" s="1"/>
  <c r="S158" i="114" s="1"/>
  <c r="S131" i="114"/>
  <c r="S132" i="114" s="1"/>
  <c r="S134" i="114" s="1"/>
  <c r="P192" i="114"/>
  <c r="P193" i="114"/>
  <c r="W92" i="114"/>
  <c r="W97" i="114"/>
  <c r="G18" i="120" s="1"/>
  <c r="G65" i="120" s="1"/>
  <c r="W190" i="114"/>
  <c r="W95" i="114"/>
  <c r="W91" i="114"/>
  <c r="W94" i="114" s="1"/>
  <c r="T156" i="114"/>
  <c r="T157" i="114" s="1"/>
  <c r="T158" i="114" s="1"/>
  <c r="T131" i="114"/>
  <c r="T132" i="114" s="1"/>
  <c r="T134" i="114" s="1"/>
  <c r="V121" i="114"/>
  <c r="V115" i="114"/>
  <c r="Z24" i="114"/>
  <c r="Z31" i="114"/>
  <c r="U122" i="114"/>
  <c r="U124" i="114" s="1"/>
  <c r="U178" i="114" s="1"/>
  <c r="U179" i="114" s="1"/>
  <c r="U130" i="114"/>
  <c r="W108" i="114"/>
  <c r="W114" i="114"/>
  <c r="T180" i="114"/>
  <c r="T183" i="114"/>
  <c r="S180" i="114"/>
  <c r="R136" i="114"/>
  <c r="R135" i="114"/>
  <c r="P90" i="120"/>
  <c r="O23" i="128"/>
  <c r="O24" i="128" s="1"/>
  <c r="O22" i="128" s="1"/>
  <c r="O21" i="128" s="1"/>
  <c r="R91" i="120"/>
  <c r="X30" i="114"/>
  <c r="P89" i="120" s="1"/>
  <c r="Q99" i="120"/>
  <c r="P142" i="120"/>
  <c r="P166" i="120"/>
  <c r="P151" i="120"/>
  <c r="X19" i="114"/>
  <c r="P181" i="120"/>
  <c r="Q143" i="120"/>
  <c r="Q167" i="120"/>
  <c r="Q152" i="120"/>
  <c r="X81" i="114"/>
  <c r="P24" i="120" s="1"/>
  <c r="P27" i="120" s="1"/>
  <c r="P122" i="120"/>
  <c r="Q82" i="120"/>
  <c r="R86" i="120"/>
  <c r="Y162" i="114"/>
  <c r="Y164" i="114" s="1"/>
  <c r="Y82" i="114"/>
  <c r="Z16" i="118"/>
  <c r="Z21" i="118" s="1"/>
  <c r="O33" i="128" s="1"/>
  <c r="O31" i="128" s="1"/>
  <c r="O30" i="128" s="1"/>
  <c r="Y19" i="118"/>
  <c r="Y25" i="118"/>
  <c r="AA15" i="114"/>
  <c r="AA16" i="114" s="1"/>
  <c r="AA25" i="114" s="1"/>
  <c r="Z17" i="114"/>
  <c r="M12" i="84"/>
  <c r="M11" i="84"/>
  <c r="N4" i="84"/>
  <c r="N5" i="84" s="1"/>
  <c r="W149" i="118" l="1"/>
  <c r="W151" i="118" s="1"/>
  <c r="O102" i="120"/>
  <c r="Q146" i="120"/>
  <c r="Q145" i="120"/>
  <c r="Q147" i="120" s="1"/>
  <c r="S194" i="123"/>
  <c r="S191" i="123"/>
  <c r="U194" i="123"/>
  <c r="U191" i="123"/>
  <c r="Q114" i="120"/>
  <c r="Q107" i="120"/>
  <c r="S194" i="124"/>
  <c r="S191" i="124"/>
  <c r="S191" i="126"/>
  <c r="S194" i="126"/>
  <c r="U191" i="127"/>
  <c r="U194" i="127"/>
  <c r="U194" i="124"/>
  <c r="U191" i="124"/>
  <c r="U191" i="125"/>
  <c r="U194" i="125"/>
  <c r="S148" i="125"/>
  <c r="S195" i="125" s="1"/>
  <c r="S196" i="125" s="1"/>
  <c r="S202" i="125" s="1"/>
  <c r="V154" i="118"/>
  <c r="V201" i="118" s="1"/>
  <c r="V202" i="118" s="1"/>
  <c r="V196" i="126"/>
  <c r="X92" i="118"/>
  <c r="P120" i="120" s="1"/>
  <c r="X196" i="118"/>
  <c r="P94" i="120"/>
  <c r="X40" i="118"/>
  <c r="X158" i="118"/>
  <c r="X30" i="118"/>
  <c r="Z17" i="118"/>
  <c r="Z32" i="118" s="1"/>
  <c r="Y22" i="118"/>
  <c r="Q108" i="120" s="1"/>
  <c r="W197" i="118"/>
  <c r="W200" i="118"/>
  <c r="O120" i="120"/>
  <c r="W91" i="118"/>
  <c r="W109" i="118" s="1"/>
  <c r="W114" i="118" s="1"/>
  <c r="O37" i="120"/>
  <c r="W153" i="118"/>
  <c r="W152" i="118"/>
  <c r="Q193" i="114"/>
  <c r="U203" i="126"/>
  <c r="U204" i="126"/>
  <c r="V141" i="124"/>
  <c r="V133" i="124"/>
  <c r="V135" i="124" s="1"/>
  <c r="V189" i="124" s="1"/>
  <c r="V190" i="124" s="1"/>
  <c r="W132" i="124"/>
  <c r="W126" i="124"/>
  <c r="Y27" i="125"/>
  <c r="Y173" i="125"/>
  <c r="Y175" i="125" s="1"/>
  <c r="Y197" i="125" s="1"/>
  <c r="Y87" i="125"/>
  <c r="Y91" i="125" s="1"/>
  <c r="Y35" i="125"/>
  <c r="Y22" i="125" s="1"/>
  <c r="Y118" i="125" s="1"/>
  <c r="T146" i="125"/>
  <c r="T147" i="125"/>
  <c r="X125" i="124"/>
  <c r="X119" i="124"/>
  <c r="W132" i="123"/>
  <c r="W126" i="123"/>
  <c r="AA19" i="127"/>
  <c r="Z28" i="127"/>
  <c r="Z20" i="127"/>
  <c r="T141" i="124"/>
  <c r="T133" i="124"/>
  <c r="T135" i="124" s="1"/>
  <c r="T189" i="124" s="1"/>
  <c r="T190" i="124" s="1"/>
  <c r="X25" i="127"/>
  <c r="X34" i="127"/>
  <c r="X86" i="127"/>
  <c r="X85" i="127" s="1"/>
  <c r="X152" i="127"/>
  <c r="V108" i="125"/>
  <c r="X125" i="126"/>
  <c r="X119" i="126"/>
  <c r="U167" i="124"/>
  <c r="U168" i="124" s="1"/>
  <c r="U169" i="124" s="1"/>
  <c r="U142" i="124"/>
  <c r="U143" i="124" s="1"/>
  <c r="U145" i="124" s="1"/>
  <c r="Y27" i="123"/>
  <c r="Y87" i="123"/>
  <c r="Y91" i="123" s="1"/>
  <c r="Y173" i="123"/>
  <c r="Y175" i="123" s="1"/>
  <c r="Y197" i="123" s="1"/>
  <c r="Y35" i="123"/>
  <c r="Y22" i="123" s="1"/>
  <c r="Y118" i="123" s="1"/>
  <c r="AA16" i="127"/>
  <c r="Z17" i="127"/>
  <c r="AA16" i="125"/>
  <c r="Z17" i="125"/>
  <c r="Z28" i="125"/>
  <c r="W201" i="125"/>
  <c r="W106" i="125"/>
  <c r="W103" i="125"/>
  <c r="W108" i="125" s="1"/>
  <c r="W102" i="125"/>
  <c r="W105" i="125" s="1"/>
  <c r="X125" i="125"/>
  <c r="X119" i="125"/>
  <c r="Y173" i="127"/>
  <c r="Y175" i="127" s="1"/>
  <c r="Y197" i="127" s="1"/>
  <c r="Y87" i="127"/>
  <c r="Y91" i="127" s="1"/>
  <c r="Y27" i="127"/>
  <c r="Y35" i="127"/>
  <c r="Y22" i="127" s="1"/>
  <c r="Y118" i="127" s="1"/>
  <c r="X25" i="124"/>
  <c r="X152" i="124"/>
  <c r="X34" i="124"/>
  <c r="X86" i="124"/>
  <c r="X85" i="124" s="1"/>
  <c r="Y35" i="126"/>
  <c r="Y22" i="126" s="1"/>
  <c r="Y118" i="126" s="1"/>
  <c r="Y87" i="126"/>
  <c r="Y91" i="126" s="1"/>
  <c r="Y27" i="126"/>
  <c r="Y173" i="126"/>
  <c r="Y175" i="126" s="1"/>
  <c r="Y197" i="126" s="1"/>
  <c r="W195" i="126"/>
  <c r="X152" i="126"/>
  <c r="X190" i="126"/>
  <c r="X25" i="126"/>
  <c r="X34" i="126"/>
  <c r="X148" i="126"/>
  <c r="X86" i="126"/>
  <c r="X85" i="126" s="1"/>
  <c r="X119" i="123"/>
  <c r="X125" i="123"/>
  <c r="R146" i="126"/>
  <c r="R147" i="126"/>
  <c r="W132" i="127"/>
  <c r="W126" i="127"/>
  <c r="S167" i="126"/>
  <c r="S168" i="126" s="1"/>
  <c r="S169" i="126" s="1"/>
  <c r="S142" i="126"/>
  <c r="S143" i="126" s="1"/>
  <c r="S145" i="126" s="1"/>
  <c r="V202" i="126"/>
  <c r="W103" i="126"/>
  <c r="W108" i="126" s="1"/>
  <c r="W201" i="126"/>
  <c r="W106" i="126"/>
  <c r="W102" i="126"/>
  <c r="W105" i="126" s="1"/>
  <c r="AA19" i="123"/>
  <c r="Z20" i="123"/>
  <c r="Z28" i="123"/>
  <c r="W103" i="123"/>
  <c r="W106" i="123"/>
  <c r="W102" i="123"/>
  <c r="W105" i="123" s="1"/>
  <c r="W201" i="123"/>
  <c r="U167" i="125"/>
  <c r="U168" i="125" s="1"/>
  <c r="U169" i="125" s="1"/>
  <c r="U142" i="125"/>
  <c r="U143" i="125" s="1"/>
  <c r="U145" i="125" s="1"/>
  <c r="V133" i="125"/>
  <c r="V135" i="125" s="1"/>
  <c r="V189" i="125" s="1"/>
  <c r="V190" i="125" s="1"/>
  <c r="V141" i="125"/>
  <c r="U142" i="127"/>
  <c r="U143" i="127" s="1"/>
  <c r="U145" i="127" s="1"/>
  <c r="U167" i="127"/>
  <c r="U168" i="127" s="1"/>
  <c r="U169" i="127" s="1"/>
  <c r="AA19" i="126"/>
  <c r="Z20" i="126"/>
  <c r="Z28" i="126"/>
  <c r="AA19" i="125"/>
  <c r="Z20" i="125"/>
  <c r="AA16" i="123"/>
  <c r="Z17" i="123"/>
  <c r="V141" i="127"/>
  <c r="V133" i="127"/>
  <c r="V135" i="127" s="1"/>
  <c r="V189" i="127" s="1"/>
  <c r="V190" i="127" s="1"/>
  <c r="X86" i="123"/>
  <c r="X85" i="123" s="1"/>
  <c r="X152" i="123"/>
  <c r="X34" i="123"/>
  <c r="X25" i="123"/>
  <c r="W132" i="126"/>
  <c r="W126" i="126"/>
  <c r="X86" i="125"/>
  <c r="X85" i="125" s="1"/>
  <c r="X34" i="125"/>
  <c r="X25" i="125"/>
  <c r="X152" i="125"/>
  <c r="S167" i="124"/>
  <c r="S168" i="124" s="1"/>
  <c r="S169" i="124" s="1"/>
  <c r="S142" i="124"/>
  <c r="S143" i="124" s="1"/>
  <c r="S145" i="124" s="1"/>
  <c r="T141" i="123"/>
  <c r="T133" i="123"/>
  <c r="T135" i="123" s="1"/>
  <c r="T189" i="123" s="1"/>
  <c r="T190" i="123" s="1"/>
  <c r="R137" i="114"/>
  <c r="R184" i="114" s="1"/>
  <c r="W103" i="124"/>
  <c r="W106" i="124"/>
  <c r="W201" i="124"/>
  <c r="W102" i="124"/>
  <c r="W105" i="124" s="1"/>
  <c r="V141" i="123"/>
  <c r="V133" i="123"/>
  <c r="V135" i="123" s="1"/>
  <c r="V189" i="123" s="1"/>
  <c r="V190" i="123" s="1"/>
  <c r="W194" i="126"/>
  <c r="W191" i="126"/>
  <c r="W132" i="125"/>
  <c r="W126" i="125"/>
  <c r="S167" i="123"/>
  <c r="S168" i="123" s="1"/>
  <c r="S169" i="123" s="1"/>
  <c r="S142" i="123"/>
  <c r="S143" i="123" s="1"/>
  <c r="S145" i="123" s="1"/>
  <c r="T133" i="126"/>
  <c r="T135" i="126" s="1"/>
  <c r="T189" i="126" s="1"/>
  <c r="T190" i="126" s="1"/>
  <c r="T141" i="126"/>
  <c r="Y27" i="124"/>
  <c r="Y35" i="124"/>
  <c r="Y22" i="124" s="1"/>
  <c r="Y118" i="124" s="1"/>
  <c r="Y173" i="124"/>
  <c r="Y175" i="124" s="1"/>
  <c r="Y197" i="124" s="1"/>
  <c r="Y87" i="124"/>
  <c r="Y91" i="124" s="1"/>
  <c r="W103" i="127"/>
  <c r="W108" i="127" s="1"/>
  <c r="W102" i="127"/>
  <c r="W105" i="127" s="1"/>
  <c r="W106" i="127"/>
  <c r="W201" i="127"/>
  <c r="U142" i="126"/>
  <c r="U143" i="126" s="1"/>
  <c r="U145" i="126" s="1"/>
  <c r="U167" i="126"/>
  <c r="U168" i="126" s="1"/>
  <c r="U169" i="126" s="1"/>
  <c r="R146" i="123"/>
  <c r="R147" i="123"/>
  <c r="X119" i="127"/>
  <c r="X125" i="127"/>
  <c r="AA16" i="124"/>
  <c r="Z17" i="124"/>
  <c r="V141" i="126"/>
  <c r="V133" i="126"/>
  <c r="V135" i="126" s="1"/>
  <c r="V189" i="126" s="1"/>
  <c r="U142" i="123"/>
  <c r="U143" i="123" s="1"/>
  <c r="U145" i="123" s="1"/>
  <c r="U167" i="123"/>
  <c r="U168" i="123" s="1"/>
  <c r="U169" i="123" s="1"/>
  <c r="R146" i="124"/>
  <c r="R147" i="124"/>
  <c r="AA19" i="124"/>
  <c r="Z28" i="124"/>
  <c r="Z20" i="124"/>
  <c r="AA16" i="126"/>
  <c r="Z17" i="126"/>
  <c r="AA24" i="114"/>
  <c r="AA31" i="114"/>
  <c r="W115" i="114"/>
  <c r="W121" i="114"/>
  <c r="U156" i="114"/>
  <c r="U157" i="114" s="1"/>
  <c r="U158" i="114" s="1"/>
  <c r="U131" i="114"/>
  <c r="U132" i="114" s="1"/>
  <c r="U134" i="114" s="1"/>
  <c r="T135" i="114"/>
  <c r="T136" i="114"/>
  <c r="U180" i="114"/>
  <c r="U183" i="114"/>
  <c r="S136" i="114"/>
  <c r="S135" i="114"/>
  <c r="V122" i="114"/>
  <c r="V124" i="114" s="1"/>
  <c r="V178" i="114" s="1"/>
  <c r="V179" i="114" s="1"/>
  <c r="V130" i="114"/>
  <c r="Z82" i="114"/>
  <c r="R26" i="120" s="1"/>
  <c r="R90" i="120"/>
  <c r="X80" i="114"/>
  <c r="X190" i="114" s="1"/>
  <c r="Q90" i="120"/>
  <c r="P23" i="128"/>
  <c r="P24" i="128" s="1"/>
  <c r="P22" i="128" s="1"/>
  <c r="P21" i="128" s="1"/>
  <c r="S91" i="120"/>
  <c r="R99" i="120"/>
  <c r="Y30" i="114"/>
  <c r="Q89" i="120" s="1"/>
  <c r="Q166" i="120"/>
  <c r="Q151" i="120"/>
  <c r="Q142" i="120"/>
  <c r="Z19" i="114"/>
  <c r="R181" i="120"/>
  <c r="R166" i="120"/>
  <c r="R151" i="120"/>
  <c r="R142" i="120"/>
  <c r="Y19" i="114"/>
  <c r="Q181" i="120"/>
  <c r="Z162" i="114"/>
  <c r="Z164" i="114" s="1"/>
  <c r="R143" i="120"/>
  <c r="R152" i="120"/>
  <c r="R167" i="120"/>
  <c r="X107" i="114"/>
  <c r="P180" i="120"/>
  <c r="P183" i="120" s="1"/>
  <c r="P184" i="120" s="1"/>
  <c r="P185" i="120" s="1"/>
  <c r="S86" i="120"/>
  <c r="Q81" i="120"/>
  <c r="Y141" i="114"/>
  <c r="Y81" i="114"/>
  <c r="Q26" i="120"/>
  <c r="Q50" i="120"/>
  <c r="Q122" i="120"/>
  <c r="R82" i="120"/>
  <c r="R81" i="120"/>
  <c r="Z141" i="114"/>
  <c r="Z30" i="114"/>
  <c r="R89" i="120" s="1"/>
  <c r="Z81" i="114"/>
  <c r="AA16" i="118"/>
  <c r="Z19" i="118"/>
  <c r="Z25" i="118"/>
  <c r="AB15" i="114"/>
  <c r="AB16" i="114" s="1"/>
  <c r="AB25" i="114" s="1"/>
  <c r="AA17" i="114"/>
  <c r="N17" i="84"/>
  <c r="X149" i="118" l="1"/>
  <c r="X151" i="118" s="1"/>
  <c r="P102" i="120"/>
  <c r="R146" i="120"/>
  <c r="R145" i="120"/>
  <c r="W154" i="118"/>
  <c r="W201" i="118" s="1"/>
  <c r="W202" i="118" s="1"/>
  <c r="T194" i="123"/>
  <c r="T191" i="123"/>
  <c r="V191" i="123"/>
  <c r="V194" i="123"/>
  <c r="R114" i="120"/>
  <c r="R107" i="120"/>
  <c r="T191" i="126"/>
  <c r="T194" i="126"/>
  <c r="S204" i="125"/>
  <c r="S203" i="125"/>
  <c r="V191" i="125"/>
  <c r="V194" i="125"/>
  <c r="T191" i="124"/>
  <c r="T194" i="124"/>
  <c r="V194" i="127"/>
  <c r="V191" i="127"/>
  <c r="V191" i="124"/>
  <c r="V194" i="124"/>
  <c r="T148" i="125"/>
  <c r="T195" i="125" s="1"/>
  <c r="T196" i="125" s="1"/>
  <c r="T202" i="125" s="1"/>
  <c r="X91" i="114"/>
  <c r="X94" i="114" s="1"/>
  <c r="AA21" i="118"/>
  <c r="P33" i="128" s="1"/>
  <c r="P31" i="128" s="1"/>
  <c r="P30" i="128" s="1"/>
  <c r="AB16" i="118"/>
  <c r="AC16" i="118" s="1"/>
  <c r="AA17" i="118"/>
  <c r="AA32" i="118" s="1"/>
  <c r="Z22" i="118"/>
  <c r="R108" i="120" s="1"/>
  <c r="X153" i="118"/>
  <c r="X152" i="118"/>
  <c r="X197" i="118"/>
  <c r="X200" i="118"/>
  <c r="Y92" i="118"/>
  <c r="Q120" i="120" s="1"/>
  <c r="Y158" i="118"/>
  <c r="Y40" i="118"/>
  <c r="Q94" i="120"/>
  <c r="Y196" i="118"/>
  <c r="Y30" i="118"/>
  <c r="P37" i="120"/>
  <c r="X91" i="118"/>
  <c r="X109" i="118" s="1"/>
  <c r="X114" i="118" s="1"/>
  <c r="W196" i="126"/>
  <c r="R122" i="120"/>
  <c r="R185" i="114"/>
  <c r="R191" i="114" s="1"/>
  <c r="X201" i="125"/>
  <c r="X103" i="125"/>
  <c r="X106" i="125"/>
  <c r="X102" i="125"/>
  <c r="X105" i="125" s="1"/>
  <c r="X103" i="123"/>
  <c r="X108" i="123" s="1"/>
  <c r="X106" i="123"/>
  <c r="X201" i="123"/>
  <c r="X102" i="123"/>
  <c r="X105" i="123" s="1"/>
  <c r="AB19" i="125"/>
  <c r="AA20" i="125"/>
  <c r="Z27" i="123"/>
  <c r="Z87" i="123"/>
  <c r="Z91" i="123" s="1"/>
  <c r="Z35" i="123"/>
  <c r="Z22" i="123" s="1"/>
  <c r="Z118" i="123" s="1"/>
  <c r="Z173" i="123"/>
  <c r="Z175" i="123" s="1"/>
  <c r="Z197" i="123" s="1"/>
  <c r="S147" i="126"/>
  <c r="S146" i="126"/>
  <c r="X106" i="124"/>
  <c r="X201" i="124"/>
  <c r="X102" i="124"/>
  <c r="X105" i="124" s="1"/>
  <c r="X103" i="124"/>
  <c r="X108" i="124" s="1"/>
  <c r="Z35" i="127"/>
  <c r="Z22" i="127" s="1"/>
  <c r="Z118" i="127" s="1"/>
  <c r="Z173" i="127"/>
  <c r="Z175" i="127" s="1"/>
  <c r="Z197" i="127" s="1"/>
  <c r="Z87" i="127"/>
  <c r="Z91" i="127" s="1"/>
  <c r="Z27" i="127"/>
  <c r="V167" i="124"/>
  <c r="V168" i="124" s="1"/>
  <c r="V169" i="124" s="1"/>
  <c r="V142" i="124"/>
  <c r="V143" i="124" s="1"/>
  <c r="V145" i="124" s="1"/>
  <c r="U146" i="123"/>
  <c r="U148" i="123" s="1"/>
  <c r="U195" i="123" s="1"/>
  <c r="U196" i="123" s="1"/>
  <c r="U202" i="123" s="1"/>
  <c r="U147" i="123"/>
  <c r="T167" i="123"/>
  <c r="T168" i="123" s="1"/>
  <c r="T169" i="123" s="1"/>
  <c r="T142" i="123"/>
  <c r="T143" i="123" s="1"/>
  <c r="T145" i="123" s="1"/>
  <c r="Z173" i="126"/>
  <c r="Z175" i="126" s="1"/>
  <c r="Z197" i="126" s="1"/>
  <c r="Z27" i="126"/>
  <c r="Z35" i="126"/>
  <c r="Z22" i="126" s="1"/>
  <c r="Z118" i="126" s="1"/>
  <c r="Z87" i="126"/>
  <c r="Z91" i="126" s="1"/>
  <c r="X194" i="126"/>
  <c r="X191" i="126"/>
  <c r="X132" i="126"/>
  <c r="X126" i="126"/>
  <c r="AB19" i="127"/>
  <c r="AA20" i="127"/>
  <c r="AA28" i="127"/>
  <c r="Y125" i="125"/>
  <c r="Y119" i="125"/>
  <c r="W141" i="125"/>
  <c r="W133" i="125"/>
  <c r="W135" i="125" s="1"/>
  <c r="W189" i="125" s="1"/>
  <c r="W190" i="125" s="1"/>
  <c r="S147" i="124"/>
  <c r="S146" i="124"/>
  <c r="U146" i="125"/>
  <c r="U147" i="125"/>
  <c r="AB19" i="123"/>
  <c r="AA28" i="123"/>
  <c r="AA20" i="123"/>
  <c r="X132" i="123"/>
  <c r="X126" i="123"/>
  <c r="X195" i="126"/>
  <c r="Z35" i="125"/>
  <c r="Z22" i="125" s="1"/>
  <c r="Z118" i="125" s="1"/>
  <c r="Z27" i="125"/>
  <c r="Z173" i="125"/>
  <c r="Z175" i="125" s="1"/>
  <c r="Z197" i="125" s="1"/>
  <c r="Z87" i="125"/>
  <c r="Z91" i="125" s="1"/>
  <c r="Y125" i="123"/>
  <c r="Y119" i="123"/>
  <c r="X103" i="127"/>
  <c r="X108" i="127" s="1"/>
  <c r="X106" i="127"/>
  <c r="X102" i="127"/>
  <c r="X105" i="127" s="1"/>
  <c r="X201" i="127"/>
  <c r="AB16" i="126"/>
  <c r="AA17" i="126"/>
  <c r="Y125" i="124"/>
  <c r="Y119" i="124"/>
  <c r="R50" i="120"/>
  <c r="Z27" i="124"/>
  <c r="Z87" i="124"/>
  <c r="Z91" i="124" s="1"/>
  <c r="Z35" i="124"/>
  <c r="Z22" i="124" s="1"/>
  <c r="Z118" i="124" s="1"/>
  <c r="Z173" i="124"/>
  <c r="Z175" i="124" s="1"/>
  <c r="Z197" i="124" s="1"/>
  <c r="V142" i="126"/>
  <c r="V143" i="126" s="1"/>
  <c r="V145" i="126" s="1"/>
  <c r="V167" i="126"/>
  <c r="V168" i="126" s="1"/>
  <c r="V169" i="126" s="1"/>
  <c r="U146" i="126"/>
  <c r="U147" i="126"/>
  <c r="Y25" i="124"/>
  <c r="Y152" i="124"/>
  <c r="Y86" i="124"/>
  <c r="Y85" i="124" s="1"/>
  <c r="Y34" i="124"/>
  <c r="AB19" i="126"/>
  <c r="AA20" i="126"/>
  <c r="AA28" i="126"/>
  <c r="W141" i="127"/>
  <c r="W133" i="127"/>
  <c r="W135" i="127" s="1"/>
  <c r="W189" i="127" s="1"/>
  <c r="W190" i="127" s="1"/>
  <c r="X126" i="125"/>
  <c r="X132" i="125"/>
  <c r="W133" i="123"/>
  <c r="W135" i="123" s="1"/>
  <c r="W189" i="123" s="1"/>
  <c r="W190" i="123" s="1"/>
  <c r="W141" i="123"/>
  <c r="AB19" i="124"/>
  <c r="AA28" i="124"/>
  <c r="AA20" i="124"/>
  <c r="W141" i="126"/>
  <c r="W133" i="126"/>
  <c r="W135" i="126" s="1"/>
  <c r="W189" i="126" s="1"/>
  <c r="V167" i="127"/>
  <c r="V168" i="127" s="1"/>
  <c r="V169" i="127" s="1"/>
  <c r="V142" i="127"/>
  <c r="V143" i="127" s="1"/>
  <c r="V145" i="127" s="1"/>
  <c r="AB16" i="125"/>
  <c r="AA17" i="125"/>
  <c r="AA28" i="125"/>
  <c r="Y25" i="125"/>
  <c r="Y86" i="125"/>
  <c r="Y85" i="125" s="1"/>
  <c r="Y34" i="125"/>
  <c r="Y152" i="125"/>
  <c r="AB16" i="124"/>
  <c r="AA17" i="124"/>
  <c r="T167" i="126"/>
  <c r="T168" i="126" s="1"/>
  <c r="T169" i="126" s="1"/>
  <c r="T142" i="126"/>
  <c r="T143" i="126" s="1"/>
  <c r="T145" i="126" s="1"/>
  <c r="U146" i="127"/>
  <c r="U147" i="127"/>
  <c r="W202" i="126"/>
  <c r="X103" i="126"/>
  <c r="X108" i="126" s="1"/>
  <c r="X201" i="126"/>
  <c r="X106" i="126"/>
  <c r="X102" i="126"/>
  <c r="X105" i="126" s="1"/>
  <c r="Y152" i="126"/>
  <c r="Y148" i="126"/>
  <c r="Y190" i="126"/>
  <c r="Y25" i="126"/>
  <c r="Y34" i="126"/>
  <c r="Y86" i="126"/>
  <c r="Y85" i="126" s="1"/>
  <c r="Y86" i="123"/>
  <c r="Y85" i="123" s="1"/>
  <c r="Y152" i="123"/>
  <c r="Y34" i="123"/>
  <c r="Y25" i="123"/>
  <c r="X132" i="124"/>
  <c r="X126" i="124"/>
  <c r="X132" i="127"/>
  <c r="X126" i="127"/>
  <c r="W108" i="124"/>
  <c r="AB16" i="123"/>
  <c r="AA17" i="123"/>
  <c r="V167" i="125"/>
  <c r="V168" i="125" s="1"/>
  <c r="V169" i="125" s="1"/>
  <c r="V142" i="125"/>
  <c r="V143" i="125" s="1"/>
  <c r="V145" i="125" s="1"/>
  <c r="Y125" i="127"/>
  <c r="Y119" i="127"/>
  <c r="U146" i="124"/>
  <c r="U147" i="124"/>
  <c r="T167" i="124"/>
  <c r="T168" i="124" s="1"/>
  <c r="T169" i="124" s="1"/>
  <c r="T142" i="124"/>
  <c r="T143" i="124" s="1"/>
  <c r="T145" i="124" s="1"/>
  <c r="W141" i="124"/>
  <c r="W133" i="124"/>
  <c r="W135" i="124" s="1"/>
  <c r="W189" i="124" s="1"/>
  <c r="W190" i="124" s="1"/>
  <c r="S146" i="123"/>
  <c r="S147" i="123"/>
  <c r="V167" i="123"/>
  <c r="V168" i="123" s="1"/>
  <c r="V169" i="123" s="1"/>
  <c r="V142" i="123"/>
  <c r="V143" i="123" s="1"/>
  <c r="V145" i="123" s="1"/>
  <c r="W108" i="123"/>
  <c r="V204" i="126"/>
  <c r="V203" i="126"/>
  <c r="Y119" i="126"/>
  <c r="Y125" i="126"/>
  <c r="Y34" i="127"/>
  <c r="Y25" i="127"/>
  <c r="Y86" i="127"/>
  <c r="Y85" i="127" s="1"/>
  <c r="Y152" i="127"/>
  <c r="AB16" i="127"/>
  <c r="AA17" i="127"/>
  <c r="T137" i="114"/>
  <c r="T184" i="114" s="1"/>
  <c r="V131" i="114"/>
  <c r="V132" i="114" s="1"/>
  <c r="V134" i="114" s="1"/>
  <c r="V156" i="114"/>
  <c r="V157" i="114" s="1"/>
  <c r="V158" i="114" s="1"/>
  <c r="U135" i="114"/>
  <c r="U136" i="114"/>
  <c r="V180" i="114"/>
  <c r="V183" i="114"/>
  <c r="AB24" i="114"/>
  <c r="AB31" i="114"/>
  <c r="S137" i="114"/>
  <c r="S184" i="114" s="1"/>
  <c r="W122" i="114"/>
  <c r="W124" i="114" s="1"/>
  <c r="W178" i="114" s="1"/>
  <c r="W179" i="114" s="1"/>
  <c r="W130" i="114"/>
  <c r="R192" i="114"/>
  <c r="R193" i="114"/>
  <c r="M123" i="120"/>
  <c r="X92" i="114"/>
  <c r="X97" i="114"/>
  <c r="X95" i="114"/>
  <c r="AA162" i="114"/>
  <c r="AA164" i="114" s="1"/>
  <c r="T86" i="120"/>
  <c r="Q23" i="128"/>
  <c r="Q24" i="128" s="1"/>
  <c r="Q22" i="128" s="1"/>
  <c r="Q21" i="128" s="1"/>
  <c r="T91" i="120"/>
  <c r="AA82" i="114"/>
  <c r="S26" i="120" s="1"/>
  <c r="S167" i="120"/>
  <c r="S152" i="120"/>
  <c r="S143" i="120"/>
  <c r="S142" i="120"/>
  <c r="S151" i="120"/>
  <c r="S166" i="120"/>
  <c r="Z107" i="114"/>
  <c r="R180" i="120"/>
  <c r="R183" i="120" s="1"/>
  <c r="R184" i="120" s="1"/>
  <c r="R185" i="120" s="1"/>
  <c r="X108" i="114"/>
  <c r="X114" i="114"/>
  <c r="Y107" i="114"/>
  <c r="Q180" i="120"/>
  <c r="Q183" i="120" s="1"/>
  <c r="Q184" i="120" s="1"/>
  <c r="Q185" i="120" s="1"/>
  <c r="Y80" i="114"/>
  <c r="Q24" i="120"/>
  <c r="Q27" i="120" s="1"/>
  <c r="S99" i="120"/>
  <c r="S81" i="120"/>
  <c r="AA141" i="114"/>
  <c r="Z80" i="114"/>
  <c r="Z190" i="114" s="1"/>
  <c r="R24" i="120"/>
  <c r="R27" i="120" s="1"/>
  <c r="S82" i="120"/>
  <c r="AA81" i="114"/>
  <c r="AA30" i="114"/>
  <c r="S89" i="120" s="1"/>
  <c r="AB17" i="114"/>
  <c r="AA25" i="118"/>
  <c r="AA19" i="118"/>
  <c r="N6" i="84"/>
  <c r="N12" i="84"/>
  <c r="O4" i="84"/>
  <c r="O5" i="84" s="1"/>
  <c r="N11" i="84"/>
  <c r="M6" i="84"/>
  <c r="L6" i="84"/>
  <c r="K6" i="84"/>
  <c r="J6" i="84"/>
  <c r="J10" i="84" s="1"/>
  <c r="R147" i="120" l="1"/>
  <c r="Y149" i="118"/>
  <c r="Y151" i="118" s="1"/>
  <c r="Q102" i="120"/>
  <c r="S146" i="120"/>
  <c r="S145" i="120"/>
  <c r="S147" i="120" s="1"/>
  <c r="X154" i="118"/>
  <c r="X201" i="118" s="1"/>
  <c r="X202" i="118" s="1"/>
  <c r="U203" i="123"/>
  <c r="U204" i="123"/>
  <c r="S148" i="123"/>
  <c r="S195" i="123" s="1"/>
  <c r="S196" i="123" s="1"/>
  <c r="S202" i="123" s="1"/>
  <c r="W191" i="123"/>
  <c r="W194" i="123"/>
  <c r="U148" i="127"/>
  <c r="U195" i="127" s="1"/>
  <c r="U196" i="127" s="1"/>
  <c r="U202" i="127" s="1"/>
  <c r="U204" i="127" s="1"/>
  <c r="S114" i="120"/>
  <c r="S107" i="120"/>
  <c r="S50" i="120"/>
  <c r="W194" i="124"/>
  <c r="W191" i="124"/>
  <c r="S148" i="126"/>
  <c r="S195" i="126" s="1"/>
  <c r="S196" i="126" s="1"/>
  <c r="S202" i="126" s="1"/>
  <c r="W194" i="127"/>
  <c r="W191" i="127"/>
  <c r="U148" i="125"/>
  <c r="U195" i="125" s="1"/>
  <c r="U196" i="125" s="1"/>
  <c r="U202" i="125" s="1"/>
  <c r="S148" i="124"/>
  <c r="S195" i="124" s="1"/>
  <c r="S196" i="124" s="1"/>
  <c r="S202" i="124" s="1"/>
  <c r="U148" i="124"/>
  <c r="U195" i="124" s="1"/>
  <c r="U196" i="124" s="1"/>
  <c r="U202" i="124" s="1"/>
  <c r="W191" i="125"/>
  <c r="W194" i="125"/>
  <c r="T204" i="125"/>
  <c r="T203" i="125"/>
  <c r="AB21" i="118"/>
  <c r="AC21" i="118" s="1"/>
  <c r="Y200" i="118"/>
  <c r="Y197" i="118"/>
  <c r="Y153" i="118"/>
  <c r="Y152" i="118"/>
  <c r="R94" i="120"/>
  <c r="Z40" i="118"/>
  <c r="Z196" i="118"/>
  <c r="Z158" i="118"/>
  <c r="Z92" i="118"/>
  <c r="Z30" i="118"/>
  <c r="Y91" i="118"/>
  <c r="Y109" i="118" s="1"/>
  <c r="Y114" i="118" s="1"/>
  <c r="Q37" i="120"/>
  <c r="AB17" i="118"/>
  <c r="AA22" i="118"/>
  <c r="S108" i="120" s="1"/>
  <c r="Y195" i="126"/>
  <c r="V146" i="123"/>
  <c r="V148" i="123" s="1"/>
  <c r="V195" i="123" s="1"/>
  <c r="V196" i="123" s="1"/>
  <c r="V202" i="123" s="1"/>
  <c r="V147" i="123"/>
  <c r="T147" i="124"/>
  <c r="T146" i="124"/>
  <c r="V147" i="125"/>
  <c r="V146" i="125"/>
  <c r="T146" i="126"/>
  <c r="T147" i="126"/>
  <c r="AA173" i="125"/>
  <c r="AA175" i="125" s="1"/>
  <c r="AA197" i="125" s="1"/>
  <c r="AA87" i="125"/>
  <c r="AA91" i="125" s="1"/>
  <c r="AA35" i="125"/>
  <c r="AA22" i="125" s="1"/>
  <c r="AA118" i="125" s="1"/>
  <c r="AA27" i="125"/>
  <c r="X133" i="125"/>
  <c r="X135" i="125" s="1"/>
  <c r="X189" i="125" s="1"/>
  <c r="X190" i="125" s="1"/>
  <c r="X141" i="125"/>
  <c r="AC19" i="126"/>
  <c r="AB20" i="126"/>
  <c r="AB28" i="126"/>
  <c r="X133" i="123"/>
  <c r="X135" i="123" s="1"/>
  <c r="X189" i="123" s="1"/>
  <c r="X190" i="123" s="1"/>
  <c r="X141" i="123"/>
  <c r="X141" i="126"/>
  <c r="X133" i="126"/>
  <c r="X135" i="126" s="1"/>
  <c r="X189" i="126" s="1"/>
  <c r="X133" i="127"/>
  <c r="X135" i="127" s="1"/>
  <c r="X189" i="127" s="1"/>
  <c r="X190" i="127" s="1"/>
  <c r="X141" i="127"/>
  <c r="W142" i="125"/>
  <c r="W143" i="125" s="1"/>
  <c r="W145" i="125" s="1"/>
  <c r="W167" i="125"/>
  <c r="W168" i="125" s="1"/>
  <c r="W169" i="125" s="1"/>
  <c r="T146" i="123"/>
  <c r="T147" i="123"/>
  <c r="Z86" i="127"/>
  <c r="Z85" i="127" s="1"/>
  <c r="Z34" i="127"/>
  <c r="Z25" i="127"/>
  <c r="Z152" i="127"/>
  <c r="Z125" i="123"/>
  <c r="Z119" i="123"/>
  <c r="V147" i="124"/>
  <c r="V146" i="124"/>
  <c r="Y103" i="126"/>
  <c r="Y108" i="126" s="1"/>
  <c r="Y201" i="126"/>
  <c r="Y106" i="126"/>
  <c r="Y102" i="126"/>
  <c r="Y105" i="126" s="1"/>
  <c r="AC16" i="125"/>
  <c r="AB17" i="125"/>
  <c r="AB28" i="125"/>
  <c r="Y103" i="124"/>
  <c r="Y108" i="124" s="1"/>
  <c r="Y106" i="124"/>
  <c r="Y102" i="124"/>
  <c r="Y105" i="124" s="1"/>
  <c r="Y201" i="124"/>
  <c r="V147" i="126"/>
  <c r="V146" i="126"/>
  <c r="AA27" i="123"/>
  <c r="AA173" i="123"/>
  <c r="AA175" i="123" s="1"/>
  <c r="AA197" i="123" s="1"/>
  <c r="AA87" i="123"/>
  <c r="AA91" i="123" s="1"/>
  <c r="AA35" i="123"/>
  <c r="AA22" i="123" s="1"/>
  <c r="AA118" i="123" s="1"/>
  <c r="X196" i="126"/>
  <c r="X202" i="126" s="1"/>
  <c r="W167" i="126"/>
  <c r="W168" i="126" s="1"/>
  <c r="W169" i="126" s="1"/>
  <c r="W142" i="126"/>
  <c r="W143" i="126" s="1"/>
  <c r="W145" i="126" s="1"/>
  <c r="Y132" i="126"/>
  <c r="Y126" i="126"/>
  <c r="X141" i="124"/>
  <c r="X133" i="124"/>
  <c r="X135" i="124" s="1"/>
  <c r="X189" i="124" s="1"/>
  <c r="X190" i="124" s="1"/>
  <c r="Y126" i="123"/>
  <c r="Y132" i="123"/>
  <c r="AC16" i="123"/>
  <c r="AB17" i="123"/>
  <c r="AC16" i="124"/>
  <c r="AB17" i="124"/>
  <c r="AC16" i="126"/>
  <c r="AB17" i="126"/>
  <c r="AC19" i="123"/>
  <c r="AB28" i="123"/>
  <c r="AB20" i="123"/>
  <c r="Y126" i="125"/>
  <c r="Y132" i="125"/>
  <c r="Z86" i="123"/>
  <c r="Z85" i="123" s="1"/>
  <c r="Z25" i="123"/>
  <c r="Z152" i="123"/>
  <c r="Z34" i="123"/>
  <c r="Y126" i="124"/>
  <c r="Y132" i="124"/>
  <c r="AC16" i="127"/>
  <c r="AB17" i="127"/>
  <c r="V146" i="127"/>
  <c r="V147" i="127"/>
  <c r="AA27" i="124"/>
  <c r="AA173" i="124"/>
  <c r="AA175" i="124" s="1"/>
  <c r="AA197" i="124" s="1"/>
  <c r="AA35" i="124"/>
  <c r="AA22" i="124" s="1"/>
  <c r="AA118" i="124" s="1"/>
  <c r="AA87" i="124"/>
  <c r="AA91" i="124" s="1"/>
  <c r="Z119" i="124"/>
  <c r="Z125" i="124"/>
  <c r="Z86" i="125"/>
  <c r="Z85" i="125" s="1"/>
  <c r="Z34" i="125"/>
  <c r="Z25" i="125"/>
  <c r="Z152" i="125"/>
  <c r="AA27" i="127"/>
  <c r="AA35" i="127"/>
  <c r="AA22" i="127" s="1"/>
  <c r="AA118" i="127" s="1"/>
  <c r="AA87" i="127"/>
  <c r="AA91" i="127" s="1"/>
  <c r="AA173" i="127"/>
  <c r="AA175" i="127" s="1"/>
  <c r="AA197" i="127" s="1"/>
  <c r="Z119" i="126"/>
  <c r="Z125" i="126"/>
  <c r="Z125" i="127"/>
  <c r="Z119" i="127"/>
  <c r="X108" i="125"/>
  <c r="Y126" i="127"/>
  <c r="Y132" i="127"/>
  <c r="Y102" i="123"/>
  <c r="Y105" i="123" s="1"/>
  <c r="Y106" i="123"/>
  <c r="Y103" i="123"/>
  <c r="Y201" i="123"/>
  <c r="Y191" i="126"/>
  <c r="Y194" i="126"/>
  <c r="W204" i="126"/>
  <c r="W203" i="126"/>
  <c r="AC19" i="124"/>
  <c r="AB20" i="124"/>
  <c r="AB28" i="124"/>
  <c r="W167" i="127"/>
  <c r="W168" i="127" s="1"/>
  <c r="W169" i="127" s="1"/>
  <c r="W142" i="127"/>
  <c r="W143" i="127" s="1"/>
  <c r="W145" i="127" s="1"/>
  <c r="Z125" i="125"/>
  <c r="Z119" i="125"/>
  <c r="Z25" i="126"/>
  <c r="Z152" i="126"/>
  <c r="Z86" i="126"/>
  <c r="Z85" i="126" s="1"/>
  <c r="Z34" i="126"/>
  <c r="Z148" i="126"/>
  <c r="Z190" i="126"/>
  <c r="AC19" i="125"/>
  <c r="AB20" i="125"/>
  <c r="W167" i="124"/>
  <c r="W168" i="124" s="1"/>
  <c r="W169" i="124" s="1"/>
  <c r="W142" i="124"/>
  <c r="W143" i="124" s="1"/>
  <c r="W145" i="124" s="1"/>
  <c r="Y103" i="127"/>
  <c r="Y108" i="127" s="1"/>
  <c r="Y201" i="127"/>
  <c r="Y106" i="127"/>
  <c r="Y102" i="127"/>
  <c r="Y105" i="127" s="1"/>
  <c r="Y103" i="125"/>
  <c r="Y108" i="125" s="1"/>
  <c r="Y201" i="125"/>
  <c r="Y102" i="125"/>
  <c r="Y105" i="125" s="1"/>
  <c r="Y106" i="125"/>
  <c r="W167" i="123"/>
  <c r="W168" i="123" s="1"/>
  <c r="W169" i="123" s="1"/>
  <c r="W142" i="123"/>
  <c r="W143" i="123" s="1"/>
  <c r="W145" i="123" s="1"/>
  <c r="AA27" i="126"/>
  <c r="AA87" i="126"/>
  <c r="AA91" i="126" s="1"/>
  <c r="AA35" i="126"/>
  <c r="AA22" i="126" s="1"/>
  <c r="AA118" i="126" s="1"/>
  <c r="AA173" i="126"/>
  <c r="AA175" i="126" s="1"/>
  <c r="AA197" i="126" s="1"/>
  <c r="Z86" i="124"/>
  <c r="Z85" i="124" s="1"/>
  <c r="Z34" i="124"/>
  <c r="Z25" i="124"/>
  <c r="Z152" i="124"/>
  <c r="AC19" i="127"/>
  <c r="AB28" i="127"/>
  <c r="AB20" i="127"/>
  <c r="N123" i="120"/>
  <c r="W156" i="114"/>
  <c r="W157" i="114" s="1"/>
  <c r="W158" i="114" s="1"/>
  <c r="W131" i="114"/>
  <c r="W132" i="114" s="1"/>
  <c r="W134" i="114" s="1"/>
  <c r="U137" i="114"/>
  <c r="U184" i="114" s="1"/>
  <c r="W180" i="114"/>
  <c r="W183" i="114"/>
  <c r="V135" i="114"/>
  <c r="V136" i="114"/>
  <c r="S185" i="114"/>
  <c r="S191" i="114" s="1"/>
  <c r="T185" i="114"/>
  <c r="T191" i="114" s="1"/>
  <c r="S90" i="120"/>
  <c r="Z91" i="114"/>
  <c r="Z94" i="114" s="1"/>
  <c r="S122" i="120"/>
  <c r="S181" i="120"/>
  <c r="AA19" i="114"/>
  <c r="AA107" i="114" s="1"/>
  <c r="Y114" i="114"/>
  <c r="Y108" i="114"/>
  <c r="T143" i="120"/>
  <c r="T167" i="120"/>
  <c r="T152" i="120"/>
  <c r="X115" i="114"/>
  <c r="X121" i="114"/>
  <c r="Z108" i="114"/>
  <c r="Z114" i="114"/>
  <c r="Z97" i="114"/>
  <c r="Z92" i="114"/>
  <c r="T82" i="120"/>
  <c r="AA80" i="114"/>
  <c r="AA91" i="114" s="1"/>
  <c r="AA94" i="114" s="1"/>
  <c r="S24" i="120"/>
  <c r="Z95" i="114"/>
  <c r="Y97" i="114"/>
  <c r="Y92" i="114"/>
  <c r="Y190" i="114"/>
  <c r="Y91" i="114"/>
  <c r="Y94" i="114" s="1"/>
  <c r="Y95" i="114"/>
  <c r="T99" i="120"/>
  <c r="AM24" i="114"/>
  <c r="AB82" i="114"/>
  <c r="AM82" i="114" s="1"/>
  <c r="AB162" i="114"/>
  <c r="AB164" i="114" s="1"/>
  <c r="AB19" i="118"/>
  <c r="AB25" i="118"/>
  <c r="O17" i="84"/>
  <c r="Z149" i="118" l="1"/>
  <c r="Z151" i="118" s="1"/>
  <c r="R102" i="120"/>
  <c r="T146" i="120"/>
  <c r="T145" i="120"/>
  <c r="Y154" i="118"/>
  <c r="Y201" i="118" s="1"/>
  <c r="AC17" i="118"/>
  <c r="AB32" i="118"/>
  <c r="V204" i="123"/>
  <c r="V203" i="123"/>
  <c r="T148" i="123"/>
  <c r="T195" i="123" s="1"/>
  <c r="T196" i="123" s="1"/>
  <c r="T202" i="123" s="1"/>
  <c r="X194" i="123"/>
  <c r="X191" i="123"/>
  <c r="S203" i="123"/>
  <c r="S204" i="123"/>
  <c r="U203" i="127"/>
  <c r="V148" i="124"/>
  <c r="V195" i="124" s="1"/>
  <c r="V196" i="124" s="1"/>
  <c r="V202" i="124" s="1"/>
  <c r="V204" i="124" s="1"/>
  <c r="T148" i="126"/>
  <c r="T195" i="126" s="1"/>
  <c r="T196" i="126" s="1"/>
  <c r="T202" i="126" s="1"/>
  <c r="T203" i="126" s="1"/>
  <c r="V148" i="125"/>
  <c r="V195" i="125" s="1"/>
  <c r="V196" i="125" s="1"/>
  <c r="V202" i="125" s="1"/>
  <c r="V203" i="125" s="1"/>
  <c r="V148" i="127"/>
  <c r="V195" i="127" s="1"/>
  <c r="V196" i="127" s="1"/>
  <c r="V202" i="127" s="1"/>
  <c r="V203" i="127" s="1"/>
  <c r="T148" i="124"/>
  <c r="T195" i="124" s="1"/>
  <c r="T196" i="124" s="1"/>
  <c r="T202" i="124" s="1"/>
  <c r="T203" i="124" s="1"/>
  <c r="T114" i="120"/>
  <c r="T107" i="120"/>
  <c r="S180" i="120"/>
  <c r="S183" i="120" s="1"/>
  <c r="S184" i="120" s="1"/>
  <c r="S185" i="120" s="1"/>
  <c r="T204" i="126"/>
  <c r="V203" i="124"/>
  <c r="U203" i="124"/>
  <c r="U204" i="124"/>
  <c r="S204" i="126"/>
  <c r="S203" i="126"/>
  <c r="X191" i="124"/>
  <c r="X194" i="124"/>
  <c r="S204" i="124"/>
  <c r="S203" i="124"/>
  <c r="U204" i="125"/>
  <c r="U203" i="125"/>
  <c r="Y196" i="126"/>
  <c r="Y202" i="126" s="1"/>
  <c r="Q33" i="128"/>
  <c r="Q31" i="128" s="1"/>
  <c r="Q30" i="128" s="1"/>
  <c r="R33" i="128"/>
  <c r="R31" i="128" s="1"/>
  <c r="R30" i="128" s="1"/>
  <c r="AA196" i="118"/>
  <c r="AA40" i="118"/>
  <c r="S94" i="120"/>
  <c r="AA30" i="118"/>
  <c r="AA158" i="118"/>
  <c r="AA92" i="118"/>
  <c r="Z153" i="118"/>
  <c r="Z152" i="118"/>
  <c r="Z154" i="118" s="1"/>
  <c r="Z201" i="118" s="1"/>
  <c r="AB22" i="118"/>
  <c r="T108" i="120" s="1"/>
  <c r="Z197" i="118"/>
  <c r="Z200" i="118"/>
  <c r="R120" i="120"/>
  <c r="R37" i="120"/>
  <c r="Z91" i="118"/>
  <c r="Z109" i="118" s="1"/>
  <c r="Z114" i="118" s="1"/>
  <c r="Y202" i="118"/>
  <c r="Z195" i="126"/>
  <c r="X204" i="126"/>
  <c r="X203" i="126"/>
  <c r="W146" i="124"/>
  <c r="W147" i="124"/>
  <c r="AD16" i="127"/>
  <c r="AC17" i="127"/>
  <c r="AC15" i="127" s="1"/>
  <c r="Z102" i="123"/>
  <c r="Z105" i="123" s="1"/>
  <c r="Z106" i="123"/>
  <c r="Z103" i="123"/>
  <c r="Z108" i="123" s="1"/>
  <c r="Z201" i="123"/>
  <c r="AA25" i="123"/>
  <c r="AA152" i="123"/>
  <c r="AA86" i="123"/>
  <c r="AA85" i="123" s="1"/>
  <c r="AA34" i="123"/>
  <c r="X142" i="127"/>
  <c r="X143" i="127" s="1"/>
  <c r="X145" i="127" s="1"/>
  <c r="X167" i="127"/>
  <c r="X168" i="127" s="1"/>
  <c r="X169" i="127" s="1"/>
  <c r="AD19" i="126"/>
  <c r="AC20" i="126"/>
  <c r="AC28" i="126"/>
  <c r="AD19" i="127"/>
  <c r="AC20" i="127"/>
  <c r="AC28" i="127"/>
  <c r="Z126" i="126"/>
  <c r="Z132" i="126"/>
  <c r="AA125" i="124"/>
  <c r="AA119" i="124"/>
  <c r="Y141" i="124"/>
  <c r="Y133" i="124"/>
  <c r="Y135" i="124" s="1"/>
  <c r="Y189" i="124" s="1"/>
  <c r="Y190" i="124" s="1"/>
  <c r="Y141" i="125"/>
  <c r="Y133" i="125"/>
  <c r="Y135" i="125" s="1"/>
  <c r="Y189" i="125" s="1"/>
  <c r="Y190" i="125" s="1"/>
  <c r="AD16" i="124"/>
  <c r="AC17" i="124"/>
  <c r="AC15" i="124" s="1"/>
  <c r="Y133" i="126"/>
  <c r="Y135" i="126" s="1"/>
  <c r="Y189" i="126" s="1"/>
  <c r="Y141" i="126"/>
  <c r="X191" i="127"/>
  <c r="X194" i="127"/>
  <c r="X167" i="125"/>
  <c r="X168" i="125" s="1"/>
  <c r="X169" i="125" s="1"/>
  <c r="X142" i="125"/>
  <c r="X143" i="125" s="1"/>
  <c r="X145" i="125" s="1"/>
  <c r="Z126" i="127"/>
  <c r="Z132" i="127"/>
  <c r="Y133" i="127"/>
  <c r="Y135" i="127" s="1"/>
  <c r="Y189" i="127" s="1"/>
  <c r="Y190" i="127" s="1"/>
  <c r="Y141" i="127"/>
  <c r="W147" i="126"/>
  <c r="W146" i="126"/>
  <c r="X191" i="125"/>
  <c r="X194" i="125"/>
  <c r="W146" i="123"/>
  <c r="W147" i="123"/>
  <c r="AD19" i="125"/>
  <c r="AC20" i="125"/>
  <c r="Z132" i="125"/>
  <c r="Z126" i="125"/>
  <c r="Z103" i="125"/>
  <c r="Z108" i="125" s="1"/>
  <c r="Z201" i="125"/>
  <c r="Z106" i="125"/>
  <c r="Z102" i="125"/>
  <c r="Z105" i="125" s="1"/>
  <c r="AA25" i="124"/>
  <c r="AA86" i="124"/>
  <c r="AA85" i="124" s="1"/>
  <c r="AA34" i="124"/>
  <c r="AA152" i="124"/>
  <c r="AD16" i="123"/>
  <c r="AC17" i="123"/>
  <c r="AC15" i="123" s="1"/>
  <c r="AB27" i="125"/>
  <c r="AB173" i="125"/>
  <c r="AB175" i="125" s="1"/>
  <c r="AB197" i="125" s="1"/>
  <c r="AB87" i="125"/>
  <c r="AB91" i="125" s="1"/>
  <c r="AB35" i="125"/>
  <c r="AB22" i="125" s="1"/>
  <c r="AB118" i="125" s="1"/>
  <c r="Z102" i="127"/>
  <c r="Z105" i="127" s="1"/>
  <c r="Z103" i="127"/>
  <c r="Z108" i="127" s="1"/>
  <c r="Z201" i="127"/>
  <c r="Z106" i="127"/>
  <c r="X167" i="126"/>
  <c r="X168" i="126" s="1"/>
  <c r="X169" i="126" s="1"/>
  <c r="X142" i="126"/>
  <c r="X143" i="126" s="1"/>
  <c r="X145" i="126" s="1"/>
  <c r="AA25" i="125"/>
  <c r="AA86" i="125"/>
  <c r="AA85" i="125" s="1"/>
  <c r="AA34" i="125"/>
  <c r="AA152" i="125"/>
  <c r="AD19" i="124"/>
  <c r="AC28" i="124"/>
  <c r="AC20" i="124"/>
  <c r="AA152" i="126"/>
  <c r="AA148" i="126"/>
  <c r="AA25" i="126"/>
  <c r="AA86" i="126"/>
  <c r="AA85" i="126" s="1"/>
  <c r="AA34" i="126"/>
  <c r="AA190" i="126"/>
  <c r="Z194" i="126"/>
  <c r="Z191" i="126"/>
  <c r="W147" i="127"/>
  <c r="W146" i="127"/>
  <c r="Z126" i="124"/>
  <c r="Z132" i="124"/>
  <c r="AB173" i="123"/>
  <c r="AB175" i="123" s="1"/>
  <c r="AB197" i="123" s="1"/>
  <c r="AB87" i="123"/>
  <c r="AB91" i="123" s="1"/>
  <c r="AB35" i="123"/>
  <c r="AB22" i="123" s="1"/>
  <c r="AB118" i="123" s="1"/>
  <c r="AB27" i="123"/>
  <c r="Y133" i="123"/>
  <c r="Y135" i="123" s="1"/>
  <c r="Y189" i="123" s="1"/>
  <c r="Y190" i="123" s="1"/>
  <c r="Y141" i="123"/>
  <c r="X167" i="123"/>
  <c r="X168" i="123" s="1"/>
  <c r="X169" i="123" s="1"/>
  <c r="X142" i="123"/>
  <c r="X143" i="123" s="1"/>
  <c r="X145" i="123" s="1"/>
  <c r="AA119" i="125"/>
  <c r="AA125" i="125"/>
  <c r="AA125" i="127"/>
  <c r="AA119" i="127"/>
  <c r="AD19" i="123"/>
  <c r="AC20" i="123"/>
  <c r="AC28" i="123"/>
  <c r="AA125" i="123"/>
  <c r="AA119" i="123"/>
  <c r="AD16" i="125"/>
  <c r="AC17" i="125"/>
  <c r="AC15" i="125" s="1"/>
  <c r="AC28" i="125"/>
  <c r="AB27" i="127"/>
  <c r="AB173" i="127"/>
  <c r="AB175" i="127" s="1"/>
  <c r="AB197" i="127" s="1"/>
  <c r="AB87" i="127"/>
  <c r="AB91" i="127" s="1"/>
  <c r="AB35" i="127"/>
  <c r="AB22" i="127" s="1"/>
  <c r="AB118" i="127" s="1"/>
  <c r="G19" i="120"/>
  <c r="S27" i="120"/>
  <c r="Z103" i="124"/>
  <c r="Z108" i="124" s="1"/>
  <c r="Z106" i="124"/>
  <c r="Z102" i="124"/>
  <c r="Z105" i="124" s="1"/>
  <c r="Z201" i="124"/>
  <c r="AB35" i="124"/>
  <c r="AB22" i="124" s="1"/>
  <c r="AB118" i="124" s="1"/>
  <c r="AB27" i="124"/>
  <c r="AB173" i="124"/>
  <c r="AB175" i="124" s="1"/>
  <c r="AB197" i="124" s="1"/>
  <c r="AB87" i="124"/>
  <c r="AB91" i="124" s="1"/>
  <c r="AA86" i="127"/>
  <c r="AA85" i="127" s="1"/>
  <c r="AA34" i="127"/>
  <c r="AA25" i="127"/>
  <c r="AA152" i="127"/>
  <c r="Z126" i="123"/>
  <c r="Z132" i="123"/>
  <c r="AB27" i="126"/>
  <c r="AB173" i="126"/>
  <c r="AB175" i="126" s="1"/>
  <c r="AB197" i="126" s="1"/>
  <c r="AB87" i="126"/>
  <c r="AB91" i="126" s="1"/>
  <c r="AB35" i="126"/>
  <c r="AB22" i="126" s="1"/>
  <c r="AB118" i="126" s="1"/>
  <c r="AA125" i="126"/>
  <c r="AA119" i="126"/>
  <c r="Z103" i="126"/>
  <c r="Z108" i="126" s="1"/>
  <c r="Z102" i="126"/>
  <c r="Z105" i="126" s="1"/>
  <c r="Z106" i="126"/>
  <c r="Z201" i="126"/>
  <c r="Y108" i="123"/>
  <c r="AD16" i="126"/>
  <c r="AC17" i="126"/>
  <c r="AC15" i="126" s="1"/>
  <c r="X142" i="124"/>
  <c r="X143" i="124" s="1"/>
  <c r="X145" i="124" s="1"/>
  <c r="X167" i="124"/>
  <c r="X168" i="124" s="1"/>
  <c r="X169" i="124" s="1"/>
  <c r="W146" i="125"/>
  <c r="W147" i="125"/>
  <c r="V137" i="114"/>
  <c r="V184" i="114" s="1"/>
  <c r="N124" i="120" s="1"/>
  <c r="O123" i="120"/>
  <c r="T192" i="114"/>
  <c r="T193" i="114"/>
  <c r="M124" i="120"/>
  <c r="U185" i="114"/>
  <c r="U191" i="114" s="1"/>
  <c r="W135" i="114"/>
  <c r="W136" i="114"/>
  <c r="S193" i="114"/>
  <c r="S192" i="114"/>
  <c r="T90" i="120"/>
  <c r="U99" i="120"/>
  <c r="X122" i="114"/>
  <c r="X124" i="114" s="1"/>
  <c r="X178" i="114" s="1"/>
  <c r="X179" i="114" s="1"/>
  <c r="X130" i="114"/>
  <c r="T166" i="120"/>
  <c r="T169" i="120" s="1"/>
  <c r="T151" i="120"/>
  <c r="T142" i="120"/>
  <c r="Z121" i="114"/>
  <c r="Z115" i="114"/>
  <c r="AA108" i="114"/>
  <c r="AA114" i="114"/>
  <c r="Y115" i="114"/>
  <c r="Y121" i="114"/>
  <c r="AB19" i="114"/>
  <c r="T181" i="120"/>
  <c r="AA95" i="114"/>
  <c r="AA97" i="114"/>
  <c r="AA92" i="114"/>
  <c r="T50" i="120"/>
  <c r="T26" i="120"/>
  <c r="T122" i="120"/>
  <c r="E8" i="120"/>
  <c r="T81" i="120"/>
  <c r="AB141" i="114"/>
  <c r="AA190" i="114"/>
  <c r="AC19" i="118"/>
  <c r="AC15" i="118" s="1"/>
  <c r="AB81" i="114"/>
  <c r="AM81" i="114" s="1"/>
  <c r="AB30" i="114"/>
  <c r="AD16" i="118"/>
  <c r="AC25" i="118"/>
  <c r="O12" i="84"/>
  <c r="O11" i="84"/>
  <c r="O6" i="84"/>
  <c r="P4" i="84"/>
  <c r="P5" i="84" s="1"/>
  <c r="T147" i="120" l="1"/>
  <c r="AA149" i="118"/>
  <c r="AA151" i="118" s="1"/>
  <c r="AA153" i="118" s="1"/>
  <c r="S102" i="120"/>
  <c r="AC13" i="118"/>
  <c r="AC32" i="118"/>
  <c r="V204" i="127"/>
  <c r="T204" i="124"/>
  <c r="T203" i="123"/>
  <c r="T204" i="123"/>
  <c r="Y191" i="123"/>
  <c r="Y194" i="123"/>
  <c r="W148" i="123"/>
  <c r="W195" i="123" s="1"/>
  <c r="W196" i="123" s="1"/>
  <c r="W202" i="123" s="1"/>
  <c r="V204" i="125"/>
  <c r="U107" i="120"/>
  <c r="U114" i="120"/>
  <c r="AC22" i="118"/>
  <c r="U108" i="120" s="1"/>
  <c r="Y191" i="124"/>
  <c r="Y194" i="124"/>
  <c r="W148" i="127"/>
  <c r="W195" i="127" s="1"/>
  <c r="W196" i="127" s="1"/>
  <c r="W202" i="127" s="1"/>
  <c r="W148" i="125"/>
  <c r="W195" i="125" s="1"/>
  <c r="W196" i="125" s="1"/>
  <c r="W202" i="125" s="1"/>
  <c r="W148" i="124"/>
  <c r="W195" i="124" s="1"/>
  <c r="W196" i="124" s="1"/>
  <c r="W202" i="124" s="1"/>
  <c r="Z196" i="126"/>
  <c r="AD22" i="118"/>
  <c r="V108" i="120" s="1"/>
  <c r="AD21" i="118"/>
  <c r="S33" i="128" s="1"/>
  <c r="S31" i="128" s="1"/>
  <c r="S30" i="128" s="1"/>
  <c r="S37" i="120"/>
  <c r="S120" i="120"/>
  <c r="AA91" i="118"/>
  <c r="AA109" i="118" s="1"/>
  <c r="AA114" i="118" s="1"/>
  <c r="Z202" i="118"/>
  <c r="T94" i="120"/>
  <c r="AB40" i="118"/>
  <c r="AB158" i="118"/>
  <c r="AB196" i="118"/>
  <c r="AB30" i="118"/>
  <c r="AB92" i="118"/>
  <c r="T120" i="120" s="1"/>
  <c r="AA152" i="118"/>
  <c r="AD17" i="118"/>
  <c r="AD32" i="118" s="1"/>
  <c r="AA197" i="118"/>
  <c r="AA200" i="118"/>
  <c r="V185" i="114"/>
  <c r="V191" i="114" s="1"/>
  <c r="AE16" i="125"/>
  <c r="AD17" i="125"/>
  <c r="AD28" i="125"/>
  <c r="AB25" i="125"/>
  <c r="AB34" i="125"/>
  <c r="AB86" i="125"/>
  <c r="AB85" i="125" s="1"/>
  <c r="AB152" i="125"/>
  <c r="AE16" i="126"/>
  <c r="AD17" i="126"/>
  <c r="AA126" i="126"/>
  <c r="AA132" i="126"/>
  <c r="AA126" i="125"/>
  <c r="AA132" i="125"/>
  <c r="AA191" i="126"/>
  <c r="AA194" i="126"/>
  <c r="AE19" i="124"/>
  <c r="AD20" i="124"/>
  <c r="AD28" i="124"/>
  <c r="Z141" i="127"/>
  <c r="Z133" i="127"/>
  <c r="Z135" i="127" s="1"/>
  <c r="Z189" i="127" s="1"/>
  <c r="Z190" i="127" s="1"/>
  <c r="AA126" i="124"/>
  <c r="AA132" i="124"/>
  <c r="AE19" i="126"/>
  <c r="AD20" i="126"/>
  <c r="AD28" i="126"/>
  <c r="AB125" i="126"/>
  <c r="AB119" i="126"/>
  <c r="AB86" i="124"/>
  <c r="AB85" i="124" s="1"/>
  <c r="AB34" i="124"/>
  <c r="AB25" i="124"/>
  <c r="AB152" i="124"/>
  <c r="AB125" i="127"/>
  <c r="AB119" i="127"/>
  <c r="AA132" i="123"/>
  <c r="AA126" i="123"/>
  <c r="Z133" i="126"/>
  <c r="Z135" i="126" s="1"/>
  <c r="Z189" i="126" s="1"/>
  <c r="Z141" i="126"/>
  <c r="AA126" i="127"/>
  <c r="AA132" i="127"/>
  <c r="AC35" i="124"/>
  <c r="AC22" i="124" s="1"/>
  <c r="AC118" i="124" s="1"/>
  <c r="AC27" i="124"/>
  <c r="AC173" i="124"/>
  <c r="AC175" i="124" s="1"/>
  <c r="AC197" i="124" s="1"/>
  <c r="AC87" i="124"/>
  <c r="AC91" i="124" s="1"/>
  <c r="Y142" i="126"/>
  <c r="Y143" i="126" s="1"/>
  <c r="Y145" i="126" s="1"/>
  <c r="Y167" i="126"/>
  <c r="Y168" i="126" s="1"/>
  <c r="Y169" i="126" s="1"/>
  <c r="AB125" i="124"/>
  <c r="AB119" i="124"/>
  <c r="AC27" i="123"/>
  <c r="AC173" i="123"/>
  <c r="AC175" i="123" s="1"/>
  <c r="AC197" i="123" s="1"/>
  <c r="AC87" i="123"/>
  <c r="AC91" i="123" s="1"/>
  <c r="AC35" i="123"/>
  <c r="AC22" i="123" s="1"/>
  <c r="AC118" i="123" s="1"/>
  <c r="X147" i="123"/>
  <c r="X146" i="123"/>
  <c r="Z141" i="124"/>
  <c r="Z133" i="124"/>
  <c r="Z135" i="124" s="1"/>
  <c r="Z189" i="124" s="1"/>
  <c r="Z190" i="124" s="1"/>
  <c r="AA103" i="126"/>
  <c r="AA108" i="126" s="1"/>
  <c r="AA102" i="126"/>
  <c r="AA105" i="126" s="1"/>
  <c r="AA106" i="126"/>
  <c r="AA201" i="126"/>
  <c r="AE16" i="123"/>
  <c r="AD17" i="123"/>
  <c r="X146" i="125"/>
  <c r="X147" i="125"/>
  <c r="AE16" i="124"/>
  <c r="AD17" i="124"/>
  <c r="X147" i="127"/>
  <c r="X146" i="127"/>
  <c r="AE19" i="125"/>
  <c r="AD20" i="125"/>
  <c r="Y194" i="125"/>
  <c r="Y191" i="125"/>
  <c r="AC27" i="127"/>
  <c r="AC173" i="127"/>
  <c r="AC175" i="127" s="1"/>
  <c r="AC197" i="127" s="1"/>
  <c r="AC35" i="127"/>
  <c r="AC22" i="127" s="1"/>
  <c r="AC118" i="127" s="1"/>
  <c r="AC87" i="127"/>
  <c r="AC91" i="127" s="1"/>
  <c r="Z202" i="126"/>
  <c r="AB34" i="126"/>
  <c r="AB25" i="126"/>
  <c r="AB152" i="126"/>
  <c r="AB190" i="126"/>
  <c r="AB148" i="126"/>
  <c r="AB86" i="126"/>
  <c r="AB85" i="126" s="1"/>
  <c r="AB25" i="127"/>
  <c r="AB148" i="127"/>
  <c r="AB86" i="127"/>
  <c r="AB85" i="127" s="1"/>
  <c r="AB190" i="127"/>
  <c r="AB152" i="127"/>
  <c r="AB34" i="127"/>
  <c r="AE19" i="123"/>
  <c r="AD20" i="123"/>
  <c r="AD28" i="123"/>
  <c r="Y167" i="123"/>
  <c r="Y168" i="123" s="1"/>
  <c r="Y169" i="123" s="1"/>
  <c r="Y142" i="123"/>
  <c r="Y143" i="123" s="1"/>
  <c r="Y145" i="123" s="1"/>
  <c r="AA103" i="125"/>
  <c r="AA108" i="125" s="1"/>
  <c r="AA102" i="125"/>
  <c r="AA105" i="125" s="1"/>
  <c r="AA201" i="125"/>
  <c r="AA106" i="125"/>
  <c r="AB125" i="125"/>
  <c r="AB119" i="125"/>
  <c r="Y167" i="125"/>
  <c r="Y168" i="125" s="1"/>
  <c r="Y169" i="125" s="1"/>
  <c r="Y142" i="125"/>
  <c r="Y143" i="125" s="1"/>
  <c r="Y145" i="125" s="1"/>
  <c r="AA103" i="123"/>
  <c r="AA108" i="123" s="1"/>
  <c r="AA201" i="123"/>
  <c r="AA102" i="123"/>
  <c r="AA105" i="123" s="1"/>
  <c r="AA106" i="123"/>
  <c r="AB125" i="123"/>
  <c r="AB119" i="123"/>
  <c r="Y191" i="127"/>
  <c r="Y194" i="127"/>
  <c r="Z133" i="123"/>
  <c r="Z135" i="123" s="1"/>
  <c r="Z189" i="123" s="1"/>
  <c r="Z190" i="123" s="1"/>
  <c r="Z141" i="123"/>
  <c r="AA103" i="127"/>
  <c r="AA108" i="127" s="1"/>
  <c r="AA106" i="127"/>
  <c r="AA102" i="127"/>
  <c r="AA105" i="127" s="1"/>
  <c r="AA201" i="127"/>
  <c r="AC27" i="125"/>
  <c r="AC87" i="125"/>
  <c r="AC91" i="125" s="1"/>
  <c r="AC35" i="125"/>
  <c r="AC22" i="125" s="1"/>
  <c r="AC118" i="125" s="1"/>
  <c r="AC173" i="125"/>
  <c r="AC175" i="125" s="1"/>
  <c r="AC197" i="125" s="1"/>
  <c r="AA195" i="126"/>
  <c r="AA196" i="126" s="1"/>
  <c r="Z133" i="125"/>
  <c r="Z135" i="125" s="1"/>
  <c r="Z189" i="125" s="1"/>
  <c r="Z190" i="125" s="1"/>
  <c r="Z141" i="125"/>
  <c r="AE19" i="127"/>
  <c r="AD20" i="127"/>
  <c r="AD28" i="127"/>
  <c r="X147" i="124"/>
  <c r="X146" i="124"/>
  <c r="AB152" i="123"/>
  <c r="AB34" i="123"/>
  <c r="AB25" i="123"/>
  <c r="AB86" i="123"/>
  <c r="AB85" i="123" s="1"/>
  <c r="X147" i="126"/>
  <c r="X146" i="126"/>
  <c r="AA103" i="124"/>
  <c r="AA108" i="124" s="1"/>
  <c r="AA106" i="124"/>
  <c r="AA102" i="124"/>
  <c r="AA105" i="124" s="1"/>
  <c r="AA201" i="124"/>
  <c r="Y142" i="127"/>
  <c r="Y143" i="127" s="1"/>
  <c r="Y145" i="127" s="1"/>
  <c r="Y167" i="127"/>
  <c r="Y168" i="127" s="1"/>
  <c r="Y169" i="127" s="1"/>
  <c r="Y203" i="126"/>
  <c r="Y204" i="126"/>
  <c r="Y167" i="124"/>
  <c r="Y168" i="124" s="1"/>
  <c r="Y169" i="124" s="1"/>
  <c r="Y142" i="124"/>
  <c r="Y143" i="124" s="1"/>
  <c r="Y145" i="124" s="1"/>
  <c r="AC173" i="126"/>
  <c r="AC175" i="126" s="1"/>
  <c r="AC197" i="126" s="1"/>
  <c r="AC87" i="126"/>
  <c r="AC91" i="126" s="1"/>
  <c r="AC27" i="126"/>
  <c r="AC35" i="126"/>
  <c r="AC22" i="126" s="1"/>
  <c r="AC118" i="126" s="1"/>
  <c r="AE16" i="127"/>
  <c r="AD17" i="127"/>
  <c r="W137" i="114"/>
  <c r="W184" i="114" s="1"/>
  <c r="U193" i="114"/>
  <c r="U192" i="114"/>
  <c r="V192" i="114"/>
  <c r="V193" i="114"/>
  <c r="AE157" i="120"/>
  <c r="AF162" i="120" s="1"/>
  <c r="AH157" i="120"/>
  <c r="AE169" i="120"/>
  <c r="T89" i="120"/>
  <c r="AM30" i="114"/>
  <c r="V99" i="120"/>
  <c r="Z130" i="114"/>
  <c r="Z122" i="114"/>
  <c r="Z124" i="114" s="1"/>
  <c r="Z178" i="114" s="1"/>
  <c r="Z179" i="114" s="1"/>
  <c r="AB107" i="114"/>
  <c r="T180" i="120"/>
  <c r="T183" i="120" s="1"/>
  <c r="T184" i="120" s="1"/>
  <c r="T185" i="120" s="1"/>
  <c r="Y122" i="114"/>
  <c r="Y124" i="114" s="1"/>
  <c r="Y178" i="114" s="1"/>
  <c r="Y179" i="114" s="1"/>
  <c r="Y130" i="114"/>
  <c r="X156" i="114"/>
  <c r="X157" i="114" s="1"/>
  <c r="X158" i="114" s="1"/>
  <c r="X131" i="114"/>
  <c r="X132" i="114" s="1"/>
  <c r="X134" i="114" s="1"/>
  <c r="AA121" i="114"/>
  <c r="AA115" i="114"/>
  <c r="X183" i="114"/>
  <c r="X180" i="114"/>
  <c r="T24" i="120"/>
  <c r="E6" i="120"/>
  <c r="AB80" i="114"/>
  <c r="AE16" i="118"/>
  <c r="AD19" i="118"/>
  <c r="AD25" i="118"/>
  <c r="AE21" i="118"/>
  <c r="T33" i="128" s="1"/>
  <c r="T31" i="128" s="1"/>
  <c r="T30" i="128" s="1"/>
  <c r="P17" i="84"/>
  <c r="AE147" i="120" l="1"/>
  <c r="AH147" i="120"/>
  <c r="AB149" i="118"/>
  <c r="AB151" i="118" s="1"/>
  <c r="T102" i="120"/>
  <c r="AA154" i="118"/>
  <c r="AA201" i="118" s="1"/>
  <c r="W204" i="123"/>
  <c r="W203" i="123"/>
  <c r="Z191" i="123"/>
  <c r="Z194" i="123"/>
  <c r="X148" i="123"/>
  <c r="X195" i="123" s="1"/>
  <c r="X196" i="123" s="1"/>
  <c r="X202" i="123" s="1"/>
  <c r="X148" i="124"/>
  <c r="X195" i="124" s="1"/>
  <c r="X196" i="124" s="1"/>
  <c r="X202" i="124" s="1"/>
  <c r="X204" i="124" s="1"/>
  <c r="V107" i="120"/>
  <c r="V114" i="120"/>
  <c r="AE22" i="118"/>
  <c r="W108" i="120" s="1"/>
  <c r="W203" i="124"/>
  <c r="W204" i="124"/>
  <c r="W204" i="125"/>
  <c r="W203" i="125"/>
  <c r="W203" i="127"/>
  <c r="W204" i="127"/>
  <c r="AB195" i="127"/>
  <c r="AE17" i="118"/>
  <c r="AE32" i="118" s="1"/>
  <c r="AB153" i="118"/>
  <c r="AB152" i="118"/>
  <c r="AB200" i="118"/>
  <c r="AB197" i="118"/>
  <c r="U94" i="120"/>
  <c r="AC158" i="118"/>
  <c r="AC196" i="118"/>
  <c r="AC30" i="118"/>
  <c r="AC40" i="118"/>
  <c r="AC92" i="118"/>
  <c r="AA202" i="118"/>
  <c r="AB91" i="118"/>
  <c r="AB109" i="118" s="1"/>
  <c r="AB114" i="118" s="1"/>
  <c r="H34" i="120" s="1"/>
  <c r="N65" i="120" s="1"/>
  <c r="T37" i="120"/>
  <c r="X148" i="125"/>
  <c r="X195" i="125" s="1"/>
  <c r="X196" i="125" s="1"/>
  <c r="X202" i="125" s="1"/>
  <c r="X203" i="125" s="1"/>
  <c r="AB195" i="126"/>
  <c r="AC34" i="126"/>
  <c r="AC86" i="126"/>
  <c r="AC85" i="126" s="1"/>
  <c r="AC25" i="126"/>
  <c r="AC152" i="126"/>
  <c r="AF16" i="124"/>
  <c r="AE17" i="124"/>
  <c r="AC25" i="123"/>
  <c r="AC34" i="123"/>
  <c r="AC86" i="123"/>
  <c r="AC85" i="123" s="1"/>
  <c r="AC152" i="123"/>
  <c r="AC125" i="124"/>
  <c r="AC119" i="124"/>
  <c r="AA133" i="123"/>
  <c r="AA135" i="123" s="1"/>
  <c r="AA189" i="123" s="1"/>
  <c r="AA190" i="123" s="1"/>
  <c r="AA141" i="123"/>
  <c r="Z194" i="127"/>
  <c r="Z191" i="127"/>
  <c r="H19" i="120"/>
  <c r="T27" i="120"/>
  <c r="AC119" i="125"/>
  <c r="AC125" i="125"/>
  <c r="AB191" i="127"/>
  <c r="AB194" i="127"/>
  <c r="Z194" i="124"/>
  <c r="Z191" i="124"/>
  <c r="AA141" i="127"/>
  <c r="AA133" i="127"/>
  <c r="AA135" i="127" s="1"/>
  <c r="AA189" i="127" s="1"/>
  <c r="AA190" i="127" s="1"/>
  <c r="Z167" i="127"/>
  <c r="Z168" i="127" s="1"/>
  <c r="Z169" i="127" s="1"/>
  <c r="Z142" i="127"/>
  <c r="Z143" i="127" s="1"/>
  <c r="Z145" i="127" s="1"/>
  <c r="AA133" i="125"/>
  <c r="AA135" i="125" s="1"/>
  <c r="AA189" i="125" s="1"/>
  <c r="AA190" i="125" s="1"/>
  <c r="AA141" i="125"/>
  <c r="AB103" i="125"/>
  <c r="AB108" i="125" s="1"/>
  <c r="AB102" i="125"/>
  <c r="AB105" i="125" s="1"/>
  <c r="AB106" i="125"/>
  <c r="AB201" i="125"/>
  <c r="Z167" i="123"/>
  <c r="Z168" i="123" s="1"/>
  <c r="Z169" i="123" s="1"/>
  <c r="Z142" i="123"/>
  <c r="Z143" i="123" s="1"/>
  <c r="Z145" i="123" s="1"/>
  <c r="AD35" i="127"/>
  <c r="AD22" i="127" s="1"/>
  <c r="AD118" i="127" s="1"/>
  <c r="AD173" i="127"/>
  <c r="AD175" i="127" s="1"/>
  <c r="AD197" i="127" s="1"/>
  <c r="AD87" i="127"/>
  <c r="AD91" i="127" s="1"/>
  <c r="AD27" i="127"/>
  <c r="Y147" i="125"/>
  <c r="Y146" i="125"/>
  <c r="Y147" i="123"/>
  <c r="Y146" i="123"/>
  <c r="Y148" i="123" s="1"/>
  <c r="Y195" i="123" s="1"/>
  <c r="Y196" i="123" s="1"/>
  <c r="Y202" i="123" s="1"/>
  <c r="AB103" i="127"/>
  <c r="AB108" i="127" s="1"/>
  <c r="AB201" i="127"/>
  <c r="AB106" i="127"/>
  <c r="AB102" i="127"/>
  <c r="AB105" i="127" s="1"/>
  <c r="Z167" i="124"/>
  <c r="Z168" i="124" s="1"/>
  <c r="Z169" i="124" s="1"/>
  <c r="Z142" i="124"/>
  <c r="Z143" i="124" s="1"/>
  <c r="Z145" i="124" s="1"/>
  <c r="AB132" i="124"/>
  <c r="AB126" i="124"/>
  <c r="AB126" i="127"/>
  <c r="AB132" i="127"/>
  <c r="AB132" i="126"/>
  <c r="AB126" i="126"/>
  <c r="AC25" i="125"/>
  <c r="AC86" i="125"/>
  <c r="AC85" i="125" s="1"/>
  <c r="AC34" i="125"/>
  <c r="AC152" i="125"/>
  <c r="Z203" i="126"/>
  <c r="Z204" i="126"/>
  <c r="AD27" i="126"/>
  <c r="AD87" i="126"/>
  <c r="AD91" i="126" s="1"/>
  <c r="AD173" i="126"/>
  <c r="AD175" i="126" s="1"/>
  <c r="AD197" i="126" s="1"/>
  <c r="AD35" i="126"/>
  <c r="AD22" i="126" s="1"/>
  <c r="AD118" i="126" s="1"/>
  <c r="AA141" i="126"/>
  <c r="AA133" i="126"/>
  <c r="AA135" i="126" s="1"/>
  <c r="AA189" i="126" s="1"/>
  <c r="Y147" i="127"/>
  <c r="Y146" i="127"/>
  <c r="AB103" i="123"/>
  <c r="AB108" i="123" s="1"/>
  <c r="AB106" i="123"/>
  <c r="AB201" i="123"/>
  <c r="AB102" i="123"/>
  <c r="AB105" i="123" s="1"/>
  <c r="Y147" i="124"/>
  <c r="Y146" i="124"/>
  <c r="AF16" i="127"/>
  <c r="AE17" i="127"/>
  <c r="AF19" i="127"/>
  <c r="AE20" i="127"/>
  <c r="AE28" i="127"/>
  <c r="AD27" i="123"/>
  <c r="AD173" i="123"/>
  <c r="AD175" i="123" s="1"/>
  <c r="AD197" i="123" s="1"/>
  <c r="AD35" i="123"/>
  <c r="AD22" i="123" s="1"/>
  <c r="AD118" i="123" s="1"/>
  <c r="AD87" i="123"/>
  <c r="AD91" i="123" s="1"/>
  <c r="AF19" i="125"/>
  <c r="AE20" i="125"/>
  <c r="AF16" i="123"/>
  <c r="AE17" i="123"/>
  <c r="Y147" i="126"/>
  <c r="Y146" i="126"/>
  <c r="Z142" i="126"/>
  <c r="Z143" i="126" s="1"/>
  <c r="Z145" i="126" s="1"/>
  <c r="Z167" i="126"/>
  <c r="Z168" i="126" s="1"/>
  <c r="Z169" i="126" s="1"/>
  <c r="AD27" i="124"/>
  <c r="AD173" i="124"/>
  <c r="AD175" i="124" s="1"/>
  <c r="AD197" i="124" s="1"/>
  <c r="AD87" i="124"/>
  <c r="AD91" i="124" s="1"/>
  <c r="AD35" i="124"/>
  <c r="AD22" i="124" s="1"/>
  <c r="AD118" i="124" s="1"/>
  <c r="AD27" i="125"/>
  <c r="AD35" i="125"/>
  <c r="AD22" i="125" s="1"/>
  <c r="AD118" i="125" s="1"/>
  <c r="AD87" i="125"/>
  <c r="AD91" i="125" s="1"/>
  <c r="AD173" i="125"/>
  <c r="AD175" i="125" s="1"/>
  <c r="AD197" i="125" s="1"/>
  <c r="Z142" i="125"/>
  <c r="Z143" i="125" s="1"/>
  <c r="Z145" i="125" s="1"/>
  <c r="Z167" i="125"/>
  <c r="Z168" i="125" s="1"/>
  <c r="Z169" i="125" s="1"/>
  <c r="AB132" i="123"/>
  <c r="AB126" i="123"/>
  <c r="AB126" i="125"/>
  <c r="AB132" i="125"/>
  <c r="AB103" i="126"/>
  <c r="AB108" i="126" s="1"/>
  <c r="AB201" i="126"/>
  <c r="AB106" i="126"/>
  <c r="AB102" i="126"/>
  <c r="AB105" i="126" s="1"/>
  <c r="AC125" i="127"/>
  <c r="AC119" i="127"/>
  <c r="X148" i="127"/>
  <c r="X195" i="127" s="1"/>
  <c r="X196" i="127" s="1"/>
  <c r="X202" i="127" s="1"/>
  <c r="AA202" i="126"/>
  <c r="AC119" i="123"/>
  <c r="AC125" i="123"/>
  <c r="AF19" i="126"/>
  <c r="AE28" i="126"/>
  <c r="AE20" i="126"/>
  <c r="Z191" i="125"/>
  <c r="Z194" i="125"/>
  <c r="AF19" i="123"/>
  <c r="AE28" i="123"/>
  <c r="AE20" i="123"/>
  <c r="AA133" i="124"/>
  <c r="AA135" i="124" s="1"/>
  <c r="AA189" i="124" s="1"/>
  <c r="AA190" i="124" s="1"/>
  <c r="AA141" i="124"/>
  <c r="AF19" i="124"/>
  <c r="AE28" i="124"/>
  <c r="AE20" i="124"/>
  <c r="AF16" i="126"/>
  <c r="AE17" i="126"/>
  <c r="AF16" i="125"/>
  <c r="AE17" i="125"/>
  <c r="AE28" i="125"/>
  <c r="AC125" i="126"/>
  <c r="AC119" i="126"/>
  <c r="AB194" i="126"/>
  <c r="AB196" i="126" s="1"/>
  <c r="AB191" i="126"/>
  <c r="AC25" i="127"/>
  <c r="AC34" i="127"/>
  <c r="AC86" i="127"/>
  <c r="AC85" i="127" s="1"/>
  <c r="AC152" i="127"/>
  <c r="AC86" i="124"/>
  <c r="AC85" i="124" s="1"/>
  <c r="AC34" i="124"/>
  <c r="AC25" i="124"/>
  <c r="AC152" i="124"/>
  <c r="AB103" i="124"/>
  <c r="AB108" i="124" s="1"/>
  <c r="AB106" i="124"/>
  <c r="AB102" i="124"/>
  <c r="AB105" i="124" s="1"/>
  <c r="AB201" i="124"/>
  <c r="O124" i="120"/>
  <c r="W185" i="114"/>
  <c r="W191" i="114" s="1"/>
  <c r="AE185" i="120"/>
  <c r="AH185" i="120"/>
  <c r="E5" i="120"/>
  <c r="W99" i="120"/>
  <c r="Y131" i="114"/>
  <c r="Y132" i="114" s="1"/>
  <c r="Y134" i="114" s="1"/>
  <c r="Y156" i="114"/>
  <c r="Y157" i="114" s="1"/>
  <c r="Y158" i="114" s="1"/>
  <c r="Y183" i="114"/>
  <c r="Y180" i="114"/>
  <c r="P123" i="120"/>
  <c r="AB108" i="114"/>
  <c r="AB114" i="114"/>
  <c r="AA122" i="114"/>
  <c r="AA124" i="114" s="1"/>
  <c r="AA178" i="114" s="1"/>
  <c r="AA179" i="114" s="1"/>
  <c r="AA130" i="114"/>
  <c r="Z180" i="114"/>
  <c r="Z183" i="114"/>
  <c r="R123" i="120" s="1"/>
  <c r="X136" i="114"/>
  <c r="X135" i="114"/>
  <c r="Z156" i="114"/>
  <c r="Z157" i="114" s="1"/>
  <c r="Z158" i="114" s="1"/>
  <c r="Z131" i="114"/>
  <c r="Z132" i="114" s="1"/>
  <c r="Z134" i="114" s="1"/>
  <c r="AB97" i="114"/>
  <c r="H18" i="120" s="1"/>
  <c r="H65" i="120" s="1"/>
  <c r="AB92" i="114"/>
  <c r="AM92" i="114" s="1"/>
  <c r="AB190" i="114"/>
  <c r="AB95" i="114"/>
  <c r="AB91" i="114"/>
  <c r="AB94" i="114" s="1"/>
  <c r="AF16" i="118"/>
  <c r="AE19" i="118"/>
  <c r="AE25" i="118"/>
  <c r="AF21" i="118"/>
  <c r="U33" i="128" s="1"/>
  <c r="U31" i="128" s="1"/>
  <c r="U30" i="128" s="1"/>
  <c r="P7" i="84"/>
  <c r="P21" i="84" s="1"/>
  <c r="P6" i="84"/>
  <c r="P12" i="84"/>
  <c r="Q4" i="84"/>
  <c r="Q5" i="84" s="1"/>
  <c r="P11" i="84"/>
  <c r="K10" i="84"/>
  <c r="L10" i="84" s="1"/>
  <c r="L7" i="84"/>
  <c r="O7" i="84"/>
  <c r="O21" i="84" s="1"/>
  <c r="K7" i="84"/>
  <c r="K21" i="84" s="1"/>
  <c r="N7" i="84"/>
  <c r="N21" i="84" s="1"/>
  <c r="M7" i="84"/>
  <c r="M21" i="84" s="1"/>
  <c r="AC149" i="118" l="1"/>
  <c r="AC151" i="118" s="1"/>
  <c r="U102" i="120"/>
  <c r="AB154" i="118"/>
  <c r="AB201" i="118" s="1"/>
  <c r="X203" i="124"/>
  <c r="Y203" i="123"/>
  <c r="Y204" i="123"/>
  <c r="X203" i="123"/>
  <c r="X204" i="123"/>
  <c r="AB196" i="127"/>
  <c r="AB202" i="127" s="1"/>
  <c r="AA191" i="123"/>
  <c r="AA194" i="123"/>
  <c r="X204" i="125"/>
  <c r="Y148" i="124"/>
  <c r="Y195" i="124" s="1"/>
  <c r="Y196" i="124" s="1"/>
  <c r="Y202" i="124" s="1"/>
  <c r="Y203" i="124" s="1"/>
  <c r="W107" i="120"/>
  <c r="W114" i="120"/>
  <c r="AF22" i="118"/>
  <c r="X108" i="120" s="1"/>
  <c r="AB202" i="118"/>
  <c r="U37" i="120"/>
  <c r="AC91" i="118"/>
  <c r="AC109" i="118" s="1"/>
  <c r="AC114" i="118" s="1"/>
  <c r="U120" i="120"/>
  <c r="AC152" i="118"/>
  <c r="AC153" i="118"/>
  <c r="AF17" i="118"/>
  <c r="AF32" i="118" s="1"/>
  <c r="AC197" i="118"/>
  <c r="AC200" i="118"/>
  <c r="AD158" i="118"/>
  <c r="AD40" i="118"/>
  <c r="V94" i="120"/>
  <c r="AD30" i="118"/>
  <c r="AD196" i="118"/>
  <c r="AD92" i="118"/>
  <c r="Y148" i="125"/>
  <c r="Y195" i="125" s="1"/>
  <c r="Y196" i="125" s="1"/>
  <c r="Y202" i="125" s="1"/>
  <c r="Y204" i="125" s="1"/>
  <c r="AD119" i="124"/>
  <c r="AD125" i="124"/>
  <c r="AC132" i="125"/>
  <c r="AC126" i="125"/>
  <c r="AC126" i="126"/>
  <c r="AC132" i="126"/>
  <c r="AG19" i="124"/>
  <c r="AF20" i="124"/>
  <c r="AF28" i="124"/>
  <c r="AC132" i="127"/>
  <c r="AC126" i="127"/>
  <c r="AB141" i="123"/>
  <c r="AB133" i="123"/>
  <c r="AB135" i="123" s="1"/>
  <c r="AB189" i="123" s="1"/>
  <c r="AB190" i="123" s="1"/>
  <c r="AG16" i="123"/>
  <c r="AF17" i="123"/>
  <c r="AE87" i="127"/>
  <c r="AE91" i="127" s="1"/>
  <c r="AE27" i="127"/>
  <c r="AE173" i="127"/>
  <c r="AE175" i="127" s="1"/>
  <c r="AE197" i="127" s="1"/>
  <c r="AE35" i="127"/>
  <c r="AE22" i="127" s="1"/>
  <c r="AE118" i="127" s="1"/>
  <c r="AE27" i="124"/>
  <c r="AE35" i="124"/>
  <c r="AE22" i="124" s="1"/>
  <c r="AE118" i="124" s="1"/>
  <c r="AE173" i="124"/>
  <c r="AE175" i="124" s="1"/>
  <c r="AE197" i="124" s="1"/>
  <c r="AE87" i="124"/>
  <c r="AE91" i="124" s="1"/>
  <c r="AC103" i="127"/>
  <c r="AC108" i="127" s="1"/>
  <c r="AC102" i="127"/>
  <c r="AC105" i="127" s="1"/>
  <c r="AC201" i="127"/>
  <c r="AC106" i="127"/>
  <c r="AE87" i="125"/>
  <c r="AE91" i="125" s="1"/>
  <c r="AE173" i="125"/>
  <c r="AE175" i="125" s="1"/>
  <c r="AE197" i="125" s="1"/>
  <c r="AE35" i="125"/>
  <c r="AE22" i="125" s="1"/>
  <c r="AE118" i="125" s="1"/>
  <c r="AE27" i="125"/>
  <c r="AA167" i="124"/>
  <c r="AA168" i="124" s="1"/>
  <c r="AA169" i="124" s="1"/>
  <c r="AA142" i="124"/>
  <c r="AA143" i="124" s="1"/>
  <c r="AA145" i="124" s="1"/>
  <c r="AE173" i="126"/>
  <c r="AE175" i="126" s="1"/>
  <c r="AE197" i="126" s="1"/>
  <c r="AE35" i="126"/>
  <c r="AE22" i="126" s="1"/>
  <c r="AE118" i="126" s="1"/>
  <c r="AE87" i="126"/>
  <c r="AE91" i="126" s="1"/>
  <c r="AE27" i="126"/>
  <c r="AA167" i="126"/>
  <c r="AA168" i="126" s="1"/>
  <c r="AA169" i="126" s="1"/>
  <c r="AA142" i="126"/>
  <c r="AA143" i="126" s="1"/>
  <c r="AA145" i="126" s="1"/>
  <c r="AB141" i="126"/>
  <c r="AB133" i="126"/>
  <c r="AB135" i="126" s="1"/>
  <c r="AB189" i="126" s="1"/>
  <c r="AA191" i="127"/>
  <c r="AA194" i="127"/>
  <c r="AG16" i="124"/>
  <c r="AF17" i="124"/>
  <c r="AA191" i="124"/>
  <c r="AA194" i="124"/>
  <c r="AG19" i="126"/>
  <c r="AF20" i="126"/>
  <c r="AF28" i="126"/>
  <c r="Z146" i="125"/>
  <c r="Z147" i="125"/>
  <c r="AD25" i="124"/>
  <c r="AD86" i="124"/>
  <c r="AD85" i="124" s="1"/>
  <c r="AD34" i="124"/>
  <c r="AD152" i="124"/>
  <c r="AG19" i="125"/>
  <c r="AF20" i="125"/>
  <c r="AG19" i="127"/>
  <c r="AF20" i="127"/>
  <c r="AF28" i="127"/>
  <c r="AD119" i="126"/>
  <c r="AD125" i="126"/>
  <c r="AB141" i="127"/>
  <c r="AB133" i="127"/>
  <c r="AB135" i="127" s="1"/>
  <c r="AB189" i="127" s="1"/>
  <c r="AA167" i="127"/>
  <c r="AA168" i="127" s="1"/>
  <c r="AA169" i="127" s="1"/>
  <c r="AA142" i="127"/>
  <c r="AA143" i="127" s="1"/>
  <c r="AA145" i="127" s="1"/>
  <c r="AC132" i="124"/>
  <c r="AC126" i="124"/>
  <c r="Z146" i="123"/>
  <c r="Z147" i="123"/>
  <c r="AA142" i="123"/>
  <c r="AA143" i="123" s="1"/>
  <c r="AA145" i="123" s="1"/>
  <c r="AA167" i="123"/>
  <c r="AA168" i="123" s="1"/>
  <c r="AA169" i="123" s="1"/>
  <c r="AG16" i="125"/>
  <c r="AF28" i="125"/>
  <c r="AF17" i="125"/>
  <c r="AC126" i="123"/>
  <c r="AC132" i="123"/>
  <c r="AB202" i="126"/>
  <c r="AD25" i="127"/>
  <c r="AD86" i="127"/>
  <c r="AD85" i="127" s="1"/>
  <c r="AD34" i="127"/>
  <c r="AD152" i="127"/>
  <c r="Z146" i="127"/>
  <c r="Z147" i="127"/>
  <c r="AE27" i="123"/>
  <c r="AE87" i="123"/>
  <c r="AE91" i="123" s="1"/>
  <c r="AE35" i="123"/>
  <c r="AE22" i="123" s="1"/>
  <c r="AE118" i="123" s="1"/>
  <c r="AE173" i="123"/>
  <c r="AE175" i="123" s="1"/>
  <c r="AE197" i="123" s="1"/>
  <c r="Z147" i="126"/>
  <c r="Z146" i="126"/>
  <c r="AD125" i="123"/>
  <c r="AD119" i="123"/>
  <c r="AG16" i="126"/>
  <c r="AF17" i="126"/>
  <c r="AG19" i="123"/>
  <c r="AF28" i="123"/>
  <c r="AF20" i="123"/>
  <c r="AA203" i="126"/>
  <c r="AA204" i="126"/>
  <c r="AB141" i="125"/>
  <c r="AB133" i="125"/>
  <c r="AB135" i="125" s="1"/>
  <c r="AB189" i="125" s="1"/>
  <c r="AB190" i="125" s="1"/>
  <c r="AD119" i="125"/>
  <c r="AD125" i="125"/>
  <c r="AD34" i="126"/>
  <c r="AD86" i="126"/>
  <c r="AD85" i="126" s="1"/>
  <c r="AD25" i="126"/>
  <c r="AD152" i="126"/>
  <c r="AB133" i="124"/>
  <c r="AB135" i="124" s="1"/>
  <c r="AB189" i="124" s="1"/>
  <c r="AB190" i="124" s="1"/>
  <c r="AB141" i="124"/>
  <c r="AA167" i="125"/>
  <c r="AA168" i="125" s="1"/>
  <c r="AA169" i="125" s="1"/>
  <c r="AA142" i="125"/>
  <c r="AA143" i="125" s="1"/>
  <c r="AA145" i="125" s="1"/>
  <c r="AC103" i="123"/>
  <c r="AC108" i="123" s="1"/>
  <c r="AC106" i="123"/>
  <c r="AC201" i="123"/>
  <c r="AC102" i="123"/>
  <c r="AC105" i="123" s="1"/>
  <c r="AC103" i="126"/>
  <c r="AC108" i="126" s="1"/>
  <c r="AC106" i="126"/>
  <c r="AC201" i="126"/>
  <c r="AC102" i="126"/>
  <c r="AC105" i="126" s="1"/>
  <c r="AC103" i="124"/>
  <c r="AC108" i="124" s="1"/>
  <c r="AC106" i="124"/>
  <c r="AC102" i="124"/>
  <c r="AC105" i="124" s="1"/>
  <c r="AC201" i="124"/>
  <c r="X203" i="127"/>
  <c r="X204" i="127"/>
  <c r="AD25" i="125"/>
  <c r="AD86" i="125"/>
  <c r="AD85" i="125" s="1"/>
  <c r="AD34" i="125"/>
  <c r="AD152" i="125"/>
  <c r="AD25" i="123"/>
  <c r="AD86" i="123"/>
  <c r="AD85" i="123" s="1"/>
  <c r="AD34" i="123"/>
  <c r="AD152" i="123"/>
  <c r="AG16" i="127"/>
  <c r="AF17" i="127"/>
  <c r="Y148" i="127"/>
  <c r="Y195" i="127" s="1"/>
  <c r="Y196" i="127" s="1"/>
  <c r="Y202" i="127" s="1"/>
  <c r="AC103" i="125"/>
  <c r="AC108" i="125" s="1"/>
  <c r="AC106" i="125"/>
  <c r="AC201" i="125"/>
  <c r="AC102" i="125"/>
  <c r="AC105" i="125" s="1"/>
  <c r="Z147" i="124"/>
  <c r="Z146" i="124"/>
  <c r="AD125" i="127"/>
  <c r="AD119" i="127"/>
  <c r="AA191" i="125"/>
  <c r="AA194" i="125"/>
  <c r="W193" i="114"/>
  <c r="W192" i="114"/>
  <c r="AJ131" i="120"/>
  <c r="AJ185" i="120" s="1"/>
  <c r="X99" i="120"/>
  <c r="AB121" i="114"/>
  <c r="AB115" i="114"/>
  <c r="X137" i="114"/>
  <c r="X184" i="114" s="1"/>
  <c r="Q123" i="120"/>
  <c r="Z135" i="114"/>
  <c r="Z136" i="114"/>
  <c r="AA156" i="114"/>
  <c r="AA157" i="114" s="1"/>
  <c r="AA158" i="114" s="1"/>
  <c r="AA131" i="114"/>
  <c r="AA132" i="114" s="1"/>
  <c r="AA134" i="114" s="1"/>
  <c r="AA180" i="114"/>
  <c r="AA183" i="114"/>
  <c r="S123" i="120" s="1"/>
  <c r="Y135" i="114"/>
  <c r="Y136" i="114"/>
  <c r="E118" i="120"/>
  <c r="AG16" i="118"/>
  <c r="AF19" i="118"/>
  <c r="AF25" i="118"/>
  <c r="AG21" i="118"/>
  <c r="V33" i="128" s="1"/>
  <c r="V31" i="128" s="1"/>
  <c r="V30" i="128" s="1"/>
  <c r="L21" i="84"/>
  <c r="L14" i="84"/>
  <c r="L15" i="84" s="1"/>
  <c r="P16" i="84"/>
  <c r="Q17" i="84"/>
  <c r="K16" i="84"/>
  <c r="M16" i="84"/>
  <c r="O16" i="84"/>
  <c r="N16" i="84"/>
  <c r="L16" i="84"/>
  <c r="K14" i="84"/>
  <c r="M14" i="84"/>
  <c r="N14" i="84"/>
  <c r="O14" i="84"/>
  <c r="P14" i="84"/>
  <c r="M10" i="84"/>
  <c r="J23" i="84"/>
  <c r="J16" i="84"/>
  <c r="J14" i="84"/>
  <c r="AD149" i="118" l="1"/>
  <c r="AD151" i="118" s="1"/>
  <c r="V102" i="120"/>
  <c r="AB204" i="127"/>
  <c r="AB203" i="127"/>
  <c r="AB191" i="123"/>
  <c r="AB194" i="123"/>
  <c r="Z148" i="123"/>
  <c r="Z195" i="123" s="1"/>
  <c r="Z196" i="123" s="1"/>
  <c r="Z202" i="123" s="1"/>
  <c r="Y204" i="124"/>
  <c r="X107" i="120"/>
  <c r="X114" i="120"/>
  <c r="AG22" i="118"/>
  <c r="Y108" i="120" s="1"/>
  <c r="Z148" i="124"/>
  <c r="Z195" i="124" s="1"/>
  <c r="Z196" i="124" s="1"/>
  <c r="Z202" i="124" s="1"/>
  <c r="Z203" i="124" s="1"/>
  <c r="Y203" i="125"/>
  <c r="AD197" i="118"/>
  <c r="AD200" i="118"/>
  <c r="V123" i="120" s="1"/>
  <c r="AE196" i="118"/>
  <c r="AE158" i="118"/>
  <c r="AE30" i="118"/>
  <c r="AE92" i="118"/>
  <c r="AE40" i="118"/>
  <c r="W94" i="120"/>
  <c r="AC154" i="118"/>
  <c r="AC201" i="118" s="1"/>
  <c r="U124" i="120" s="1"/>
  <c r="AD153" i="118"/>
  <c r="AD152" i="118"/>
  <c r="AG17" i="118"/>
  <c r="AG32" i="118" s="1"/>
  <c r="V120" i="120"/>
  <c r="V37" i="120"/>
  <c r="AD91" i="118"/>
  <c r="AD109" i="118" s="1"/>
  <c r="AD114" i="118" s="1"/>
  <c r="U123" i="120"/>
  <c r="Z148" i="125"/>
  <c r="Z195" i="125" s="1"/>
  <c r="Z196" i="125" s="1"/>
  <c r="Z202" i="125" s="1"/>
  <c r="Z203" i="125" s="1"/>
  <c r="Z148" i="127"/>
  <c r="Z195" i="127" s="1"/>
  <c r="Z196" i="127" s="1"/>
  <c r="Z202" i="127" s="1"/>
  <c r="Z204" i="127" s="1"/>
  <c r="AA147" i="125"/>
  <c r="AA146" i="125"/>
  <c r="AD103" i="126"/>
  <c r="AD108" i="126" s="1"/>
  <c r="AD102" i="126"/>
  <c r="AD105" i="126" s="1"/>
  <c r="AD106" i="126"/>
  <c r="AD201" i="126"/>
  <c r="AC133" i="123"/>
  <c r="AC135" i="123" s="1"/>
  <c r="AC189" i="123" s="1"/>
  <c r="AC190" i="123" s="1"/>
  <c r="AC141" i="123"/>
  <c r="AD126" i="126"/>
  <c r="AD132" i="126"/>
  <c r="AH19" i="126"/>
  <c r="AG28" i="126"/>
  <c r="AG20" i="126"/>
  <c r="AE86" i="125"/>
  <c r="AE85" i="125" s="1"/>
  <c r="AE34" i="125"/>
  <c r="AE25" i="125"/>
  <c r="AE152" i="125"/>
  <c r="AH19" i="124"/>
  <c r="AG28" i="124"/>
  <c r="AG20" i="124"/>
  <c r="AD103" i="123"/>
  <c r="AD108" i="123" s="1"/>
  <c r="AD102" i="123"/>
  <c r="AD105" i="123" s="1"/>
  <c r="AD201" i="123"/>
  <c r="AD106" i="123"/>
  <c r="AE119" i="125"/>
  <c r="AE125" i="125"/>
  <c r="AH16" i="123"/>
  <c r="AG17" i="123"/>
  <c r="AC133" i="126"/>
  <c r="AC135" i="126" s="1"/>
  <c r="AC189" i="126" s="1"/>
  <c r="AC190" i="126" s="1"/>
  <c r="AC141" i="126"/>
  <c r="AF27" i="123"/>
  <c r="AF173" i="123"/>
  <c r="AF175" i="123" s="1"/>
  <c r="AF197" i="123" s="1"/>
  <c r="AF87" i="123"/>
  <c r="AF91" i="123" s="1"/>
  <c r="AF35" i="123"/>
  <c r="AF22" i="123" s="1"/>
  <c r="AF118" i="123" s="1"/>
  <c r="AD132" i="125"/>
  <c r="AD126" i="125"/>
  <c r="AH19" i="123"/>
  <c r="AG28" i="123"/>
  <c r="AG20" i="123"/>
  <c r="AE125" i="123"/>
  <c r="AE119" i="123"/>
  <c r="AF27" i="127"/>
  <c r="AF35" i="127"/>
  <c r="AF22" i="127" s="1"/>
  <c r="AF118" i="127" s="1"/>
  <c r="AF173" i="127"/>
  <c r="AF175" i="127" s="1"/>
  <c r="AF197" i="127" s="1"/>
  <c r="AF87" i="127"/>
  <c r="AF91" i="127" s="1"/>
  <c r="AD103" i="124"/>
  <c r="AD108" i="124" s="1"/>
  <c r="AD106" i="124"/>
  <c r="AD102" i="124"/>
  <c r="AD105" i="124" s="1"/>
  <c r="AD201" i="124"/>
  <c r="AE34" i="126"/>
  <c r="AE86" i="126"/>
  <c r="AE85" i="126" s="1"/>
  <c r="AE25" i="126"/>
  <c r="AE152" i="126"/>
  <c r="AE125" i="124"/>
  <c r="AE119" i="124"/>
  <c r="AB203" i="126"/>
  <c r="AB204" i="126"/>
  <c r="AB167" i="127"/>
  <c r="AB168" i="127" s="1"/>
  <c r="AB169" i="127" s="1"/>
  <c r="AB142" i="127"/>
  <c r="AB143" i="127" s="1"/>
  <c r="AB145" i="127" s="1"/>
  <c r="Y203" i="127"/>
  <c r="Y204" i="127"/>
  <c r="AB142" i="124"/>
  <c r="AB143" i="124" s="1"/>
  <c r="AB145" i="124" s="1"/>
  <c r="AB167" i="124"/>
  <c r="AB168" i="124" s="1"/>
  <c r="AB169" i="124" s="1"/>
  <c r="AD103" i="127"/>
  <c r="AD108" i="127" s="1"/>
  <c r="AD102" i="127"/>
  <c r="AD105" i="127" s="1"/>
  <c r="AD106" i="127"/>
  <c r="AD201" i="127"/>
  <c r="AF87" i="125"/>
  <c r="AF91" i="125" s="1"/>
  <c r="AF35" i="125"/>
  <c r="AF22" i="125" s="1"/>
  <c r="AF118" i="125" s="1"/>
  <c r="AF27" i="125"/>
  <c r="AF173" i="125"/>
  <c r="AF175" i="125" s="1"/>
  <c r="AF197" i="125" s="1"/>
  <c r="AC133" i="124"/>
  <c r="AC135" i="124" s="1"/>
  <c r="AC189" i="124" s="1"/>
  <c r="AC190" i="124" s="1"/>
  <c r="AC141" i="124"/>
  <c r="AE25" i="124"/>
  <c r="AE86" i="124"/>
  <c r="AE85" i="124" s="1"/>
  <c r="AE34" i="124"/>
  <c r="AE152" i="124"/>
  <c r="AB167" i="123"/>
  <c r="AB168" i="123" s="1"/>
  <c r="AB169" i="123" s="1"/>
  <c r="AB142" i="123"/>
  <c r="AB143" i="123" s="1"/>
  <c r="AB145" i="123" s="1"/>
  <c r="AD132" i="127"/>
  <c r="AD126" i="127"/>
  <c r="AB194" i="124"/>
  <c r="AB191" i="124"/>
  <c r="AB191" i="125"/>
  <c r="AB194" i="125"/>
  <c r="AH16" i="126"/>
  <c r="AG17" i="126"/>
  <c r="AE34" i="123"/>
  <c r="AE25" i="123"/>
  <c r="AE86" i="123"/>
  <c r="AE85" i="123" s="1"/>
  <c r="AE152" i="123"/>
  <c r="AH16" i="125"/>
  <c r="AG28" i="125"/>
  <c r="AG17" i="125"/>
  <c r="AA146" i="127"/>
  <c r="AA147" i="127"/>
  <c r="AH19" i="127"/>
  <c r="AG20" i="127"/>
  <c r="AG28" i="127"/>
  <c r="AE125" i="126"/>
  <c r="AE119" i="126"/>
  <c r="AE125" i="127"/>
  <c r="AE119" i="127"/>
  <c r="AC141" i="125"/>
  <c r="AC133" i="125"/>
  <c r="AC135" i="125" s="1"/>
  <c r="AC189" i="125" s="1"/>
  <c r="AC190" i="125" s="1"/>
  <c r="AH16" i="127"/>
  <c r="AG17" i="127"/>
  <c r="AB142" i="125"/>
  <c r="AB143" i="125" s="1"/>
  <c r="AB145" i="125" s="1"/>
  <c r="AB167" i="125"/>
  <c r="AB168" i="125" s="1"/>
  <c r="AB169" i="125" s="1"/>
  <c r="AB167" i="126"/>
  <c r="AB168" i="126" s="1"/>
  <c r="AB169" i="126" s="1"/>
  <c r="AB142" i="126"/>
  <c r="AB143" i="126" s="1"/>
  <c r="AB145" i="126" s="1"/>
  <c r="AC141" i="127"/>
  <c r="AC133" i="127"/>
  <c r="AC135" i="127" s="1"/>
  <c r="AC189" i="127" s="1"/>
  <c r="AC190" i="127" s="1"/>
  <c r="AD132" i="124"/>
  <c r="AD126" i="124"/>
  <c r="AD103" i="125"/>
  <c r="AD108" i="125" s="1"/>
  <c r="AD102" i="125"/>
  <c r="AD105" i="125" s="1"/>
  <c r="AD201" i="125"/>
  <c r="AD106" i="125"/>
  <c r="AD132" i="123"/>
  <c r="AD126" i="123"/>
  <c r="AA146" i="123"/>
  <c r="AA147" i="123"/>
  <c r="AH19" i="125"/>
  <c r="AG20" i="125"/>
  <c r="AF27" i="126"/>
  <c r="AF173" i="126"/>
  <c r="AF175" i="126" s="1"/>
  <c r="AF197" i="126" s="1"/>
  <c r="AF35" i="126"/>
  <c r="AF22" i="126" s="1"/>
  <c r="AF118" i="126" s="1"/>
  <c r="AF87" i="126"/>
  <c r="AF91" i="126" s="1"/>
  <c r="AH16" i="124"/>
  <c r="AG17" i="124"/>
  <c r="AA147" i="126"/>
  <c r="AA146" i="126"/>
  <c r="AA146" i="124"/>
  <c r="AA147" i="124"/>
  <c r="AE86" i="127"/>
  <c r="AE85" i="127" s="1"/>
  <c r="AE34" i="127"/>
  <c r="AE25" i="127"/>
  <c r="AE152" i="127"/>
  <c r="AF87" i="124"/>
  <c r="AF91" i="124" s="1"/>
  <c r="AF35" i="124"/>
  <c r="AF22" i="124" s="1"/>
  <c r="AF118" i="124" s="1"/>
  <c r="AF27" i="124"/>
  <c r="AF173" i="124"/>
  <c r="AF175" i="124" s="1"/>
  <c r="AF197" i="124" s="1"/>
  <c r="Y137" i="114"/>
  <c r="Y184" i="114" s="1"/>
  <c r="Q124" i="120" s="1"/>
  <c r="AJ147" i="120"/>
  <c r="AJ137" i="120"/>
  <c r="AJ162" i="120"/>
  <c r="Y99" i="120"/>
  <c r="Z137" i="114"/>
  <c r="Z184" i="114" s="1"/>
  <c r="P124" i="120"/>
  <c r="X185" i="114"/>
  <c r="AA135" i="114"/>
  <c r="AA136" i="114"/>
  <c r="AB130" i="114"/>
  <c r="AB122" i="114"/>
  <c r="AB124" i="114" s="1"/>
  <c r="AB178" i="114" s="1"/>
  <c r="AB179" i="114" s="1"/>
  <c r="AH16" i="118"/>
  <c r="AG19" i="118"/>
  <c r="AG25" i="118"/>
  <c r="AH21" i="118"/>
  <c r="W33" i="128" s="1"/>
  <c r="W31" i="128" s="1"/>
  <c r="W30" i="128" s="1"/>
  <c r="Q7" i="84"/>
  <c r="Q21" i="84" s="1"/>
  <c r="Q11" i="84"/>
  <c r="R4" i="84"/>
  <c r="R5" i="84" s="1"/>
  <c r="Q6" i="84"/>
  <c r="Q12" i="84"/>
  <c r="K23" i="84"/>
  <c r="N15" i="84"/>
  <c r="M15" i="84"/>
  <c r="P15" i="84"/>
  <c r="J15" i="84"/>
  <c r="O15" i="84"/>
  <c r="K15" i="84"/>
  <c r="N10" i="84"/>
  <c r="AE149" i="118" l="1"/>
  <c r="AE151" i="118" s="1"/>
  <c r="W102" i="120"/>
  <c r="Z204" i="123"/>
  <c r="Z203" i="123"/>
  <c r="AA148" i="123"/>
  <c r="AA195" i="123" s="1"/>
  <c r="AA196" i="123" s="1"/>
  <c r="AA202" i="123" s="1"/>
  <c r="Z204" i="125"/>
  <c r="AH22" i="118"/>
  <c r="Z108" i="120" s="1"/>
  <c r="Y107" i="120"/>
  <c r="Y114" i="120"/>
  <c r="Z203" i="127"/>
  <c r="Z204" i="124"/>
  <c r="AA148" i="127"/>
  <c r="AA195" i="127" s="1"/>
  <c r="AA196" i="127" s="1"/>
  <c r="AA202" i="127" s="1"/>
  <c r="AA203" i="127" s="1"/>
  <c r="AC202" i="118"/>
  <c r="AH17" i="118"/>
  <c r="AH32" i="118" s="1"/>
  <c r="AE153" i="118"/>
  <c r="AE152" i="118"/>
  <c r="AE91" i="118"/>
  <c r="AE109" i="118" s="1"/>
  <c r="AE114" i="118" s="1"/>
  <c r="W120" i="120"/>
  <c r="W37" i="120"/>
  <c r="X94" i="120"/>
  <c r="AF158" i="118"/>
  <c r="AF196" i="118"/>
  <c r="AF40" i="118"/>
  <c r="AF92" i="118"/>
  <c r="AF30" i="118"/>
  <c r="AD154" i="118"/>
  <c r="AD201" i="118" s="1"/>
  <c r="AE200" i="118"/>
  <c r="AE197" i="118"/>
  <c r="AE103" i="127"/>
  <c r="AE108" i="127" s="1"/>
  <c r="AE102" i="127"/>
  <c r="AE105" i="127" s="1"/>
  <c r="AE106" i="127"/>
  <c r="AE201" i="127"/>
  <c r="AF125" i="126"/>
  <c r="AF119" i="126"/>
  <c r="AI16" i="127"/>
  <c r="AH17" i="127"/>
  <c r="AE132" i="126"/>
  <c r="AE126" i="126"/>
  <c r="AI16" i="125"/>
  <c r="AH28" i="125"/>
  <c r="AH17" i="125"/>
  <c r="AF125" i="123"/>
  <c r="AF119" i="123"/>
  <c r="AI16" i="123"/>
  <c r="AH17" i="123"/>
  <c r="AG27" i="124"/>
  <c r="AG35" i="124"/>
  <c r="AG22" i="124" s="1"/>
  <c r="AG118" i="124" s="1"/>
  <c r="AG173" i="124"/>
  <c r="AG175" i="124" s="1"/>
  <c r="AG197" i="124" s="1"/>
  <c r="AG87" i="124"/>
  <c r="AG91" i="124" s="1"/>
  <c r="AG35" i="126"/>
  <c r="AG22" i="126" s="1"/>
  <c r="AG118" i="126" s="1"/>
  <c r="AG173" i="126"/>
  <c r="AG175" i="126" s="1"/>
  <c r="AG197" i="126" s="1"/>
  <c r="AG27" i="126"/>
  <c r="AG87" i="126"/>
  <c r="AG91" i="126" s="1"/>
  <c r="AB147" i="126"/>
  <c r="AB146" i="126"/>
  <c r="AC191" i="124"/>
  <c r="AC194" i="124"/>
  <c r="AF86" i="124"/>
  <c r="AF85" i="124" s="1"/>
  <c r="AF34" i="124"/>
  <c r="AF25" i="124"/>
  <c r="AF152" i="124"/>
  <c r="AG173" i="127"/>
  <c r="AG175" i="127" s="1"/>
  <c r="AG197" i="127" s="1"/>
  <c r="AG27" i="127"/>
  <c r="AG87" i="127"/>
  <c r="AG91" i="127" s="1"/>
  <c r="AG35" i="127"/>
  <c r="AG22" i="127" s="1"/>
  <c r="AG118" i="127" s="1"/>
  <c r="AF86" i="125"/>
  <c r="AF85" i="125" s="1"/>
  <c r="AF34" i="125"/>
  <c r="AF25" i="125"/>
  <c r="AF152" i="125"/>
  <c r="AB147" i="124"/>
  <c r="AB146" i="124"/>
  <c r="AE126" i="123"/>
  <c r="AE132" i="123"/>
  <c r="AE132" i="125"/>
  <c r="AE126" i="125"/>
  <c r="AI19" i="124"/>
  <c r="AH28" i="124"/>
  <c r="AH20" i="124"/>
  <c r="AI19" i="126"/>
  <c r="AH20" i="126"/>
  <c r="AH28" i="126"/>
  <c r="AB146" i="123"/>
  <c r="AB147" i="123"/>
  <c r="AF125" i="124"/>
  <c r="AF119" i="124"/>
  <c r="AA148" i="124"/>
  <c r="AA195" i="124" s="1"/>
  <c r="AA196" i="124" s="1"/>
  <c r="AA202" i="124" s="1"/>
  <c r="AF25" i="126"/>
  <c r="AF34" i="126"/>
  <c r="AF86" i="126"/>
  <c r="AF85" i="126" s="1"/>
  <c r="AF152" i="126"/>
  <c r="AF125" i="125"/>
  <c r="AF119" i="125"/>
  <c r="AE126" i="124"/>
  <c r="AE132" i="124"/>
  <c r="AD133" i="126"/>
  <c r="AD135" i="126" s="1"/>
  <c r="AD189" i="126" s="1"/>
  <c r="AD190" i="126" s="1"/>
  <c r="AD141" i="126"/>
  <c r="AI16" i="126"/>
  <c r="AH17" i="126"/>
  <c r="AD133" i="124"/>
  <c r="AD135" i="124" s="1"/>
  <c r="AD189" i="124" s="1"/>
  <c r="AD190" i="124" s="1"/>
  <c r="AD141" i="124"/>
  <c r="AC194" i="125"/>
  <c r="AC191" i="125"/>
  <c r="AI19" i="127"/>
  <c r="AH28" i="127"/>
  <c r="AH20" i="127"/>
  <c r="AE103" i="123"/>
  <c r="AE108" i="123" s="1"/>
  <c r="AE106" i="123"/>
  <c r="AE102" i="123"/>
  <c r="AE105" i="123" s="1"/>
  <c r="AE201" i="123"/>
  <c r="AG27" i="123"/>
  <c r="AG87" i="123"/>
  <c r="AG91" i="123" s="1"/>
  <c r="AG35" i="123"/>
  <c r="AG22" i="123" s="1"/>
  <c r="AG118" i="123" s="1"/>
  <c r="AG173" i="123"/>
  <c r="AG175" i="123" s="1"/>
  <c r="AG197" i="123" s="1"/>
  <c r="AF25" i="123"/>
  <c r="AF86" i="123"/>
  <c r="AF85" i="123" s="1"/>
  <c r="AF34" i="123"/>
  <c r="AF152" i="123"/>
  <c r="AF25" i="127"/>
  <c r="AF86" i="127"/>
  <c r="AF85" i="127" s="1"/>
  <c r="AF34" i="127"/>
  <c r="AF152" i="127"/>
  <c r="AI19" i="125"/>
  <c r="AH20" i="125"/>
  <c r="AD133" i="123"/>
  <c r="AD135" i="123" s="1"/>
  <c r="AD189" i="123" s="1"/>
  <c r="AD190" i="123" s="1"/>
  <c r="AD141" i="123"/>
  <c r="AC191" i="127"/>
  <c r="AC194" i="127"/>
  <c r="AC142" i="125"/>
  <c r="AC143" i="125" s="1"/>
  <c r="AC145" i="125" s="1"/>
  <c r="AC167" i="125"/>
  <c r="AC168" i="125" s="1"/>
  <c r="AC169" i="125" s="1"/>
  <c r="AE103" i="124"/>
  <c r="AE108" i="124" s="1"/>
  <c r="AE102" i="124"/>
  <c r="AE105" i="124" s="1"/>
  <c r="AE106" i="124"/>
  <c r="AE201" i="124"/>
  <c r="AI19" i="123"/>
  <c r="AH28" i="123"/>
  <c r="AH20" i="123"/>
  <c r="AC167" i="123"/>
  <c r="AC168" i="123" s="1"/>
  <c r="AC169" i="123" s="1"/>
  <c r="AC142" i="123"/>
  <c r="AC143" i="123" s="1"/>
  <c r="AC145" i="123" s="1"/>
  <c r="AG27" i="125"/>
  <c r="AG173" i="125"/>
  <c r="AG175" i="125" s="1"/>
  <c r="AG197" i="125" s="1"/>
  <c r="AG35" i="125"/>
  <c r="AG22" i="125" s="1"/>
  <c r="AG118" i="125" s="1"/>
  <c r="AG87" i="125"/>
  <c r="AG91" i="125" s="1"/>
  <c r="AC167" i="127"/>
  <c r="AC168" i="127" s="1"/>
  <c r="AC169" i="127" s="1"/>
  <c r="AC142" i="127"/>
  <c r="AC143" i="127" s="1"/>
  <c r="AC145" i="127" s="1"/>
  <c r="AB147" i="125"/>
  <c r="AB146" i="125"/>
  <c r="AA204" i="127"/>
  <c r="AB146" i="127"/>
  <c r="AB147" i="127"/>
  <c r="AC142" i="126"/>
  <c r="AC143" i="126" s="1"/>
  <c r="AC145" i="126" s="1"/>
  <c r="AC167" i="126"/>
  <c r="AC168" i="126" s="1"/>
  <c r="AC169" i="126" s="1"/>
  <c r="AC191" i="123"/>
  <c r="AC194" i="123"/>
  <c r="AA148" i="125"/>
  <c r="AA195" i="125" s="1"/>
  <c r="AA196" i="125" s="1"/>
  <c r="AA202" i="125" s="1"/>
  <c r="AI16" i="124"/>
  <c r="AH17" i="124"/>
  <c r="AE126" i="127"/>
  <c r="AE132" i="127"/>
  <c r="AD141" i="127"/>
  <c r="AD133" i="127"/>
  <c r="AD135" i="127" s="1"/>
  <c r="AD189" i="127" s="1"/>
  <c r="AD190" i="127" s="1"/>
  <c r="AC142" i="124"/>
  <c r="AC143" i="124" s="1"/>
  <c r="AC145" i="124" s="1"/>
  <c r="AC167" i="124"/>
  <c r="AC168" i="124" s="1"/>
  <c r="AC169" i="124" s="1"/>
  <c r="AE103" i="126"/>
  <c r="AE108" i="126" s="1"/>
  <c r="AE106" i="126"/>
  <c r="AE102" i="126"/>
  <c r="AE105" i="126" s="1"/>
  <c r="AE201" i="126"/>
  <c r="AF125" i="127"/>
  <c r="AF119" i="127"/>
  <c r="AD141" i="125"/>
  <c r="AD133" i="125"/>
  <c r="AD135" i="125" s="1"/>
  <c r="AD189" i="125" s="1"/>
  <c r="AD190" i="125" s="1"/>
  <c r="AC191" i="126"/>
  <c r="AC194" i="126"/>
  <c r="AE103" i="125"/>
  <c r="AE108" i="125" s="1"/>
  <c r="AE106" i="125"/>
  <c r="AE201" i="125"/>
  <c r="AE102" i="125"/>
  <c r="AE105" i="125" s="1"/>
  <c r="Y185" i="114"/>
  <c r="Z99" i="120"/>
  <c r="AB156" i="114"/>
  <c r="AB157" i="114" s="1"/>
  <c r="AB158" i="114" s="1"/>
  <c r="AB131" i="114"/>
  <c r="AB132" i="114" s="1"/>
  <c r="AB134" i="114" s="1"/>
  <c r="AA137" i="114"/>
  <c r="AA184" i="114" s="1"/>
  <c r="AM179" i="114"/>
  <c r="AB183" i="114"/>
  <c r="T123" i="120" s="1"/>
  <c r="AB180" i="114"/>
  <c r="X191" i="114"/>
  <c r="R124" i="120"/>
  <c r="Z185" i="114"/>
  <c r="AI16" i="118"/>
  <c r="AH19" i="118"/>
  <c r="AH25" i="118"/>
  <c r="AI21" i="118"/>
  <c r="X33" i="128" s="1"/>
  <c r="X31" i="128" s="1"/>
  <c r="X30" i="128" s="1"/>
  <c r="Q14" i="84"/>
  <c r="Q16" i="84"/>
  <c r="L23" i="84"/>
  <c r="R17" i="84"/>
  <c r="O10" i="84"/>
  <c r="AF149" i="118" l="1"/>
  <c r="AF151" i="118" s="1"/>
  <c r="X102" i="120"/>
  <c r="AB148" i="123"/>
  <c r="AB195" i="123" s="1"/>
  <c r="AB196" i="123" s="1"/>
  <c r="AB202" i="123" s="1"/>
  <c r="AA204" i="123"/>
  <c r="AA203" i="123"/>
  <c r="Z107" i="120"/>
  <c r="Z114" i="120"/>
  <c r="AI22" i="118"/>
  <c r="AA108" i="120" s="1"/>
  <c r="AB148" i="125"/>
  <c r="AB195" i="125" s="1"/>
  <c r="AB196" i="125" s="1"/>
  <c r="AB202" i="125" s="1"/>
  <c r="AB203" i="125" s="1"/>
  <c r="AE154" i="118"/>
  <c r="AE201" i="118" s="1"/>
  <c r="W124" i="120" s="1"/>
  <c r="V124" i="120"/>
  <c r="AD202" i="118"/>
  <c r="X37" i="120"/>
  <c r="X120" i="120"/>
  <c r="AF91" i="118"/>
  <c r="AF109" i="118" s="1"/>
  <c r="AF114" i="118" s="1"/>
  <c r="AF152" i="118"/>
  <c r="AF153" i="118"/>
  <c r="W123" i="120"/>
  <c r="AF197" i="118"/>
  <c r="AF200" i="118"/>
  <c r="AI17" i="118"/>
  <c r="AI32" i="118" s="1"/>
  <c r="Y94" i="120"/>
  <c r="AG30" i="118"/>
  <c r="AG92" i="118"/>
  <c r="AG158" i="118"/>
  <c r="AG196" i="118"/>
  <c r="AG40" i="118"/>
  <c r="AD167" i="124"/>
  <c r="AD168" i="124" s="1"/>
  <c r="AD169" i="124" s="1"/>
  <c r="AD142" i="124"/>
  <c r="AD143" i="124" s="1"/>
  <c r="AD145" i="124" s="1"/>
  <c r="AG125" i="126"/>
  <c r="AG119" i="126"/>
  <c r="AJ16" i="127"/>
  <c r="AI17" i="127"/>
  <c r="AH27" i="123"/>
  <c r="AH87" i="123"/>
  <c r="AH91" i="123" s="1"/>
  <c r="AH35" i="123"/>
  <c r="AH22" i="123" s="1"/>
  <c r="AH118" i="123" s="1"/>
  <c r="AH173" i="123"/>
  <c r="AH175" i="123" s="1"/>
  <c r="AH197" i="123" s="1"/>
  <c r="AC147" i="125"/>
  <c r="AC146" i="125"/>
  <c r="AD191" i="124"/>
  <c r="AD194" i="124"/>
  <c r="AH173" i="124"/>
  <c r="AH175" i="124" s="1"/>
  <c r="AH197" i="124" s="1"/>
  <c r="AH87" i="124"/>
  <c r="AH91" i="124" s="1"/>
  <c r="AH27" i="124"/>
  <c r="AH35" i="124"/>
  <c r="AH22" i="124" s="1"/>
  <c r="AH118" i="124" s="1"/>
  <c r="AG119" i="125"/>
  <c r="AG125" i="125"/>
  <c r="AJ19" i="123"/>
  <c r="AI28" i="123"/>
  <c r="AI20" i="123"/>
  <c r="AF126" i="125"/>
  <c r="AF132" i="125"/>
  <c r="AF126" i="124"/>
  <c r="AF132" i="124"/>
  <c r="AJ19" i="124"/>
  <c r="AI20" i="124"/>
  <c r="AI28" i="124"/>
  <c r="AG25" i="127"/>
  <c r="AG86" i="127"/>
  <c r="AG85" i="127" s="1"/>
  <c r="AG34" i="127"/>
  <c r="AG152" i="127"/>
  <c r="AF126" i="126"/>
  <c r="AF132" i="126"/>
  <c r="AF103" i="123"/>
  <c r="AF108" i="123" s="1"/>
  <c r="AF106" i="123"/>
  <c r="AF102" i="123"/>
  <c r="AF105" i="123" s="1"/>
  <c r="AF201" i="123"/>
  <c r="AA203" i="124"/>
  <c r="AA204" i="124"/>
  <c r="AF132" i="123"/>
  <c r="AF126" i="123"/>
  <c r="AD191" i="125"/>
  <c r="AD194" i="125"/>
  <c r="AJ16" i="124"/>
  <c r="AI17" i="124"/>
  <c r="AG119" i="123"/>
  <c r="AG125" i="123"/>
  <c r="AJ16" i="126"/>
  <c r="AI17" i="126"/>
  <c r="AG125" i="124"/>
  <c r="AG119" i="124"/>
  <c r="AH27" i="125"/>
  <c r="AH173" i="125"/>
  <c r="AH175" i="125" s="1"/>
  <c r="AH197" i="125" s="1"/>
  <c r="AH87" i="125"/>
  <c r="AH91" i="125" s="1"/>
  <c r="AH35" i="125"/>
  <c r="AH22" i="125" s="1"/>
  <c r="AH118" i="125" s="1"/>
  <c r="AD142" i="125"/>
  <c r="AD143" i="125" s="1"/>
  <c r="AD145" i="125" s="1"/>
  <c r="AD167" i="125"/>
  <c r="AD168" i="125" s="1"/>
  <c r="AD169" i="125" s="1"/>
  <c r="AA204" i="125"/>
  <c r="AA203" i="125"/>
  <c r="AG25" i="125"/>
  <c r="AG86" i="125"/>
  <c r="AG85" i="125" s="1"/>
  <c r="AG34" i="125"/>
  <c r="AG152" i="125"/>
  <c r="AD142" i="123"/>
  <c r="AD143" i="123" s="1"/>
  <c r="AD145" i="123" s="1"/>
  <c r="AD167" i="123"/>
  <c r="AD168" i="123" s="1"/>
  <c r="AD169" i="123" s="1"/>
  <c r="AF103" i="127"/>
  <c r="AF108" i="127" s="1"/>
  <c r="AF201" i="127"/>
  <c r="AF102" i="127"/>
  <c r="AF105" i="127" s="1"/>
  <c r="AF106" i="127"/>
  <c r="AH27" i="127"/>
  <c r="AH35" i="127"/>
  <c r="AH22" i="127" s="1"/>
  <c r="AH118" i="127" s="1"/>
  <c r="AH87" i="127"/>
  <c r="AH91" i="127" s="1"/>
  <c r="AH173" i="127"/>
  <c r="AH175" i="127" s="1"/>
  <c r="AH197" i="127" s="1"/>
  <c r="AD167" i="126"/>
  <c r="AD168" i="126" s="1"/>
  <c r="AD169" i="126" s="1"/>
  <c r="AD142" i="126"/>
  <c r="AD143" i="126" s="1"/>
  <c r="AD145" i="126" s="1"/>
  <c r="AE141" i="125"/>
  <c r="AE133" i="125"/>
  <c r="AE135" i="125" s="1"/>
  <c r="AE189" i="125" s="1"/>
  <c r="AE190" i="125" s="1"/>
  <c r="AG25" i="124"/>
  <c r="AG86" i="124"/>
  <c r="AG85" i="124" s="1"/>
  <c r="AG34" i="124"/>
  <c r="AG152" i="124"/>
  <c r="AJ16" i="125"/>
  <c r="AI28" i="125"/>
  <c r="AI17" i="125"/>
  <c r="AC146" i="126"/>
  <c r="AC147" i="126"/>
  <c r="AG125" i="127"/>
  <c r="AG119" i="127"/>
  <c r="AC146" i="124"/>
  <c r="AC147" i="124"/>
  <c r="AD191" i="127"/>
  <c r="AD194" i="127"/>
  <c r="AC146" i="123"/>
  <c r="AC147" i="123"/>
  <c r="AD194" i="123"/>
  <c r="AD191" i="123"/>
  <c r="AG86" i="123"/>
  <c r="AG85" i="123" s="1"/>
  <c r="AG34" i="123"/>
  <c r="AG25" i="123"/>
  <c r="AG152" i="123"/>
  <c r="AJ19" i="127"/>
  <c r="AI28" i="127"/>
  <c r="AI20" i="127"/>
  <c r="AD191" i="126"/>
  <c r="AD194" i="126"/>
  <c r="AF103" i="126"/>
  <c r="AF108" i="126" s="1"/>
  <c r="AF106" i="126"/>
  <c r="AF102" i="126"/>
  <c r="AF105" i="126" s="1"/>
  <c r="AF201" i="126"/>
  <c r="AH27" i="126"/>
  <c r="AH87" i="126"/>
  <c r="AH91" i="126" s="1"/>
  <c r="AH173" i="126"/>
  <c r="AH175" i="126" s="1"/>
  <c r="AH197" i="126" s="1"/>
  <c r="AH35" i="126"/>
  <c r="AH22" i="126" s="1"/>
  <c r="AH118" i="126" s="1"/>
  <c r="AE133" i="123"/>
  <c r="AE135" i="123" s="1"/>
  <c r="AE189" i="123" s="1"/>
  <c r="AE190" i="123" s="1"/>
  <c r="AE141" i="123"/>
  <c r="AF103" i="125"/>
  <c r="AF108" i="125" s="1"/>
  <c r="AF102" i="125"/>
  <c r="AF105" i="125" s="1"/>
  <c r="AF106" i="125"/>
  <c r="AF201" i="125"/>
  <c r="AF103" i="124"/>
  <c r="AF108" i="124" s="1"/>
  <c r="AF102" i="124"/>
  <c r="AF105" i="124" s="1"/>
  <c r="AF201" i="124"/>
  <c r="AF106" i="124"/>
  <c r="AF126" i="127"/>
  <c r="AF132" i="127"/>
  <c r="AD167" i="127"/>
  <c r="AD168" i="127" s="1"/>
  <c r="AD169" i="127" s="1"/>
  <c r="AD142" i="127"/>
  <c r="AD143" i="127" s="1"/>
  <c r="AD145" i="127" s="1"/>
  <c r="AG86" i="126"/>
  <c r="AG85" i="126" s="1"/>
  <c r="AG25" i="126"/>
  <c r="AG34" i="126"/>
  <c r="AG152" i="126"/>
  <c r="AJ16" i="123"/>
  <c r="AI17" i="123"/>
  <c r="AE141" i="126"/>
  <c r="AE133" i="126"/>
  <c r="AE135" i="126" s="1"/>
  <c r="AE189" i="126" s="1"/>
  <c r="AE190" i="126" s="1"/>
  <c r="AE141" i="127"/>
  <c r="AE133" i="127"/>
  <c r="AE135" i="127" s="1"/>
  <c r="AE189" i="127" s="1"/>
  <c r="AE190" i="127" s="1"/>
  <c r="AC147" i="127"/>
  <c r="AC146" i="127"/>
  <c r="AJ19" i="125"/>
  <c r="AI20" i="125"/>
  <c r="AE141" i="124"/>
  <c r="AE133" i="124"/>
  <c r="AE135" i="124" s="1"/>
  <c r="AE189" i="124" s="1"/>
  <c r="AE190" i="124" s="1"/>
  <c r="AJ19" i="126"/>
  <c r="AI20" i="126"/>
  <c r="AI28" i="126"/>
  <c r="AB148" i="124"/>
  <c r="AB195" i="124" s="1"/>
  <c r="AB196" i="124" s="1"/>
  <c r="AB202" i="124" s="1"/>
  <c r="Y191" i="114"/>
  <c r="Y192" i="114" s="1"/>
  <c r="AA99" i="120"/>
  <c r="X192" i="114"/>
  <c r="X193" i="114"/>
  <c r="Z191" i="114"/>
  <c r="S124" i="120"/>
  <c r="AA185" i="114"/>
  <c r="AB135" i="114"/>
  <c r="AB136" i="114"/>
  <c r="AJ16" i="118"/>
  <c r="AI19" i="118"/>
  <c r="AI25" i="118"/>
  <c r="AJ21" i="118"/>
  <c r="Y33" i="128" s="1"/>
  <c r="Y31" i="128" s="1"/>
  <c r="Y30" i="128" s="1"/>
  <c r="R12" i="84"/>
  <c r="R6" i="84"/>
  <c r="R11" i="84"/>
  <c r="R7" i="84"/>
  <c r="R21" i="84" s="1"/>
  <c r="S4" i="84"/>
  <c r="S5" i="84" s="1"/>
  <c r="M23" i="84"/>
  <c r="Q15" i="84"/>
  <c r="P10" i="84"/>
  <c r="AG149" i="118" l="1"/>
  <c r="AG151" i="118" s="1"/>
  <c r="Y102" i="120"/>
  <c r="AB203" i="123"/>
  <c r="AB204" i="123"/>
  <c r="AB204" i="125"/>
  <c r="AJ22" i="118"/>
  <c r="AB108" i="120" s="1"/>
  <c r="AA107" i="120"/>
  <c r="AA114" i="120"/>
  <c r="AC148" i="127"/>
  <c r="AC195" i="127" s="1"/>
  <c r="AC196" i="127" s="1"/>
  <c r="AC202" i="127" s="1"/>
  <c r="AC204" i="127" s="1"/>
  <c r="AE202" i="118"/>
  <c r="AF154" i="118"/>
  <c r="AF201" i="118" s="1"/>
  <c r="X124" i="120" s="1"/>
  <c r="AJ17" i="118"/>
  <c r="AJ32" i="118" s="1"/>
  <c r="AH92" i="118"/>
  <c r="Z94" i="120"/>
  <c r="AH158" i="118"/>
  <c r="AH30" i="118"/>
  <c r="AH40" i="118"/>
  <c r="AH196" i="118"/>
  <c r="AG91" i="118"/>
  <c r="AG109" i="118" s="1"/>
  <c r="AG114" i="118" s="1"/>
  <c r="I34" i="120" s="1"/>
  <c r="O65" i="120" s="1"/>
  <c r="Y120" i="120"/>
  <c r="Y37" i="120"/>
  <c r="AG152" i="118"/>
  <c r="AG153" i="118"/>
  <c r="X123" i="120"/>
  <c r="AG200" i="118"/>
  <c r="Y123" i="120" s="1"/>
  <c r="AG197" i="118"/>
  <c r="AC148" i="124"/>
  <c r="AC195" i="124" s="1"/>
  <c r="AC196" i="124" s="1"/>
  <c r="AC202" i="124" s="1"/>
  <c r="AC203" i="124" s="1"/>
  <c r="AD146" i="125"/>
  <c r="AD147" i="125"/>
  <c r="AI27" i="123"/>
  <c r="AI87" i="123"/>
  <c r="AI91" i="123" s="1"/>
  <c r="AI35" i="123"/>
  <c r="AI22" i="123" s="1"/>
  <c r="AI118" i="123" s="1"/>
  <c r="AI173" i="123"/>
  <c r="AI175" i="123" s="1"/>
  <c r="AI197" i="123" s="1"/>
  <c r="AB203" i="124"/>
  <c r="AB204" i="124"/>
  <c r="AK19" i="125"/>
  <c r="AK20" i="125" s="1"/>
  <c r="AJ20" i="125"/>
  <c r="AD147" i="127"/>
  <c r="AD146" i="127"/>
  <c r="AG103" i="123"/>
  <c r="AG108" i="123" s="1"/>
  <c r="AG106" i="123"/>
  <c r="AG102" i="123"/>
  <c r="AG105" i="123" s="1"/>
  <c r="AG201" i="123"/>
  <c r="AI87" i="125"/>
  <c r="AI91" i="125" s="1"/>
  <c r="AI27" i="125"/>
  <c r="AI35" i="125"/>
  <c r="AI22" i="125" s="1"/>
  <c r="AI118" i="125" s="1"/>
  <c r="AI173" i="125"/>
  <c r="AI175" i="125" s="1"/>
  <c r="AI197" i="125" s="1"/>
  <c r="AE191" i="125"/>
  <c r="AE194" i="125"/>
  <c r="AF133" i="126"/>
  <c r="AF135" i="126" s="1"/>
  <c r="AF189" i="126" s="1"/>
  <c r="AF190" i="126" s="1"/>
  <c r="AF141" i="126"/>
  <c r="AK19" i="123"/>
  <c r="AJ20" i="123"/>
  <c r="AJ28" i="123"/>
  <c r="AH86" i="123"/>
  <c r="AH85" i="123" s="1"/>
  <c r="AH34" i="123"/>
  <c r="AH25" i="123"/>
  <c r="AH152" i="123"/>
  <c r="AE167" i="126"/>
  <c r="AE168" i="126" s="1"/>
  <c r="AE169" i="126" s="1"/>
  <c r="AE142" i="126"/>
  <c r="AE143" i="126" s="1"/>
  <c r="AE145" i="126" s="1"/>
  <c r="AK16" i="125"/>
  <c r="AJ28" i="125"/>
  <c r="AJ17" i="125"/>
  <c r="AE142" i="125"/>
  <c r="AE143" i="125" s="1"/>
  <c r="AE145" i="125" s="1"/>
  <c r="AE167" i="125"/>
  <c r="AE168" i="125" s="1"/>
  <c r="AE169" i="125" s="1"/>
  <c r="AH125" i="125"/>
  <c r="AH119" i="125"/>
  <c r="AK16" i="126"/>
  <c r="AJ17" i="126"/>
  <c r="AF141" i="123"/>
  <c r="AF133" i="123"/>
  <c r="AF135" i="123" s="1"/>
  <c r="AF189" i="123" s="1"/>
  <c r="AF190" i="123" s="1"/>
  <c r="AK19" i="124"/>
  <c r="AJ20" i="124"/>
  <c r="AJ28" i="124"/>
  <c r="AG132" i="125"/>
  <c r="AG126" i="125"/>
  <c r="AI173" i="127"/>
  <c r="AI175" i="127" s="1"/>
  <c r="AI197" i="127" s="1"/>
  <c r="AI35" i="127"/>
  <c r="AI22" i="127" s="1"/>
  <c r="AI118" i="127" s="1"/>
  <c r="AI87" i="127"/>
  <c r="AI91" i="127" s="1"/>
  <c r="AI27" i="127"/>
  <c r="AD146" i="126"/>
  <c r="AD147" i="126"/>
  <c r="AG103" i="125"/>
  <c r="AG108" i="125" s="1"/>
  <c r="AG102" i="125"/>
  <c r="AG105" i="125" s="1"/>
  <c r="AG201" i="125"/>
  <c r="AG106" i="125"/>
  <c r="AG126" i="123"/>
  <c r="AG132" i="123"/>
  <c r="AF141" i="124"/>
  <c r="AF133" i="124"/>
  <c r="AF135" i="124" s="1"/>
  <c r="AF189" i="124" s="1"/>
  <c r="AF190" i="124" s="1"/>
  <c r="AK16" i="127"/>
  <c r="AJ17" i="127"/>
  <c r="AK19" i="127"/>
  <c r="AJ28" i="127"/>
  <c r="AJ20" i="127"/>
  <c r="AC148" i="125"/>
  <c r="AC195" i="125" s="1"/>
  <c r="AC196" i="125" s="1"/>
  <c r="AC202" i="125" s="1"/>
  <c r="AK16" i="123"/>
  <c r="AJ17" i="123"/>
  <c r="AH86" i="126"/>
  <c r="AH85" i="126" s="1"/>
  <c r="AH25" i="126"/>
  <c r="AH34" i="126"/>
  <c r="AH152" i="126"/>
  <c r="Y193" i="114"/>
  <c r="AE194" i="124"/>
  <c r="AE191" i="124"/>
  <c r="AE167" i="127"/>
  <c r="AE168" i="127" s="1"/>
  <c r="AE169" i="127" s="1"/>
  <c r="AE142" i="127"/>
  <c r="AE143" i="127" s="1"/>
  <c r="AE145" i="127" s="1"/>
  <c r="AC148" i="123"/>
  <c r="AC195" i="123" s="1"/>
  <c r="AC196" i="123" s="1"/>
  <c r="AC202" i="123" s="1"/>
  <c r="AG132" i="127"/>
  <c r="AG126" i="127"/>
  <c r="AH86" i="125"/>
  <c r="AH85" i="125" s="1"/>
  <c r="AH34" i="125"/>
  <c r="AH25" i="125"/>
  <c r="AH152" i="125"/>
  <c r="AF133" i="125"/>
  <c r="AF135" i="125" s="1"/>
  <c r="AF189" i="125" s="1"/>
  <c r="AF190" i="125" s="1"/>
  <c r="AF141" i="125"/>
  <c r="AH125" i="124"/>
  <c r="AH119" i="124"/>
  <c r="AG132" i="126"/>
  <c r="AG126" i="126"/>
  <c r="AK19" i="126"/>
  <c r="AJ20" i="126"/>
  <c r="AJ28" i="126"/>
  <c r="AG103" i="124"/>
  <c r="AG108" i="124" s="1"/>
  <c r="AG102" i="124"/>
  <c r="AG105" i="124" s="1"/>
  <c r="AG106" i="124"/>
  <c r="AG201" i="124"/>
  <c r="AD147" i="123"/>
  <c r="AD146" i="123"/>
  <c r="AK16" i="124"/>
  <c r="AJ17" i="124"/>
  <c r="AG103" i="127"/>
  <c r="AG108" i="127" s="1"/>
  <c r="AG102" i="127"/>
  <c r="AG105" i="127" s="1"/>
  <c r="AG106" i="127"/>
  <c r="AG201" i="127"/>
  <c r="AH25" i="124"/>
  <c r="AH86" i="124"/>
  <c r="AH85" i="124" s="1"/>
  <c r="AH34" i="124"/>
  <c r="AH152" i="124"/>
  <c r="AD147" i="124"/>
  <c r="AD146" i="124"/>
  <c r="AH125" i="126"/>
  <c r="AH119" i="126"/>
  <c r="AH25" i="127"/>
  <c r="AH86" i="127"/>
  <c r="AH85" i="127" s="1"/>
  <c r="AH34" i="127"/>
  <c r="AH152" i="127"/>
  <c r="AI27" i="124"/>
  <c r="AI173" i="124"/>
  <c r="AI175" i="124" s="1"/>
  <c r="AI197" i="124" s="1"/>
  <c r="AI87" i="124"/>
  <c r="AI91" i="124" s="1"/>
  <c r="AI35" i="124"/>
  <c r="AI22" i="124" s="1"/>
  <c r="AI118" i="124" s="1"/>
  <c r="AI27" i="126"/>
  <c r="AI173" i="126"/>
  <c r="AI175" i="126" s="1"/>
  <c r="AI197" i="126" s="1"/>
  <c r="AI87" i="126"/>
  <c r="AI91" i="126" s="1"/>
  <c r="AI35" i="126"/>
  <c r="AI22" i="126" s="1"/>
  <c r="AI118" i="126" s="1"/>
  <c r="AF133" i="127"/>
  <c r="AF135" i="127" s="1"/>
  <c r="AF189" i="127" s="1"/>
  <c r="AF190" i="127" s="1"/>
  <c r="AF141" i="127"/>
  <c r="AE194" i="127"/>
  <c r="AE191" i="127"/>
  <c r="AE142" i="124"/>
  <c r="AE143" i="124" s="1"/>
  <c r="AE145" i="124" s="1"/>
  <c r="AE167" i="124"/>
  <c r="AE168" i="124" s="1"/>
  <c r="AE169" i="124" s="1"/>
  <c r="AE142" i="123"/>
  <c r="AE143" i="123" s="1"/>
  <c r="AE145" i="123" s="1"/>
  <c r="AE167" i="123"/>
  <c r="AE168" i="123" s="1"/>
  <c r="AE169" i="123" s="1"/>
  <c r="AE191" i="126"/>
  <c r="AE194" i="126"/>
  <c r="AG103" i="126"/>
  <c r="AG108" i="126" s="1"/>
  <c r="AG102" i="126"/>
  <c r="AG105" i="126" s="1"/>
  <c r="AG201" i="126"/>
  <c r="AG106" i="126"/>
  <c r="AE191" i="123"/>
  <c r="AE194" i="123"/>
  <c r="AC148" i="126"/>
  <c r="AC195" i="126" s="1"/>
  <c r="AC196" i="126" s="1"/>
  <c r="AC202" i="126" s="1"/>
  <c r="AH119" i="127"/>
  <c r="AH125" i="127"/>
  <c r="AG132" i="124"/>
  <c r="AG126" i="124"/>
  <c r="AH125" i="123"/>
  <c r="AH119" i="123"/>
  <c r="AB99" i="120"/>
  <c r="AB137" i="114"/>
  <c r="AB184" i="114" s="1"/>
  <c r="AA191" i="114"/>
  <c r="Z192" i="114"/>
  <c r="Z193" i="114"/>
  <c r="AK16" i="118"/>
  <c r="AJ19" i="118"/>
  <c r="AJ25" i="118"/>
  <c r="AK21" i="118"/>
  <c r="AL21" i="118" s="1"/>
  <c r="R16" i="84"/>
  <c r="R14" i="84"/>
  <c r="N23" i="84"/>
  <c r="S17" i="84"/>
  <c r="Q10" i="84"/>
  <c r="AH149" i="118" l="1"/>
  <c r="AH151" i="118" s="1"/>
  <c r="Z102" i="120"/>
  <c r="AD148" i="127"/>
  <c r="AD195" i="127" s="1"/>
  <c r="AD196" i="127" s="1"/>
  <c r="AD202" i="127" s="1"/>
  <c r="AC203" i="127"/>
  <c r="AB107" i="120"/>
  <c r="AB114" i="120"/>
  <c r="AK22" i="118"/>
  <c r="AC108" i="120" s="1"/>
  <c r="AC204" i="124"/>
  <c r="AF202" i="118"/>
  <c r="AG154" i="118"/>
  <c r="AG201" i="118" s="1"/>
  <c r="Y124" i="120" s="1"/>
  <c r="AH153" i="118"/>
  <c r="AH152" i="118"/>
  <c r="AH197" i="118"/>
  <c r="AH200" i="118"/>
  <c r="Z123" i="120" s="1"/>
  <c r="Z37" i="120"/>
  <c r="AH91" i="118"/>
  <c r="AH109" i="118" s="1"/>
  <c r="AH114" i="118" s="1"/>
  <c r="Z120" i="120"/>
  <c r="AK17" i="118"/>
  <c r="AK32" i="118" s="1"/>
  <c r="AI30" i="118"/>
  <c r="AI196" i="118"/>
  <c r="AI158" i="118"/>
  <c r="AI40" i="118"/>
  <c r="AA94" i="120"/>
  <c r="AI92" i="118"/>
  <c r="AL25" i="118"/>
  <c r="AA33" i="128"/>
  <c r="AA31" i="128" s="1"/>
  <c r="AA30" i="128" s="1"/>
  <c r="AD148" i="125"/>
  <c r="AD195" i="125" s="1"/>
  <c r="AD196" i="125" s="1"/>
  <c r="AD202" i="125" s="1"/>
  <c r="AH132" i="124"/>
  <c r="AH126" i="124"/>
  <c r="AG141" i="124"/>
  <c r="AG133" i="124"/>
  <c r="AG135" i="124" s="1"/>
  <c r="AG189" i="124" s="1"/>
  <c r="AG190" i="124" s="1"/>
  <c r="AJ27" i="126"/>
  <c r="AJ35" i="126"/>
  <c r="AJ22" i="126" s="1"/>
  <c r="AJ118" i="126" s="1"/>
  <c r="AJ87" i="126"/>
  <c r="AJ91" i="126" s="1"/>
  <c r="AJ173" i="126"/>
  <c r="AJ175" i="126" s="1"/>
  <c r="AJ197" i="126" s="1"/>
  <c r="AF142" i="125"/>
  <c r="AF143" i="125" s="1"/>
  <c r="AF145" i="125" s="1"/>
  <c r="AF167" i="125"/>
  <c r="AF168" i="125" s="1"/>
  <c r="AF169" i="125" s="1"/>
  <c r="AL16" i="127"/>
  <c r="AL17" i="127" s="1"/>
  <c r="AK17" i="127"/>
  <c r="AI125" i="127"/>
  <c r="AI119" i="127"/>
  <c r="AF167" i="123"/>
  <c r="AF168" i="123" s="1"/>
  <c r="AF169" i="123" s="1"/>
  <c r="AF142" i="123"/>
  <c r="AF143" i="123" s="1"/>
  <c r="AF145" i="123" s="1"/>
  <c r="AJ27" i="125"/>
  <c r="AJ35" i="125"/>
  <c r="AJ22" i="125" s="1"/>
  <c r="AJ118" i="125" s="1"/>
  <c r="AJ87" i="125"/>
  <c r="AJ91" i="125" s="1"/>
  <c r="AJ173" i="125"/>
  <c r="AJ175" i="125" s="1"/>
  <c r="AJ197" i="125" s="1"/>
  <c r="AF191" i="126"/>
  <c r="AF194" i="126"/>
  <c r="AH103" i="125"/>
  <c r="AH108" i="125" s="1"/>
  <c r="AH102" i="125"/>
  <c r="AH105" i="125" s="1"/>
  <c r="AH106" i="125"/>
  <c r="AH201" i="125"/>
  <c r="AL16" i="123"/>
  <c r="AL17" i="123" s="1"/>
  <c r="AK17" i="123"/>
  <c r="AF191" i="124"/>
  <c r="AF194" i="124"/>
  <c r="AL16" i="125"/>
  <c r="AK17" i="125"/>
  <c r="AK28" i="125"/>
  <c r="AF191" i="123"/>
  <c r="AF194" i="123"/>
  <c r="AF167" i="126"/>
  <c r="AF168" i="126" s="1"/>
  <c r="AF169" i="126" s="1"/>
  <c r="AF142" i="126"/>
  <c r="AF143" i="126" s="1"/>
  <c r="AF145" i="126" s="1"/>
  <c r="AE147" i="124"/>
  <c r="AE146" i="124"/>
  <c r="AH103" i="127"/>
  <c r="AH108" i="127" s="1"/>
  <c r="AH201" i="127"/>
  <c r="AH106" i="127"/>
  <c r="AH102" i="127"/>
  <c r="AH105" i="127" s="1"/>
  <c r="AL16" i="124"/>
  <c r="AL17" i="124" s="1"/>
  <c r="AK17" i="124"/>
  <c r="AG141" i="127"/>
  <c r="AG133" i="127"/>
  <c r="AG135" i="127" s="1"/>
  <c r="AG189" i="127" s="1"/>
  <c r="AG190" i="127" s="1"/>
  <c r="AI119" i="124"/>
  <c r="AI125" i="124"/>
  <c r="AH103" i="124"/>
  <c r="AH108" i="124" s="1"/>
  <c r="AH201" i="124"/>
  <c r="AH106" i="124"/>
  <c r="AH102" i="124"/>
  <c r="AH105" i="124" s="1"/>
  <c r="AD148" i="123"/>
  <c r="AD195" i="123" s="1"/>
  <c r="AD196" i="123" s="1"/>
  <c r="AD202" i="123" s="1"/>
  <c r="AL19" i="126"/>
  <c r="AK28" i="126"/>
  <c r="AK20" i="126"/>
  <c r="AC203" i="123"/>
  <c r="AC204" i="123"/>
  <c r="AC203" i="125"/>
  <c r="AC204" i="125"/>
  <c r="AF142" i="124"/>
  <c r="AF143" i="124" s="1"/>
  <c r="AF145" i="124" s="1"/>
  <c r="AF167" i="124"/>
  <c r="AF168" i="124" s="1"/>
  <c r="AF169" i="124" s="1"/>
  <c r="AL16" i="126"/>
  <c r="AL17" i="126" s="1"/>
  <c r="AK17" i="126"/>
  <c r="AI125" i="123"/>
  <c r="AI119" i="123"/>
  <c r="AH103" i="126"/>
  <c r="AH108" i="126" s="1"/>
  <c r="AH102" i="126"/>
  <c r="AH105" i="126" s="1"/>
  <c r="AH106" i="126"/>
  <c r="AH201" i="126"/>
  <c r="AH132" i="127"/>
  <c r="AH126" i="127"/>
  <c r="AI25" i="126"/>
  <c r="AI34" i="126"/>
  <c r="AI86" i="126"/>
  <c r="AI85" i="126" s="1"/>
  <c r="AI152" i="126"/>
  <c r="AF194" i="125"/>
  <c r="AF191" i="125"/>
  <c r="AC203" i="126"/>
  <c r="AC204" i="126"/>
  <c r="AF142" i="127"/>
  <c r="AF143" i="127" s="1"/>
  <c r="AF145" i="127" s="1"/>
  <c r="AF167" i="127"/>
  <c r="AF168" i="127" s="1"/>
  <c r="AF169" i="127" s="1"/>
  <c r="AG133" i="125"/>
  <c r="AG135" i="125" s="1"/>
  <c r="AG189" i="125" s="1"/>
  <c r="AG190" i="125" s="1"/>
  <c r="AG141" i="125"/>
  <c r="AH103" i="123"/>
  <c r="AH108" i="123" s="1"/>
  <c r="AH102" i="123"/>
  <c r="AH105" i="123" s="1"/>
  <c r="AH106" i="123"/>
  <c r="AH201" i="123"/>
  <c r="AD203" i="127"/>
  <c r="AD204" i="127"/>
  <c r="AG141" i="123"/>
  <c r="AG133" i="123"/>
  <c r="AG135" i="123" s="1"/>
  <c r="AG189" i="123" s="1"/>
  <c r="AG190" i="123" s="1"/>
  <c r="AD148" i="126"/>
  <c r="AD195" i="126" s="1"/>
  <c r="AD196" i="126" s="1"/>
  <c r="AD202" i="126" s="1"/>
  <c r="AJ27" i="124"/>
  <c r="AJ35" i="124"/>
  <c r="AJ22" i="124" s="1"/>
  <c r="AJ118" i="124" s="1"/>
  <c r="AJ87" i="124"/>
  <c r="AJ91" i="124" s="1"/>
  <c r="AJ173" i="124"/>
  <c r="AJ175" i="124" s="1"/>
  <c r="AJ197" i="124" s="1"/>
  <c r="AH126" i="125"/>
  <c r="AH132" i="125"/>
  <c r="AJ27" i="123"/>
  <c r="AJ35" i="123"/>
  <c r="AJ22" i="123" s="1"/>
  <c r="AJ118" i="123" s="1"/>
  <c r="AJ173" i="123"/>
  <c r="AJ175" i="123" s="1"/>
  <c r="AJ197" i="123" s="1"/>
  <c r="AJ87" i="123"/>
  <c r="AJ91" i="123" s="1"/>
  <c r="AI125" i="125"/>
  <c r="AI119" i="125"/>
  <c r="AI25" i="123"/>
  <c r="AI34" i="123"/>
  <c r="AI86" i="123"/>
  <c r="AI85" i="123" s="1"/>
  <c r="AI152" i="123"/>
  <c r="AF194" i="127"/>
  <c r="AF191" i="127"/>
  <c r="AH132" i="126"/>
  <c r="AH126" i="126"/>
  <c r="AE147" i="127"/>
  <c r="AE146" i="127"/>
  <c r="AJ27" i="127"/>
  <c r="AJ173" i="127"/>
  <c r="AJ175" i="127" s="1"/>
  <c r="AJ197" i="127" s="1"/>
  <c r="AJ87" i="127"/>
  <c r="AJ91" i="127" s="1"/>
  <c r="AJ35" i="127"/>
  <c r="AJ22" i="127" s="1"/>
  <c r="AJ118" i="127" s="1"/>
  <c r="AI86" i="124"/>
  <c r="AI85" i="124" s="1"/>
  <c r="AI34" i="124"/>
  <c r="AI25" i="124"/>
  <c r="AI152" i="124"/>
  <c r="AD148" i="124"/>
  <c r="AD195" i="124" s="1"/>
  <c r="AD196" i="124" s="1"/>
  <c r="AD202" i="124" s="1"/>
  <c r="AG133" i="126"/>
  <c r="AG135" i="126" s="1"/>
  <c r="AG189" i="126" s="1"/>
  <c r="AG190" i="126" s="1"/>
  <c r="AG141" i="126"/>
  <c r="AL19" i="127"/>
  <c r="AK20" i="127"/>
  <c r="AK28" i="127"/>
  <c r="AE147" i="126"/>
  <c r="AE146" i="126"/>
  <c r="AI86" i="125"/>
  <c r="AI85" i="125" s="1"/>
  <c r="AI34" i="125"/>
  <c r="AI25" i="125"/>
  <c r="AI152" i="125"/>
  <c r="AH126" i="123"/>
  <c r="AH132" i="123"/>
  <c r="AE146" i="123"/>
  <c r="AE147" i="123"/>
  <c r="AI125" i="126"/>
  <c r="AI119" i="126"/>
  <c r="AI34" i="127"/>
  <c r="AI25" i="127"/>
  <c r="AI86" i="127"/>
  <c r="AI85" i="127" s="1"/>
  <c r="AI152" i="127"/>
  <c r="AL19" i="124"/>
  <c r="AK20" i="124"/>
  <c r="AK28" i="124"/>
  <c r="AE147" i="125"/>
  <c r="AE146" i="125"/>
  <c r="AL19" i="123"/>
  <c r="AK20" i="123"/>
  <c r="AK28" i="123"/>
  <c r="AD203" i="125"/>
  <c r="AD204" i="125"/>
  <c r="AK25" i="118"/>
  <c r="Z33" i="128"/>
  <c r="Z31" i="128" s="1"/>
  <c r="Z30" i="128" s="1"/>
  <c r="AC99" i="120"/>
  <c r="AA193" i="114"/>
  <c r="AA192" i="114"/>
  <c r="AB185" i="114"/>
  <c r="T124" i="120"/>
  <c r="AK19" i="118"/>
  <c r="AL16" i="118"/>
  <c r="S12" i="84"/>
  <c r="S11" i="84"/>
  <c r="S7" i="84"/>
  <c r="S21" i="84" s="1"/>
  <c r="S6" i="84"/>
  <c r="T4" i="84"/>
  <c r="T5" i="84" s="1"/>
  <c r="O23" i="84"/>
  <c r="R15" i="84"/>
  <c r="R10" i="84"/>
  <c r="AI149" i="118" l="1"/>
  <c r="AI151" i="118" s="1"/>
  <c r="AA102" i="120"/>
  <c r="AG202" i="118"/>
  <c r="AC107" i="120"/>
  <c r="AC114" i="120"/>
  <c r="AL22" i="118"/>
  <c r="AD108" i="120" s="1"/>
  <c r="AE148" i="127"/>
  <c r="AE195" i="127" s="1"/>
  <c r="AE196" i="127" s="1"/>
  <c r="AE202" i="127" s="1"/>
  <c r="AE204" i="127" s="1"/>
  <c r="AH154" i="118"/>
  <c r="AH201" i="118" s="1"/>
  <c r="Z124" i="120" s="1"/>
  <c r="AI200" i="118"/>
  <c r="AA123" i="120" s="1"/>
  <c r="AI197" i="118"/>
  <c r="AA37" i="120"/>
  <c r="AA120" i="120"/>
  <c r="AI91" i="118"/>
  <c r="AI109" i="118" s="1"/>
  <c r="AI114" i="118" s="1"/>
  <c r="AJ40" i="118"/>
  <c r="AB94" i="120"/>
  <c r="AJ158" i="118"/>
  <c r="AJ92" i="118"/>
  <c r="AJ196" i="118"/>
  <c r="AJ30" i="118"/>
  <c r="AI153" i="118"/>
  <c r="AI152" i="118"/>
  <c r="AL17" i="118"/>
  <c r="AE148" i="125"/>
  <c r="AE195" i="125" s="1"/>
  <c r="AE196" i="125" s="1"/>
  <c r="AE202" i="125" s="1"/>
  <c r="AE204" i="125" s="1"/>
  <c r="AE148" i="123"/>
  <c r="AE195" i="123" s="1"/>
  <c r="AE196" i="123" s="1"/>
  <c r="AE202" i="123" s="1"/>
  <c r="AE204" i="123" s="1"/>
  <c r="AD203" i="124"/>
  <c r="AD204" i="124"/>
  <c r="AD203" i="123"/>
  <c r="AD204" i="123"/>
  <c r="AG167" i="127"/>
  <c r="AG168" i="127" s="1"/>
  <c r="AG169" i="127" s="1"/>
  <c r="AG142" i="127"/>
  <c r="AG143" i="127" s="1"/>
  <c r="AG145" i="127" s="1"/>
  <c r="AL28" i="125"/>
  <c r="AL17" i="125"/>
  <c r="AL28" i="123"/>
  <c r="AL20" i="123"/>
  <c r="AI103" i="127"/>
  <c r="AI108" i="127" s="1"/>
  <c r="AI106" i="127"/>
  <c r="AI102" i="127"/>
  <c r="AI105" i="127" s="1"/>
  <c r="AI201" i="127"/>
  <c r="AH141" i="123"/>
  <c r="AH133" i="123"/>
  <c r="AH135" i="123" s="1"/>
  <c r="AH189" i="123" s="1"/>
  <c r="AH190" i="123" s="1"/>
  <c r="AE148" i="126"/>
  <c r="AE195" i="126" s="1"/>
  <c r="AE196" i="126" s="1"/>
  <c r="AE202" i="126" s="1"/>
  <c r="AJ86" i="127"/>
  <c r="AJ85" i="127" s="1"/>
  <c r="AJ34" i="127"/>
  <c r="AJ25" i="127"/>
  <c r="AJ152" i="127"/>
  <c r="AJ86" i="124"/>
  <c r="AJ85" i="124" s="1"/>
  <c r="AJ34" i="124"/>
  <c r="AJ25" i="124"/>
  <c r="AJ152" i="124"/>
  <c r="AF147" i="126"/>
  <c r="AF146" i="126"/>
  <c r="AJ125" i="126"/>
  <c r="AJ119" i="126"/>
  <c r="AI103" i="125"/>
  <c r="AI108" i="125" s="1"/>
  <c r="AI106" i="125"/>
  <c r="AI102" i="125"/>
  <c r="AI105" i="125" s="1"/>
  <c r="AI201" i="125"/>
  <c r="AJ125" i="124"/>
  <c r="AJ119" i="124"/>
  <c r="AJ125" i="123"/>
  <c r="AJ119" i="123"/>
  <c r="AD203" i="126"/>
  <c r="AD204" i="126"/>
  <c r="AI132" i="127"/>
  <c r="AI126" i="127"/>
  <c r="AJ86" i="126"/>
  <c r="AJ85" i="126" s="1"/>
  <c r="AJ34" i="126"/>
  <c r="AJ25" i="126"/>
  <c r="AJ152" i="126"/>
  <c r="AF147" i="127"/>
  <c r="AF146" i="127"/>
  <c r="AK27" i="127"/>
  <c r="AK173" i="127"/>
  <c r="AK175" i="127" s="1"/>
  <c r="AK197" i="127" s="1"/>
  <c r="AK35" i="127"/>
  <c r="AK22" i="127" s="1"/>
  <c r="AK118" i="127" s="1"/>
  <c r="AK87" i="127"/>
  <c r="AK91" i="127" s="1"/>
  <c r="AI103" i="123"/>
  <c r="AI108" i="123" s="1"/>
  <c r="AI102" i="123"/>
  <c r="AI105" i="123" s="1"/>
  <c r="AI201" i="123"/>
  <c r="AI106" i="123"/>
  <c r="AJ86" i="123"/>
  <c r="AJ85" i="123" s="1"/>
  <c r="AJ34" i="123"/>
  <c r="AJ25" i="123"/>
  <c r="AJ152" i="123"/>
  <c r="AG191" i="123"/>
  <c r="AG194" i="123"/>
  <c r="AG142" i="125"/>
  <c r="AG143" i="125" s="1"/>
  <c r="AG145" i="125" s="1"/>
  <c r="AG167" i="125"/>
  <c r="AG168" i="125" s="1"/>
  <c r="AG169" i="125" s="1"/>
  <c r="AH141" i="127"/>
  <c r="AH133" i="127"/>
  <c r="AH135" i="127" s="1"/>
  <c r="AH189" i="127" s="1"/>
  <c r="AH190" i="127" s="1"/>
  <c r="AG191" i="124"/>
  <c r="AG194" i="124"/>
  <c r="AF146" i="124"/>
  <c r="AF147" i="124"/>
  <c r="AE203" i="127"/>
  <c r="AH141" i="125"/>
  <c r="AH133" i="125"/>
  <c r="AH135" i="125" s="1"/>
  <c r="AH189" i="125" s="1"/>
  <c r="AH190" i="125" s="1"/>
  <c r="AG167" i="123"/>
  <c r="AG168" i="123" s="1"/>
  <c r="AG169" i="123" s="1"/>
  <c r="AG142" i="123"/>
  <c r="AG143" i="123" s="1"/>
  <c r="AG145" i="123" s="1"/>
  <c r="AG191" i="125"/>
  <c r="AG194" i="125"/>
  <c r="AI132" i="123"/>
  <c r="AI126" i="123"/>
  <c r="AG167" i="124"/>
  <c r="AG168" i="124" s="1"/>
  <c r="AG169" i="124" s="1"/>
  <c r="AG142" i="124"/>
  <c r="AG143" i="124" s="1"/>
  <c r="AG145" i="124" s="1"/>
  <c r="AK27" i="123"/>
  <c r="AK87" i="123"/>
  <c r="AK91" i="123" s="1"/>
  <c r="AK173" i="123"/>
  <c r="AK175" i="123" s="1"/>
  <c r="AK197" i="123" s="1"/>
  <c r="AK35" i="123"/>
  <c r="AK22" i="123" s="1"/>
  <c r="AK118" i="123" s="1"/>
  <c r="AK27" i="124"/>
  <c r="AK35" i="124"/>
  <c r="AK22" i="124" s="1"/>
  <c r="AK118" i="124" s="1"/>
  <c r="AK87" i="124"/>
  <c r="AK91" i="124" s="1"/>
  <c r="AK173" i="124"/>
  <c r="AK175" i="124" s="1"/>
  <c r="AK197" i="124" s="1"/>
  <c r="AL28" i="127"/>
  <c r="AL20" i="127"/>
  <c r="AI103" i="124"/>
  <c r="AI108" i="124" s="1"/>
  <c r="AI106" i="124"/>
  <c r="AI201" i="124"/>
  <c r="AI102" i="124"/>
  <c r="AI105" i="124" s="1"/>
  <c r="AI132" i="124"/>
  <c r="AI126" i="124"/>
  <c r="AJ119" i="125"/>
  <c r="AJ125" i="125"/>
  <c r="AL28" i="124"/>
  <c r="AL20" i="124"/>
  <c r="AI132" i="126"/>
  <c r="AI126" i="126"/>
  <c r="AG142" i="126"/>
  <c r="AG143" i="126" s="1"/>
  <c r="AG145" i="126" s="1"/>
  <c r="AG167" i="126"/>
  <c r="AG168" i="126" s="1"/>
  <c r="AG169" i="126" s="1"/>
  <c r="AJ125" i="127"/>
  <c r="AJ119" i="127"/>
  <c r="AH141" i="126"/>
  <c r="AH133" i="126"/>
  <c r="AH135" i="126" s="1"/>
  <c r="AH189" i="126" s="1"/>
  <c r="AH190" i="126" s="1"/>
  <c r="AK27" i="126"/>
  <c r="AK173" i="126"/>
  <c r="AK175" i="126" s="1"/>
  <c r="AK197" i="126" s="1"/>
  <c r="AK35" i="126"/>
  <c r="AK22" i="126" s="1"/>
  <c r="AK118" i="126" s="1"/>
  <c r="AK87" i="126"/>
  <c r="AK91" i="126" s="1"/>
  <c r="AK27" i="125"/>
  <c r="AK35" i="125"/>
  <c r="AK22" i="125" s="1"/>
  <c r="AK118" i="125" s="1"/>
  <c r="AK87" i="125"/>
  <c r="AK91" i="125" s="1"/>
  <c r="AK173" i="125"/>
  <c r="AK175" i="125" s="1"/>
  <c r="AK197" i="125" s="1"/>
  <c r="AJ86" i="125"/>
  <c r="AJ85" i="125" s="1"/>
  <c r="AJ34" i="125"/>
  <c r="AJ25" i="125"/>
  <c r="AJ152" i="125"/>
  <c r="AF146" i="125"/>
  <c r="AF147" i="125"/>
  <c r="AG191" i="126"/>
  <c r="AG194" i="126"/>
  <c r="AI126" i="125"/>
  <c r="AI132" i="125"/>
  <c r="AI103" i="126"/>
  <c r="AI108" i="126" s="1"/>
  <c r="AI106" i="126"/>
  <c r="AI102" i="126"/>
  <c r="AI105" i="126" s="1"/>
  <c r="AI201" i="126"/>
  <c r="AL20" i="126"/>
  <c r="AL28" i="126"/>
  <c r="AG191" i="127"/>
  <c r="AG194" i="127"/>
  <c r="AE148" i="124"/>
  <c r="AE195" i="124" s="1"/>
  <c r="AE196" i="124" s="1"/>
  <c r="AE202" i="124" s="1"/>
  <c r="AF146" i="123"/>
  <c r="AF147" i="123"/>
  <c r="AH133" i="124"/>
  <c r="AH135" i="124" s="1"/>
  <c r="AH189" i="124" s="1"/>
  <c r="AH190" i="124" s="1"/>
  <c r="AH141" i="124"/>
  <c r="H66" i="120"/>
  <c r="AB191" i="114"/>
  <c r="AL19" i="118"/>
  <c r="AD99" i="120"/>
  <c r="S16" i="84"/>
  <c r="S14" i="84"/>
  <c r="P23" i="84"/>
  <c r="T17" i="84"/>
  <c r="S10" i="84"/>
  <c r="AJ149" i="118" l="1"/>
  <c r="AJ151" i="118" s="1"/>
  <c r="AB102" i="120"/>
  <c r="AD114" i="120"/>
  <c r="AL32" i="118"/>
  <c r="AE203" i="125"/>
  <c r="AE203" i="123"/>
  <c r="AN32" i="118"/>
  <c r="AD107" i="120"/>
  <c r="AI154" i="118"/>
  <c r="AI201" i="118" s="1"/>
  <c r="AA124" i="120" s="1"/>
  <c r="AH202" i="118"/>
  <c r="AJ152" i="118"/>
  <c r="AJ153" i="118"/>
  <c r="AJ197" i="118"/>
  <c r="AJ200" i="118"/>
  <c r="AK158" i="118"/>
  <c r="AK196" i="118"/>
  <c r="AK30" i="118"/>
  <c r="AK92" i="118"/>
  <c r="AK40" i="118"/>
  <c r="AC94" i="120"/>
  <c r="AB37" i="120"/>
  <c r="AJ91" i="118"/>
  <c r="AJ109" i="118" s="1"/>
  <c r="AJ114" i="118" s="1"/>
  <c r="AB120" i="120"/>
  <c r="AF148" i="123"/>
  <c r="AF195" i="123" s="1"/>
  <c r="AF196" i="123" s="1"/>
  <c r="AF202" i="123" s="1"/>
  <c r="AF204" i="123" s="1"/>
  <c r="AF148" i="127"/>
  <c r="AF195" i="127" s="1"/>
  <c r="AF196" i="127" s="1"/>
  <c r="AF202" i="127" s="1"/>
  <c r="AF204" i="127" s="1"/>
  <c r="AH191" i="123"/>
  <c r="AH194" i="123"/>
  <c r="AH167" i="124"/>
  <c r="AH168" i="124" s="1"/>
  <c r="AH169" i="124" s="1"/>
  <c r="AH142" i="124"/>
  <c r="AH143" i="124" s="1"/>
  <c r="AH145" i="124" s="1"/>
  <c r="AK125" i="126"/>
  <c r="AK119" i="126"/>
  <c r="AG147" i="126"/>
  <c r="AG146" i="126"/>
  <c r="AJ103" i="123"/>
  <c r="AJ108" i="123" s="1"/>
  <c r="AJ102" i="123"/>
  <c r="AJ105" i="123" s="1"/>
  <c r="AJ106" i="123"/>
  <c r="AJ201" i="123"/>
  <c r="AK86" i="127"/>
  <c r="AK85" i="127" s="1"/>
  <c r="AK34" i="127"/>
  <c r="AK25" i="127"/>
  <c r="AK152" i="127"/>
  <c r="AF148" i="126"/>
  <c r="AF195" i="126" s="1"/>
  <c r="AF196" i="126" s="1"/>
  <c r="AF202" i="126" s="1"/>
  <c r="AH167" i="123"/>
  <c r="AH168" i="123" s="1"/>
  <c r="AH169" i="123" s="1"/>
  <c r="AH142" i="123"/>
  <c r="AH143" i="123" s="1"/>
  <c r="AH145" i="123" s="1"/>
  <c r="AL27" i="125"/>
  <c r="AL173" i="125"/>
  <c r="AL175" i="125" s="1"/>
  <c r="AL197" i="125" s="1"/>
  <c r="AL35" i="125"/>
  <c r="AL22" i="125" s="1"/>
  <c r="AL118" i="125" s="1"/>
  <c r="AL87" i="125"/>
  <c r="AL27" i="126"/>
  <c r="AL173" i="126"/>
  <c r="AL175" i="126" s="1"/>
  <c r="AL197" i="126" s="1"/>
  <c r="AL35" i="126"/>
  <c r="AL22" i="126" s="1"/>
  <c r="AL118" i="126" s="1"/>
  <c r="AL87" i="126"/>
  <c r="AG146" i="123"/>
  <c r="AG147" i="123"/>
  <c r="AG146" i="125"/>
  <c r="AG147" i="125"/>
  <c r="AJ103" i="126"/>
  <c r="AJ108" i="126" s="1"/>
  <c r="AJ106" i="126"/>
  <c r="AJ102" i="126"/>
  <c r="AJ105" i="126" s="1"/>
  <c r="AJ201" i="126"/>
  <c r="AJ132" i="124"/>
  <c r="AJ126" i="124"/>
  <c r="AG147" i="127"/>
  <c r="AG146" i="127"/>
  <c r="AJ103" i="125"/>
  <c r="AJ108" i="125" s="1"/>
  <c r="AJ201" i="125"/>
  <c r="AJ102" i="125"/>
  <c r="AJ105" i="125" s="1"/>
  <c r="AJ106" i="125"/>
  <c r="AK34" i="126"/>
  <c r="AK86" i="126"/>
  <c r="AK85" i="126" s="1"/>
  <c r="AK25" i="126"/>
  <c r="AK152" i="126"/>
  <c r="AI141" i="126"/>
  <c r="AI133" i="126"/>
  <c r="AI135" i="126" s="1"/>
  <c r="AI189" i="126" s="1"/>
  <c r="AI190" i="126" s="1"/>
  <c r="AL27" i="127"/>
  <c r="AL173" i="127"/>
  <c r="AL175" i="127" s="1"/>
  <c r="AL197" i="127" s="1"/>
  <c r="AL35" i="127"/>
  <c r="AL22" i="127" s="1"/>
  <c r="AL118" i="127" s="1"/>
  <c r="AL87" i="127"/>
  <c r="AL91" i="127" s="1"/>
  <c r="AK25" i="123"/>
  <c r="AK34" i="123"/>
  <c r="AK86" i="123"/>
  <c r="AK85" i="123" s="1"/>
  <c r="AK152" i="123"/>
  <c r="AF148" i="124"/>
  <c r="AF195" i="124" s="1"/>
  <c r="AF196" i="124" s="1"/>
  <c r="AF202" i="124" s="1"/>
  <c r="AK125" i="123"/>
  <c r="AK119" i="123"/>
  <c r="AH167" i="127"/>
  <c r="AH168" i="127" s="1"/>
  <c r="AH169" i="127" s="1"/>
  <c r="AH142" i="127"/>
  <c r="AH143" i="127" s="1"/>
  <c r="AH145" i="127" s="1"/>
  <c r="AJ132" i="126"/>
  <c r="AJ126" i="126"/>
  <c r="AH191" i="124"/>
  <c r="AH194" i="124"/>
  <c r="AH191" i="126"/>
  <c r="AH194" i="126"/>
  <c r="AI141" i="124"/>
  <c r="AI133" i="124"/>
  <c r="AI135" i="124" s="1"/>
  <c r="AI189" i="124" s="1"/>
  <c r="AI190" i="124" s="1"/>
  <c r="AG147" i="124"/>
  <c r="AG146" i="124"/>
  <c r="AH191" i="125"/>
  <c r="AH194" i="125"/>
  <c r="AI141" i="127"/>
  <c r="AI133" i="127"/>
  <c r="AI135" i="127" s="1"/>
  <c r="AI189" i="127" s="1"/>
  <c r="AI190" i="127" s="1"/>
  <c r="AE204" i="124"/>
  <c r="AE203" i="124"/>
  <c r="AH167" i="126"/>
  <c r="AH168" i="126" s="1"/>
  <c r="AH169" i="126" s="1"/>
  <c r="AH142" i="126"/>
  <c r="AH143" i="126" s="1"/>
  <c r="AH145" i="126" s="1"/>
  <c r="AL87" i="124"/>
  <c r="AL27" i="124"/>
  <c r="AL173" i="124"/>
  <c r="AL175" i="124" s="1"/>
  <c r="AL197" i="124" s="1"/>
  <c r="AL35" i="124"/>
  <c r="AL22" i="124" s="1"/>
  <c r="AL118" i="124" s="1"/>
  <c r="AH167" i="125"/>
  <c r="AH168" i="125" s="1"/>
  <c r="AH169" i="125" s="1"/>
  <c r="AH142" i="125"/>
  <c r="AH143" i="125" s="1"/>
  <c r="AH145" i="125" s="1"/>
  <c r="AJ103" i="127"/>
  <c r="AJ108" i="127" s="1"/>
  <c r="AJ201" i="127"/>
  <c r="AJ106" i="127"/>
  <c r="AJ102" i="127"/>
  <c r="AJ105" i="127" s="1"/>
  <c r="AI141" i="125"/>
  <c r="AI133" i="125"/>
  <c r="AI135" i="125" s="1"/>
  <c r="AI189" i="125" s="1"/>
  <c r="AI190" i="125" s="1"/>
  <c r="AF148" i="125"/>
  <c r="AF195" i="125" s="1"/>
  <c r="AF196" i="125" s="1"/>
  <c r="AF202" i="125" s="1"/>
  <c r="AK125" i="125"/>
  <c r="AK119" i="125"/>
  <c r="AK119" i="124"/>
  <c r="AK125" i="124"/>
  <c r="AJ132" i="123"/>
  <c r="AJ126" i="123"/>
  <c r="AK86" i="125"/>
  <c r="AK85" i="125" s="1"/>
  <c r="AK34" i="125"/>
  <c r="AK25" i="125"/>
  <c r="AK152" i="125"/>
  <c r="AJ126" i="127"/>
  <c r="AJ132" i="127"/>
  <c r="AJ132" i="125"/>
  <c r="AJ126" i="125"/>
  <c r="AK25" i="124"/>
  <c r="AK86" i="124"/>
  <c r="AK85" i="124" s="1"/>
  <c r="AK34" i="124"/>
  <c r="AK152" i="124"/>
  <c r="AI141" i="123"/>
  <c r="AI133" i="123"/>
  <c r="AI135" i="123" s="1"/>
  <c r="AI189" i="123" s="1"/>
  <c r="AI190" i="123" s="1"/>
  <c r="AH191" i="127"/>
  <c r="AH194" i="127"/>
  <c r="AK125" i="127"/>
  <c r="AK119" i="127"/>
  <c r="AJ103" i="124"/>
  <c r="AJ108" i="124" s="1"/>
  <c r="AJ102" i="124"/>
  <c r="AJ105" i="124" s="1"/>
  <c r="AJ106" i="124"/>
  <c r="AJ201" i="124"/>
  <c r="AE203" i="126"/>
  <c r="AE204" i="126"/>
  <c r="AL27" i="123"/>
  <c r="AL87" i="123"/>
  <c r="AL35" i="123"/>
  <c r="AL22" i="123" s="1"/>
  <c r="AL118" i="123" s="1"/>
  <c r="AL173" i="123"/>
  <c r="AL175" i="123" s="1"/>
  <c r="AL197" i="123" s="1"/>
  <c r="AM191" i="114"/>
  <c r="AB192" i="114"/>
  <c r="AB193" i="114"/>
  <c r="T7" i="84"/>
  <c r="U4" i="84"/>
  <c r="U5" i="84" s="1"/>
  <c r="T12" i="84"/>
  <c r="T6" i="84"/>
  <c r="T11" i="84"/>
  <c r="Q23" i="84"/>
  <c r="S15" i="84"/>
  <c r="AK149" i="118" l="1"/>
  <c r="AK151" i="118" s="1"/>
  <c r="AC102" i="120"/>
  <c r="AG148" i="127"/>
  <c r="AG195" i="127" s="1"/>
  <c r="AG196" i="127" s="1"/>
  <c r="AG202" i="127" s="1"/>
  <c r="AL92" i="118"/>
  <c r="AD120" i="120" s="1"/>
  <c r="AL40" i="118"/>
  <c r="AL30" i="118"/>
  <c r="AL196" i="118"/>
  <c r="AL200" i="118" s="1"/>
  <c r="AD123" i="120" s="1"/>
  <c r="AL158" i="118"/>
  <c r="AD94" i="120"/>
  <c r="AI202" i="118"/>
  <c r="AF203" i="127"/>
  <c r="AF203" i="123"/>
  <c r="AJ154" i="118"/>
  <c r="AJ201" i="118" s="1"/>
  <c r="AB124" i="120" s="1"/>
  <c r="AC120" i="120"/>
  <c r="AC37" i="120"/>
  <c r="AK91" i="118"/>
  <c r="AK109" i="118" s="1"/>
  <c r="AK114" i="118" s="1"/>
  <c r="AK197" i="118"/>
  <c r="AK200" i="118"/>
  <c r="AC123" i="120" s="1"/>
  <c r="AB123" i="120"/>
  <c r="AK152" i="118"/>
  <c r="AK153" i="118"/>
  <c r="AG148" i="125"/>
  <c r="AG195" i="125" s="1"/>
  <c r="AG196" i="125" s="1"/>
  <c r="AG202" i="125" s="1"/>
  <c r="AG204" i="125" s="1"/>
  <c r="AG148" i="124"/>
  <c r="AG195" i="124" s="1"/>
  <c r="AG196" i="124" s="1"/>
  <c r="AG202" i="124" s="1"/>
  <c r="AG203" i="124" s="1"/>
  <c r="AG148" i="126"/>
  <c r="AG195" i="126" s="1"/>
  <c r="AG196" i="126" s="1"/>
  <c r="AG202" i="126" s="1"/>
  <c r="AG204" i="126" s="1"/>
  <c r="AL25" i="123"/>
  <c r="AL86" i="123"/>
  <c r="AL85" i="123" s="1"/>
  <c r="AL34" i="123"/>
  <c r="AL152" i="123"/>
  <c r="AM27" i="123"/>
  <c r="AK132" i="127"/>
  <c r="AK126" i="127"/>
  <c r="AK103" i="124"/>
  <c r="AK108" i="124" s="1"/>
  <c r="AK201" i="124"/>
  <c r="AK102" i="124"/>
  <c r="AK105" i="124" s="1"/>
  <c r="AK106" i="124"/>
  <c r="AK126" i="124"/>
  <c r="AK132" i="124"/>
  <c r="AL86" i="124"/>
  <c r="AL85" i="124" s="1"/>
  <c r="AL34" i="124"/>
  <c r="AL25" i="124"/>
  <c r="AL152" i="124"/>
  <c r="AM27" i="124"/>
  <c r="AI194" i="127"/>
  <c r="AI191" i="127"/>
  <c r="AK103" i="123"/>
  <c r="AK108" i="123" s="1"/>
  <c r="AK102" i="123"/>
  <c r="AK105" i="123" s="1"/>
  <c r="AK201" i="123"/>
  <c r="AK106" i="123"/>
  <c r="AI167" i="126"/>
  <c r="AI168" i="126" s="1"/>
  <c r="AI169" i="126" s="1"/>
  <c r="AI142" i="126"/>
  <c r="AI143" i="126" s="1"/>
  <c r="AI145" i="126" s="1"/>
  <c r="AL91" i="124"/>
  <c r="AM87" i="124"/>
  <c r="AN90" i="124" s="1"/>
  <c r="AI167" i="127"/>
  <c r="AI168" i="127" s="1"/>
  <c r="AI169" i="127" s="1"/>
  <c r="AI142" i="127"/>
  <c r="AI143" i="127" s="1"/>
  <c r="AI145" i="127" s="1"/>
  <c r="AK126" i="123"/>
  <c r="AK132" i="123"/>
  <c r="AG148" i="123"/>
  <c r="AG195" i="123" s="1"/>
  <c r="AG196" i="123" s="1"/>
  <c r="AG202" i="123" s="1"/>
  <c r="AL25" i="125"/>
  <c r="AL86" i="125"/>
  <c r="AL85" i="125" s="1"/>
  <c r="AL34" i="125"/>
  <c r="AL152" i="125"/>
  <c r="AM27" i="125"/>
  <c r="AI142" i="124"/>
  <c r="AI143" i="124" s="1"/>
  <c r="AI145" i="124" s="1"/>
  <c r="AI167" i="124"/>
  <c r="AI168" i="124" s="1"/>
  <c r="AI169" i="124" s="1"/>
  <c r="AL119" i="125"/>
  <c r="AL125" i="125"/>
  <c r="AH147" i="126"/>
  <c r="AH146" i="126"/>
  <c r="AL91" i="126"/>
  <c r="AM87" i="126"/>
  <c r="AN90" i="126" s="1"/>
  <c r="AH146" i="123"/>
  <c r="AH147" i="123"/>
  <c r="AK103" i="127"/>
  <c r="AK108" i="127" s="1"/>
  <c r="AK106" i="127"/>
  <c r="AK102" i="127"/>
  <c r="AK105" i="127" s="1"/>
  <c r="AK201" i="127"/>
  <c r="AK126" i="126"/>
  <c r="AK132" i="126"/>
  <c r="AJ133" i="124"/>
  <c r="AJ135" i="124" s="1"/>
  <c r="AJ189" i="124" s="1"/>
  <c r="AJ190" i="124" s="1"/>
  <c r="AJ141" i="124"/>
  <c r="AI191" i="123"/>
  <c r="AI194" i="123"/>
  <c r="AK103" i="125"/>
  <c r="AK108" i="125" s="1"/>
  <c r="AK106" i="125"/>
  <c r="AK102" i="125"/>
  <c r="AK105" i="125" s="1"/>
  <c r="AK201" i="125"/>
  <c r="AK132" i="125"/>
  <c r="AK126" i="125"/>
  <c r="AG203" i="127"/>
  <c r="AG204" i="127"/>
  <c r="AL119" i="126"/>
  <c r="AL125" i="126"/>
  <c r="AH146" i="124"/>
  <c r="AH147" i="124"/>
  <c r="AL91" i="123"/>
  <c r="AM87" i="123"/>
  <c r="AN90" i="123" s="1"/>
  <c r="AI167" i="123"/>
  <c r="AI168" i="123" s="1"/>
  <c r="AI169" i="123" s="1"/>
  <c r="AI142" i="123"/>
  <c r="AI143" i="123" s="1"/>
  <c r="AI145" i="123" s="1"/>
  <c r="AJ141" i="125"/>
  <c r="AJ133" i="125"/>
  <c r="AJ135" i="125" s="1"/>
  <c r="AJ189" i="125" s="1"/>
  <c r="AJ190" i="125" s="1"/>
  <c r="AF203" i="125"/>
  <c r="AF204" i="125"/>
  <c r="AH146" i="125"/>
  <c r="AH147" i="125"/>
  <c r="AL125" i="127"/>
  <c r="AL119" i="127"/>
  <c r="AK103" i="126"/>
  <c r="AK108" i="126" s="1"/>
  <c r="AK102" i="126"/>
  <c r="AK105" i="126" s="1"/>
  <c r="AK106" i="126"/>
  <c r="AK201" i="126"/>
  <c r="AI194" i="126"/>
  <c r="AI191" i="126"/>
  <c r="AJ133" i="127"/>
  <c r="AJ135" i="127" s="1"/>
  <c r="AJ189" i="127" s="1"/>
  <c r="AJ190" i="127" s="1"/>
  <c r="AJ141" i="127"/>
  <c r="AI194" i="125"/>
  <c r="AI191" i="125"/>
  <c r="AJ133" i="126"/>
  <c r="AJ135" i="126" s="1"/>
  <c r="AJ189" i="126" s="1"/>
  <c r="AJ190" i="126" s="1"/>
  <c r="AJ141" i="126"/>
  <c r="AF204" i="124"/>
  <c r="AF203" i="124"/>
  <c r="AL34" i="126"/>
  <c r="AL86" i="126"/>
  <c r="AL85" i="126" s="1"/>
  <c r="AL25" i="126"/>
  <c r="AL152" i="126"/>
  <c r="AM27" i="126"/>
  <c r="AF203" i="126"/>
  <c r="AF204" i="126"/>
  <c r="AL125" i="123"/>
  <c r="AL119" i="123"/>
  <c r="AJ141" i="123"/>
  <c r="AJ133" i="123"/>
  <c r="AJ135" i="123" s="1"/>
  <c r="AJ189" i="123" s="1"/>
  <c r="AJ190" i="123" s="1"/>
  <c r="AI142" i="125"/>
  <c r="AI143" i="125" s="1"/>
  <c r="AI145" i="125" s="1"/>
  <c r="AI167" i="125"/>
  <c r="AI168" i="125" s="1"/>
  <c r="AI169" i="125" s="1"/>
  <c r="AL119" i="124"/>
  <c r="AL125" i="124"/>
  <c r="AI191" i="124"/>
  <c r="AI194" i="124"/>
  <c r="AH147" i="127"/>
  <c r="AH146" i="127"/>
  <c r="AL25" i="127"/>
  <c r="AL86" i="127"/>
  <c r="AL85" i="127" s="1"/>
  <c r="AL34" i="127"/>
  <c r="AL152" i="127"/>
  <c r="AL91" i="125"/>
  <c r="AM87" i="125"/>
  <c r="AN90" i="125" s="1"/>
  <c r="T16" i="84"/>
  <c r="T21" i="84"/>
  <c r="T10" i="84"/>
  <c r="R23" i="84"/>
  <c r="U17" i="84"/>
  <c r="T14" i="84"/>
  <c r="AL149" i="118" l="1"/>
  <c r="AL151" i="118" s="1"/>
  <c r="AL152" i="118" s="1"/>
  <c r="AD102" i="120"/>
  <c r="AL91" i="118"/>
  <c r="AL108" i="118" s="1"/>
  <c r="AD37" i="120"/>
  <c r="AL153" i="118"/>
  <c r="AL197" i="118"/>
  <c r="AG204" i="124"/>
  <c r="AG203" i="126"/>
  <c r="AG203" i="125"/>
  <c r="AJ202" i="118"/>
  <c r="AK154" i="118"/>
  <c r="AK201" i="118" s="1"/>
  <c r="AL154" i="118"/>
  <c r="AL201" i="118" s="1"/>
  <c r="AH148" i="127"/>
  <c r="AH195" i="127" s="1"/>
  <c r="AH196" i="127" s="1"/>
  <c r="AH202" i="127" s="1"/>
  <c r="AH203" i="127" s="1"/>
  <c r="AH148" i="124"/>
  <c r="AH195" i="124" s="1"/>
  <c r="AH196" i="124" s="1"/>
  <c r="AH202" i="124" s="1"/>
  <c r="AH204" i="124" s="1"/>
  <c r="AL103" i="127"/>
  <c r="AL108" i="127" s="1"/>
  <c r="AL201" i="127"/>
  <c r="AL106" i="127"/>
  <c r="AL102" i="127"/>
  <c r="AL105" i="127" s="1"/>
  <c r="AI147" i="124"/>
  <c r="AI146" i="124"/>
  <c r="AJ167" i="126"/>
  <c r="AJ168" i="126" s="1"/>
  <c r="AJ169" i="126" s="1"/>
  <c r="AJ142" i="126"/>
  <c r="AJ143" i="126" s="1"/>
  <c r="AJ145" i="126" s="1"/>
  <c r="AH148" i="126"/>
  <c r="AH195" i="126" s="1"/>
  <c r="AH196" i="126" s="1"/>
  <c r="AH202" i="126" s="1"/>
  <c r="AK141" i="123"/>
  <c r="AK133" i="123"/>
  <c r="AK135" i="123" s="1"/>
  <c r="AK189" i="123" s="1"/>
  <c r="AK190" i="123" s="1"/>
  <c r="AL103" i="124"/>
  <c r="AL106" i="124"/>
  <c r="AL102" i="124"/>
  <c r="AL105" i="124" s="1"/>
  <c r="AL201" i="124"/>
  <c r="AK133" i="127"/>
  <c r="AK135" i="127" s="1"/>
  <c r="AK189" i="127" s="1"/>
  <c r="AK190" i="127" s="1"/>
  <c r="AK141" i="127"/>
  <c r="AK133" i="124"/>
  <c r="AK135" i="124" s="1"/>
  <c r="AK189" i="124" s="1"/>
  <c r="AK190" i="124" s="1"/>
  <c r="AK141" i="124"/>
  <c r="AI146" i="123"/>
  <c r="AI147" i="123"/>
  <c r="AJ191" i="123"/>
  <c r="AJ194" i="123"/>
  <c r="AH148" i="125"/>
  <c r="AH195" i="125" s="1"/>
  <c r="AH196" i="125" s="1"/>
  <c r="AH202" i="125" s="1"/>
  <c r="AI146" i="127"/>
  <c r="AI147" i="127"/>
  <c r="AI147" i="125"/>
  <c r="AI146" i="125"/>
  <c r="AJ167" i="123"/>
  <c r="AJ168" i="123" s="1"/>
  <c r="AJ169" i="123" s="1"/>
  <c r="AJ142" i="123"/>
  <c r="AJ143" i="123" s="1"/>
  <c r="AJ145" i="123" s="1"/>
  <c r="AK141" i="125"/>
  <c r="AK133" i="125"/>
  <c r="AK135" i="125" s="1"/>
  <c r="AK189" i="125" s="1"/>
  <c r="AK190" i="125" s="1"/>
  <c r="AJ167" i="124"/>
  <c r="AJ168" i="124" s="1"/>
  <c r="AJ169" i="124" s="1"/>
  <c r="AJ142" i="124"/>
  <c r="AJ143" i="124" s="1"/>
  <c r="AJ145" i="124" s="1"/>
  <c r="AI147" i="126"/>
  <c r="AI146" i="126"/>
  <c r="AJ194" i="126"/>
  <c r="AJ191" i="126"/>
  <c r="AJ167" i="127"/>
  <c r="AJ168" i="127" s="1"/>
  <c r="AJ169" i="127" s="1"/>
  <c r="AJ142" i="127"/>
  <c r="AJ143" i="127" s="1"/>
  <c r="AJ145" i="127" s="1"/>
  <c r="AJ194" i="124"/>
  <c r="AJ191" i="124"/>
  <c r="AL132" i="125"/>
  <c r="AL126" i="125"/>
  <c r="AL103" i="125"/>
  <c r="AL106" i="125"/>
  <c r="AL102" i="125"/>
  <c r="AL105" i="125" s="1"/>
  <c r="AL201" i="125"/>
  <c r="AL103" i="126"/>
  <c r="AL102" i="126"/>
  <c r="AL105" i="126" s="1"/>
  <c r="AL201" i="126"/>
  <c r="AL106" i="126"/>
  <c r="AL126" i="123"/>
  <c r="AL132" i="123"/>
  <c r="AJ191" i="127"/>
  <c r="AJ194" i="127"/>
  <c r="AJ194" i="125"/>
  <c r="AJ191" i="125"/>
  <c r="AH148" i="123"/>
  <c r="AH195" i="123" s="1"/>
  <c r="AH196" i="123" s="1"/>
  <c r="AH202" i="123" s="1"/>
  <c r="AL103" i="123"/>
  <c r="AL201" i="123"/>
  <c r="AL102" i="123"/>
  <c r="AL105" i="123" s="1"/>
  <c r="AL106" i="123"/>
  <c r="AL132" i="124"/>
  <c r="AL126" i="124"/>
  <c r="AL126" i="127"/>
  <c r="AL132" i="127"/>
  <c r="AJ167" i="125"/>
  <c r="AJ168" i="125" s="1"/>
  <c r="AJ169" i="125" s="1"/>
  <c r="AJ142" i="125"/>
  <c r="AJ143" i="125" s="1"/>
  <c r="AJ145" i="125" s="1"/>
  <c r="AL132" i="126"/>
  <c r="AL126" i="126"/>
  <c r="AK141" i="126"/>
  <c r="AK133" i="126"/>
  <c r="AK135" i="126" s="1"/>
  <c r="AK189" i="126" s="1"/>
  <c r="AK190" i="126" s="1"/>
  <c r="AG203" i="123"/>
  <c r="AG204" i="123"/>
  <c r="T15" i="84"/>
  <c r="S23" i="84"/>
  <c r="U12" i="84"/>
  <c r="U6" i="84"/>
  <c r="U11" i="84"/>
  <c r="U7" i="84"/>
  <c r="U21" i="84" s="1"/>
  <c r="V4" i="84"/>
  <c r="V5" i="84" s="1"/>
  <c r="J34" i="120" l="1"/>
  <c r="P65" i="120" s="1"/>
  <c r="AH204" i="127"/>
  <c r="AH203" i="124"/>
  <c r="AD124" i="120"/>
  <c r="AL202" i="118"/>
  <c r="AC124" i="120"/>
  <c r="AK202" i="118"/>
  <c r="AI148" i="124"/>
  <c r="AI195" i="124" s="1"/>
  <c r="AI196" i="124" s="1"/>
  <c r="AI202" i="124" s="1"/>
  <c r="AI203" i="124" s="1"/>
  <c r="AJ147" i="126"/>
  <c r="AJ146" i="126"/>
  <c r="AL108" i="123"/>
  <c r="AM103" i="123"/>
  <c r="AN92" i="130" s="1"/>
  <c r="AJ146" i="124"/>
  <c r="AJ147" i="124"/>
  <c r="AI148" i="123"/>
  <c r="AI195" i="123" s="1"/>
  <c r="AI196" i="123" s="1"/>
  <c r="AI202" i="123" s="1"/>
  <c r="AL141" i="127"/>
  <c r="AL133" i="127"/>
  <c r="AL135" i="127" s="1"/>
  <c r="AL189" i="127" s="1"/>
  <c r="AL190" i="127" s="1"/>
  <c r="AK167" i="126"/>
  <c r="AK168" i="126" s="1"/>
  <c r="AK169" i="126" s="1"/>
  <c r="AK142" i="126"/>
  <c r="AK143" i="126" s="1"/>
  <c r="AK145" i="126" s="1"/>
  <c r="AL141" i="124"/>
  <c r="AL133" i="124"/>
  <c r="AL135" i="124" s="1"/>
  <c r="AL189" i="124" s="1"/>
  <c r="AL190" i="124" s="1"/>
  <c r="AH203" i="123"/>
  <c r="AH204" i="123"/>
  <c r="AL108" i="125"/>
  <c r="AM103" i="125"/>
  <c r="AJ146" i="127"/>
  <c r="AJ147" i="127"/>
  <c r="AK191" i="125"/>
  <c r="AK194" i="125"/>
  <c r="AI148" i="127"/>
  <c r="AI195" i="127" s="1"/>
  <c r="AI196" i="127" s="1"/>
  <c r="AI202" i="127" s="1"/>
  <c r="AK142" i="124"/>
  <c r="AK143" i="124" s="1"/>
  <c r="AK145" i="124" s="1"/>
  <c r="AK167" i="124"/>
  <c r="AK168" i="124" s="1"/>
  <c r="AK169" i="124" s="1"/>
  <c r="AL108" i="124"/>
  <c r="AM103" i="124"/>
  <c r="AK142" i="125"/>
  <c r="AK143" i="125" s="1"/>
  <c r="AK145" i="125" s="1"/>
  <c r="AK167" i="125"/>
  <c r="AK168" i="125" s="1"/>
  <c r="AK169" i="125" s="1"/>
  <c r="AH204" i="125"/>
  <c r="AH203" i="125"/>
  <c r="AK191" i="124"/>
  <c r="AK194" i="124"/>
  <c r="AK194" i="123"/>
  <c r="AK191" i="123"/>
  <c r="AL133" i="125"/>
  <c r="AL135" i="125" s="1"/>
  <c r="AL189" i="125" s="1"/>
  <c r="AL190" i="125" s="1"/>
  <c r="AL141" i="125"/>
  <c r="AJ146" i="123"/>
  <c r="AJ147" i="123"/>
  <c r="AK167" i="123"/>
  <c r="AK168" i="123" s="1"/>
  <c r="AK169" i="123" s="1"/>
  <c r="AK142" i="123"/>
  <c r="AK143" i="123" s="1"/>
  <c r="AK145" i="123" s="1"/>
  <c r="AL141" i="123"/>
  <c r="AL133" i="123"/>
  <c r="AL135" i="123" s="1"/>
  <c r="AL189" i="123" s="1"/>
  <c r="AL190" i="123" s="1"/>
  <c r="AK194" i="126"/>
  <c r="AK191" i="126"/>
  <c r="AL108" i="126"/>
  <c r="AM103" i="126"/>
  <c r="AN106" i="126" s="1"/>
  <c r="AJ147" i="125"/>
  <c r="AJ146" i="125"/>
  <c r="AK167" i="127"/>
  <c r="AK168" i="127" s="1"/>
  <c r="AK169" i="127" s="1"/>
  <c r="AK142" i="127"/>
  <c r="AK143" i="127" s="1"/>
  <c r="AK145" i="127" s="1"/>
  <c r="AH204" i="126"/>
  <c r="AH203" i="126"/>
  <c r="AL141" i="126"/>
  <c r="AL133" i="126"/>
  <c r="AL135" i="126" s="1"/>
  <c r="AL189" i="126" s="1"/>
  <c r="AL190" i="126" s="1"/>
  <c r="AI148" i="126"/>
  <c r="AI195" i="126" s="1"/>
  <c r="AI196" i="126" s="1"/>
  <c r="AI202" i="126" s="1"/>
  <c r="AI148" i="125"/>
  <c r="AI195" i="125" s="1"/>
  <c r="AI196" i="125" s="1"/>
  <c r="AI202" i="125" s="1"/>
  <c r="AK191" i="127"/>
  <c r="AK194" i="127"/>
  <c r="U10" i="84"/>
  <c r="V17" i="84"/>
  <c r="V7" i="84"/>
  <c r="V21" i="84" s="1"/>
  <c r="T23" i="84"/>
  <c r="U16" i="84"/>
  <c r="U14" i="84"/>
  <c r="AI204" i="124" l="1"/>
  <c r="AJ148" i="125"/>
  <c r="AJ195" i="125" s="1"/>
  <c r="AJ196" i="125" s="1"/>
  <c r="AJ202" i="125" s="1"/>
  <c r="AJ204" i="125" s="1"/>
  <c r="AI204" i="125"/>
  <c r="AI203" i="125"/>
  <c r="AL167" i="123"/>
  <c r="AL168" i="123" s="1"/>
  <c r="AL169" i="123" s="1"/>
  <c r="AL142" i="123"/>
  <c r="AL143" i="123" s="1"/>
  <c r="AL145" i="123" s="1"/>
  <c r="AN103" i="124"/>
  <c r="AN106" i="124"/>
  <c r="AJ148" i="127"/>
  <c r="AJ195" i="127" s="1"/>
  <c r="AJ196" i="127" s="1"/>
  <c r="AJ202" i="127" s="1"/>
  <c r="AK147" i="126"/>
  <c r="AK146" i="126"/>
  <c r="AN103" i="125"/>
  <c r="AN106" i="125"/>
  <c r="AL191" i="123"/>
  <c r="AL194" i="123"/>
  <c r="AM190" i="123"/>
  <c r="AK146" i="123"/>
  <c r="AK147" i="123"/>
  <c r="AL194" i="127"/>
  <c r="AL191" i="127"/>
  <c r="AJ148" i="124"/>
  <c r="AJ195" i="124" s="1"/>
  <c r="AJ196" i="124" s="1"/>
  <c r="AJ202" i="124" s="1"/>
  <c r="AK147" i="124"/>
  <c r="AK146" i="124"/>
  <c r="AL142" i="127"/>
  <c r="AL143" i="127" s="1"/>
  <c r="AL145" i="127" s="1"/>
  <c r="AL167" i="127"/>
  <c r="AL168" i="127" s="1"/>
  <c r="AL169" i="127" s="1"/>
  <c r="AN103" i="123"/>
  <c r="AN92" i="114"/>
  <c r="AO103" i="123"/>
  <c r="AK146" i="127"/>
  <c r="AK147" i="127"/>
  <c r="AL142" i="124"/>
  <c r="AL143" i="124" s="1"/>
  <c r="AL145" i="124" s="1"/>
  <c r="AL167" i="124"/>
  <c r="AL168" i="124" s="1"/>
  <c r="AL169" i="124" s="1"/>
  <c r="AJ203" i="125"/>
  <c r="AL191" i="126"/>
  <c r="AL194" i="126"/>
  <c r="AM190" i="126"/>
  <c r="AL142" i="126"/>
  <c r="AL143" i="126" s="1"/>
  <c r="AL145" i="126" s="1"/>
  <c r="AL167" i="126"/>
  <c r="AL168" i="126" s="1"/>
  <c r="AL169" i="126" s="1"/>
  <c r="AJ148" i="123"/>
  <c r="AJ195" i="123" s="1"/>
  <c r="AJ196" i="123" s="1"/>
  <c r="AJ202" i="123" s="1"/>
  <c r="AI203" i="127"/>
  <c r="AI204" i="127"/>
  <c r="AI203" i="126"/>
  <c r="AI204" i="126"/>
  <c r="AL167" i="125"/>
  <c r="AL168" i="125" s="1"/>
  <c r="AL169" i="125" s="1"/>
  <c r="AL142" i="125"/>
  <c r="AL143" i="125" s="1"/>
  <c r="AL145" i="125" s="1"/>
  <c r="AJ148" i="126"/>
  <c r="AJ195" i="126" s="1"/>
  <c r="AJ196" i="126" s="1"/>
  <c r="AJ202" i="126" s="1"/>
  <c r="AL194" i="125"/>
  <c r="AL191" i="125"/>
  <c r="AM190" i="125"/>
  <c r="AK146" i="125"/>
  <c r="AK147" i="125"/>
  <c r="AL194" i="124"/>
  <c r="AL191" i="124"/>
  <c r="AM190" i="124"/>
  <c r="AI203" i="123"/>
  <c r="AI204" i="123"/>
  <c r="U23" i="84"/>
  <c r="U15" i="84"/>
  <c r="V11" i="84"/>
  <c r="W4" i="84"/>
  <c r="W5" i="84" s="1"/>
  <c r="V16" i="84"/>
  <c r="V6" i="84"/>
  <c r="V12" i="84"/>
  <c r="V14" i="84"/>
  <c r="AK148" i="125" l="1"/>
  <c r="AK195" i="125" s="1"/>
  <c r="AK196" i="125" s="1"/>
  <c r="AK202" i="125" s="1"/>
  <c r="AK203" i="125" s="1"/>
  <c r="AJ203" i="127"/>
  <c r="AJ204" i="127"/>
  <c r="AJ203" i="123"/>
  <c r="AJ204" i="123"/>
  <c r="AL146" i="127"/>
  <c r="AL147" i="127"/>
  <c r="AJ204" i="126"/>
  <c r="AJ203" i="126"/>
  <c r="AL147" i="124"/>
  <c r="AL146" i="124"/>
  <c r="AK148" i="124"/>
  <c r="AK195" i="124" s="1"/>
  <c r="AK196" i="124" s="1"/>
  <c r="AK202" i="124" s="1"/>
  <c r="AK148" i="123"/>
  <c r="AK195" i="123" s="1"/>
  <c r="AK196" i="123" s="1"/>
  <c r="AK202" i="123" s="1"/>
  <c r="AL146" i="125"/>
  <c r="AL147" i="125"/>
  <c r="AL147" i="126"/>
  <c r="AL146" i="126"/>
  <c r="AL146" i="123"/>
  <c r="AL147" i="123"/>
  <c r="AK148" i="127"/>
  <c r="AK195" i="127" s="1"/>
  <c r="AK196" i="127" s="1"/>
  <c r="AK202" i="127" s="1"/>
  <c r="AJ204" i="124"/>
  <c r="AJ203" i="124"/>
  <c r="AK204" i="125"/>
  <c r="AK148" i="126"/>
  <c r="AK195" i="126" s="1"/>
  <c r="AK196" i="126" s="1"/>
  <c r="AK202" i="126" s="1"/>
  <c r="V15" i="84"/>
  <c r="V10" i="84"/>
  <c r="W17" i="84"/>
  <c r="V23" i="84"/>
  <c r="AL148" i="123" l="1"/>
  <c r="AL195" i="123" s="1"/>
  <c r="AL196" i="123" s="1"/>
  <c r="AL202" i="123" s="1"/>
  <c r="AM202" i="123" s="1"/>
  <c r="AN202" i="123" s="1"/>
  <c r="AL148" i="126"/>
  <c r="AL195" i="126" s="1"/>
  <c r="AL196" i="126" s="1"/>
  <c r="AL202" i="126" s="1"/>
  <c r="AM202" i="126" s="1"/>
  <c r="AN202" i="126" s="1"/>
  <c r="AL148" i="125"/>
  <c r="AL195" i="125" s="1"/>
  <c r="AL196" i="125" s="1"/>
  <c r="AL202" i="125" s="1"/>
  <c r="AL148" i="127"/>
  <c r="AL195" i="127" s="1"/>
  <c r="AL196" i="127" s="1"/>
  <c r="AL202" i="127" s="1"/>
  <c r="AK203" i="123"/>
  <c r="AK204" i="123"/>
  <c r="AK203" i="127"/>
  <c r="AK204" i="127"/>
  <c r="AK204" i="124"/>
  <c r="AK203" i="124"/>
  <c r="AK203" i="126"/>
  <c r="AK204" i="126"/>
  <c r="AL148" i="124"/>
  <c r="AL195" i="124" s="1"/>
  <c r="AL196" i="124" s="1"/>
  <c r="AL202" i="124" s="1"/>
  <c r="W11" i="84"/>
  <c r="W7" i="84"/>
  <c r="W21" i="84" s="1"/>
  <c r="X4" i="84"/>
  <c r="X5" i="84" s="1"/>
  <c r="W6" i="84"/>
  <c r="W12" i="84"/>
  <c r="AL204" i="123" l="1"/>
  <c r="AL203" i="123"/>
  <c r="AL203" i="126"/>
  <c r="AL204" i="126"/>
  <c r="AL204" i="127"/>
  <c r="AL203" i="127"/>
  <c r="AL204" i="124"/>
  <c r="AL203" i="124"/>
  <c r="AM202" i="124"/>
  <c r="AN202" i="124" s="1"/>
  <c r="AL204" i="125"/>
  <c r="AL203" i="125"/>
  <c r="AM202" i="125"/>
  <c r="AN202" i="125" s="1"/>
  <c r="W14" i="84"/>
  <c r="W16" i="84"/>
  <c r="W23" i="84"/>
  <c r="W10" i="84"/>
  <c r="X17" i="84"/>
  <c r="W15" i="84" l="1"/>
  <c r="X7" i="84"/>
  <c r="Y4" i="84"/>
  <c r="Y5" i="84" s="1"/>
  <c r="X12" i="84"/>
  <c r="X6" i="84"/>
  <c r="X11" i="84"/>
  <c r="X16" i="84" l="1"/>
  <c r="X21" i="84"/>
  <c r="X23" i="84" s="1"/>
  <c r="Y17" i="84"/>
  <c r="X14" i="84"/>
  <c r="X10" i="84"/>
  <c r="Y6" i="84" l="1"/>
  <c r="Y12" i="84"/>
  <c r="Y7" i="84"/>
  <c r="Y21" i="84" s="1"/>
  <c r="Z4" i="84"/>
  <c r="Z5" i="84" s="1"/>
  <c r="Y11" i="84"/>
  <c r="X15" i="84"/>
  <c r="Z17" i="84" l="1"/>
  <c r="Y14" i="84"/>
  <c r="Y16" i="84"/>
  <c r="Y10" i="84"/>
  <c r="Y23" i="84"/>
  <c r="Y15" i="84" l="1"/>
  <c r="Z7" i="84"/>
  <c r="Z12" i="84"/>
  <c r="Z6" i="84"/>
  <c r="Z11" i="84"/>
  <c r="AA4" i="84"/>
  <c r="AA5" i="84" s="1"/>
  <c r="Z16" i="84" l="1"/>
  <c r="Z21" i="84"/>
  <c r="Z23" i="84" s="1"/>
  <c r="AA17" i="84"/>
  <c r="Z10" i="84"/>
  <c r="Z14" i="84"/>
  <c r="AA7" i="84" l="1"/>
  <c r="AA11" i="84"/>
  <c r="AA12" i="84"/>
  <c r="AA6" i="84"/>
  <c r="AB4" i="84"/>
  <c r="AB5" i="84" s="1"/>
  <c r="Z15" i="84"/>
  <c r="AA16" i="84" l="1"/>
  <c r="AA21" i="84"/>
  <c r="AA23" i="84" s="1"/>
  <c r="AA14" i="84"/>
  <c r="AB17" i="84"/>
  <c r="AA10" i="84"/>
  <c r="AA15" i="84" l="1"/>
  <c r="AB7" i="84"/>
  <c r="AC4" i="84"/>
  <c r="AC5" i="84" s="1"/>
  <c r="AB6" i="84"/>
  <c r="AB12" i="84"/>
  <c r="AB11" i="84"/>
  <c r="AB16" i="84" l="1"/>
  <c r="AB21" i="84"/>
  <c r="AB23" i="84" s="1"/>
  <c r="AB10" i="84"/>
  <c r="AC17" i="84"/>
  <c r="AB14" i="84"/>
  <c r="AC12" i="84" l="1"/>
  <c r="AC6" i="84"/>
  <c r="AC11" i="84"/>
  <c r="AC7" i="84"/>
  <c r="AC21" i="84" s="1"/>
  <c r="AD4" i="84"/>
  <c r="AD5" i="84" s="1"/>
  <c r="AB15" i="84"/>
  <c r="AC14" i="84" l="1"/>
  <c r="AC16" i="84"/>
  <c r="AD17" i="84"/>
  <c r="AC23" i="84"/>
  <c r="AC10" i="84"/>
  <c r="AD7" i="84" l="1"/>
  <c r="AD6" i="84"/>
  <c r="AD12" i="84"/>
  <c r="AD11" i="84"/>
  <c r="AE4" i="84"/>
  <c r="AE5" i="84" s="1"/>
  <c r="AC15" i="84"/>
  <c r="AD16" i="84" l="1"/>
  <c r="AD21" i="84"/>
  <c r="AD23" i="84" s="1"/>
  <c r="AD14" i="84"/>
  <c r="AE17" i="84"/>
  <c r="AD10" i="84"/>
  <c r="AF4" i="84" l="1"/>
  <c r="AF5" i="84" s="1"/>
  <c r="AE6" i="84"/>
  <c r="AE12" i="84"/>
  <c r="AE11" i="84"/>
  <c r="AE7" i="84"/>
  <c r="AE21" i="84" s="1"/>
  <c r="AD15" i="84"/>
  <c r="AE14" i="84" l="1"/>
  <c r="AE10" i="84"/>
  <c r="AE23" i="84"/>
  <c r="AF17" i="84"/>
  <c r="AE16" i="84"/>
  <c r="AE15" i="84" l="1"/>
  <c r="AF6" i="84"/>
  <c r="AF7" i="84"/>
  <c r="AF21" i="84" s="1"/>
  <c r="AF12" i="84"/>
  <c r="AF11" i="84"/>
  <c r="AG4" i="84"/>
  <c r="AG5" i="84" s="1"/>
  <c r="AF10" i="84" l="1"/>
  <c r="AF23" i="84"/>
  <c r="AG17" i="84"/>
  <c r="AF16" i="84"/>
  <c r="AF14" i="84"/>
  <c r="AH4" i="84" l="1"/>
  <c r="AH5" i="84" s="1"/>
  <c r="AG6" i="84"/>
  <c r="AG12" i="84"/>
  <c r="AG11" i="84"/>
  <c r="AF15" i="84"/>
  <c r="AG7" i="84"/>
  <c r="AG21" i="84" s="1"/>
  <c r="AG14" i="84" l="1"/>
  <c r="AG16" i="84"/>
  <c r="AH17" i="84"/>
  <c r="AG23" i="84"/>
  <c r="AG10" i="84"/>
  <c r="AG15" i="84" l="1"/>
  <c r="AI4" i="84"/>
  <c r="AI5" i="84" s="1"/>
  <c r="AH12" i="84"/>
  <c r="AH7" i="84"/>
  <c r="AH21" i="84" s="1"/>
  <c r="AH11" i="84"/>
  <c r="AH6" i="84"/>
  <c r="AH23" i="84" l="1"/>
  <c r="AH14" i="84"/>
  <c r="AH16" i="84"/>
  <c r="AH10" i="84"/>
  <c r="AI17" i="84"/>
  <c r="AI11" i="84" l="1"/>
  <c r="AI7" i="84"/>
  <c r="AI21" i="84" s="1"/>
  <c r="AI12" i="84"/>
  <c r="AJ4" i="84"/>
  <c r="AJ5" i="84" s="1"/>
  <c r="AI6" i="84"/>
  <c r="AH15" i="84"/>
  <c r="AI23" i="84" l="1"/>
  <c r="AI10" i="84"/>
  <c r="AJ17" i="84"/>
  <c r="AI14" i="84"/>
  <c r="AI16" i="84"/>
  <c r="AJ6" i="84" l="1"/>
  <c r="AJ12" i="84"/>
  <c r="AJ11" i="84"/>
  <c r="AK4" i="84"/>
  <c r="AK5" i="84" s="1"/>
  <c r="AJ7" i="84"/>
  <c r="AJ21" i="84" s="1"/>
  <c r="AI15" i="84"/>
  <c r="AK17" i="84" l="1"/>
  <c r="AJ23" i="84"/>
  <c r="AJ10" i="84"/>
  <c r="AJ14" i="84"/>
  <c r="AJ16" i="84"/>
  <c r="AK6" i="84" l="1"/>
  <c r="AK12" i="84"/>
  <c r="AL4" i="84"/>
  <c r="AK11" i="84"/>
  <c r="AK7" i="84"/>
  <c r="AK21" i="84" s="1"/>
  <c r="AJ15" i="84"/>
  <c r="AK16" i="84" l="1"/>
  <c r="AK14" i="84"/>
  <c r="AL17" i="84"/>
  <c r="AL5" i="84"/>
  <c r="AK10" i="84"/>
  <c r="AK23" i="84"/>
  <c r="AK15" i="84" l="1"/>
  <c r="AL6" i="84"/>
  <c r="AL12" i="84"/>
  <c r="AL11" i="84"/>
  <c r="AL7" i="84"/>
  <c r="AL21" i="84" s="1"/>
  <c r="AL16" i="84" l="1"/>
  <c r="AL14" i="84"/>
  <c r="AL23" i="84"/>
  <c r="AL10" i="84"/>
  <c r="AL15" i="84" l="1"/>
  <c r="K112" i="118"/>
  <c r="K111" i="118"/>
  <c r="K207" i="118"/>
  <c r="K208" i="118" s="1"/>
  <c r="K209" i="118" l="1"/>
  <c r="J209" i="118" s="1"/>
  <c r="K210" i="118"/>
  <c r="J210" i="118" s="1"/>
  <c r="Z207" i="118"/>
  <c r="Z208" i="118" s="1"/>
  <c r="AF207" i="118"/>
  <c r="AF208" i="118" s="1"/>
  <c r="X125" i="120" s="1"/>
  <c r="AI207" i="118"/>
  <c r="AI208" i="118" s="1"/>
  <c r="W112" i="118"/>
  <c r="AB112" i="118"/>
  <c r="Y207" i="118"/>
  <c r="Y208" i="118" s="1"/>
  <c r="Q125" i="120" s="1"/>
  <c r="W207" i="118"/>
  <c r="W208" i="118" s="1"/>
  <c r="O125" i="120" s="1"/>
  <c r="AI112" i="118"/>
  <c r="AF112" i="118"/>
  <c r="Z112" i="118"/>
  <c r="Y112" i="118"/>
  <c r="AA112" i="118"/>
  <c r="AK112" i="118"/>
  <c r="AB207" i="118"/>
  <c r="AB208" i="118" s="1"/>
  <c r="T125" i="120" s="1"/>
  <c r="N112" i="118"/>
  <c r="U207" i="118"/>
  <c r="U208" i="118" s="1"/>
  <c r="AK207" i="118"/>
  <c r="AK208" i="118" s="1"/>
  <c r="N207" i="118"/>
  <c r="N208" i="118" s="1"/>
  <c r="AG207" i="118"/>
  <c r="AG208" i="118" s="1"/>
  <c r="Y125" i="120" s="1"/>
  <c r="AG112" i="118"/>
  <c r="X207" i="118"/>
  <c r="X208" i="118" s="1"/>
  <c r="P125" i="120" s="1"/>
  <c r="AJ207" i="118"/>
  <c r="AJ208" i="118" s="1"/>
  <c r="AB125" i="120" s="1"/>
  <c r="U112" i="118"/>
  <c r="AA207" i="118"/>
  <c r="AA208" i="118" s="1"/>
  <c r="X112" i="118"/>
  <c r="AJ112" i="118"/>
  <c r="AD207" i="118"/>
  <c r="AD208" i="118" s="1"/>
  <c r="V125" i="120" s="1"/>
  <c r="AH207" i="118"/>
  <c r="AH208" i="118" s="1"/>
  <c r="AH112" i="118"/>
  <c r="L112" i="118"/>
  <c r="AL207" i="118"/>
  <c r="AL208" i="118" s="1"/>
  <c r="AD125" i="120" s="1"/>
  <c r="AD112" i="118"/>
  <c r="AE112" i="118"/>
  <c r="AL112" i="118"/>
  <c r="V207" i="118"/>
  <c r="V208" i="118" s="1"/>
  <c r="N125" i="120" s="1"/>
  <c r="AC112" i="118"/>
  <c r="L207" i="118"/>
  <c r="L208" i="118" s="1"/>
  <c r="L210" i="118" s="1"/>
  <c r="AE207" i="118"/>
  <c r="AE208" i="118" s="1"/>
  <c r="M207" i="118"/>
  <c r="M208" i="118" s="1"/>
  <c r="V112" i="118"/>
  <c r="AC207" i="118"/>
  <c r="AC208" i="118" s="1"/>
  <c r="M112" i="118"/>
  <c r="AI209" i="118" l="1"/>
  <c r="AA125" i="120"/>
  <c r="AE209" i="118"/>
  <c r="W125" i="120"/>
  <c r="Z209" i="118"/>
  <c r="R125" i="120"/>
  <c r="AH209" i="118"/>
  <c r="Z125" i="120"/>
  <c r="U209" i="118"/>
  <c r="M125" i="120"/>
  <c r="AC210" i="118"/>
  <c r="U125" i="120"/>
  <c r="E125" i="120"/>
  <c r="N209" i="118"/>
  <c r="F125" i="120"/>
  <c r="AA210" i="118"/>
  <c r="S125" i="120"/>
  <c r="AK210" i="118"/>
  <c r="AC125" i="120"/>
  <c r="L209" i="118"/>
  <c r="N210" i="118"/>
  <c r="AH210" i="118"/>
  <c r="W209" i="118"/>
  <c r="W210" i="118"/>
  <c r="AG210" i="118"/>
  <c r="AG209" i="118"/>
  <c r="Y209" i="118"/>
  <c r="Y210" i="118"/>
  <c r="AI210" i="118"/>
  <c r="U210" i="118"/>
  <c r="M210" i="118"/>
  <c r="M209" i="118"/>
  <c r="AC209" i="118"/>
  <c r="V210" i="118"/>
  <c r="V209" i="118"/>
  <c r="AE210" i="118"/>
  <c r="AD210" i="118"/>
  <c r="AD209" i="118"/>
  <c r="AL209" i="118"/>
  <c r="AL210" i="118"/>
  <c r="X209" i="118"/>
  <c r="X210" i="118"/>
  <c r="AB209" i="118"/>
  <c r="AB210" i="118"/>
  <c r="AA209" i="118"/>
  <c r="AJ210" i="118"/>
  <c r="AJ209" i="118"/>
  <c r="AK209" i="118"/>
  <c r="AF209" i="118"/>
  <c r="AF210" i="118"/>
  <c r="Z210" i="118"/>
  <c r="AK108" i="118"/>
  <c r="AK111" i="118" s="1"/>
  <c r="M108" i="118"/>
  <c r="M111" i="118" s="1"/>
  <c r="AH108" i="118"/>
  <c r="AH111" i="118" s="1"/>
  <c r="AE108" i="118"/>
  <c r="AE111" i="118" s="1"/>
  <c r="AD108" i="118"/>
  <c r="AD111" i="118" s="1"/>
  <c r="Z108" i="118"/>
  <c r="Z111" i="118" s="1"/>
  <c r="AC108" i="118"/>
  <c r="AC111" i="118" s="1"/>
  <c r="AA108" i="118"/>
  <c r="AA111" i="118" s="1"/>
  <c r="V108" i="118"/>
  <c r="V111" i="118" s="1"/>
  <c r="AB108" i="118"/>
  <c r="AB111" i="118" s="1"/>
  <c r="Y108" i="118"/>
  <c r="Y111" i="118" s="1"/>
  <c r="AI108" i="118"/>
  <c r="AI111" i="118" s="1"/>
  <c r="L108" i="118"/>
  <c r="L111" i="118" s="1"/>
  <c r="W108" i="118"/>
  <c r="W111" i="118" s="1"/>
  <c r="N108" i="118"/>
  <c r="N111" i="118" s="1"/>
  <c r="AG108" i="118"/>
  <c r="AG111" i="118" s="1"/>
  <c r="X108" i="118"/>
  <c r="X111" i="118" s="1"/>
  <c r="U108" i="118"/>
  <c r="U111" i="118" s="1"/>
  <c r="AJ108" i="118"/>
  <c r="AJ111" i="118" s="1"/>
  <c r="AF108" i="118"/>
  <c r="AF111" i="118" s="1"/>
  <c r="E34" i="120" l="1"/>
  <c r="P173" i="127"/>
  <c r="P87" i="127"/>
  <c r="P35" i="127"/>
  <c r="R87" i="127"/>
  <c r="Q173" i="127"/>
  <c r="Q175" i="127" s="1"/>
  <c r="Q197" i="127" s="1"/>
  <c r="R173" i="127"/>
  <c r="R175" i="127" s="1"/>
  <c r="R197" i="127" s="1"/>
  <c r="S35" i="127"/>
  <c r="R35" i="127"/>
  <c r="S87" i="127"/>
  <c r="Q35" i="127"/>
  <c r="Q87" i="127"/>
  <c r="T87" i="127"/>
  <c r="T173" i="127"/>
  <c r="T175" i="127" s="1"/>
  <c r="T197" i="127" s="1"/>
  <c r="S173" i="127"/>
  <c r="S175" i="127" s="1"/>
  <c r="S197" i="127" s="1"/>
  <c r="T35" i="127"/>
  <c r="AM87" i="127" l="1"/>
  <c r="Q90" i="127"/>
  <c r="Q91" i="127" s="1"/>
  <c r="T90" i="127"/>
  <c r="T91" i="127"/>
  <c r="P90" i="127"/>
  <c r="R38" i="127"/>
  <c r="R22" i="127" s="1"/>
  <c r="R118" i="127" s="1"/>
  <c r="S38" i="127"/>
  <c r="S22" i="127"/>
  <c r="S118" i="127" s="1"/>
  <c r="Q38" i="127"/>
  <c r="Q22" i="127"/>
  <c r="Q118" i="127" s="1"/>
  <c r="Q125" i="127" s="1"/>
  <c r="S27" i="127"/>
  <c r="S152" i="127" s="1"/>
  <c r="S90" i="127"/>
  <c r="S91" i="127" s="1"/>
  <c r="T38" i="127"/>
  <c r="T22" i="127" s="1"/>
  <c r="T118" i="127" s="1"/>
  <c r="Q27" i="127"/>
  <c r="Q190" i="127" s="1"/>
  <c r="R27" i="127"/>
  <c r="R86" i="127" s="1"/>
  <c r="R85" i="127" s="1"/>
  <c r="R90" i="127"/>
  <c r="R91" i="127" s="1"/>
  <c r="T27" i="127"/>
  <c r="T152" i="127" s="1"/>
  <c r="P27" i="127"/>
  <c r="P152" i="127" s="1"/>
  <c r="P38" i="127"/>
  <c r="P22" i="127" s="1"/>
  <c r="P118" i="127" s="1"/>
  <c r="AM90" i="127" l="1"/>
  <c r="AN90" i="127" s="1"/>
  <c r="P91" i="127"/>
  <c r="P190" i="127"/>
  <c r="P191" i="127" s="1"/>
  <c r="T86" i="127"/>
  <c r="T85" i="127" s="1"/>
  <c r="T201" i="127" s="1"/>
  <c r="R103" i="127"/>
  <c r="R108" i="127" s="1"/>
  <c r="R201" i="127"/>
  <c r="R102" i="127"/>
  <c r="R105" i="127" s="1"/>
  <c r="R106" i="127"/>
  <c r="Q132" i="127"/>
  <c r="Q126" i="127"/>
  <c r="P119" i="127"/>
  <c r="P125" i="127"/>
  <c r="R119" i="127"/>
  <c r="R125" i="127"/>
  <c r="Q191" i="127"/>
  <c r="Q194" i="127"/>
  <c r="S125" i="127"/>
  <c r="S119" i="127"/>
  <c r="T119" i="127"/>
  <c r="T125" i="127"/>
  <c r="R190" i="127"/>
  <c r="T25" i="127"/>
  <c r="P25" i="127"/>
  <c r="S86" i="127"/>
  <c r="S85" i="127" s="1"/>
  <c r="S34" i="127"/>
  <c r="R25" i="127"/>
  <c r="P34" i="127"/>
  <c r="S25" i="127"/>
  <c r="R148" i="127"/>
  <c r="T34" i="127"/>
  <c r="P148" i="127"/>
  <c r="R34" i="127"/>
  <c r="R152" i="127"/>
  <c r="P86" i="127"/>
  <c r="P85" i="127" s="1"/>
  <c r="Q34" i="127"/>
  <c r="AM27" i="127"/>
  <c r="Q119" i="127"/>
  <c r="P194" i="127"/>
  <c r="Q148" i="127"/>
  <c r="Q25" i="127"/>
  <c r="Q152" i="127"/>
  <c r="Q86" i="127"/>
  <c r="Q85" i="127" s="1"/>
  <c r="T103" i="127" l="1"/>
  <c r="T108" i="127" s="1"/>
  <c r="T102" i="127"/>
  <c r="T105" i="127" s="1"/>
  <c r="R195" i="127"/>
  <c r="T106" i="127"/>
  <c r="Q133" i="127"/>
  <c r="Q135" i="127" s="1"/>
  <c r="Q189" i="127" s="1"/>
  <c r="Q141" i="127"/>
  <c r="R191" i="127"/>
  <c r="R194" i="127"/>
  <c r="R196" i="127" s="1"/>
  <c r="R202" i="127" s="1"/>
  <c r="R126" i="127"/>
  <c r="R132" i="127"/>
  <c r="S201" i="127"/>
  <c r="S103" i="127"/>
  <c r="S108" i="127" s="1"/>
  <c r="S102" i="127"/>
  <c r="S105" i="127" s="1"/>
  <c r="S106" i="127"/>
  <c r="T126" i="127"/>
  <c r="T132" i="127"/>
  <c r="S132" i="127"/>
  <c r="S126" i="127"/>
  <c r="Q201" i="127"/>
  <c r="Q106" i="127"/>
  <c r="Q103" i="127"/>
  <c r="Q108" i="127" s="1"/>
  <c r="Q102" i="127"/>
  <c r="Q105" i="127" s="1"/>
  <c r="Q195" i="127"/>
  <c r="Q196" i="127" s="1"/>
  <c r="P102" i="127"/>
  <c r="P105" i="127" s="1"/>
  <c r="P103" i="127"/>
  <c r="P106" i="127"/>
  <c r="P201" i="127"/>
  <c r="P126" i="127"/>
  <c r="P132" i="127"/>
  <c r="T141" i="127" l="1"/>
  <c r="T133" i="127"/>
  <c r="T135" i="127" s="1"/>
  <c r="T189" i="127" s="1"/>
  <c r="T190" i="127" s="1"/>
  <c r="P108" i="127"/>
  <c r="AM103" i="127"/>
  <c r="AN106" i="127" s="1"/>
  <c r="Q202" i="127"/>
  <c r="R204" i="127"/>
  <c r="R203" i="127"/>
  <c r="P141" i="127"/>
  <c r="P133" i="127"/>
  <c r="P135" i="127" s="1"/>
  <c r="P189" i="127" s="1"/>
  <c r="Q142" i="127"/>
  <c r="Q143" i="127" s="1"/>
  <c r="Q145" i="127" s="1"/>
  <c r="Q167" i="127"/>
  <c r="Q168" i="127" s="1"/>
  <c r="Q169" i="127" s="1"/>
  <c r="S133" i="127"/>
  <c r="S135" i="127" s="1"/>
  <c r="S189" i="127" s="1"/>
  <c r="S190" i="127" s="1"/>
  <c r="S141" i="127"/>
  <c r="R133" i="127"/>
  <c r="R135" i="127" s="1"/>
  <c r="R189" i="127" s="1"/>
  <c r="R141" i="127"/>
  <c r="AM190" i="127" l="1"/>
  <c r="S191" i="127"/>
  <c r="S194" i="127"/>
  <c r="T194" i="127"/>
  <c r="T191" i="127"/>
  <c r="P142" i="127"/>
  <c r="P143" i="127" s="1"/>
  <c r="P145" i="127" s="1"/>
  <c r="P167" i="127"/>
  <c r="P168" i="127" s="1"/>
  <c r="P169" i="127" s="1"/>
  <c r="P171" i="127" s="1"/>
  <c r="P172" i="127" s="1"/>
  <c r="P175" i="127" s="1"/>
  <c r="T142" i="127"/>
  <c r="T143" i="127" s="1"/>
  <c r="T145" i="127" s="1"/>
  <c r="T167" i="127"/>
  <c r="T168" i="127" s="1"/>
  <c r="T169" i="127" s="1"/>
  <c r="Q147" i="127"/>
  <c r="Q146" i="127"/>
  <c r="R142" i="127"/>
  <c r="R143" i="127" s="1"/>
  <c r="R145" i="127" s="1"/>
  <c r="R167" i="127"/>
  <c r="R168" i="127" s="1"/>
  <c r="R169" i="127" s="1"/>
  <c r="S142" i="127"/>
  <c r="S143" i="127" s="1"/>
  <c r="S145" i="127" s="1"/>
  <c r="S167" i="127"/>
  <c r="S168" i="127" s="1"/>
  <c r="S169" i="127" s="1"/>
  <c r="Q204" i="127"/>
  <c r="Q203" i="127"/>
  <c r="S146" i="127" l="1"/>
  <c r="S147" i="127"/>
  <c r="R146" i="127"/>
  <c r="R147" i="127"/>
  <c r="T147" i="127"/>
  <c r="T146" i="127"/>
  <c r="P197" i="127"/>
  <c r="P195" i="127"/>
  <c r="P196" i="127" s="1"/>
  <c r="P202" i="127" s="1"/>
  <c r="P146" i="127"/>
  <c r="P147" i="127"/>
  <c r="T148" i="127" l="1"/>
  <c r="T195" i="127" s="1"/>
  <c r="T196" i="127" s="1"/>
  <c r="T202" i="127" s="1"/>
  <c r="S148" i="127"/>
  <c r="S195" i="127" s="1"/>
  <c r="S196" i="127" s="1"/>
  <c r="S202" i="127" s="1"/>
  <c r="AM202" i="127" s="1"/>
  <c r="AN202" i="127" s="1"/>
  <c r="P204" i="127"/>
  <c r="P203" i="127"/>
  <c r="S204" i="127" l="1"/>
  <c r="S203" i="127"/>
  <c r="T204" i="127"/>
  <c r="T203" i="127"/>
  <c r="P158" i="118"/>
  <c r="P40" i="118"/>
  <c r="H102" i="120" s="1"/>
  <c r="T158" i="118"/>
  <c r="S158" i="118"/>
  <c r="R158" i="118"/>
  <c r="Q158" i="118"/>
  <c r="T92" i="118"/>
  <c r="L37" i="120" s="1"/>
  <c r="Q196" i="118"/>
  <c r="Q200" i="118" s="1"/>
  <c r="S92" i="118"/>
  <c r="R92" i="118"/>
  <c r="J37" i="120" s="1"/>
  <c r="P196" i="118"/>
  <c r="P197" i="118" s="1"/>
  <c r="Q92" i="118"/>
  <c r="I120" i="120" s="1"/>
  <c r="P92" i="118"/>
  <c r="H120" i="120" s="1"/>
  <c r="T40" i="118"/>
  <c r="L102" i="120" s="1"/>
  <c r="L94" i="120"/>
  <c r="R40" i="118"/>
  <c r="J102" i="120" s="1"/>
  <c r="J94" i="120"/>
  <c r="S40" i="118"/>
  <c r="K102" i="120" s="1"/>
  <c r="K94" i="120"/>
  <c r="Q154" i="118"/>
  <c r="Q40" i="118"/>
  <c r="I102" i="120" s="1"/>
  <c r="I94" i="120"/>
  <c r="H94" i="120"/>
  <c r="P154" i="118"/>
  <c r="P36" i="118"/>
  <c r="H168" i="120" s="1"/>
  <c r="H169" i="120" s="1"/>
  <c r="R36" i="118"/>
  <c r="Q36" i="118"/>
  <c r="I98" i="120" s="1"/>
  <c r="T36" i="118"/>
  <c r="S36" i="118"/>
  <c r="K168" i="120" s="1"/>
  <c r="K169" i="120" s="1"/>
  <c r="K120" i="120" l="1"/>
  <c r="H37" i="120"/>
  <c r="T96" i="118"/>
  <c r="L60" i="120" s="1"/>
  <c r="T33" i="118"/>
  <c r="K37" i="120"/>
  <c r="Q33" i="118"/>
  <c r="Q30" i="118" s="1"/>
  <c r="J168" i="120"/>
  <c r="J169" i="120" s="1"/>
  <c r="R33" i="118"/>
  <c r="P44" i="118"/>
  <c r="H106" i="120" s="1"/>
  <c r="L98" i="120"/>
  <c r="T44" i="118"/>
  <c r="L106" i="120" s="1"/>
  <c r="R96" i="118"/>
  <c r="J60" i="120" s="1"/>
  <c r="P33" i="118"/>
  <c r="Q44" i="118"/>
  <c r="I106" i="120" s="1"/>
  <c r="R44" i="118"/>
  <c r="J106" i="120" s="1"/>
  <c r="I123" i="120"/>
  <c r="P96" i="118"/>
  <c r="L168" i="120"/>
  <c r="L169" i="120" s="1"/>
  <c r="H98" i="120"/>
  <c r="J98" i="120"/>
  <c r="Q93" i="118"/>
  <c r="I37" i="120"/>
  <c r="J120" i="120"/>
  <c r="L120" i="120"/>
  <c r="S44" i="118"/>
  <c r="K106" i="120" s="1"/>
  <c r="I168" i="120"/>
  <c r="I169" i="120" s="1"/>
  <c r="Q179" i="118"/>
  <c r="Q181" i="118" s="1"/>
  <c r="Q203" i="118" s="1"/>
  <c r="Q197" i="118"/>
  <c r="P200" i="118"/>
  <c r="K98" i="120"/>
  <c r="Q96" i="118"/>
  <c r="S96" i="118"/>
  <c r="S33" i="118"/>
  <c r="K115" i="120" s="1"/>
  <c r="L43" i="120" l="1"/>
  <c r="Q41" i="118"/>
  <c r="R41" i="118"/>
  <c r="J103" i="120" s="1"/>
  <c r="J111" i="120" s="1"/>
  <c r="J113" i="120" s="1"/>
  <c r="J115" i="120"/>
  <c r="I95" i="120"/>
  <c r="I115" i="120"/>
  <c r="P179" i="118"/>
  <c r="H115" i="120"/>
  <c r="T41" i="118"/>
  <c r="L103" i="120" s="1"/>
  <c r="L111" i="120" s="1"/>
  <c r="L113" i="120" s="1"/>
  <c r="L115" i="120"/>
  <c r="R27" i="118"/>
  <c r="R124" i="118" s="1"/>
  <c r="R30" i="118"/>
  <c r="R179" i="118"/>
  <c r="R181" i="118" s="1"/>
  <c r="R203" i="118" s="1"/>
  <c r="R93" i="118"/>
  <c r="R91" i="118" s="1"/>
  <c r="J43" i="120"/>
  <c r="L95" i="120"/>
  <c r="T93" i="118"/>
  <c r="T91" i="118" s="1"/>
  <c r="T108" i="118" s="1"/>
  <c r="T111" i="118" s="1"/>
  <c r="J95" i="120"/>
  <c r="Q91" i="118"/>
  <c r="Q112" i="118" s="1"/>
  <c r="H95" i="120"/>
  <c r="P93" i="118"/>
  <c r="P91" i="118" s="1"/>
  <c r="P108" i="118" s="1"/>
  <c r="P111" i="118" s="1"/>
  <c r="T179" i="118"/>
  <c r="T181" i="118" s="1"/>
  <c r="T203" i="118" s="1"/>
  <c r="P41" i="118"/>
  <c r="P30" i="118"/>
  <c r="Q201" i="118"/>
  <c r="Q27" i="118"/>
  <c r="Q124" i="118" s="1"/>
  <c r="I103" i="120"/>
  <c r="I111" i="120" s="1"/>
  <c r="I113" i="120" s="1"/>
  <c r="K43" i="120"/>
  <c r="K60" i="120"/>
  <c r="S93" i="118"/>
  <c r="S91" i="118" s="1"/>
  <c r="K95" i="120"/>
  <c r="S41" i="118"/>
  <c r="S30" i="118"/>
  <c r="S179" i="118"/>
  <c r="S181" i="118" s="1"/>
  <c r="I43" i="120"/>
  <c r="I60" i="120"/>
  <c r="I122" i="120"/>
  <c r="Q97" i="118"/>
  <c r="I40" i="120"/>
  <c r="I57" i="120"/>
  <c r="I39" i="120"/>
  <c r="H123" i="120"/>
  <c r="H60" i="120"/>
  <c r="H43" i="120"/>
  <c r="R131" i="118"/>
  <c r="R125" i="118"/>
  <c r="H122" i="120" l="1"/>
  <c r="J57" i="120"/>
  <c r="J39" i="120"/>
  <c r="R97" i="118"/>
  <c r="J122" i="120"/>
  <c r="T27" i="118"/>
  <c r="T124" i="118" s="1"/>
  <c r="T131" i="118" s="1"/>
  <c r="T132" i="118" s="1"/>
  <c r="J40" i="120"/>
  <c r="H57" i="120"/>
  <c r="T97" i="118"/>
  <c r="L39" i="120"/>
  <c r="R109" i="118"/>
  <c r="R114" i="118" s="1"/>
  <c r="R207" i="118"/>
  <c r="R108" i="118"/>
  <c r="R111" i="118" s="1"/>
  <c r="R112" i="118"/>
  <c r="Q109" i="118"/>
  <c r="Q114" i="118" s="1"/>
  <c r="Q207" i="118"/>
  <c r="Q108" i="118"/>
  <c r="Q111" i="118" s="1"/>
  <c r="L57" i="120"/>
  <c r="T109" i="118"/>
  <c r="T114" i="118" s="1"/>
  <c r="L40" i="120"/>
  <c r="T112" i="118"/>
  <c r="T207" i="118"/>
  <c r="L122" i="120"/>
  <c r="H40" i="120"/>
  <c r="H39" i="120"/>
  <c r="AM93" i="118"/>
  <c r="P112" i="118"/>
  <c r="P97" i="118"/>
  <c r="P109" i="118"/>
  <c r="P114" i="118" s="1"/>
  <c r="P207" i="118"/>
  <c r="P27" i="118"/>
  <c r="P124" i="118" s="1"/>
  <c r="H103" i="120"/>
  <c r="H111" i="120" s="1"/>
  <c r="H113" i="120" s="1"/>
  <c r="R138" i="118"/>
  <c r="R132" i="118"/>
  <c r="S27" i="118"/>
  <c r="S124" i="118" s="1"/>
  <c r="K103" i="120"/>
  <c r="K111" i="120" s="1"/>
  <c r="K113" i="120" s="1"/>
  <c r="Q125" i="118"/>
  <c r="Q131" i="118"/>
  <c r="I124" i="120"/>
  <c r="Q202" i="118"/>
  <c r="S97" i="118"/>
  <c r="K122" i="120"/>
  <c r="K39" i="120"/>
  <c r="K57" i="120"/>
  <c r="K40" i="120"/>
  <c r="S203" i="118"/>
  <c r="M66" i="120" s="1"/>
  <c r="T138" i="118" l="1"/>
  <c r="T147" i="118" s="1"/>
  <c r="T125" i="118"/>
  <c r="Q208" i="118"/>
  <c r="Q209" i="118" s="1"/>
  <c r="AE122" i="120"/>
  <c r="P131" i="118"/>
  <c r="P125" i="118"/>
  <c r="Q138" i="118"/>
  <c r="Q132" i="118"/>
  <c r="T139" i="118"/>
  <c r="S207" i="118"/>
  <c r="S112" i="118"/>
  <c r="S109" i="118"/>
  <c r="S108" i="118"/>
  <c r="S111" i="118" s="1"/>
  <c r="S125" i="118"/>
  <c r="S131" i="118"/>
  <c r="R139" i="118"/>
  <c r="R141" i="118" s="1"/>
  <c r="R195" i="118" s="1"/>
  <c r="R196" i="118" s="1"/>
  <c r="R147" i="118"/>
  <c r="I125" i="120" l="1"/>
  <c r="T141" i="118"/>
  <c r="T195" i="118" s="1"/>
  <c r="T196" i="118" s="1"/>
  <c r="T200" i="118" s="1"/>
  <c r="Q210" i="118"/>
  <c r="R197" i="118"/>
  <c r="R200" i="118"/>
  <c r="P132" i="118"/>
  <c r="P138" i="118"/>
  <c r="Q147" i="118"/>
  <c r="Q139" i="118"/>
  <c r="Q141" i="118" s="1"/>
  <c r="Q195" i="118" s="1"/>
  <c r="T173" i="118"/>
  <c r="T174" i="118" s="1"/>
  <c r="T175" i="118" s="1"/>
  <c r="T148" i="118"/>
  <c r="T149" i="118" s="1"/>
  <c r="T151" i="118" s="1"/>
  <c r="R173" i="118"/>
  <c r="R174" i="118" s="1"/>
  <c r="R175" i="118" s="1"/>
  <c r="R148" i="118"/>
  <c r="R149" i="118" s="1"/>
  <c r="R151" i="118" s="1"/>
  <c r="S132" i="118"/>
  <c r="S138" i="118"/>
  <c r="S114" i="118"/>
  <c r="G34" i="120" s="1"/>
  <c r="M65" i="120" s="1"/>
  <c r="T197" i="118" l="1"/>
  <c r="J123" i="120"/>
  <c r="P147" i="118"/>
  <c r="P139" i="118"/>
  <c r="P141" i="118" s="1"/>
  <c r="P195" i="118" s="1"/>
  <c r="L123" i="120"/>
  <c r="S147" i="118"/>
  <c r="S139" i="118"/>
  <c r="S141" i="118" s="1"/>
  <c r="S195" i="118" s="1"/>
  <c r="S196" i="118" s="1"/>
  <c r="T152" i="118"/>
  <c r="T153" i="118"/>
  <c r="R153" i="118"/>
  <c r="R152" i="118"/>
  <c r="Q173" i="118"/>
  <c r="Q174" i="118" s="1"/>
  <c r="Q175" i="118" s="1"/>
  <c r="Q148" i="118"/>
  <c r="Q149" i="118" s="1"/>
  <c r="Q151" i="118" s="1"/>
  <c r="R154" i="118" l="1"/>
  <c r="R201" i="118" s="1"/>
  <c r="S200" i="118"/>
  <c r="S197" i="118"/>
  <c r="T154" i="118"/>
  <c r="T201" i="118" s="1"/>
  <c r="P173" i="118"/>
  <c r="P174" i="118" s="1"/>
  <c r="P175" i="118" s="1"/>
  <c r="P177" i="118" s="1"/>
  <c r="P178" i="118" s="1"/>
  <c r="P181" i="118" s="1"/>
  <c r="P148" i="118"/>
  <c r="P149" i="118" s="1"/>
  <c r="P151" i="118" s="1"/>
  <c r="Q153" i="118"/>
  <c r="Q152" i="118"/>
  <c r="S148" i="118"/>
  <c r="S149" i="118" s="1"/>
  <c r="S151" i="118" s="1"/>
  <c r="S173" i="118"/>
  <c r="S174" i="118" s="1"/>
  <c r="S175" i="118" s="1"/>
  <c r="K123" i="120" l="1"/>
  <c r="J124" i="120"/>
  <c r="R202" i="118"/>
  <c r="R208" i="118" s="1"/>
  <c r="P203" i="118"/>
  <c r="P201" i="118"/>
  <c r="P153" i="118"/>
  <c r="P152" i="118"/>
  <c r="L124" i="120"/>
  <c r="T202" i="118"/>
  <c r="T208" i="118" s="1"/>
  <c r="S152" i="118"/>
  <c r="S153" i="118"/>
  <c r="O158" i="118"/>
  <c r="O40" i="118"/>
  <c r="G102" i="120" s="1"/>
  <c r="O92" i="118"/>
  <c r="G120" i="120" s="1"/>
  <c r="AE120" i="120" s="1"/>
  <c r="O196" i="118"/>
  <c r="O197" i="118" s="1"/>
  <c r="AM32" i="118"/>
  <c r="O154" i="118"/>
  <c r="G94" i="120"/>
  <c r="O36" i="118"/>
  <c r="G168" i="120" s="1"/>
  <c r="G169" i="120" s="1"/>
  <c r="AH169" i="120" s="1"/>
  <c r="AJ174" i="120" s="1"/>
  <c r="E112" i="120" l="1"/>
  <c r="F112" i="120"/>
  <c r="N112" i="120"/>
  <c r="G112" i="120"/>
  <c r="H112" i="120"/>
  <c r="I112" i="120"/>
  <c r="J112" i="120"/>
  <c r="K112" i="120"/>
  <c r="L112" i="120"/>
  <c r="M112" i="120"/>
  <c r="R210" i="118"/>
  <c r="R209" i="118"/>
  <c r="J125" i="120"/>
  <c r="S154" i="118"/>
  <c r="S201" i="118" s="1"/>
  <c r="L125" i="120"/>
  <c r="T209" i="118"/>
  <c r="T210" i="118"/>
  <c r="P202" i="118"/>
  <c r="P208" i="118" s="1"/>
  <c r="H124" i="120"/>
  <c r="O30" i="118"/>
  <c r="G98" i="120"/>
  <c r="G37" i="120"/>
  <c r="AM196" i="118"/>
  <c r="O200" i="118"/>
  <c r="F6" i="120"/>
  <c r="O44" i="118"/>
  <c r="O96" i="118"/>
  <c r="K124" i="120" l="1"/>
  <c r="S202" i="118"/>
  <c r="S208" i="118" s="1"/>
  <c r="P210" i="118"/>
  <c r="P209" i="118"/>
  <c r="H125" i="120"/>
  <c r="O27" i="118"/>
  <c r="O124" i="118" s="1"/>
  <c r="G106" i="120"/>
  <c r="O97" i="118"/>
  <c r="AM96" i="118"/>
  <c r="AN96" i="118" s="1"/>
  <c r="G60" i="120"/>
  <c r="O91" i="118"/>
  <c r="G43" i="120"/>
  <c r="G39" i="120"/>
  <c r="G123" i="120"/>
  <c r="AE123" i="120" s="1"/>
  <c r="G6" i="120"/>
  <c r="H6" i="120" s="1"/>
  <c r="F8" i="120" l="1"/>
  <c r="G8" i="120" s="1"/>
  <c r="H8" i="120" s="1"/>
  <c r="AM97" i="118"/>
  <c r="K125" i="120"/>
  <c r="S209" i="118"/>
  <c r="S210" i="118"/>
  <c r="O112" i="118"/>
  <c r="O109" i="118"/>
  <c r="O207" i="118"/>
  <c r="O108" i="118"/>
  <c r="O111" i="118" s="1"/>
  <c r="O131" i="118"/>
  <c r="O125" i="118"/>
  <c r="F5" i="120" l="1"/>
  <c r="G5" i="120" s="1"/>
  <c r="H5" i="120" s="1"/>
  <c r="O138" i="118"/>
  <c r="O132" i="118"/>
  <c r="AM109" i="118"/>
  <c r="O114" i="118"/>
  <c r="F34" i="120" s="1"/>
  <c r="L65" i="120" s="1"/>
  <c r="F118" i="120" l="1"/>
  <c r="G118" i="120" s="1"/>
  <c r="AN112" i="118"/>
  <c r="O147" i="118"/>
  <c r="O139" i="118"/>
  <c r="O141" i="118" s="1"/>
  <c r="O195" i="118" s="1"/>
  <c r="O173" i="118" l="1"/>
  <c r="O174" i="118" s="1"/>
  <c r="O175" i="118" s="1"/>
  <c r="O177" i="118" s="1"/>
  <c r="O178" i="118" s="1"/>
  <c r="O181" i="118" s="1"/>
  <c r="O148" i="118"/>
  <c r="O149" i="118" s="1"/>
  <c r="O151" i="118" s="1"/>
  <c r="O152" i="118" l="1"/>
  <c r="O153" i="118"/>
  <c r="O203" i="118"/>
  <c r="L66" i="120" s="1"/>
  <c r="O201" i="118"/>
  <c r="G124" i="120" l="1"/>
  <c r="AE124" i="120" s="1"/>
  <c r="O202" i="118"/>
  <c r="O208" i="118" s="1"/>
  <c r="AM208" i="118" l="1"/>
  <c r="AN208" i="118" s="1"/>
  <c r="O210" i="118"/>
  <c r="G125" i="120"/>
  <c r="AE125" i="120" s="1"/>
  <c r="O209" i="1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tc={CC683E75-611F-4CD4-AB8F-655BA1A72F95}</author>
    <author>tc={178ED000-0962-4FAD-8C5E-A31CD5070200}</author>
    <author>tc={2FFBF58D-F9EE-4C19-9254-60E9519E1884}</author>
    <author>tc={6064E504-90E6-4C6C-AD63-7EBDEAA4AB12}</author>
    <author>tc={E4A230EE-D8E7-4E07-A1CD-C5B87BDE6B85}</author>
    <author>tc={E1368235-0019-462F-A8D5-25F6A627E527}</author>
    <author>tc={8F392A0F-C7CD-47BC-9326-57B4A9D6F484}</author>
    <author>tc={8B238A93-E262-4C7D-ABB7-71B5B62E53B5}</author>
    <author>tc={BAE26FEC-A782-4D72-AF60-E8925DF4FBA2}</author>
    <author>tc={5917C95B-9A19-4904-A29B-781A293DA2D6}</author>
    <author>tc={FE550FAB-4BC0-4435-A198-D7BAA61E3406}</author>
    <author>tc={6A045D7E-E4C1-45AA-BC3D-27B8EF6AAED3}</author>
    <author>tc={80A69804-F9C6-410D-9DA5-E690E6F0E088}</author>
    <author>tc={9E3F402D-0048-46C9-ABD7-494A7F7053E0}</author>
    <author>tc={41BE0779-CB6B-4ED2-AB71-4F94C991EFA9}</author>
    <author>tc={21BC674A-1B63-4A37-AA27-A90AE2C496AE}</author>
    <author>tc={7D4DA3AF-B95D-49FA-91E1-D64E2EEA48D5}</author>
    <author>tc={0CF6B8CA-F048-4A16-9250-C8DB882A642B}</author>
    <author>tc={FE8A9210-0ABD-4FE4-A3B2-D1D54EF9065D}</author>
    <author>tc={8A30ED4D-6EA2-4FB3-9A65-6089DCD635DC}</author>
    <author>tc={A151A4FA-2364-4DA2-B4AD-A443E5780E3D}</author>
    <author>tc={C9AD22F4-220A-4997-9E20-8982C6F10F69}</author>
  </authors>
  <commentList>
    <comment ref="E16" authorId="0" shapeId="0" xr:uid="{CC683E75-611F-4CD4-AB8F-655BA1A72F95}">
      <text>
        <t>[Threaded comment]
Your version of Excel allows you to read this threaded comment; however, any edits to it will get removed if the file is opened in a newer version of Excel. Learn more: https://go.microsoft.com/fwlink/?linkid=870924
Comment:
    Start of B50 for Aspen reporting</t>
      </text>
    </comment>
    <comment ref="C27" authorId="1" shapeId="0" xr:uid="{178ED000-0962-4FAD-8C5E-A31CD5070200}">
      <text>
        <t>[Threaded comment]
Your version of Excel allows you to read this threaded comment; however, any edits to it will get removed if the file is opened in a newer version of Excel. Learn more: https://go.microsoft.com/fwlink/?linkid=870924
Comment:
    We can use this to calculate the fixed costs Aspen is not able to recover due to lost production
Reply:
    Assume 10% GP</t>
      </text>
    </comment>
    <comment ref="C29" authorId="2" shapeId="0" xr:uid="{2FFBF58D-F9EE-4C19-9254-60E9519E1884}">
      <text>
        <t>[Threaded comment]
Your version of Excel allows you to read this threaded comment; however, any edits to it will get removed if the file is opened in a newer version of Excel. Learn more: https://go.microsoft.com/fwlink/?linkid=870924
Comment:
    We can use this to calculate the fixed costs Aspen is not able to recover due to lost production
Reply:
    Assume 10% GP</t>
      </text>
    </comment>
    <comment ref="C38" authorId="3" shapeId="0" xr:uid="{6064E504-90E6-4C6C-AD63-7EBDEAA4AB12}">
      <text>
        <t>[Threaded comment]
Your version of Excel allows you to read this threaded comment; however, any edits to it will get removed if the file is opened in a newer version of Excel. Learn more: https://go.microsoft.com/fwlink/?linkid=870924
Comment:
    Take total consumption of previous year, apply 5% reduction</t>
      </text>
    </comment>
    <comment ref="C43" authorId="4" shapeId="0" xr:uid="{E4A230EE-D8E7-4E07-A1CD-C5B87BDE6B85}">
      <text>
        <t>[Threaded comment]
Your version of Excel allows you to read this threaded comment; however, any edits to it will get removed if the file is opened in a newer version of Excel. Learn more: https://go.microsoft.com/fwlink/?linkid=870924
Comment:
    Average over 6-months</t>
      </text>
    </comment>
    <comment ref="C45" authorId="5" shapeId="0" xr:uid="{E1368235-0019-462F-A8D5-25F6A627E527}">
      <text>
        <t>[Threaded comment]
Your version of Excel allows you to read this threaded comment; however, any edits to it will get removed if the file is opened in a newer version of Excel. Learn more: https://go.microsoft.com/fwlink/?linkid=870924
Comment:
    This is based on COD only since all parameters are within permit limits</t>
      </text>
    </comment>
    <comment ref="C52" authorId="6" shapeId="0" xr:uid="{8F392A0F-C7CD-47BC-9326-57B4A9D6F484}">
      <text>
        <t>[Threaded comment]
Your version of Excel allows you to read this threaded comment; however, any edits to it will get removed if the file is opened in a newer version of Excel. Learn more: https://go.microsoft.com/fwlink/?linkid=870924
Comment:
    No annual increase assumed currently. Increase would depend on elec tariff, chemical costs, consumables and labour. So this would be a combination of elec and CPI</t>
      </text>
    </comment>
    <comment ref="C54" authorId="7" shapeId="0" xr:uid="{8B238A93-E262-4C7D-ABB7-71B5B62E53B5}">
      <text>
        <t>[Threaded comment]
Your version of Excel allows you to read this threaded comment; however, any edits to it will get removed if the file is opened in a newer version of Excel. Learn more: https://go.microsoft.com/fwlink/?linkid=870924
Comment:
    Get high-level plant summary from doc and ask GPT to estimate OPEX</t>
      </text>
    </comment>
    <comment ref="C55" authorId="8" shapeId="0" xr:uid="{BAE26FEC-A782-4D72-AF60-E8925DF4FBA2}">
      <text>
        <t>[Threaded comment]
Your version of Excel allows you to read this threaded comment; however, any edits to it will get removed if the file is opened in a newer version of Excel. Learn more: https://go.microsoft.com/fwlink/?linkid=870924
Comment:
    This is a ChatGPT estimate based on 1m3/h output, 16 hrs/d, 365 days/yr.
I have given it a steam, water and electricity cost to work with. Everything else is an assumption
Reply:
    8% annual increase</t>
      </text>
    </comment>
    <comment ref="C56" authorId="9" shapeId="0" xr:uid="{5917C95B-9A19-4904-A29B-781A293DA2D6}">
      <text>
        <t>[Threaded comment]
Your version of Excel allows you to read this threaded comment; however, any edits to it will get removed if the file is opened in a newer version of Excel. Learn more: https://go.microsoft.com/fwlink/?linkid=870924
Comment:
    Check what Peter shared</t>
      </text>
    </comment>
    <comment ref="C57" authorId="10" shapeId="0" xr:uid="{FE550FAB-4BC0-4435-A198-D7BAA61E3406}">
      <text>
        <t>[Threaded comment]
Your version of Excel allows you to read this threaded comment; however, any edits to it will get removed if the file is opened in a newer version of Excel. Learn more: https://go.microsoft.com/fwlink/?linkid=870924
Comment:
    6.8 - 13.4 R/m3</t>
      </text>
    </comment>
    <comment ref="C58" authorId="11" shapeId="0" xr:uid="{6A045D7E-E4C1-45AA-BC3D-27B8EF6AAED3}">
      <text>
        <t>[Threaded comment]
Your version of Excel allows you to read this threaded comment; however, any edits to it will get removed if the file is opened in a newer version of Excel. Learn more: https://go.microsoft.com/fwlink/?linkid=870924
Comment:
    Based on Sov, scaled for volume</t>
      </text>
    </comment>
    <comment ref="I58" authorId="12" shapeId="0" xr:uid="{80A69804-F9C6-410D-9DA5-E690E6F0E088}">
      <text>
        <t>[Threaded comment]
Your version of Excel allows you to read this threaded comment; however, any edits to it will get removed if the file is opened in a newer version of Excel. Learn more: https://go.microsoft.com/fwlink/?linkid=870924
Comment:
    TBC
Reply:
    Sov OPEX is 34.51 R/m3 for bigger volume, does this make sense?
Reply:
    The OPEX number includes paying off CAPEX...</t>
      </text>
    </comment>
    <comment ref="C59" authorId="13" shapeId="0" xr:uid="{9E3F402D-0048-46C9-ABD7-494A7F7053E0}">
      <text>
        <t xml:space="preserve">[Threaded comment]
Your version of Excel allows you to read this threaded comment; however, any edits to it will get removed if the file is opened in a newer version of Excel. Learn more: https://go.microsoft.com/fwlink/?linkid=870924
Comment:
    Depends on condensate return %
Reply:
    5% annual increase
</t>
      </text>
    </comment>
    <comment ref="C61" authorId="14" shapeId="0" xr:uid="{41BE0779-CB6B-4ED2-AB71-4F94C991EFA9}">
      <text>
        <t>[Threaded comment]
Your version of Excel allows you to read this threaded comment; however, any edits to it will get removed if the file is opened in a newer version of Excel. Learn more: https://go.microsoft.com/fwlink/?linkid=870924
Comment:
    Groundwater, PW, boiler feed, rainwater</t>
      </text>
    </comment>
    <comment ref="C70" authorId="15" shapeId="0" xr:uid="{21BC674A-1B63-4A37-AA27-A90AE2C496AE}">
      <text>
        <t>[Threaded comment]
Your version of Excel allows you to read this threaded comment; however, any edits to it will get removed if the file is opened in a newer version of Excel. Learn more: https://go.microsoft.com/fwlink/?linkid=870924
Comment:
    Current borehole quality data, so we can see if quality has changed since initial study</t>
      </text>
    </comment>
    <comment ref="C113" authorId="16" shapeId="0" xr:uid="{7D4DA3AF-B95D-49FA-91E1-D64E2EEA48D5}">
      <text>
        <t>[Threaded comment]
Your version of Excel allows you to read this threaded comment; however, any edits to it will get removed if the file is opened in a newer version of Excel. Learn more: https://go.microsoft.com/fwlink/?linkid=870924
Comment:
    ChatGPT</t>
      </text>
    </comment>
    <comment ref="C114" authorId="17" shapeId="0" xr:uid="{0CF6B8CA-F048-4A16-9250-C8DB882A642B}">
      <text>
        <t>[Threaded comment]
Your version of Excel allows you to read this threaded comment; however, any edits to it will get removed if the file is opened in a newer version of Excel. Learn more: https://go.microsoft.com/fwlink/?linkid=870924
Comment:
    ChatGPT</t>
      </text>
    </comment>
    <comment ref="C117" authorId="18" shapeId="0" xr:uid="{FE8A9210-0ABD-4FE4-A3B2-D1D54EF9065D}">
      <text>
        <t>[Threaded comment]
Your version of Excel allows you to read this threaded comment; however, any edits to it will get removed if the file is opened in a newer version of Excel. Learn more: https://go.microsoft.com/fwlink/?linkid=870924
Comment:
    ChatGPT</t>
      </text>
    </comment>
    <comment ref="C118" authorId="19" shapeId="0" xr:uid="{8A30ED4D-6EA2-4FB3-9A65-6089DCD635DC}">
      <text>
        <t>[Threaded comment]
Your version of Excel allows you to read this threaded comment; however, any edits to it will get removed if the file is opened in a newer version of Excel. Learn more: https://go.microsoft.com/fwlink/?linkid=870924
Comment:
    ChatGPT</t>
      </text>
    </comment>
    <comment ref="C119" authorId="20" shapeId="0" xr:uid="{A151A4FA-2364-4DA2-B4AD-A443E5780E3D}">
      <text>
        <t>[Threaded comment]
Your version of Excel allows you to read this threaded comment; however, any edits to it will get removed if the file is opened in a newer version of Excel. Learn more: https://go.microsoft.com/fwlink/?linkid=870924
Comment:
    ChatGPT</t>
      </text>
    </comment>
    <comment ref="E200" authorId="21" shapeId="0" xr:uid="{C9AD22F4-220A-4997-9E20-8982C6F10F69}">
      <text>
        <t>[Threaded comment]
Your version of Excel allows you to read this threaded comment; however, any edits to it will get removed if the file is opened in a newer version of Excel. Learn more: https://go.microsoft.com/fwlink/?linkid=870924
Comment:
    Pumping, chlorine dosing, maintenance and monitoring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tc={8313C789-35A2-4648-BD61-2E964C77A873}</author>
    <author>tc={B81F460E-39FF-44B6-9294-2F30B2C04284}</author>
    <author>tc={EA532AD6-BFD5-43B0-A795-8B3B49925007}</author>
    <author>tc={6FE56966-4F53-45F5-AC7D-DA0DF420DD82}</author>
    <author>tc={9753063A-AA0B-40DD-B576-6F6CA4A71C15}</author>
    <author>tc={73F48198-76E1-447C-9A56-6A95B482951E}</author>
    <author>tc={301E9840-0927-407E-89F2-5A48680CB660}</author>
    <author>tc={7315202C-12D5-4073-967E-C9D9DC2A8386}</author>
    <author>tc={E4F27893-3C88-43B2-8C7E-092C19E62C68}</author>
    <author>tc={7C9BEFB3-9BF6-4F59-A822-57754F4151C1}</author>
    <author>tc={4A2124F0-ADCD-4E0A-9146-8967382A5BC2}</author>
    <author>tc={E5DD4718-5122-4CBD-AB4E-0A641258F969}</author>
    <author>tc={C730C40E-7B18-41CD-9A2D-A2CF247ECA80}</author>
    <author>tc={74275A15-6D36-44FA-A10B-04F3EE1E46A9}</author>
    <author>tc={25F41C65-227A-445E-862F-93F5301401D6}</author>
    <author>tc={D2F6509B-7274-4BC5-94A5-59D467658B27}</author>
    <author>tc={BBDAB5A2-C726-4EAA-893E-CD57A6EC74BD}</author>
  </authors>
  <commentList>
    <comment ref="W10" authorId="0" shapeId="0" xr:uid="{8313C789-35A2-4648-BD61-2E964C77A873}">
      <text>
        <t>[Threaded comment]
Your version of Excel allows you to read this threaded comment; however, any edits to it will get removed if the file is opened in a newer version of Excel. Learn more: https://go.microsoft.com/fwlink/?linkid=870924
Comment:
    Demand risk</t>
      </text>
    </comment>
    <comment ref="AB10" authorId="1" shapeId="0" xr:uid="{B81F460E-39FF-44B6-9294-2F30B2C04284}">
      <text>
        <t>[Threaded comment]
Your version of Excel allows you to read this threaded comment; however, any edits to it will get removed if the file is opened in a newer version of Excel. Learn more: https://go.microsoft.com/fwlink/?linkid=870924
Comment:
    Availability risk</t>
      </text>
    </comment>
    <comment ref="D15" authorId="2" shapeId="0" xr:uid="{EA532AD6-BFD5-43B0-A795-8B3B49925007}">
      <text>
        <t>[Threaded comment]
Your version of Excel allows you to read this threaded comment; however, any edits to it will get removed if the file is opened in a newer version of Excel. Learn more: https://go.microsoft.com/fwlink/?linkid=870924
Comment:
    Will only be groundwater for now</t>
      </text>
    </comment>
    <comment ref="N15" authorId="3" shapeId="0" xr:uid="{6FE56966-4F53-45F5-AC7D-DA0DF420DD82}">
      <text>
        <t>[Threaded comment]
Your version of Excel allows you to read this threaded comment; however, any edits to it will get removed if the file is opened in a newer version of Excel. Learn more: https://go.microsoft.com/fwlink/?linkid=870924
Comment:
    Second borehole</t>
      </text>
    </comment>
    <comment ref="D19" authorId="4" shapeId="0" xr:uid="{9753063A-AA0B-40DD-B576-6F6CA4A71C15}">
      <text>
        <t>[Threaded comment]
Your version of Excel allows you to read this threaded comment; however, any edits to it will get removed if the file is opened in a newer version of Excel. Learn more: https://go.microsoft.com/fwlink/?linkid=870924
Comment:
    Storage capacity + non-municipal daily supply</t>
      </text>
    </comment>
    <comment ref="N23" authorId="5" shapeId="0" xr:uid="{73F48198-76E1-447C-9A56-6A95B482951E}">
      <text>
        <t>[Threaded comment]
Your version of Excel allows you to read this threaded comment; however, any edits to it will get removed if the file is opened in a newer version of Excel. Learn more: https://go.microsoft.com/fwlink/?linkid=870924
Comment:
    NH3 condensers come online</t>
      </text>
    </comment>
    <comment ref="Q23" authorId="6" shapeId="0" xr:uid="{301E9840-0927-407E-89F2-5A48680CB660}">
      <text>
        <t>[Threaded comment]
Your version of Excel allows you to read this threaded comment; however, any edits to it will get removed if the file is opened in a newer version of Excel. Learn more: https://go.microsoft.com/fwlink/?linkid=870924
Comment:
    SVP3 ramp up ends</t>
      </text>
    </comment>
    <comment ref="D67" authorId="7" shapeId="0" xr:uid="{7315202C-12D5-4073-967E-C9D9DC2A8386}">
      <text>
        <t>[Threaded comment]
Your version of Excel allows you to read this threaded comment; however, any edits to it will get removed if the file is opened in a newer version of Excel. Learn more: https://go.microsoft.com/fwlink/?linkid=870924
Comment:
    This is based on COD only since all parameters are within permit limits</t>
      </text>
    </comment>
    <comment ref="D69" authorId="8" shapeId="0" xr:uid="{E4F27893-3C88-43B2-8C7E-092C19E62C68}">
      <text>
        <t>[Threaded comment]
Your version of Excel allows you to read this threaded comment; however, any edits to it will get removed if the file is opened in a newer version of Excel. Learn more: https://go.microsoft.com/fwlink/?linkid=870924
Comment:
    No annual increase assumed currently. Increase would depend on elec tariff, chemical costs, consumables and labour. So this would be a combination of elec and CPI</t>
      </text>
    </comment>
    <comment ref="D70" authorId="9" shapeId="0" xr:uid="{7C9BEFB3-9BF6-4F59-A822-57754F4151C1}">
      <text>
        <t>[Threaded comment]
Your version of Excel allows you to read this threaded comment; however, any edits to it will get removed if the file is opened in a newer version of Excel. Learn more: https://go.microsoft.com/fwlink/?linkid=870924
Comment:
    Get high-level plant summary from doc and ask GPT to estimate OPEX</t>
      </text>
    </comment>
    <comment ref="D71" authorId="10" shapeId="0" xr:uid="{4A2124F0-ADCD-4E0A-9146-8967382A5BC2}">
      <text>
        <t>[Threaded comment]
Your version of Excel allows you to read this threaded comment; however, any edits to it will get removed if the file is opened in a newer version of Excel. Learn more: https://go.microsoft.com/fwlink/?linkid=870924
Comment:
    This is a ChatGPT estimate based on 1m3/h output, 16 hrs/d, 365 days/yr.
I have given it a steam, water and electricity cost to work with. Everything else is an assumption
Reply:
    8% annual increase</t>
      </text>
    </comment>
    <comment ref="D72" authorId="11" shapeId="0" xr:uid="{E5DD4718-5122-4CBD-AB4E-0A641258F969}">
      <text>
        <t>[Threaded comment]
Your version of Excel allows you to read this threaded comment; however, any edits to it will get removed if the file is opened in a newer version of Excel. Learn more: https://go.microsoft.com/fwlink/?linkid=870924
Comment:
    Check what Peter shared</t>
      </text>
    </comment>
    <comment ref="D73" authorId="12" shapeId="0" xr:uid="{C730C40E-7B18-41CD-9A2D-A2CF247ECA80}">
      <text>
        <t>[Threaded comment]
Your version of Excel allows you to read this threaded comment; however, any edits to it will get removed if the file is opened in a newer version of Excel. Learn more: https://go.microsoft.com/fwlink/?linkid=870924
Comment:
    6.8 - 13.4 R/m3</t>
      </text>
    </comment>
    <comment ref="D74" authorId="13" shapeId="0" xr:uid="{74275A15-6D36-44FA-A10B-04F3EE1E46A9}">
      <text>
        <t>[Threaded comment]
Your version of Excel allows you to read this threaded comment; however, any edits to it will get removed if the file is opened in a newer version of Excel. Learn more: https://go.microsoft.com/fwlink/?linkid=870924
Comment:
    Based on Sov, scaled for volume</t>
      </text>
    </comment>
    <comment ref="D86" authorId="14" shapeId="0" xr:uid="{25F41C65-227A-445E-862F-93F5301401D6}">
      <text>
        <t>[Threaded comment]
Your version of Excel allows you to read this threaded comment; however, any edits to it will get removed if the file is opened in a newer version of Excel. Learn more: https://go.microsoft.com/fwlink/?linkid=870924
Comment:
    Can get an average volume estimate from the steam bills</t>
      </text>
    </comment>
    <comment ref="D141" authorId="15" shapeId="0" xr:uid="{D2F6509B-7274-4BC5-94A5-59D467658B27}">
      <text>
        <t>[Threaded comment]
Your version of Excel allows you to read this threaded comment; however, any edits to it will get removed if the file is opened in a newer version of Excel. Learn more: https://go.microsoft.com/fwlink/?linkid=870924
Comment:
    Adjusting plant setpoints or replacement rates on consumables due to varying quality of incoming water</t>
      </text>
    </comment>
    <comment ref="D144" authorId="16" shapeId="0" xr:uid="{BBDAB5A2-C726-4EAA-893E-CD57A6EC74BD}">
      <text>
        <t xml:space="preserve">[Threaded comment]
Your version of Excel allows you to read this threaded comment; however, any edits to it will get removed if the file is opened in a newer version of Excel. Learn more: https://go.microsoft.com/fwlink/?linkid=870924
Comment:
    Most basic way to model is: what is sustainable abstraction? Is the site above, at or below this
Reply:
    But we have insufficient data on this.
Ideally we would also know the anticipated lifespan of the borehole, but the site needs to do analysis yearly for this.
Reply:
    For now, we can assume this borehole will last 20 years as per the WUL. This means it would be offline from 2040.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tc={B87087A9-2730-463B-81BF-BA2E92A9C2EE}</author>
    <author>tc={AB93ED4E-3006-4BE7-83D8-E22436AD0813}</author>
    <author>tc={662AE780-4BA1-4B2D-BE3B-A3AB1511271A}</author>
    <author>tc={CCF4755C-78DE-41EC-9344-A7FB36840E5E}</author>
    <author>tc={214ED204-4B74-4550-AFF0-8F1703629EF0}</author>
    <author>tc={1C407FD4-F9F0-4C89-838A-5841F2DED272}</author>
    <author>tc={FDEB1982-8AE6-4DDA-922E-829EC72BE687}</author>
    <author>tc={8F26D1C4-2583-4886-B371-8CEBF1B160B6}</author>
    <author>tc={15FA683D-FE9E-4EC4-8784-750D3E836E2E}</author>
    <author>tc={1543D5BF-0F67-46AC-85BA-CB58A8439AF1}</author>
    <author>tc={84DEFB63-08CB-4343-BD7C-59868066C9D6}</author>
    <author>tc={C84AC8F2-4B51-454F-8E06-8C299657925A}</author>
    <author>tc={4C483C2F-74C6-4ECD-A950-2A1444623881}</author>
    <author>tc={47EA0330-4D95-4536-85C1-F2BA48D17DAD}</author>
    <author>tc={9266EBC2-C20A-4EA8-B6C8-F415B391DAAF}</author>
    <author>tc={327F32B6-4F7D-4F24-946B-6A6A949E9C00}</author>
  </authors>
  <commentList>
    <comment ref="W10" authorId="0" shapeId="0" xr:uid="{B87087A9-2730-463B-81BF-BA2E92A9C2EE}">
      <text>
        <t>[Threaded comment]
Your version of Excel allows you to read this threaded comment; however, any edits to it will get removed if the file is opened in a newer version of Excel. Learn more: https://go.microsoft.com/fwlink/?linkid=870924
Comment:
    Demand risk</t>
      </text>
    </comment>
    <comment ref="AB10" authorId="1" shapeId="0" xr:uid="{AB93ED4E-3006-4BE7-83D8-E22436AD0813}">
      <text>
        <t>[Threaded comment]
Your version of Excel allows you to read this threaded comment; however, any edits to it will get removed if the file is opened in a newer version of Excel. Learn more: https://go.microsoft.com/fwlink/?linkid=870924
Comment:
    Availability risk</t>
      </text>
    </comment>
    <comment ref="D16" authorId="2" shapeId="0" xr:uid="{662AE780-4BA1-4B2D-BE3B-A3AB1511271A}">
      <text>
        <t>[Threaded comment]
Your version of Excel allows you to read this threaded comment; however, any edits to it will get removed if the file is opened in a newer version of Excel. Learn more: https://go.microsoft.com/fwlink/?linkid=870924
Comment:
    BH1 WUL not extended</t>
      </text>
    </comment>
    <comment ref="AC19" authorId="3" shapeId="0" xr:uid="{CCF4755C-78DE-41EC-9344-A7FB36840E5E}">
      <text>
        <t>[Threaded comment]
Your version of Excel allows you to read this threaded comment; however, any edits to it will get removed if the file is opened in a newer version of Excel. Learn more: https://go.microsoft.com/fwlink/?linkid=870924
Comment:
    Deficit of 119ML/yr without desal and BH WUL expires. This equates to 9.2 mil Rand if it must be municipal water.
Reply:
    If the 119ML/yr came from desal instead, this amounts to 1.5mil Rand for the year.
Reply:
    See below scenario 2 where WUL does not expire in 2040, then they have sufficient alternate water (ground, rain, rec) to supply whole site</t>
      </text>
    </comment>
    <comment ref="D21" authorId="4" shapeId="0" xr:uid="{214ED204-4B74-4550-AFF0-8F1703629EF0}">
      <text>
        <t>[Threaded comment]
Your version of Excel allows you to read this threaded comment; however, any edits to it will get removed if the file is opened in a newer version of Excel. Learn more: https://go.microsoft.com/fwlink/?linkid=870924
Comment:
    BH1 WUL not extended</t>
      </text>
    </comment>
    <comment ref="D79" authorId="5" shapeId="0" xr:uid="{1C407FD4-F9F0-4C89-838A-5841F2DED272}">
      <text>
        <t>[Threaded comment]
Your version of Excel allows you to read this threaded comment; however, any edits to it will get removed if the file is opened in a newer version of Excel. Learn more: https://go.microsoft.com/fwlink/?linkid=870924
Comment:
    This is based on COD only since all parameters are within permit limits</t>
      </text>
    </comment>
    <comment ref="D80" authorId="6" shapeId="0" xr:uid="{FDEB1982-8AE6-4DDA-922E-829EC72BE687}">
      <text>
        <t>[Threaded comment]
Your version of Excel allows you to read this threaded comment; however, any edits to it will get removed if the file is opened in a newer version of Excel. Learn more: https://go.microsoft.com/fwlink/?linkid=870924
Comment:
    No annual increase assumed currently. Increase would depend on elec tariff, chemical costs, consumables and labour. So this would be a combination of elec and CPI</t>
      </text>
    </comment>
    <comment ref="D81" authorId="7" shapeId="0" xr:uid="{8F26D1C4-2583-4886-B371-8CEBF1B160B6}">
      <text>
        <t>[Threaded comment]
Your version of Excel allows you to read this threaded comment; however, any edits to it will get removed if the file is opened in a newer version of Excel. Learn more: https://go.microsoft.com/fwlink/?linkid=870924
Comment:
    Get high-level plant summary from doc and ask GPT to estimate OPEX</t>
      </text>
    </comment>
    <comment ref="D82" authorId="8" shapeId="0" xr:uid="{15FA683D-FE9E-4EC4-8784-750D3E836E2E}">
      <text>
        <t>[Threaded comment]
Your version of Excel allows you to read this threaded comment; however, any edits to it will get removed if the file is opened in a newer version of Excel. Learn more: https://go.microsoft.com/fwlink/?linkid=870924
Comment:
    This is a ChatGPT estimate based on 1m3/h output, 16 hrs/d, 365 days/yr.
I have given it a steam, water and electricity cost to work with. Everything else is an assumption
Reply:
    8% annual increase</t>
      </text>
    </comment>
    <comment ref="D83" authorId="9" shapeId="0" xr:uid="{1543D5BF-0F67-46AC-85BA-CB58A8439AF1}">
      <text>
        <t>[Threaded comment]
Your version of Excel allows you to read this threaded comment; however, any edits to it will get removed if the file is opened in a newer version of Excel. Learn more: https://go.microsoft.com/fwlink/?linkid=870924
Comment:
    Check what Peter shared</t>
      </text>
    </comment>
    <comment ref="D84" authorId="10" shapeId="0" xr:uid="{84DEFB63-08CB-4343-BD7C-59868066C9D6}">
      <text>
        <t>[Threaded comment]
Your version of Excel allows you to read this threaded comment; however, any edits to it will get removed if the file is opened in a newer version of Excel. Learn more: https://go.microsoft.com/fwlink/?linkid=870924
Comment:
    6.8 - 13.4 R/m3</t>
      </text>
    </comment>
    <comment ref="D85" authorId="11" shapeId="0" xr:uid="{C84AC8F2-4B51-454F-8E06-8C299657925A}">
      <text>
        <t>[Threaded comment]
Your version of Excel allows you to read this threaded comment; however, any edits to it will get removed if the file is opened in a newer version of Excel. Learn more: https://go.microsoft.com/fwlink/?linkid=870924
Comment:
    Based on Sov, scaled for volume</t>
      </text>
    </comment>
    <comment ref="D86" authorId="12" shapeId="0" xr:uid="{4C483C2F-74C6-4ECD-A950-2A1444623881}">
      <text>
        <t>[Threaded comment]
Your version of Excel allows you to read this threaded comment; however, any edits to it will get removed if the file is opened in a newer version of Excel. Learn more: https://go.microsoft.com/fwlink/?linkid=870924
Comment:
    Based on Sov, scaled for volume</t>
      </text>
    </comment>
    <comment ref="D101" authorId="13" shapeId="0" xr:uid="{47EA0330-4D95-4536-85C1-F2BA48D17DAD}">
      <text>
        <t>[Threaded comment]
Your version of Excel allows you to read this threaded comment; however, any edits to it will get removed if the file is opened in a newer version of Excel. Learn more: https://go.microsoft.com/fwlink/?linkid=870924
Comment:
    Can get an average volume estimate from the steam bills</t>
      </text>
    </comment>
    <comment ref="D158" authorId="14" shapeId="0" xr:uid="{9266EBC2-C20A-4EA8-B6C8-F415B391DAAF}">
      <text>
        <t>[Threaded comment]
Your version of Excel allows you to read this threaded comment; however, any edits to it will get removed if the file is opened in a newer version of Excel. Learn more: https://go.microsoft.com/fwlink/?linkid=870924
Comment:
    Adjusting plant setpoints or replacement rates on consumables due to varying quality of incoming water</t>
      </text>
    </comment>
    <comment ref="D161" authorId="15" shapeId="0" xr:uid="{327F32B6-4F7D-4F24-946B-6A6A949E9C00}">
      <text>
        <t xml:space="preserve">[Threaded comment]
Your version of Excel allows you to read this threaded comment; however, any edits to it will get removed if the file is opened in a newer version of Excel. Learn more: https://go.microsoft.com/fwlink/?linkid=870924
Comment:
    Most basic way to model is: what is sustainable abstraction? Is the site above, at or below this
Reply:
    But we have insufficient data on this.
Ideally we would also know the anticipated lifespan of the borehole, but the site needs to do analysis yearly for this.
Reply:
    For now, we can assume this borehole will last 20 years as per the WUL. This means it would be offline from 2040.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tc={50B51EFB-6303-4DFA-8FEE-649DE04F698F}</author>
    <author>tc={740F2375-C35D-4C6F-824C-64A8FBA81C5C}</author>
    <author>tc={F91EA636-AA80-45FD-B4DE-F1EF6326F3FE}</author>
    <author>tc={25F914A3-92B2-4A4C-91DA-E6BEC0310EF8}</author>
    <author>tc={AFDF161F-A380-43AF-A112-EC5649A8766D}</author>
    <author>tc={C9A29851-E332-4B4C-A75C-7A9C7FA5CB4F}</author>
    <author>tc={703F0931-A055-4093-B33A-1F07095AE0A4}</author>
  </authors>
  <commentList>
    <comment ref="D117" authorId="0" shapeId="0" xr:uid="{50B51EFB-6303-4DFA-8FEE-649DE04F698F}">
      <text>
        <t>[Threaded comment]
Your version of Excel allows you to read this threaded comment; however, any edits to it will get removed if the file is opened in a newer version of Excel. Learn more: https://go.microsoft.com/fwlink/?linkid=870924
Comment:
    Only from 2025</t>
      </text>
    </comment>
    <comment ref="D144" authorId="1" shapeId="0" xr:uid="{740F2375-C35D-4C6F-824C-64A8FBA81C5C}">
      <text>
        <t>[Threaded comment]
Your version of Excel allows you to read this threaded comment; however, any edits to it will get removed if the file is opened in a newer version of Excel. Learn more: https://go.microsoft.com/fwlink/?linkid=870924
Comment:
    This is the kl savings per year</t>
      </text>
    </comment>
    <comment ref="D153" authorId="2" shapeId="0" xr:uid="{F91EA636-AA80-45FD-B4DE-F1EF6326F3FE}">
      <text>
        <t>[Threaded comment]
Your version of Excel allows you to read this threaded comment; however, any edits to it will get removed if the file is opened in a newer version of Excel. Learn more: https://go.microsoft.com/fwlink/?linkid=870924
Comment:
    This is the kl savings per year</t>
      </text>
    </comment>
    <comment ref="D168" authorId="3" shapeId="0" xr:uid="{25F914A3-92B2-4A4C-91DA-E6BEC0310EF8}">
      <text>
        <t>[Threaded comment]
Your version of Excel allows you to read this threaded comment; however, any edits to it will get removed if the file is opened in a newer version of Excel. Learn more: https://go.microsoft.com/fwlink/?linkid=870924
Comment:
    This is the kl savings per year</t>
      </text>
    </comment>
    <comment ref="D180" authorId="4" shapeId="0" xr:uid="{AFDF161F-A380-43AF-A112-EC5649A8766D}">
      <text>
        <t>[Threaded comment]
Your version of Excel allows you to read this threaded comment; however, any edits to it will get removed if the file is opened in a newer version of Excel. Learn more: https://go.microsoft.com/fwlink/?linkid=870924
Comment:
    Buffer against needing municipal water</t>
      </text>
    </comment>
    <comment ref="D181" authorId="5" shapeId="0" xr:uid="{C9A29851-E332-4B4C-A75C-7A9C7FA5CB4F}">
      <text>
        <t>[Threaded comment]
Your version of Excel allows you to read this threaded comment; however, any edits to it will get removed if the file is opened in a newer version of Excel. Learn more: https://go.microsoft.com/fwlink/?linkid=870924
Comment:
    Can only take into account groundwater volume</t>
      </text>
    </comment>
    <comment ref="D183" authorId="6" shapeId="0" xr:uid="{703F0931-A055-4093-B33A-1F07095AE0A4}">
      <text>
        <t>[Threaded comment]
Your version of Excel allows you to read this threaded comment; however, any edits to it will get removed if the file is opened in a newer version of Excel. Learn more: https://go.microsoft.com/fwlink/?linkid=870924
Comment:
    This is the kl savings per year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tc={B0F44A6C-0DC7-4361-9A2E-F9FCE632415A}</author>
    <author>tc={92F46E60-AF23-402D-AC38-988E2941806A}</author>
    <author>tc={800A7D62-AA5F-4D78-AEC5-17699E4D4FAF}</author>
    <author>tc={5FA24532-5904-4C98-95BC-EA9BD08D0DA7}</author>
  </authors>
  <commentList>
    <comment ref="B2" authorId="0" shapeId="0" xr:uid="{B0F44A6C-0DC7-4361-9A2E-F9FCE632415A}">
      <text>
        <t xml:space="preserve">[Threaded comment]
Your version of Excel allows you to read this threaded comment; however, any edits to it will get removed if the file is opened in a newer version of Excel. Learn more: https://go.microsoft.com/fwlink/?linkid=870924
Comment:
    This is pessimistic view. Poorly monitored and maintained industrial boreholes have a life span of X years. This borehole is not currently being monitored as we’d suggest, so we have no information to suggest that the license will be extended.
We are also being pessimistic regarding the 2nd BH. This is assuming the quality is too bad or that for some reason Aspen is unable to obtain a WUL for it. We do not think scenario 1 is 
likely
</t>
      </text>
    </comment>
    <comment ref="B10" authorId="1" shapeId="0" xr:uid="{92F46E60-AF23-402D-AC38-988E2941806A}">
      <text>
        <t>[Threaded comment]
Your version of Excel allows you to read this threaded comment; however, any edits to it will get removed if the file is opened in a newer version of Excel. Learn more: https://go.microsoft.com/fwlink/?linkid=870924
Comment:
    Again, a pessimistic view on securing the 2nd borehole.
An optimistic view on the current BH WUL. If the BH is properly maintained, monitored for recharge and quality and abstraction remains sustainable, it is possible that the WUL is extended beyond 2040. A total lifespan of 25+ years is possible for a well maintained industrial BH.
Reply:
    We don’t think it’s likely that Aspen will not get an additional BH, it is possible that the WUL is extended. It is also possible that the 2nd BH does not deliver same volume or does not match quality requirements of the WTP. This is tricky to model, we would need additional time and more information to do so</t>
      </text>
    </comment>
    <comment ref="B18" authorId="2" shapeId="0" xr:uid="{800A7D62-AA5F-4D78-AEC5-17699E4D4FAF}">
      <text>
        <t xml:space="preserve">[Threaded comment]
Your version of Excel allows you to read this threaded comment; however, any edits to it will get removed if the file is opened in a newer version of Excel. Learn more: https://go.microsoft.com/fwlink/?linkid=870924
Comment:
    This is the scenario we have used in the presentation and report. It is the most balanced in terms of optimistic and pessimistic views. Aspen to comment on what they believe/know to be most likely
</t>
      </text>
    </comment>
    <comment ref="B27" authorId="3" shapeId="0" xr:uid="{5FA24532-5904-4C98-95BC-EA9BD08D0DA7}">
      <text>
        <t>[Threaded comment]
Your version of Excel allows you to read this threaded comment; however, any edits to it will get removed if the file is opened in a newer version of Excel. Learn more: https://go.microsoft.com/fwlink/?linkid=870924
Comment:
    This is the optimistic view. Significantly reduced requirement for supplementing groundwater supply.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tc={3650B3A4-3E54-4C6A-A684-7234F4370C8F}</author>
    <author>tc={52B56640-3963-40B9-81B8-242644B6D7A0}</author>
    <author>tc={32829F10-4911-411C-856B-39DB2A904BAC}</author>
    <author>tc={A7583906-F795-4010-82B3-305E1C3977A1}</author>
    <author>tc={3044A267-0BF0-4D1C-A656-8FF4A53F5B59}</author>
    <author>tc={935C8B5D-0DA5-4B90-86F2-5594C982975E}</author>
    <author>tc={394B433F-3471-4AAB-B03D-A2C676281E9D}</author>
    <author>tc={64711B11-BFDF-4A5A-BF42-6BCC04C39D09}</author>
    <author>tc={F754FD92-6CF6-451B-A9E9-58E6B58CD4EA}</author>
    <author>tc={37D90A88-A304-433B-BBBD-ECAA2B89078B}</author>
    <author>tc={0B7DC3AC-6CC8-4453-AB51-BDCFE5DCB594}</author>
    <author>tc={3D13C4FA-761D-451A-87F6-D06476A61F96}</author>
    <author>tc={A32F50CE-7535-4D1E-B96D-9DC71E8109DD}</author>
    <author>tc={9A186E89-6950-406E-A146-73CDAEA16C94}</author>
    <author>tc={4EA6C79F-F084-4FBE-A5C6-D128F0A31EC0}</author>
    <author>tc={6EFF5BE5-A435-451A-9C18-316607357EBC}</author>
    <author>tc={7DD6B0B3-0555-4DB1-BC34-9A9DB9DC281F}</author>
  </authors>
  <commentList>
    <comment ref="W10" authorId="0" shapeId="0" xr:uid="{3650B3A4-3E54-4C6A-A684-7234F4370C8F}">
      <text>
        <t>[Threaded comment]
Your version of Excel allows you to read this threaded comment; however, any edits to it will get removed if the file is opened in a newer version of Excel. Learn more: https://go.microsoft.com/fwlink/?linkid=870924
Comment:
    Demand risk</t>
      </text>
    </comment>
    <comment ref="AB10" authorId="1" shapeId="0" xr:uid="{52B56640-3963-40B9-81B8-242644B6D7A0}">
      <text>
        <t>[Threaded comment]
Your version of Excel allows you to read this threaded comment; however, any edits to it will get removed if the file is opened in a newer version of Excel. Learn more: https://go.microsoft.com/fwlink/?linkid=870924
Comment:
    Availability risk</t>
      </text>
    </comment>
    <comment ref="D15" authorId="2" shapeId="0" xr:uid="{32829F10-4911-411C-856B-39DB2A904BAC}">
      <text>
        <t>[Threaded comment]
Your version of Excel allows you to read this threaded comment; however, any edits to it will get removed if the file is opened in a newer version of Excel. Learn more: https://go.microsoft.com/fwlink/?linkid=870924
Comment:
    Will only be groundwater for now</t>
      </text>
    </comment>
    <comment ref="N15" authorId="3" shapeId="0" xr:uid="{A7583906-F795-4010-82B3-305E1C3977A1}">
      <text>
        <t>[Threaded comment]
Your version of Excel allows you to read this threaded comment; however, any edits to it will get removed if the file is opened in a newer version of Excel. Learn more: https://go.microsoft.com/fwlink/?linkid=870924
Comment:
    Second borehole</t>
      </text>
    </comment>
    <comment ref="D19" authorId="4" shapeId="0" xr:uid="{3044A267-0BF0-4D1C-A656-8FF4A53F5B59}">
      <text>
        <t>[Threaded comment]
Your version of Excel allows you to read this threaded comment; however, any edits to it will get removed if the file is opened in a newer version of Excel. Learn more: https://go.microsoft.com/fwlink/?linkid=870924
Comment:
    Storage capacity + non-municipal daily supply</t>
      </text>
    </comment>
    <comment ref="N23" authorId="5" shapeId="0" xr:uid="{935C8B5D-0DA5-4B90-86F2-5594C982975E}">
      <text>
        <t>[Threaded comment]
Your version of Excel allows you to read this threaded comment; however, any edits to it will get removed if the file is opened in a newer version of Excel. Learn more: https://go.microsoft.com/fwlink/?linkid=870924
Comment:
    NH3 condensers come online</t>
      </text>
    </comment>
    <comment ref="Q23" authorId="6" shapeId="0" xr:uid="{394B433F-3471-4AAB-B03D-A2C676281E9D}">
      <text>
        <t>[Threaded comment]
Your version of Excel allows you to read this threaded comment; however, any edits to it will get removed if the file is opened in a newer version of Excel. Learn more: https://go.microsoft.com/fwlink/?linkid=870924
Comment:
    SVP3 ramp up ends</t>
      </text>
    </comment>
    <comment ref="D67" authorId="7" shapeId="0" xr:uid="{64711B11-BFDF-4A5A-BF42-6BCC04C39D09}">
      <text>
        <t>[Threaded comment]
Your version of Excel allows you to read this threaded comment; however, any edits to it will get removed if the file is opened in a newer version of Excel. Learn more: https://go.microsoft.com/fwlink/?linkid=870924
Comment:
    This is based on COD only since all parameters are within permit limits</t>
      </text>
    </comment>
    <comment ref="D69" authorId="8" shapeId="0" xr:uid="{F754FD92-6CF6-451B-A9E9-58E6B58CD4EA}">
      <text>
        <t>[Threaded comment]
Your version of Excel allows you to read this threaded comment; however, any edits to it will get removed if the file is opened in a newer version of Excel. Learn more: https://go.microsoft.com/fwlink/?linkid=870924
Comment:
    No annual increase assumed currently. Increase would depend on elec tariff, chemical costs, consumables and labour. So this would be a combination of elec and CPI</t>
      </text>
    </comment>
    <comment ref="D70" authorId="9" shapeId="0" xr:uid="{37D90A88-A304-433B-BBBD-ECAA2B89078B}">
      <text>
        <t>[Threaded comment]
Your version of Excel allows you to read this threaded comment; however, any edits to it will get removed if the file is opened in a newer version of Excel. Learn more: https://go.microsoft.com/fwlink/?linkid=870924
Comment:
    Get high-level plant summary from doc and ask GPT to estimate OPEX</t>
      </text>
    </comment>
    <comment ref="D71" authorId="10" shapeId="0" xr:uid="{0B7DC3AC-6CC8-4453-AB51-BDCFE5DCB594}">
      <text>
        <t>[Threaded comment]
Your version of Excel allows you to read this threaded comment; however, any edits to it will get removed if the file is opened in a newer version of Excel. Learn more: https://go.microsoft.com/fwlink/?linkid=870924
Comment:
    This is a ChatGPT estimate based on 1m3/h output, 16 hrs/d, 365 days/yr.
I have given it a steam, water and electricity cost to work with. Everything else is an assumption
Reply:
    8% annual increase</t>
      </text>
    </comment>
    <comment ref="D72" authorId="11" shapeId="0" xr:uid="{3D13C4FA-761D-451A-87F6-D06476A61F96}">
      <text>
        <t>[Threaded comment]
Your version of Excel allows you to read this threaded comment; however, any edits to it will get removed if the file is opened in a newer version of Excel. Learn more: https://go.microsoft.com/fwlink/?linkid=870924
Comment:
    Check what Peter shared</t>
      </text>
    </comment>
    <comment ref="D73" authorId="12" shapeId="0" xr:uid="{A32F50CE-7535-4D1E-B96D-9DC71E8109DD}">
      <text>
        <t>[Threaded comment]
Your version of Excel allows you to read this threaded comment; however, any edits to it will get removed if the file is opened in a newer version of Excel. Learn more: https://go.microsoft.com/fwlink/?linkid=870924
Comment:
    6.8 - 13.4 R/m3</t>
      </text>
    </comment>
    <comment ref="D74" authorId="13" shapeId="0" xr:uid="{9A186E89-6950-406E-A146-73CDAEA16C94}">
      <text>
        <t>[Threaded comment]
Your version of Excel allows you to read this threaded comment; however, any edits to it will get removed if the file is opened in a newer version of Excel. Learn more: https://go.microsoft.com/fwlink/?linkid=870924
Comment:
    Based on Sov, scaled for volume</t>
      </text>
    </comment>
    <comment ref="D86" authorId="14" shapeId="0" xr:uid="{4EA6C79F-F084-4FBE-A5C6-D128F0A31EC0}">
      <text>
        <t>[Threaded comment]
Your version of Excel allows you to read this threaded comment; however, any edits to it will get removed if the file is opened in a newer version of Excel. Learn more: https://go.microsoft.com/fwlink/?linkid=870924
Comment:
    Can get an average volume estimate from the steam bills</t>
      </text>
    </comment>
    <comment ref="D141" authorId="15" shapeId="0" xr:uid="{6EFF5BE5-A435-451A-9C18-316607357EBC}">
      <text>
        <t>[Threaded comment]
Your version of Excel allows you to read this threaded comment; however, any edits to it will get removed if the file is opened in a newer version of Excel. Learn more: https://go.microsoft.com/fwlink/?linkid=870924
Comment:
    Adjusting plant setpoints or replacement rates on consumables due to varying quality of incoming water</t>
      </text>
    </comment>
    <comment ref="D144" authorId="16" shapeId="0" xr:uid="{7DD6B0B3-0555-4DB1-BC34-9A9DB9DC281F}">
      <text>
        <t xml:space="preserve">[Threaded comment]
Your version of Excel allows you to read this threaded comment; however, any edits to it will get removed if the file is opened in a newer version of Excel. Learn more: https://go.microsoft.com/fwlink/?linkid=870924
Comment:
    Most basic way to model is: what is sustainable abstraction? Is the site above, at or below this
Reply:
    But we have insufficient data on this.
Ideally we would also know the anticipated lifespan of the borehole, but the site needs to do analysis yearly for this.
Reply:
    For now, we can assume this borehole will last 20 years as per the WUL. This means it would be offline from 2040.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tc={411672FB-AA96-45BC-B0DE-CECC261D2542}</author>
  </authors>
  <commentList>
    <comment ref="F7" authorId="0" shapeId="0" xr:uid="{411672FB-AA96-45BC-B0DE-CECC261D2542}">
      <text>
        <t>[Threaded comment]
Your version of Excel allows you to read this threaded comment; however, any edits to it will get removed if the file is opened in a newer version of Excel. Learn more: https://go.microsoft.com/fwlink/?linkid=870924
Comment:
    Each SVP Facility packages different products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tc={8A034FF1-A137-4FF4-B6FD-6E327CCB53BA}</author>
    <author>tc={402041FF-FA38-4957-8EF6-12C6A630F835}</author>
    <author>tc={7B069339-9B64-45DD-84F2-A68B676F1264}</author>
    <author>tc={3A5B0C78-A522-46EC-B6EA-437789BA67E8}</author>
    <author>tc={EF0C4154-229E-4CC1-9979-7625FDC29A5B}</author>
    <author>tc={78D007BC-E51E-4AD2-9588-AE6DDB098DDC}</author>
    <author>tc={9D0BA51B-A633-4EAF-A359-CB0B960F7573}</author>
    <author>tc={83635451-0C9B-4537-83E7-23459E0D13F4}</author>
    <author>tc={C7DD4CD4-23AD-4ABD-87B9-6469BF1A93AA}</author>
    <author>tc={13706B5D-1B93-4E39-ADBE-1C94A4500B13}</author>
    <author>tc={A74C4F57-E6F8-4B97-A2AD-D152EE237949}</author>
    <author>tc={CA39ECD2-427F-4C6E-8A60-09175035A781}</author>
    <author>tc={E70FA9FA-1FA6-4123-B600-9B4A1225D4D3}</author>
    <author>tc={FA0B68C8-87BC-48FA-BC8B-375BB9822827}</author>
    <author>tc={4C3DECB6-B4DF-49A9-B8F4-8BE8A6CDFA44}</author>
    <author>tc={04E9AC0C-F949-40AD-BEB8-98894FC5DCA9}</author>
  </authors>
  <commentList>
    <comment ref="W10" authorId="0" shapeId="0" xr:uid="{8A034FF1-A137-4FF4-B6FD-6E327CCB53BA}">
      <text>
        <t>[Threaded comment]
Your version of Excel allows you to read this threaded comment; however, any edits to it will get removed if the file is opened in a newer version of Excel. Learn more: https://go.microsoft.com/fwlink/?linkid=870924
Comment:
    Demand risk</t>
      </text>
    </comment>
    <comment ref="AB10" authorId="1" shapeId="0" xr:uid="{402041FF-FA38-4957-8EF6-12C6A630F835}">
      <text>
        <t>[Threaded comment]
Your version of Excel allows you to read this threaded comment; however, any edits to it will get removed if the file is opened in a newer version of Excel. Learn more: https://go.microsoft.com/fwlink/?linkid=870924
Comment:
    Availability risk</t>
      </text>
    </comment>
    <comment ref="D16" authorId="2" shapeId="0" xr:uid="{7B069339-9B64-45DD-84F2-A68B676F1264}">
      <text>
        <t>[Threaded comment]
Your version of Excel allows you to read this threaded comment; however, any edits to it will get removed if the file is opened in a newer version of Excel. Learn more: https://go.microsoft.com/fwlink/?linkid=870924
Comment:
    BH1 WUL not extended</t>
      </text>
    </comment>
    <comment ref="AC17" authorId="3" shapeId="0" xr:uid="{3A5B0C78-A522-46EC-B6EA-437789BA67E8}">
      <text>
        <t>[Threaded comment]
Your version of Excel allows you to read this threaded comment; however, any edits to it will get removed if the file is opened in a newer version of Excel. Learn more: https://go.microsoft.com/fwlink/?linkid=870924
Comment:
    Deficit of 119ML/yr without desal and BH WUL expires. This equates to 9.2 mil Rand if it must be municipal water.
Reply:
    If the 119ML/yr came from desal instead, this amounts to 1.5mil Rand for the year.
Reply:
    See below scenario 2 where WUL does not expire in 2040, then they have sufficient alternate water (ground, rain, rec) to supply whole site</t>
      </text>
    </comment>
    <comment ref="D19" authorId="4" shapeId="0" xr:uid="{EF0C4154-229E-4CC1-9979-7625FDC29A5B}">
      <text>
        <t>[Threaded comment]
Your version of Excel allows you to read this threaded comment; however, any edits to it will get removed if the file is opened in a newer version of Excel. Learn more: https://go.microsoft.com/fwlink/?linkid=870924
Comment:
    BH1 WUL not extended</t>
      </text>
    </comment>
    <comment ref="D73" authorId="5" shapeId="0" xr:uid="{78D007BC-E51E-4AD2-9588-AE6DDB098DDC}">
      <text>
        <t>[Threaded comment]
Your version of Excel allows you to read this threaded comment; however, any edits to it will get removed if the file is opened in a newer version of Excel. Learn more: https://go.microsoft.com/fwlink/?linkid=870924
Comment:
    This is based on COD only since all parameters are within permit limits</t>
      </text>
    </comment>
    <comment ref="D74" authorId="6" shapeId="0" xr:uid="{9D0BA51B-A633-4EAF-A359-CB0B960F7573}">
      <text>
        <t>[Threaded comment]
Your version of Excel allows you to read this threaded comment; however, any edits to it will get removed if the file is opened in a newer version of Excel. Learn more: https://go.microsoft.com/fwlink/?linkid=870924
Comment:
    No annual increase assumed currently. Increase would depend on elec tariff, chemical costs, consumables and labour. So this would be a combination of elec and CPI</t>
      </text>
    </comment>
    <comment ref="D75" authorId="7" shapeId="0" xr:uid="{83635451-0C9B-4537-83E7-23459E0D13F4}">
      <text>
        <t>[Threaded comment]
Your version of Excel allows you to read this threaded comment; however, any edits to it will get removed if the file is opened in a newer version of Excel. Learn more: https://go.microsoft.com/fwlink/?linkid=870924
Comment:
    Get high-level plant summary from doc and ask GPT to estimate OPEX</t>
      </text>
    </comment>
    <comment ref="D76" authorId="8" shapeId="0" xr:uid="{C7DD4CD4-23AD-4ABD-87B9-6469BF1A93AA}">
      <text>
        <t>[Threaded comment]
Your version of Excel allows you to read this threaded comment; however, any edits to it will get removed if the file is opened in a newer version of Excel. Learn more: https://go.microsoft.com/fwlink/?linkid=870924
Comment:
    This is a ChatGPT estimate based on 1m3/h output, 16 hrs/d, 365 days/yr.
I have given it a steam, water and electricity cost to work with. Everything else is an assumption
Reply:
    8% annual increase</t>
      </text>
    </comment>
    <comment ref="D77" authorId="9" shapeId="0" xr:uid="{13706B5D-1B93-4E39-ADBE-1C94A4500B13}">
      <text>
        <t>[Threaded comment]
Your version of Excel allows you to read this threaded comment; however, any edits to it will get removed if the file is opened in a newer version of Excel. Learn more: https://go.microsoft.com/fwlink/?linkid=870924
Comment:
    Check what Peter shared</t>
      </text>
    </comment>
    <comment ref="D78" authorId="10" shapeId="0" xr:uid="{A74C4F57-E6F8-4B97-A2AD-D152EE237949}">
      <text>
        <t>[Threaded comment]
Your version of Excel allows you to read this threaded comment; however, any edits to it will get removed if the file is opened in a newer version of Excel. Learn more: https://go.microsoft.com/fwlink/?linkid=870924
Comment:
    6.8 - 13.4 R/m3</t>
      </text>
    </comment>
    <comment ref="D79" authorId="11" shapeId="0" xr:uid="{CA39ECD2-427F-4C6E-8A60-09175035A781}">
      <text>
        <t>[Threaded comment]
Your version of Excel allows you to read this threaded comment; however, any edits to it will get removed if the file is opened in a newer version of Excel. Learn more: https://go.microsoft.com/fwlink/?linkid=870924
Comment:
    Based on Sov, scaled for volume</t>
      </text>
    </comment>
    <comment ref="D80" authorId="12" shapeId="0" xr:uid="{E70FA9FA-1FA6-4123-B600-9B4A1225D4D3}">
      <text>
        <t>[Threaded comment]
Your version of Excel allows you to read this threaded comment; however, any edits to it will get removed if the file is opened in a newer version of Excel. Learn more: https://go.microsoft.com/fwlink/?linkid=870924
Comment:
    Based on Sov, scaled for volume</t>
      </text>
    </comment>
    <comment ref="D95" authorId="13" shapeId="0" xr:uid="{FA0B68C8-87BC-48FA-BC8B-375BB9822827}">
      <text>
        <t>[Threaded comment]
Your version of Excel allows you to read this threaded comment; however, any edits to it will get removed if the file is opened in a newer version of Excel. Learn more: https://go.microsoft.com/fwlink/?linkid=870924
Comment:
    Can get an average volume estimate from the steam bills</t>
      </text>
    </comment>
    <comment ref="D152" authorId="14" shapeId="0" xr:uid="{4C3DECB6-B4DF-49A9-B8F4-8BE8A6CDFA44}">
      <text>
        <t>[Threaded comment]
Your version of Excel allows you to read this threaded comment; however, any edits to it will get removed if the file is opened in a newer version of Excel. Learn more: https://go.microsoft.com/fwlink/?linkid=870924
Comment:
    Adjusting plant setpoints or replacement rates on consumables due to varying quality of incoming water</t>
      </text>
    </comment>
    <comment ref="D155" authorId="15" shapeId="0" xr:uid="{04E9AC0C-F949-40AD-BEB8-98894FC5DCA9}">
      <text>
        <t xml:space="preserve">[Threaded comment]
Your version of Excel allows you to read this threaded comment; however, any edits to it will get removed if the file is opened in a newer version of Excel. Learn more: https://go.microsoft.com/fwlink/?linkid=870924
Comment:
    Most basic way to model is: what is sustainable abstraction? Is the site above, at or below this
Reply:
    But we have insufficient data on this.
Ideally we would also know the anticipated lifespan of the borehole, but the site needs to do analysis yearly for this.
Reply:
    For now, we can assume this borehole will last 20 years as per the WUL. This means it would be offline from 2040.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tc={1B681CE8-510D-42D0-9978-BD657037B825}</author>
    <author>tc={2832623E-CECA-4652-A7E5-6600A74D53CA}</author>
    <author>tc={81FE2CCC-3CB7-4054-A2EE-DD8968476CAB}</author>
    <author>tc={BD5F8F6E-3CB9-465A-8453-A5E77FAAFCE4}</author>
    <author>tc={743DAEA8-31A0-45B6-B05F-ADD2622F6929}</author>
    <author>tc={5AF6BED9-74C3-4FE4-A85B-5B6619ACBEB6}</author>
    <author>tc={F8288A22-EAC3-4749-B30A-DCACEAD7128D}</author>
    <author>tc={A5C9C579-9695-433B-B80A-ED330967FD6C}</author>
    <author>tc={237F4695-D9FC-4B21-8923-167925A2E0BB}</author>
    <author>tc={8CD9B69E-C81E-431D-8B99-E9D0A48B9EA7}</author>
    <author>tc={3F497F86-CB08-4F9C-BDEA-F2D74F807276}</author>
    <author>tc={F65C02B5-CF4E-4984-A7CA-310301B26267}</author>
    <author>tc={4908204B-AA5E-4696-87CB-924C64E5A626}</author>
    <author>tc={5DC0F3C8-EFE6-4866-ABCB-C536BC6DE103}</author>
    <author>tc={B39EEE81-55FA-47C2-866E-6D6908B7E6B6}</author>
    <author>tc={4EEA356A-B42A-4BB0-A771-AA4407532F66}</author>
  </authors>
  <commentList>
    <comment ref="W10" authorId="0" shapeId="0" xr:uid="{1B681CE8-510D-42D0-9978-BD657037B825}">
      <text>
        <t>[Threaded comment]
Your version of Excel allows you to read this threaded comment; however, any edits to it will get removed if the file is opened in a newer version of Excel. Learn more: https://go.microsoft.com/fwlink/?linkid=870924
Comment:
    Demand risk</t>
      </text>
    </comment>
    <comment ref="AB10" authorId="1" shapeId="0" xr:uid="{2832623E-CECA-4652-A7E5-6600A74D53CA}">
      <text>
        <t>[Threaded comment]
Your version of Excel allows you to read this threaded comment; however, any edits to it will get removed if the file is opened in a newer version of Excel. Learn more: https://go.microsoft.com/fwlink/?linkid=870924
Comment:
    Availability risk</t>
      </text>
    </comment>
    <comment ref="D16" authorId="2" shapeId="0" xr:uid="{81FE2CCC-3CB7-4054-A2EE-DD8968476CAB}">
      <text>
        <t>[Threaded comment]
Your version of Excel allows you to read this threaded comment; however, any edits to it will get removed if the file is opened in a newer version of Excel. Learn more: https://go.microsoft.com/fwlink/?linkid=870924
Comment:
    BH1 WUL not extended</t>
      </text>
    </comment>
    <comment ref="AC17" authorId="3" shapeId="0" xr:uid="{BD5F8F6E-3CB9-465A-8453-A5E77FAAFCE4}">
      <text>
        <t>[Threaded comment]
Your version of Excel allows you to read this threaded comment; however, any edits to it will get removed if the file is opened in a newer version of Excel. Learn more: https://go.microsoft.com/fwlink/?linkid=870924
Comment:
    Deficit of 119ML/yr without desal and BH WUL expires. This equates to 9.2 mil Rand if it must be municipal water.
Reply:
    If the 119ML/yr came from desal instead, this amounts to 1.5mil Rand for the year.
Reply:
    See below scenario 2 where WUL does not expire in 2040, then they have sufficient alternate water (ground, rain, rec) to supply whole site</t>
      </text>
    </comment>
    <comment ref="D19" authorId="4" shapeId="0" xr:uid="{743DAEA8-31A0-45B6-B05F-ADD2622F6929}">
      <text>
        <t>[Threaded comment]
Your version of Excel allows you to read this threaded comment; however, any edits to it will get removed if the file is opened in a newer version of Excel. Learn more: https://go.microsoft.com/fwlink/?linkid=870924
Comment:
    BH1 WUL not extended</t>
      </text>
    </comment>
    <comment ref="D73" authorId="5" shapeId="0" xr:uid="{5AF6BED9-74C3-4FE4-A85B-5B6619ACBEB6}">
      <text>
        <t>[Threaded comment]
Your version of Excel allows you to read this threaded comment; however, any edits to it will get removed if the file is opened in a newer version of Excel. Learn more: https://go.microsoft.com/fwlink/?linkid=870924
Comment:
    This is based on COD only since all parameters are within permit limits</t>
      </text>
    </comment>
    <comment ref="D74" authorId="6" shapeId="0" xr:uid="{F8288A22-EAC3-4749-B30A-DCACEAD7128D}">
      <text>
        <t>[Threaded comment]
Your version of Excel allows you to read this threaded comment; however, any edits to it will get removed if the file is opened in a newer version of Excel. Learn more: https://go.microsoft.com/fwlink/?linkid=870924
Comment:
    No annual increase assumed currently. Increase would depend on elec tariff, chemical costs, consumables and labour. So this would be a combination of elec and CPI</t>
      </text>
    </comment>
    <comment ref="D75" authorId="7" shapeId="0" xr:uid="{A5C9C579-9695-433B-B80A-ED330967FD6C}">
      <text>
        <t>[Threaded comment]
Your version of Excel allows you to read this threaded comment; however, any edits to it will get removed if the file is opened in a newer version of Excel. Learn more: https://go.microsoft.com/fwlink/?linkid=870924
Comment:
    Get high-level plant summary from doc and ask GPT to estimate OPEX</t>
      </text>
    </comment>
    <comment ref="D76" authorId="8" shapeId="0" xr:uid="{237F4695-D9FC-4B21-8923-167925A2E0BB}">
      <text>
        <t>[Threaded comment]
Your version of Excel allows you to read this threaded comment; however, any edits to it will get removed if the file is opened in a newer version of Excel. Learn more: https://go.microsoft.com/fwlink/?linkid=870924
Comment:
    This is a ChatGPT estimate based on 1m3/h output, 16 hrs/d, 365 days/yr.
I have given it a steam, water and electricity cost to work with. Everything else is an assumption
Reply:
    8% annual increase</t>
      </text>
    </comment>
    <comment ref="D77" authorId="9" shapeId="0" xr:uid="{8CD9B69E-C81E-431D-8B99-E9D0A48B9EA7}">
      <text>
        <t>[Threaded comment]
Your version of Excel allows you to read this threaded comment; however, any edits to it will get removed if the file is opened in a newer version of Excel. Learn more: https://go.microsoft.com/fwlink/?linkid=870924
Comment:
    Check what Peter shared</t>
      </text>
    </comment>
    <comment ref="D78" authorId="10" shapeId="0" xr:uid="{3F497F86-CB08-4F9C-BDEA-F2D74F807276}">
      <text>
        <t>[Threaded comment]
Your version of Excel allows you to read this threaded comment; however, any edits to it will get removed if the file is opened in a newer version of Excel. Learn more: https://go.microsoft.com/fwlink/?linkid=870924
Comment:
    6.8 - 13.4 R/m3</t>
      </text>
    </comment>
    <comment ref="D79" authorId="11" shapeId="0" xr:uid="{F65C02B5-CF4E-4984-A7CA-310301B26267}">
      <text>
        <t>[Threaded comment]
Your version of Excel allows you to read this threaded comment; however, any edits to it will get removed if the file is opened in a newer version of Excel. Learn more: https://go.microsoft.com/fwlink/?linkid=870924
Comment:
    Based on Sov, scaled for volume</t>
      </text>
    </comment>
    <comment ref="D80" authorId="12" shapeId="0" xr:uid="{4908204B-AA5E-4696-87CB-924C64E5A626}">
      <text>
        <t>[Threaded comment]
Your version of Excel allows you to read this threaded comment; however, any edits to it will get removed if the file is opened in a newer version of Excel. Learn more: https://go.microsoft.com/fwlink/?linkid=870924
Comment:
    Based on Sov, scaled for volume</t>
      </text>
    </comment>
    <comment ref="D95" authorId="13" shapeId="0" xr:uid="{5DC0F3C8-EFE6-4866-ABCB-C536BC6DE103}">
      <text>
        <t>[Threaded comment]
Your version of Excel allows you to read this threaded comment; however, any edits to it will get removed if the file is opened in a newer version of Excel. Learn more: https://go.microsoft.com/fwlink/?linkid=870924
Comment:
    Can get an average volume estimate from the steam bills</t>
      </text>
    </comment>
    <comment ref="D152" authorId="14" shapeId="0" xr:uid="{B39EEE81-55FA-47C2-866E-6D6908B7E6B6}">
      <text>
        <t>[Threaded comment]
Your version of Excel allows you to read this threaded comment; however, any edits to it will get removed if the file is opened in a newer version of Excel. Learn more: https://go.microsoft.com/fwlink/?linkid=870924
Comment:
    Adjusting plant setpoints or replacement rates on consumables due to varying quality of incoming water</t>
      </text>
    </comment>
    <comment ref="D155" authorId="15" shapeId="0" xr:uid="{4EEA356A-B42A-4BB0-A771-AA4407532F66}">
      <text>
        <t xml:space="preserve">[Threaded comment]
Your version of Excel allows you to read this threaded comment; however, any edits to it will get removed if the file is opened in a newer version of Excel. Learn more: https://go.microsoft.com/fwlink/?linkid=870924
Comment:
    Most basic way to model is: what is sustainable abstraction? Is the site above, at or below this
Reply:
    But we have insufficient data on this.
Ideally we would also know the anticipated lifespan of the borehole, but the site needs to do analysis yearly for this.
Reply:
    For now, we can assume this borehole will last 20 years as per the WUL. This means it would be offline from 2040.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tc={FC35B6B2-9CF5-41DB-B622-F222D0DA1518}</author>
    <author>tc={97808297-77D6-4C5E-A536-DBCBBC41804D}</author>
    <author>tc={27F5434E-1D31-437F-88B5-C95A315E294A}</author>
    <author>tc={BF783B1C-FA77-4198-A35D-027A6CFCE84A}</author>
    <author>tc={E493FDA3-152C-4E70-B64C-B2D8EC97DEB0}</author>
    <author>tc={88D9BC7D-1E0E-46BB-8BE6-0621A74B6A84}</author>
    <author>tc={3101D4B6-8D35-4EEC-9372-3FD703E29326}</author>
    <author>tc={90A2253A-26F6-46E2-BC2C-ED56BE342C6B}</author>
    <author>tc={2FEE0245-EA4D-4372-8328-26A2550DADD6}</author>
    <author>tc={55456B62-F36B-4631-826D-08D336FCE770}</author>
    <author>tc={1DCE9DDF-8B7C-4951-BAAC-DD1BB68178BC}</author>
    <author>tc={005861E1-53CF-4418-82BB-919F0E72C555}</author>
    <author>tc={3244DD65-49D2-4241-82A8-CB7D9A0C97A0}</author>
    <author>tc={0B2002C1-FD48-4F7C-8FA6-FF08566389F1}</author>
    <author>tc={6DF14899-C600-497D-8C0D-81302D963140}</author>
    <author>tc={322FB5A8-3A9E-4E8F-B0F2-7868914FA9FD}</author>
  </authors>
  <commentList>
    <comment ref="W10" authorId="0" shapeId="0" xr:uid="{FC35B6B2-9CF5-41DB-B622-F222D0DA1518}">
      <text>
        <t>[Threaded comment]
Your version of Excel allows you to read this threaded comment; however, any edits to it will get removed if the file is opened in a newer version of Excel. Learn more: https://go.microsoft.com/fwlink/?linkid=870924
Comment:
    Demand risk</t>
      </text>
    </comment>
    <comment ref="AB10" authorId="1" shapeId="0" xr:uid="{97808297-77D6-4C5E-A536-DBCBBC41804D}">
      <text>
        <t>[Threaded comment]
Your version of Excel allows you to read this threaded comment; however, any edits to it will get removed if the file is opened in a newer version of Excel. Learn more: https://go.microsoft.com/fwlink/?linkid=870924
Comment:
    Availability risk</t>
      </text>
    </comment>
    <comment ref="D16" authorId="2" shapeId="0" xr:uid="{27F5434E-1D31-437F-88B5-C95A315E294A}">
      <text>
        <t>[Threaded comment]
Your version of Excel allows you to read this threaded comment; however, any edits to it will get removed if the file is opened in a newer version of Excel. Learn more: https://go.microsoft.com/fwlink/?linkid=870924
Comment:
    BH1 WUL not extended</t>
      </text>
    </comment>
    <comment ref="AC17" authorId="3" shapeId="0" xr:uid="{BF783B1C-FA77-4198-A35D-027A6CFCE84A}">
      <text>
        <t>[Threaded comment]
Your version of Excel allows you to read this threaded comment; however, any edits to it will get removed if the file is opened in a newer version of Excel. Learn more: https://go.microsoft.com/fwlink/?linkid=870924
Comment:
    Deficit of 119ML/yr without desal and BH WUL expires. This equates to 9.2 mil Rand if it must be municipal water.
Reply:
    If the 119ML/yr came from desal instead, this amounts to 1.5mil Rand for the year.
Reply:
    See below scenario 2 where WUL does not expire in 2040, then they have sufficient alternate water (ground, rain, rec) to supply whole site</t>
      </text>
    </comment>
    <comment ref="D19" authorId="4" shapeId="0" xr:uid="{E493FDA3-152C-4E70-B64C-B2D8EC97DEB0}">
      <text>
        <t>[Threaded comment]
Your version of Excel allows you to read this threaded comment; however, any edits to it will get removed if the file is opened in a newer version of Excel. Learn more: https://go.microsoft.com/fwlink/?linkid=870924
Comment:
    BH1 WUL not extended</t>
      </text>
    </comment>
    <comment ref="D73" authorId="5" shapeId="0" xr:uid="{88D9BC7D-1E0E-46BB-8BE6-0621A74B6A84}">
      <text>
        <t>[Threaded comment]
Your version of Excel allows you to read this threaded comment; however, any edits to it will get removed if the file is opened in a newer version of Excel. Learn more: https://go.microsoft.com/fwlink/?linkid=870924
Comment:
    This is based on COD only since all parameters are within permit limits</t>
      </text>
    </comment>
    <comment ref="D74" authorId="6" shapeId="0" xr:uid="{3101D4B6-8D35-4EEC-9372-3FD703E29326}">
      <text>
        <t>[Threaded comment]
Your version of Excel allows you to read this threaded comment; however, any edits to it will get removed if the file is opened in a newer version of Excel. Learn more: https://go.microsoft.com/fwlink/?linkid=870924
Comment:
    No annual increase assumed currently. Increase would depend on elec tariff, chemical costs, consumables and labour. So this would be a combination of elec and CPI</t>
      </text>
    </comment>
    <comment ref="D75" authorId="7" shapeId="0" xr:uid="{90A2253A-26F6-46E2-BC2C-ED56BE342C6B}">
      <text>
        <t>[Threaded comment]
Your version of Excel allows you to read this threaded comment; however, any edits to it will get removed if the file is opened in a newer version of Excel. Learn more: https://go.microsoft.com/fwlink/?linkid=870924
Comment:
    Get high-level plant summary from doc and ask GPT to estimate OPEX</t>
      </text>
    </comment>
    <comment ref="D76" authorId="8" shapeId="0" xr:uid="{2FEE0245-EA4D-4372-8328-26A2550DADD6}">
      <text>
        <t>[Threaded comment]
Your version of Excel allows you to read this threaded comment; however, any edits to it will get removed if the file is opened in a newer version of Excel. Learn more: https://go.microsoft.com/fwlink/?linkid=870924
Comment:
    This is a ChatGPT estimate based on 1m3/h output, 16 hrs/d, 365 days/yr.
I have given it a steam, water and electricity cost to work with. Everything else is an assumption
Reply:
    8% annual increase</t>
      </text>
    </comment>
    <comment ref="D77" authorId="9" shapeId="0" xr:uid="{55456B62-F36B-4631-826D-08D336FCE770}">
      <text>
        <t>[Threaded comment]
Your version of Excel allows you to read this threaded comment; however, any edits to it will get removed if the file is opened in a newer version of Excel. Learn more: https://go.microsoft.com/fwlink/?linkid=870924
Comment:
    Check what Peter shared</t>
      </text>
    </comment>
    <comment ref="D78" authorId="10" shapeId="0" xr:uid="{1DCE9DDF-8B7C-4951-BAAC-DD1BB68178BC}">
      <text>
        <t>[Threaded comment]
Your version of Excel allows you to read this threaded comment; however, any edits to it will get removed if the file is opened in a newer version of Excel. Learn more: https://go.microsoft.com/fwlink/?linkid=870924
Comment:
    6.8 - 13.4 R/m3</t>
      </text>
    </comment>
    <comment ref="D79" authorId="11" shapeId="0" xr:uid="{005861E1-53CF-4418-82BB-919F0E72C555}">
      <text>
        <t>[Threaded comment]
Your version of Excel allows you to read this threaded comment; however, any edits to it will get removed if the file is opened in a newer version of Excel. Learn more: https://go.microsoft.com/fwlink/?linkid=870924
Comment:
    Based on Sov, scaled for volume</t>
      </text>
    </comment>
    <comment ref="D80" authorId="12" shapeId="0" xr:uid="{3244DD65-49D2-4241-82A8-CB7D9A0C97A0}">
      <text>
        <t>[Threaded comment]
Your version of Excel allows you to read this threaded comment; however, any edits to it will get removed if the file is opened in a newer version of Excel. Learn more: https://go.microsoft.com/fwlink/?linkid=870924
Comment:
    Based on Sov, scaled for volume</t>
      </text>
    </comment>
    <comment ref="D95" authorId="13" shapeId="0" xr:uid="{0B2002C1-FD48-4F7C-8FA6-FF08566389F1}">
      <text>
        <t>[Threaded comment]
Your version of Excel allows you to read this threaded comment; however, any edits to it will get removed if the file is opened in a newer version of Excel. Learn more: https://go.microsoft.com/fwlink/?linkid=870924
Comment:
    Can get an average volume estimate from the steam bills</t>
      </text>
    </comment>
    <comment ref="D152" authorId="14" shapeId="0" xr:uid="{6DF14899-C600-497D-8C0D-81302D963140}">
      <text>
        <t>[Threaded comment]
Your version of Excel allows you to read this threaded comment; however, any edits to it will get removed if the file is opened in a newer version of Excel. Learn more: https://go.microsoft.com/fwlink/?linkid=870924
Comment:
    Adjusting plant setpoints or replacement rates on consumables due to varying quality of incoming water</t>
      </text>
    </comment>
    <comment ref="D155" authorId="15" shapeId="0" xr:uid="{322FB5A8-3A9E-4E8F-B0F2-7868914FA9FD}">
      <text>
        <t xml:space="preserve">[Threaded comment]
Your version of Excel allows you to read this threaded comment; however, any edits to it will get removed if the file is opened in a newer version of Excel. Learn more: https://go.microsoft.com/fwlink/?linkid=870924
Comment:
    Most basic way to model is: what is sustainable abstraction? Is the site above, at or below this
Reply:
    But we have insufficient data on this.
Ideally we would also know the anticipated lifespan of the borehole, but the site needs to do analysis yearly for this.
Reply:
    For now, we can assume this borehole will last 20 years as per the WUL. This means it would be offline from 2040.
</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tc={3A26CB58-249E-4075-BF14-53A7EF2C6D0A}</author>
    <author>tc={F7A14E71-A548-4CCB-9D99-82CAF3C1D9DF}</author>
    <author>tc={48E7806D-0FCA-4F54-B085-B34A7E69A119}</author>
    <author>tc={0CB263DF-02FD-42CD-AD26-18ADA4FB91EC}</author>
    <author>tc={4FEB79B0-DDF1-4F7F-BECB-C596FEDFB62B}</author>
    <author>tc={8A7EEF97-54EF-4B10-B507-8FD9C173E58F}</author>
    <author>tc={2214EB60-B931-4E85-8B69-BCA59C052360}</author>
    <author>tc={BF711438-9999-46C6-A3A3-0A2F0F623CBE}</author>
    <author>tc={A36D44C3-C042-4FB5-BF06-6A5FE0D3AB82}</author>
    <author>tc={8D8EB421-0F5D-4C9E-8283-16156E7C1EF7}</author>
    <author>tc={C4D43483-8900-4970-8A6B-B0B5DF1E89B4}</author>
    <author>tc={1548C28F-B82C-4E86-805D-0AB5C8EA9FDC}</author>
    <author>tc={5EFBF536-B171-4F68-BD46-7EBA64168BBE}</author>
    <author>tc={ECD2C8A2-3788-4697-85CF-A258B0CF0289}</author>
    <author>tc={254E6094-29C7-4DC4-8B3E-55C4E565815D}</author>
    <author>tc={C0308916-7111-44EF-8D0F-3E6EDB4B2CF4}</author>
  </authors>
  <commentList>
    <comment ref="W10" authorId="0" shapeId="0" xr:uid="{3A26CB58-249E-4075-BF14-53A7EF2C6D0A}">
      <text>
        <t>[Threaded comment]
Your version of Excel allows you to read this threaded comment; however, any edits to it will get removed if the file is opened in a newer version of Excel. Learn more: https://go.microsoft.com/fwlink/?linkid=870924
Comment:
    Demand risk</t>
      </text>
    </comment>
    <comment ref="AB10" authorId="1" shapeId="0" xr:uid="{F7A14E71-A548-4CCB-9D99-82CAF3C1D9DF}">
      <text>
        <t>[Threaded comment]
Your version of Excel allows you to read this threaded comment; however, any edits to it will get removed if the file is opened in a newer version of Excel. Learn more: https://go.microsoft.com/fwlink/?linkid=870924
Comment:
    Availability risk</t>
      </text>
    </comment>
    <comment ref="D16" authorId="2" shapeId="0" xr:uid="{48E7806D-0FCA-4F54-B085-B34A7E69A119}">
      <text>
        <t>[Threaded comment]
Your version of Excel allows you to read this threaded comment; however, any edits to it will get removed if the file is opened in a newer version of Excel. Learn more: https://go.microsoft.com/fwlink/?linkid=870924
Comment:
    BH1 WUL not extended</t>
      </text>
    </comment>
    <comment ref="AC17" authorId="3" shapeId="0" xr:uid="{0CB263DF-02FD-42CD-AD26-18ADA4FB91EC}">
      <text>
        <t>[Threaded comment]
Your version of Excel allows you to read this threaded comment; however, any edits to it will get removed if the file is opened in a newer version of Excel. Learn more: https://go.microsoft.com/fwlink/?linkid=870924
Comment:
    Deficit of 119ML/yr without desal and BH WUL expires. This equates to 9.2 mil Rand if it must be municipal water.
Reply:
    If the 119ML/yr came from desal instead, this amounts to 1.5mil Rand for the year.
Reply:
    See below scenario 2 where WUL does not expire in 2040, then they have sufficient alternate water (ground, rain, rec) to supply whole site</t>
      </text>
    </comment>
    <comment ref="D19" authorId="4" shapeId="0" xr:uid="{4FEB79B0-DDF1-4F7F-BECB-C596FEDFB62B}">
      <text>
        <t>[Threaded comment]
Your version of Excel allows you to read this threaded comment; however, any edits to it will get removed if the file is opened in a newer version of Excel. Learn more: https://go.microsoft.com/fwlink/?linkid=870924
Comment:
    BH1 WUL not extended</t>
      </text>
    </comment>
    <comment ref="D73" authorId="5" shapeId="0" xr:uid="{8A7EEF97-54EF-4B10-B507-8FD9C173E58F}">
      <text>
        <t>[Threaded comment]
Your version of Excel allows you to read this threaded comment; however, any edits to it will get removed if the file is opened in a newer version of Excel. Learn more: https://go.microsoft.com/fwlink/?linkid=870924
Comment:
    This is based on COD only since all parameters are within permit limits</t>
      </text>
    </comment>
    <comment ref="D74" authorId="6" shapeId="0" xr:uid="{2214EB60-B931-4E85-8B69-BCA59C052360}">
      <text>
        <t>[Threaded comment]
Your version of Excel allows you to read this threaded comment; however, any edits to it will get removed if the file is opened in a newer version of Excel. Learn more: https://go.microsoft.com/fwlink/?linkid=870924
Comment:
    No annual increase assumed currently. Increase would depend on elec tariff, chemical costs, consumables and labour. So this would be a combination of elec and CPI</t>
      </text>
    </comment>
    <comment ref="D75" authorId="7" shapeId="0" xr:uid="{BF711438-9999-46C6-A3A3-0A2F0F623CBE}">
      <text>
        <t>[Threaded comment]
Your version of Excel allows you to read this threaded comment; however, any edits to it will get removed if the file is opened in a newer version of Excel. Learn more: https://go.microsoft.com/fwlink/?linkid=870924
Comment:
    Get high-level plant summary from doc and ask GPT to estimate OPEX</t>
      </text>
    </comment>
    <comment ref="D76" authorId="8" shapeId="0" xr:uid="{A36D44C3-C042-4FB5-BF06-6A5FE0D3AB82}">
      <text>
        <t>[Threaded comment]
Your version of Excel allows you to read this threaded comment; however, any edits to it will get removed if the file is opened in a newer version of Excel. Learn more: https://go.microsoft.com/fwlink/?linkid=870924
Comment:
    This is a ChatGPT estimate based on 1m3/h output, 16 hrs/d, 365 days/yr.
I have given it a steam, water and electricity cost to work with. Everything else is an assumption
Reply:
    8% annual increase</t>
      </text>
    </comment>
    <comment ref="D77" authorId="9" shapeId="0" xr:uid="{8D8EB421-0F5D-4C9E-8283-16156E7C1EF7}">
      <text>
        <t>[Threaded comment]
Your version of Excel allows you to read this threaded comment; however, any edits to it will get removed if the file is opened in a newer version of Excel. Learn more: https://go.microsoft.com/fwlink/?linkid=870924
Comment:
    Check what Peter shared</t>
      </text>
    </comment>
    <comment ref="D78" authorId="10" shapeId="0" xr:uid="{C4D43483-8900-4970-8A6B-B0B5DF1E89B4}">
      <text>
        <t>[Threaded comment]
Your version of Excel allows you to read this threaded comment; however, any edits to it will get removed if the file is opened in a newer version of Excel. Learn more: https://go.microsoft.com/fwlink/?linkid=870924
Comment:
    6.8 - 13.4 R/m3</t>
      </text>
    </comment>
    <comment ref="D79" authorId="11" shapeId="0" xr:uid="{1548C28F-B82C-4E86-805D-0AB5C8EA9FDC}">
      <text>
        <t>[Threaded comment]
Your version of Excel allows you to read this threaded comment; however, any edits to it will get removed if the file is opened in a newer version of Excel. Learn more: https://go.microsoft.com/fwlink/?linkid=870924
Comment:
    Based on Sov, scaled for volume</t>
      </text>
    </comment>
    <comment ref="D80" authorId="12" shapeId="0" xr:uid="{5EFBF536-B171-4F68-BD46-7EBA64168BBE}">
      <text>
        <t>[Threaded comment]
Your version of Excel allows you to read this threaded comment; however, any edits to it will get removed if the file is opened in a newer version of Excel. Learn more: https://go.microsoft.com/fwlink/?linkid=870924
Comment:
    Based on Sov, scaled for volume</t>
      </text>
    </comment>
    <comment ref="D95" authorId="13" shapeId="0" xr:uid="{ECD2C8A2-3788-4697-85CF-A258B0CF0289}">
      <text>
        <t>[Threaded comment]
Your version of Excel allows you to read this threaded comment; however, any edits to it will get removed if the file is opened in a newer version of Excel. Learn more: https://go.microsoft.com/fwlink/?linkid=870924
Comment:
    Can get an average volume estimate from the steam bills</t>
      </text>
    </comment>
    <comment ref="D152" authorId="14" shapeId="0" xr:uid="{254E6094-29C7-4DC4-8B3E-55C4E565815D}">
      <text>
        <t>[Threaded comment]
Your version of Excel allows you to read this threaded comment; however, any edits to it will get removed if the file is opened in a newer version of Excel. Learn more: https://go.microsoft.com/fwlink/?linkid=870924
Comment:
    Adjusting plant setpoints or replacement rates on consumables due to varying quality of incoming water</t>
      </text>
    </comment>
    <comment ref="D155" authorId="15" shapeId="0" xr:uid="{C0308916-7111-44EF-8D0F-3E6EDB4B2CF4}">
      <text>
        <t xml:space="preserve">[Threaded comment]
Your version of Excel allows you to read this threaded comment; however, any edits to it will get removed if the file is opened in a newer version of Excel. Learn more: https://go.microsoft.com/fwlink/?linkid=870924
Comment:
    Most basic way to model is: what is sustainable abstraction? Is the site above, at or below this
Reply:
    But we have insufficient data on this.
Ideally we would also know the anticipated lifespan of the borehole, but the site needs to do analysis yearly for this.
Reply:
    For now, we can assume this borehole will last 20 years as per the WUL. This means it would be offline from 2040.
</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tc={AB2A11C6-47CC-41FF-9A31-1F9FCF5F6637}</author>
    <author>tc={9936EA8A-C9AF-4B72-AED9-2A46D771B696}</author>
    <author>tc={4699FAE8-71F7-4C86-AC59-CC6F9268C0EF}</author>
    <author>tc={DEA091B4-70BA-4611-84BB-5DE55F57F4D5}</author>
    <author>tc={4355BA73-8FC1-468E-939C-5572BC8EE45A}</author>
    <author>tc={3D395A95-C688-4B3B-AB0A-0B897E82BB63}</author>
    <author>tc={F34D2FDD-A865-4CB3-9D2C-9A7F1C808354}</author>
    <author>tc={4A770335-71DF-433C-B000-FC2954E78C98}</author>
    <author>tc={70AAA196-CB28-4631-A4CD-D3338C6FC8B2}</author>
    <author>tc={61D0627A-6CC7-4BA1-824C-96877149FC22}</author>
    <author>tc={212F0808-1BD2-4CC2-9B4E-A386556EA415}</author>
    <author>tc={3C5598EC-B1A2-4C82-9A27-7767F4FD3EEE}</author>
    <author>tc={63CB9344-1FF0-40F5-8C08-B79CE25D77BA}</author>
    <author>tc={03DFE0C4-730C-4D66-A092-409379154BE5}</author>
    <author>tc={4C6E0C42-623C-4FF6-9002-BAA2B5022C6B}</author>
    <author>tc={80F16522-3FA7-422C-8F5E-565F802FA466}</author>
  </authors>
  <commentList>
    <comment ref="W10" authorId="0" shapeId="0" xr:uid="{AB2A11C6-47CC-41FF-9A31-1F9FCF5F6637}">
      <text>
        <t>[Threaded comment]
Your version of Excel allows you to read this threaded comment; however, any edits to it will get removed if the file is opened in a newer version of Excel. Learn more: https://go.microsoft.com/fwlink/?linkid=870924
Comment:
    Demand risk</t>
      </text>
    </comment>
    <comment ref="AB10" authorId="1" shapeId="0" xr:uid="{9936EA8A-C9AF-4B72-AED9-2A46D771B696}">
      <text>
        <t>[Threaded comment]
Your version of Excel allows you to read this threaded comment; however, any edits to it will get removed if the file is opened in a newer version of Excel. Learn more: https://go.microsoft.com/fwlink/?linkid=870924
Comment:
    Availability risk</t>
      </text>
    </comment>
    <comment ref="D16" authorId="2" shapeId="0" xr:uid="{4699FAE8-71F7-4C86-AC59-CC6F9268C0EF}">
      <text>
        <t>[Threaded comment]
Your version of Excel allows you to read this threaded comment; however, any edits to it will get removed if the file is opened in a newer version of Excel. Learn more: https://go.microsoft.com/fwlink/?linkid=870924
Comment:
    BH1 WUL not extended</t>
      </text>
    </comment>
    <comment ref="AC17" authorId="3" shapeId="0" xr:uid="{DEA091B4-70BA-4611-84BB-5DE55F57F4D5}">
      <text>
        <t>[Threaded comment]
Your version of Excel allows you to read this threaded comment; however, any edits to it will get removed if the file is opened in a newer version of Excel. Learn more: https://go.microsoft.com/fwlink/?linkid=870924
Comment:
    Deficit of 119ML/yr without desal and BH WUL expires. This equates to 9.2 mil Rand if it must be municipal water.
Reply:
    If the 119ML/yr came from desal instead, this amounts to 1.5mil Rand for the year.
Reply:
    See below scenario 2 where WUL does not expire in 2040, then they have sufficient alternate water (ground, rain, rec) to supply whole site</t>
      </text>
    </comment>
    <comment ref="D19" authorId="4" shapeId="0" xr:uid="{4355BA73-8FC1-468E-939C-5572BC8EE45A}">
      <text>
        <t>[Threaded comment]
Your version of Excel allows you to read this threaded comment; however, any edits to it will get removed if the file is opened in a newer version of Excel. Learn more: https://go.microsoft.com/fwlink/?linkid=870924
Comment:
    BH1 WUL not extended</t>
      </text>
    </comment>
    <comment ref="D73" authorId="5" shapeId="0" xr:uid="{3D395A95-C688-4B3B-AB0A-0B897E82BB63}">
      <text>
        <t>[Threaded comment]
Your version of Excel allows you to read this threaded comment; however, any edits to it will get removed if the file is opened in a newer version of Excel. Learn more: https://go.microsoft.com/fwlink/?linkid=870924
Comment:
    This is based on COD only since all parameters are within permit limits</t>
      </text>
    </comment>
    <comment ref="D74" authorId="6" shapeId="0" xr:uid="{F34D2FDD-A865-4CB3-9D2C-9A7F1C808354}">
      <text>
        <t>[Threaded comment]
Your version of Excel allows you to read this threaded comment; however, any edits to it will get removed if the file is opened in a newer version of Excel. Learn more: https://go.microsoft.com/fwlink/?linkid=870924
Comment:
    No annual increase assumed currently. Increase would depend on elec tariff, chemical costs, consumables and labour. So this would be a combination of elec and CPI</t>
      </text>
    </comment>
    <comment ref="D75" authorId="7" shapeId="0" xr:uid="{4A770335-71DF-433C-B000-FC2954E78C98}">
      <text>
        <t>[Threaded comment]
Your version of Excel allows you to read this threaded comment; however, any edits to it will get removed if the file is opened in a newer version of Excel. Learn more: https://go.microsoft.com/fwlink/?linkid=870924
Comment:
    Get high-level plant summary from doc and ask GPT to estimate OPEX</t>
      </text>
    </comment>
    <comment ref="D76" authorId="8" shapeId="0" xr:uid="{70AAA196-CB28-4631-A4CD-D3338C6FC8B2}">
      <text>
        <t>[Threaded comment]
Your version of Excel allows you to read this threaded comment; however, any edits to it will get removed if the file is opened in a newer version of Excel. Learn more: https://go.microsoft.com/fwlink/?linkid=870924
Comment:
    This is a ChatGPT estimate based on 1m3/h output, 16 hrs/d, 365 days/yr.
I have given it a steam, water and electricity cost to work with. Everything else is an assumption
Reply:
    8% annual increase</t>
      </text>
    </comment>
    <comment ref="D77" authorId="9" shapeId="0" xr:uid="{61D0627A-6CC7-4BA1-824C-96877149FC22}">
      <text>
        <t>[Threaded comment]
Your version of Excel allows you to read this threaded comment; however, any edits to it will get removed if the file is opened in a newer version of Excel. Learn more: https://go.microsoft.com/fwlink/?linkid=870924
Comment:
    Check what Peter shared</t>
      </text>
    </comment>
    <comment ref="D78" authorId="10" shapeId="0" xr:uid="{212F0808-1BD2-4CC2-9B4E-A386556EA415}">
      <text>
        <t>[Threaded comment]
Your version of Excel allows you to read this threaded comment; however, any edits to it will get removed if the file is opened in a newer version of Excel. Learn more: https://go.microsoft.com/fwlink/?linkid=870924
Comment:
    6.8 - 13.4 R/m3</t>
      </text>
    </comment>
    <comment ref="D79" authorId="11" shapeId="0" xr:uid="{3C5598EC-B1A2-4C82-9A27-7767F4FD3EEE}">
      <text>
        <t>[Threaded comment]
Your version of Excel allows you to read this threaded comment; however, any edits to it will get removed if the file is opened in a newer version of Excel. Learn more: https://go.microsoft.com/fwlink/?linkid=870924
Comment:
    Based on Sov, scaled for volume</t>
      </text>
    </comment>
    <comment ref="D80" authorId="12" shapeId="0" xr:uid="{63CB9344-1FF0-40F5-8C08-B79CE25D77BA}">
      <text>
        <t>[Threaded comment]
Your version of Excel allows you to read this threaded comment; however, any edits to it will get removed if the file is opened in a newer version of Excel. Learn more: https://go.microsoft.com/fwlink/?linkid=870924
Comment:
    Based on Sov, scaled for volume</t>
      </text>
    </comment>
    <comment ref="D95" authorId="13" shapeId="0" xr:uid="{03DFE0C4-730C-4D66-A092-409379154BE5}">
      <text>
        <t>[Threaded comment]
Your version of Excel allows you to read this threaded comment; however, any edits to it will get removed if the file is opened in a newer version of Excel. Learn more: https://go.microsoft.com/fwlink/?linkid=870924
Comment:
    Can get an average volume estimate from the steam bills</t>
      </text>
    </comment>
    <comment ref="D152" authorId="14" shapeId="0" xr:uid="{4C6E0C42-623C-4FF6-9002-BAA2B5022C6B}">
      <text>
        <t>[Threaded comment]
Your version of Excel allows you to read this threaded comment; however, any edits to it will get removed if the file is opened in a newer version of Excel. Learn more: https://go.microsoft.com/fwlink/?linkid=870924
Comment:
    Adjusting plant setpoints or replacement rates on consumables due to varying quality of incoming water</t>
      </text>
    </comment>
    <comment ref="D155" authorId="15" shapeId="0" xr:uid="{80F16522-3FA7-422C-8F5E-565F802FA466}">
      <text>
        <t xml:space="preserve">[Threaded comment]
Your version of Excel allows you to read this threaded comment; however, any edits to it will get removed if the file is opened in a newer version of Excel. Learn more: https://go.microsoft.com/fwlink/?linkid=870924
Comment:
    Most basic way to model is: what is sustainable abstraction? Is the site above, at or below this
Reply:
    But we have insufficient data on this.
Ideally we would also know the anticipated lifespan of the borehole, but the site needs to do analysis yearly for this.
Reply:
    For now, we can assume this borehole will last 20 years as per the WUL. This means it would be offline from 2040.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<sst xmlns="http://schemas.openxmlformats.org/spreadsheetml/2006/main" count="3308" uniqueCount="592">
  <si>
    <t>Constants</t>
  </si>
  <si>
    <t>Thousand</t>
  </si>
  <si>
    <t>Million</t>
  </si>
  <si>
    <t>Name</t>
  </si>
  <si>
    <t>Header1</t>
  </si>
  <si>
    <t>Header2</t>
  </si>
  <si>
    <t>Header3</t>
  </si>
  <si>
    <t>Line_Summary</t>
  </si>
  <si>
    <t>Unit</t>
  </si>
  <si>
    <t>Line_ClosingBal</t>
  </si>
  <si>
    <t>Line_Total</t>
  </si>
  <si>
    <t>Empty_Cell</t>
  </si>
  <si>
    <t>Num#</t>
  </si>
  <si>
    <t>Names &amp; Constants</t>
  </si>
  <si>
    <t>Assumption</t>
  </si>
  <si>
    <t>Timing</t>
  </si>
  <si>
    <t>Start</t>
  </si>
  <si>
    <t>Date</t>
  </si>
  <si>
    <t>End</t>
  </si>
  <si>
    <t>Escalation</t>
  </si>
  <si>
    <t>% p.a.</t>
  </si>
  <si>
    <t>Year</t>
  </si>
  <si>
    <t>Value</t>
  </si>
  <si>
    <t>Item</t>
  </si>
  <si>
    <t>Style legend</t>
  </si>
  <si>
    <t>Style</t>
  </si>
  <si>
    <t>Design</t>
  </si>
  <si>
    <t>Comment</t>
  </si>
  <si>
    <t>A user driven input</t>
  </si>
  <si>
    <t>Technical_Input</t>
  </si>
  <si>
    <t>A model input that should not be changed to protect the integrity of the model</t>
  </si>
  <si>
    <t>A cell that is left intentionally blank to avoid the risk of error</t>
  </si>
  <si>
    <t>InSheet</t>
  </si>
  <si>
    <t>A link within the worksheet or an interim calculation step</t>
  </si>
  <si>
    <t xml:space="preserve">OffSheet </t>
  </si>
  <si>
    <t>A link to another worksheet to minimise the number of inter-worksheet references</t>
  </si>
  <si>
    <t>Line_SubTotal</t>
  </si>
  <si>
    <t>The sum of elements in the table immediately above</t>
  </si>
  <si>
    <t xml:space="preserve">The sum of elements above, including sub-totals </t>
  </si>
  <si>
    <t>Unit / Info</t>
  </si>
  <si>
    <t>Explanatory text showing helpful information and the units/dimensions of the calculations</t>
  </si>
  <si>
    <t>The SUM() of everything to the right</t>
  </si>
  <si>
    <t>Table_Header</t>
  </si>
  <si>
    <t>Qtr</t>
  </si>
  <si>
    <t xml:space="preserve">Header of a table or of an off-sheet reference </t>
  </si>
  <si>
    <t>Flag</t>
  </si>
  <si>
    <t>Binary flag - set up as a 'Style' and updated with conditional formatting</t>
  </si>
  <si>
    <t>The closing balance of a control account</t>
  </si>
  <si>
    <t>Interest rate</t>
  </si>
  <si>
    <t>Names and constants</t>
  </si>
  <si>
    <t>Entity names</t>
  </si>
  <si>
    <t>Model name</t>
  </si>
  <si>
    <t>Days in year</t>
  </si>
  <si>
    <t>Months per year</t>
  </si>
  <si>
    <t>Quarters per year</t>
  </si>
  <si>
    <t>Months per quarter</t>
  </si>
  <si>
    <t>Very small number</t>
  </si>
  <si>
    <t>Model tolerance</t>
  </si>
  <si>
    <t>CPI escalation</t>
  </si>
  <si>
    <t>Data Validation</t>
  </si>
  <si>
    <t>Rounding</t>
  </si>
  <si>
    <t>Lists</t>
  </si>
  <si>
    <t>Yes</t>
  </si>
  <si>
    <t>No</t>
  </si>
  <si>
    <t>Fiscal quarter 1</t>
  </si>
  <si>
    <t>Fiscal quarter 2</t>
  </si>
  <si>
    <t>Fiscal quarter 3</t>
  </si>
  <si>
    <t>Fiscal quarter 4</t>
  </si>
  <si>
    <t>List</t>
  </si>
  <si>
    <t>Hours per day</t>
  </si>
  <si>
    <t>Period start</t>
  </si>
  <si>
    <t>Period end</t>
  </si>
  <si>
    <t>[1,0]</t>
  </si>
  <si>
    <t xml:space="preserve"> </t>
  </si>
  <si>
    <t>Counters and Flags</t>
  </si>
  <si>
    <t>Construction and delay quarters</t>
  </si>
  <si>
    <t>#Num</t>
  </si>
  <si>
    <t>Calendar year</t>
  </si>
  <si>
    <t>Days in period</t>
  </si>
  <si>
    <t>Operations year</t>
  </si>
  <si>
    <t>Operations quarter in year</t>
  </si>
  <si>
    <t>Senior debt</t>
  </si>
  <si>
    <t>ZAR Millions</t>
  </si>
  <si>
    <t>Operations months</t>
  </si>
  <si>
    <t>Calendar month in year</t>
  </si>
  <si>
    <t>Mezzanine facility</t>
  </si>
  <si>
    <t>Note</t>
  </si>
  <si>
    <t>Finance</t>
  </si>
  <si>
    <t>3-Month JIBAR rate</t>
  </si>
  <si>
    <t>Prime Lending rate</t>
  </si>
  <si>
    <t>Notes &amp; Version Control</t>
  </si>
  <si>
    <t>BLANK SHEET</t>
  </si>
  <si>
    <t>Aspen PE</t>
  </si>
  <si>
    <t>Water Risk Profiling</t>
  </si>
  <si>
    <t>Model Start Date</t>
  </si>
  <si>
    <t>Historic Data</t>
  </si>
  <si>
    <t>Duration</t>
  </si>
  <si>
    <t>Yrs</t>
  </si>
  <si>
    <t>Current &amp; Future</t>
  </si>
  <si>
    <t>Financial</t>
  </si>
  <si>
    <t>CPI</t>
  </si>
  <si>
    <t>%</t>
  </si>
  <si>
    <t>Exchange Rate</t>
  </si>
  <si>
    <t>Current&amp;Future</t>
  </si>
  <si>
    <t>ZAR/USD</t>
  </si>
  <si>
    <t>Operating Days</t>
  </si>
  <si>
    <t>days</t>
  </si>
  <si>
    <t>Product Revenue</t>
  </si>
  <si>
    <t>R/kg</t>
  </si>
  <si>
    <t>Production</t>
  </si>
  <si>
    <t>Annual Production (Actual)</t>
  </si>
  <si>
    <t>Annual Production (Target)</t>
  </si>
  <si>
    <t>Water Use Ratio (Actual)</t>
  </si>
  <si>
    <t>kg</t>
  </si>
  <si>
    <t>kL/kg</t>
  </si>
  <si>
    <t>Regulatory</t>
  </si>
  <si>
    <t>Municipal Water Tariff</t>
  </si>
  <si>
    <t>Municipal Electricity Tariff</t>
  </si>
  <si>
    <t>R/kL</t>
  </si>
  <si>
    <t>Operational Costs</t>
  </si>
  <si>
    <t>Groundwater Treatment</t>
  </si>
  <si>
    <t>Pre-Treatment</t>
  </si>
  <si>
    <t>Purified Water</t>
  </si>
  <si>
    <t>Water for Injection</t>
  </si>
  <si>
    <t>Boiler Feed Water</t>
  </si>
  <si>
    <t>Rainwater</t>
  </si>
  <si>
    <t>Condenser Feed Water</t>
  </si>
  <si>
    <t>Risk Ratings</t>
  </si>
  <si>
    <t>Catchment</t>
  </si>
  <si>
    <t>Basin Water Scarcity</t>
  </si>
  <si>
    <t>Basin Water Quality</t>
  </si>
  <si>
    <t>Groundwater Scarcity</t>
  </si>
  <si>
    <t>Groundwater Quality</t>
  </si>
  <si>
    <t>Water Service Provider</t>
  </si>
  <si>
    <t>Capacity Management</t>
  </si>
  <si>
    <t>Non-Revenue Water</t>
  </si>
  <si>
    <t>Reliability</t>
  </si>
  <si>
    <t>Quality</t>
  </si>
  <si>
    <t>WwSP Performance</t>
  </si>
  <si>
    <t>Operational Risk</t>
  </si>
  <si>
    <t>Water Treatment Plant Compliance</t>
  </si>
  <si>
    <t>FAWA</t>
  </si>
  <si>
    <t>Wastewater Compliance</t>
  </si>
  <si>
    <t>Water Supply</t>
  </si>
  <si>
    <t>Groundwater</t>
  </si>
  <si>
    <t>kl/yr</t>
  </si>
  <si>
    <t xml:space="preserve">Treatment Plant Recovery </t>
  </si>
  <si>
    <t>Groundwater Availability</t>
  </si>
  <si>
    <t>Municipal Water</t>
  </si>
  <si>
    <t>Municipal Volume Limit?</t>
  </si>
  <si>
    <t>Rainwater Harvesting</t>
  </si>
  <si>
    <t>Rainwater Availabitlity</t>
  </si>
  <si>
    <t>Rainwater Recovered</t>
  </si>
  <si>
    <t>Rainwater Usage</t>
  </si>
  <si>
    <t>Recovered Water</t>
  </si>
  <si>
    <t>RO Recovery</t>
  </si>
  <si>
    <t>kl/d</t>
  </si>
  <si>
    <t>Treatment Plant Capacity</t>
  </si>
  <si>
    <t>Groundwater Contribution</t>
  </si>
  <si>
    <t>Municipal Contribution</t>
  </si>
  <si>
    <t>Recovered Water Contribution</t>
  </si>
  <si>
    <t>Effluent</t>
  </si>
  <si>
    <t>BUSINESS AS USUAL</t>
  </si>
  <si>
    <t>Inputs</t>
  </si>
  <si>
    <t>Water Risk Profile</t>
  </si>
  <si>
    <t>Outputs</t>
  </si>
  <si>
    <t>Client understands water-related risk exposure (How does water affect operational continuity?)</t>
  </si>
  <si>
    <t>Client-specific</t>
  </si>
  <si>
    <t>Current Year</t>
  </si>
  <si>
    <t>-</t>
  </si>
  <si>
    <t>Revenue</t>
  </si>
  <si>
    <t>Year of implementation</t>
  </si>
  <si>
    <t>True value/cost of water</t>
  </si>
  <si>
    <t>Production Target</t>
  </si>
  <si>
    <t>FX/ZAR</t>
  </si>
  <si>
    <t>Water Use Ratio (target)</t>
  </si>
  <si>
    <t>Water Risk: Physical (quantity &amp; quality), Regulatory, Reputational</t>
  </si>
  <si>
    <t>Impact of water cost and risk on production output/profitability</t>
  </si>
  <si>
    <t>Water Sources</t>
  </si>
  <si>
    <t>Water Availability/Limits</t>
  </si>
  <si>
    <t>Storage Capacity</t>
  </si>
  <si>
    <t>Tariffs &amp; escalations: water, electricity, wastewater</t>
  </si>
  <si>
    <t>Water Treatment Plant(s) Capacity</t>
  </si>
  <si>
    <t>Operational</t>
  </si>
  <si>
    <t>Treatment cost</t>
  </si>
  <si>
    <t>Annual Production</t>
  </si>
  <si>
    <t>Risk Rating</t>
  </si>
  <si>
    <t>Catchment, WSP, Operation</t>
  </si>
  <si>
    <t>Water</t>
  </si>
  <si>
    <t>Municipal</t>
  </si>
  <si>
    <t>Total</t>
  </si>
  <si>
    <t xml:space="preserve">Recovered </t>
  </si>
  <si>
    <t>Water Tarrif Escalation</t>
  </si>
  <si>
    <t>Electricity Tariff Escalation</t>
  </si>
  <si>
    <t>Ratios</t>
  </si>
  <si>
    <t>kl/kg</t>
  </si>
  <si>
    <t>R/kWh</t>
  </si>
  <si>
    <t>Cost</t>
  </si>
  <si>
    <t>Risk</t>
  </si>
  <si>
    <t>Water Tariff escalation rate</t>
  </si>
  <si>
    <t>Electricity Tariff escalation rate</t>
  </si>
  <si>
    <t>Steam</t>
  </si>
  <si>
    <t>R/ton</t>
  </si>
  <si>
    <t>High</t>
  </si>
  <si>
    <t>Medium to High</t>
  </si>
  <si>
    <t>Low</t>
  </si>
  <si>
    <t>Excellent</t>
  </si>
  <si>
    <t>Good</t>
  </si>
  <si>
    <t>Average</t>
  </si>
  <si>
    <t>Critical State</t>
  </si>
  <si>
    <t>Very Poor</t>
  </si>
  <si>
    <t>R/yr</t>
  </si>
  <si>
    <t>Process Water</t>
  </si>
  <si>
    <t>kg/yr</t>
  </si>
  <si>
    <t>OSD Production Ratio</t>
  </si>
  <si>
    <t>SVP Production Ratio</t>
  </si>
  <si>
    <t>kg/kg</t>
  </si>
  <si>
    <t>OSD</t>
  </si>
  <si>
    <t>SVP</t>
  </si>
  <si>
    <t>Water For Injection</t>
  </si>
  <si>
    <t>Water Consumption</t>
  </si>
  <si>
    <t>Domestic Use Ratio</t>
  </si>
  <si>
    <t>Utilities Use Ratio</t>
  </si>
  <si>
    <t>Process Use Ratio</t>
  </si>
  <si>
    <t>kl/kl</t>
  </si>
  <si>
    <t>Consumption by Source</t>
  </si>
  <si>
    <t>Consumption by Type</t>
  </si>
  <si>
    <t>Utilities Water</t>
  </si>
  <si>
    <t>Domestic Water</t>
  </si>
  <si>
    <t>Purified Water Plant Recovery</t>
  </si>
  <si>
    <t>Wastewater</t>
  </si>
  <si>
    <t>Purified Water Ratio</t>
  </si>
  <si>
    <t>Water for Injection Ratio</t>
  </si>
  <si>
    <t>Condenser Feed Water?</t>
  </si>
  <si>
    <t>Wastewater Discharge</t>
  </si>
  <si>
    <t>Discharge Factor</t>
  </si>
  <si>
    <t>Sewerage</t>
  </si>
  <si>
    <t>Trade Effluent</t>
  </si>
  <si>
    <t>Municipal Sewerage Discharge Tariff</t>
  </si>
  <si>
    <t>Prescribed Effluent Treatment Charge</t>
  </si>
  <si>
    <t>2028+</t>
  </si>
  <si>
    <t>Water Cost Ratio</t>
  </si>
  <si>
    <t>Daily Production</t>
  </si>
  <si>
    <t>kg/day</t>
  </si>
  <si>
    <t>Lost Production</t>
  </si>
  <si>
    <t>Cost not recovered</t>
  </si>
  <si>
    <t>R</t>
  </si>
  <si>
    <t>Proportion of fixed cost</t>
  </si>
  <si>
    <t>Municipal Supply Failure</t>
  </si>
  <si>
    <t>Groundwater Supply Failure</t>
  </si>
  <si>
    <t>Quantity</t>
  </si>
  <si>
    <t>Risk Exposure</t>
  </si>
  <si>
    <t>Restrictions on volume?</t>
  </si>
  <si>
    <t>No supply (infrastructure related)</t>
  </si>
  <si>
    <t>Catchment water security</t>
  </si>
  <si>
    <t>Environmental issues</t>
  </si>
  <si>
    <t>WTP Capability</t>
  </si>
  <si>
    <t>WTP Infrastructure</t>
  </si>
  <si>
    <t>Aquifer replenishment</t>
  </si>
  <si>
    <t>Rate of abstraction</t>
  </si>
  <si>
    <t>Contamination</t>
  </si>
  <si>
    <t>Wastewater Treatment</t>
  </si>
  <si>
    <t xml:space="preserve">Deterioration </t>
  </si>
  <si>
    <t>Likelihood</t>
  </si>
  <si>
    <t>Impact</t>
  </si>
  <si>
    <t>Climate: drought, flooding</t>
  </si>
  <si>
    <t>Baseline water stress, CASs, other aqueduct measures, Blue drop, green drop</t>
  </si>
  <si>
    <t>How much production is lost because of this</t>
  </si>
  <si>
    <t>How much water is unavailable because of this</t>
  </si>
  <si>
    <t>How many days without water does this equate to</t>
  </si>
  <si>
    <t>Extreme</t>
  </si>
  <si>
    <t>Very High</t>
  </si>
  <si>
    <t>Medium</t>
  </si>
  <si>
    <t>Low to Medium</t>
  </si>
  <si>
    <t>No. of failuers per year</t>
  </si>
  <si>
    <t>Length of Failures (days)</t>
  </si>
  <si>
    <t>No. of Failures per year</t>
  </si>
  <si>
    <t>Length of Failure (Days)</t>
  </si>
  <si>
    <t>Increase in WSP water ratio</t>
  </si>
  <si>
    <t>Ground Water Quality</t>
  </si>
  <si>
    <t>Poor</t>
  </si>
  <si>
    <t>WTP Compliance</t>
  </si>
  <si>
    <t>% of time compliant</t>
  </si>
  <si>
    <t>Non-Revenue</t>
  </si>
  <si>
    <t>Blue Drop</t>
  </si>
  <si>
    <t>Treatment Capacity</t>
  </si>
  <si>
    <t>85+</t>
  </si>
  <si>
    <t>70-84</t>
  </si>
  <si>
    <t>35-69</t>
  </si>
  <si>
    <t>0-34</t>
  </si>
  <si>
    <t>Quality (Blue Drop)</t>
  </si>
  <si>
    <t>WwSP Performance (Green Drop)</t>
  </si>
  <si>
    <t>Recovery</t>
  </si>
  <si>
    <t>ZLD</t>
  </si>
  <si>
    <t>Extremely High</t>
  </si>
  <si>
    <t>Technical Management</t>
  </si>
  <si>
    <t>Drinkning Water Quality Compliance</t>
  </si>
  <si>
    <t>Lost production (NRW)</t>
  </si>
  <si>
    <t>Lost production (Technical)</t>
  </si>
  <si>
    <t>Rating</t>
  </si>
  <si>
    <t>No. of failures</t>
  </si>
  <si>
    <t>Length of failure</t>
  </si>
  <si>
    <t>Length of buffer supply</t>
  </si>
  <si>
    <t>No.</t>
  </si>
  <si>
    <t>Lost production</t>
  </si>
  <si>
    <t>Water Storage Capacity</t>
  </si>
  <si>
    <t>kl</t>
  </si>
  <si>
    <t>Volume</t>
  </si>
  <si>
    <t>Length of buffer</t>
  </si>
  <si>
    <t>Total Lost Production due to Quantity</t>
  </si>
  <si>
    <t>Absolute (annual)</t>
  </si>
  <si>
    <t>Absolute (daily)</t>
  </si>
  <si>
    <t>Length of poor quality supply</t>
  </si>
  <si>
    <t>Days of poor quality</t>
  </si>
  <si>
    <t>Poor quality volume received</t>
  </si>
  <si>
    <t>Additional Volume required due to poor Quality</t>
  </si>
  <si>
    <t>Cost of Poor Quality</t>
  </si>
  <si>
    <t>Additional Municipal Water Cost</t>
  </si>
  <si>
    <t>Additional Water Treatment Cost</t>
  </si>
  <si>
    <t>Total Additional Water Cost due to Poor Quality</t>
  </si>
  <si>
    <t>R/kg product</t>
  </si>
  <si>
    <t xml:space="preserve">Additional Cost due to Variable Quality </t>
  </si>
  <si>
    <t>Variable Quality Factor</t>
  </si>
  <si>
    <t>Additional Purified Cost</t>
  </si>
  <si>
    <t>Additional Boiler Cost</t>
  </si>
  <si>
    <t>=abstracted-available</t>
  </si>
  <si>
    <t>Days without Groundwater</t>
  </si>
  <si>
    <t>Ground Water Quantity</t>
  </si>
  <si>
    <t>Borehole lifespan</t>
  </si>
  <si>
    <t>Lifespan</t>
  </si>
  <si>
    <t>Borehole Lifespan</t>
  </si>
  <si>
    <t>Available Water</t>
  </si>
  <si>
    <t>Non-municipal</t>
  </si>
  <si>
    <t>Additional Groundwater Cost</t>
  </si>
  <si>
    <t>Total Additional Water Cost due to Groundwater Quality</t>
  </si>
  <si>
    <t>Total Value of Water Risk</t>
  </si>
  <si>
    <t>True Value of Water</t>
  </si>
  <si>
    <t>R/kl</t>
  </si>
  <si>
    <t>Total Cost</t>
  </si>
  <si>
    <t>95-100</t>
  </si>
  <si>
    <t>80-94</t>
  </si>
  <si>
    <t>50-79</t>
  </si>
  <si>
    <t>31-49</t>
  </si>
  <si>
    <t>0-30</t>
  </si>
  <si>
    <t>WSP Capacity Management</t>
  </si>
  <si>
    <t>WSP Non-revenue water</t>
  </si>
  <si>
    <t>WSP Technical Management</t>
  </si>
  <si>
    <t>WSP Drinking Water Quality Compliance</t>
  </si>
  <si>
    <t>Total cost of water</t>
  </si>
  <si>
    <t>Additional Borehole</t>
  </si>
  <si>
    <t>Impact on water</t>
  </si>
  <si>
    <t>Volume of Impact</t>
  </si>
  <si>
    <t>yr</t>
  </si>
  <si>
    <t>Availability or Consumption</t>
  </si>
  <si>
    <t>SVP3</t>
  </si>
  <si>
    <t>Availability</t>
  </si>
  <si>
    <t>Consumption</t>
  </si>
  <si>
    <t>NH3 Condenser System</t>
  </si>
  <si>
    <t>Production Escalation</t>
  </si>
  <si>
    <t>Unit 1</t>
  </si>
  <si>
    <t>Unit 2</t>
  </si>
  <si>
    <t>Unit 3</t>
  </si>
  <si>
    <t>Unit 4</t>
  </si>
  <si>
    <t>SVP1</t>
  </si>
  <si>
    <t>SVP2</t>
  </si>
  <si>
    <t>max output</t>
  </si>
  <si>
    <t>6 billion tablets</t>
  </si>
  <si>
    <t>4 billion tablets</t>
  </si>
  <si>
    <t>950 million tablets (hormonal)</t>
  </si>
  <si>
    <t>395 million tablets (potency)</t>
  </si>
  <si>
    <t>million eyedrops/vials/ampoules</t>
  </si>
  <si>
    <t>million</t>
  </si>
  <si>
    <t>kg OR L produced</t>
  </si>
  <si>
    <t>units produced</t>
  </si>
  <si>
    <t>% lost production (due to water)</t>
  </si>
  <si>
    <t>Production deficit</t>
  </si>
  <si>
    <t>Assumed water ratio</t>
  </si>
  <si>
    <t>Condenser water not Discharged</t>
  </si>
  <si>
    <t>Condenser losses</t>
  </si>
  <si>
    <t>Actual discharge</t>
  </si>
  <si>
    <t>Treatment Cost Esclation Rate</t>
  </si>
  <si>
    <t>WFI Esclation Rate</t>
  </si>
  <si>
    <t>Current split</t>
  </si>
  <si>
    <t>SVP2 is qualified</t>
  </si>
  <si>
    <t>New split</t>
  </si>
  <si>
    <t>SVP3 is qualified</t>
  </si>
  <si>
    <t>Planned CAPEX/Expansions</t>
  </si>
  <si>
    <t>Year of Qualification</t>
  </si>
  <si>
    <t>OSD Ratio</t>
  </si>
  <si>
    <t>SVP Ratio</t>
  </si>
  <si>
    <t>SVP2 Qualification</t>
  </si>
  <si>
    <t>Capacity Impact</t>
  </si>
  <si>
    <t>L/unit</t>
  </si>
  <si>
    <t>Average Boiler Make Up</t>
  </si>
  <si>
    <t>Boiler Make Up</t>
  </si>
  <si>
    <t>Condenser Make Up</t>
  </si>
  <si>
    <t>Condenser Make-up</t>
  </si>
  <si>
    <t>% of Utilities Water</t>
  </si>
  <si>
    <t>Fixed Costs</t>
  </si>
  <si>
    <t>Fixed Cost Ratio</t>
  </si>
  <si>
    <t>Tariff &amp; Cost Escalations</t>
  </si>
  <si>
    <t>Fixed Cost</t>
  </si>
  <si>
    <t>Water Supply Deficit</t>
  </si>
  <si>
    <t>Strategic Model Inputs</t>
  </si>
  <si>
    <t>Initiative 1</t>
  </si>
  <si>
    <t>Year of Implementation</t>
  </si>
  <si>
    <t>CAPEX Estimate</t>
  </si>
  <si>
    <t>OPEX Estimate</t>
  </si>
  <si>
    <t>Consumption Reduction</t>
  </si>
  <si>
    <t>Wastewater Reduction</t>
  </si>
  <si>
    <t>Scenario 1 - BH1 WUL not extended</t>
  </si>
  <si>
    <t>Scenario 2 - BH1 WUL extended beyond 2040</t>
  </si>
  <si>
    <t>Initiative 2</t>
  </si>
  <si>
    <t>Water Metering &amp; Optimisation</t>
  </si>
  <si>
    <t>Year Impact takes effect</t>
  </si>
  <si>
    <t>Initiative 3</t>
  </si>
  <si>
    <t>Initiative 4</t>
  </si>
  <si>
    <t>Initiative 5</t>
  </si>
  <si>
    <t>Increase Storage Capacity</t>
  </si>
  <si>
    <t>Storage Volume</t>
  </si>
  <si>
    <t>Buffer Increase</t>
  </si>
  <si>
    <t>Desalination - Lake Abstraction</t>
  </si>
  <si>
    <t>Initiative 6</t>
  </si>
  <si>
    <t>Desalination</t>
  </si>
  <si>
    <t>Desal - Lake</t>
  </si>
  <si>
    <t>Volume Treated</t>
  </si>
  <si>
    <t>Increased storage capacity</t>
  </si>
  <si>
    <t>Buffer</t>
  </si>
  <si>
    <t>Treated Water Storage</t>
  </si>
  <si>
    <t>OPEX</t>
  </si>
  <si>
    <t>Plant Capacity</t>
  </si>
  <si>
    <t>Recovery Rate</t>
  </si>
  <si>
    <t>Desalination Effluent</t>
  </si>
  <si>
    <t>Recovered</t>
  </si>
  <si>
    <t>Rain</t>
  </si>
  <si>
    <t>Water Tariffs</t>
  </si>
  <si>
    <t>Wastewater Tariffs</t>
  </si>
  <si>
    <t>Ground</t>
  </si>
  <si>
    <t>Results Table</t>
  </si>
  <si>
    <t>Cumulative Water Cost</t>
  </si>
  <si>
    <t>Treatment Cost</t>
  </si>
  <si>
    <t>5 yearly intervals, starting in 2025</t>
  </si>
  <si>
    <t>Water Price (R/kl)</t>
  </si>
  <si>
    <t>This is our Total Water Cost</t>
  </si>
  <si>
    <t>Bar graphs</t>
  </si>
  <si>
    <t>Water Tariff, WW Tariff, Treatment Cost</t>
  </si>
  <si>
    <t>Area under curve</t>
  </si>
  <si>
    <t>over the course of the model</t>
  </si>
  <si>
    <t>Spend per Water Source?</t>
  </si>
  <si>
    <t>Desal</t>
  </si>
  <si>
    <t>5 yearly, starting in 2025</t>
  </si>
  <si>
    <t>Water OPEX</t>
  </si>
  <si>
    <t>Total spent each year pver course of model</t>
  </si>
  <si>
    <t>Area under the curve</t>
  </si>
  <si>
    <t>Water Supply Volume by source</t>
  </si>
  <si>
    <t>Area under curve, over the course of the model</t>
  </si>
  <si>
    <t>Stacked bar graph, 5 yearly</t>
  </si>
  <si>
    <t>BaU</t>
  </si>
  <si>
    <t>Strategic</t>
  </si>
  <si>
    <t>%saving</t>
  </si>
  <si>
    <t>savings ZAR</t>
  </si>
  <si>
    <t>Recovery RO for Brine Streams</t>
  </si>
  <si>
    <t>BaU Outlook</t>
  </si>
  <si>
    <t>Strategic Outlook</t>
  </si>
  <si>
    <t>Total Water Cost (R/kl)</t>
  </si>
  <si>
    <t>Water Tariff</t>
  </si>
  <si>
    <t>Wastewater Tariff</t>
  </si>
  <si>
    <t>Water Price</t>
  </si>
  <si>
    <t>Total Price</t>
  </si>
  <si>
    <t>Water Price Ratio</t>
  </si>
  <si>
    <t>Annual Spend per Water Category over total water consumption</t>
  </si>
  <si>
    <t>Add arrows and event description for peaks and troughs</t>
  </si>
  <si>
    <t>Operational Cost</t>
  </si>
  <si>
    <t>Water Risk Cost</t>
  </si>
  <si>
    <t>Total Additional Water Cost due to Groundwater Quality Variability</t>
  </si>
  <si>
    <t>2025-2030</t>
  </si>
  <si>
    <t>2031-2035</t>
  </si>
  <si>
    <t>2036-2040</t>
  </si>
  <si>
    <t>2041-2045</t>
  </si>
  <si>
    <t>2046-2050</t>
  </si>
  <si>
    <t>Potential Savings</t>
  </si>
  <si>
    <t>BaU vs Strategic</t>
  </si>
  <si>
    <t>Overall</t>
  </si>
  <si>
    <t>Water Risk - Municipal Supply Failure</t>
  </si>
  <si>
    <t>Water Risk - Quality</t>
  </si>
  <si>
    <t>Alternate Water Availability</t>
  </si>
  <si>
    <t>Total Demand</t>
  </si>
  <si>
    <t>Municipal Consumption</t>
  </si>
  <si>
    <t>Groundwater Consumption</t>
  </si>
  <si>
    <t>Rainwater Consumption</t>
  </si>
  <si>
    <t>Recovered Water Consumption</t>
  </si>
  <si>
    <t>Desal Water Consumption</t>
  </si>
  <si>
    <t>Do we want to mention the potential surplus per annum and water stewardship opportunity?</t>
  </si>
  <si>
    <t>Initiative Financial Modeling</t>
  </si>
  <si>
    <t>5% consumption reduction</t>
  </si>
  <si>
    <t>BaU Consumption</t>
  </si>
  <si>
    <t>Reduced Consumption</t>
  </si>
  <si>
    <t>Savings (R/yr)</t>
  </si>
  <si>
    <t>BaU Total</t>
  </si>
  <si>
    <t>BaU Municipal</t>
  </si>
  <si>
    <t>BaU Ground</t>
  </si>
  <si>
    <t>80%-ile</t>
  </si>
  <si>
    <t>95%-ile</t>
  </si>
  <si>
    <t>Recovered water availability</t>
  </si>
  <si>
    <t>Desal water availability</t>
  </si>
  <si>
    <t>Difference (days)</t>
  </si>
  <si>
    <t>Storage Capacity (kl) - BaU</t>
  </si>
  <si>
    <t>Storage Capacity (kl) - Strategic</t>
  </si>
  <si>
    <t>Buffer (days) - BaU</t>
  </si>
  <si>
    <t>Buffer (days) - Strategic</t>
  </si>
  <si>
    <t>kg not lost (kg product)</t>
  </si>
  <si>
    <t>Recovered production days calc</t>
  </si>
  <si>
    <r>
      <rPr>
        <b/>
        <sz val="10"/>
        <rFont val="Arial"/>
        <family val="2"/>
      </rPr>
      <t xml:space="preserve">Savings: </t>
    </r>
    <r>
      <rPr>
        <sz val="10"/>
        <rFont val="Arial"/>
        <family val="2"/>
      </rPr>
      <t>Fixed cost recovered due to increased buffer</t>
    </r>
  </si>
  <si>
    <t>Wastewater Savings (R/yr)</t>
  </si>
  <si>
    <t>Wastewater cost WRP (R/yr)</t>
  </si>
  <si>
    <t>Effluent Volume WRP (kl/yr)</t>
  </si>
  <si>
    <t>WRP Recovery Rate (%)</t>
  </si>
  <si>
    <t>Effluent Volume BaU (kl/yr)</t>
  </si>
  <si>
    <t>Kl/d</t>
  </si>
  <si>
    <t>BaU Effluent (kl/yr)</t>
  </si>
  <si>
    <t>Desal effluent (kl/yr)</t>
  </si>
  <si>
    <t>inititative 4 Total Effluent (kl/yr)</t>
  </si>
  <si>
    <t>inititiative 4 effluent cost (R/yr)</t>
  </si>
  <si>
    <t>Wastewater cost  increase(R/yr)</t>
  </si>
  <si>
    <t>Yearly, cumulative (ML/yr)</t>
  </si>
  <si>
    <t>Daily, Average (kl/d)</t>
  </si>
  <si>
    <t>Alternate Water Treatment</t>
  </si>
  <si>
    <t>Alternate Water Treatment Cost</t>
  </si>
  <si>
    <t>Total Alternate Water Cost</t>
  </si>
  <si>
    <t>Strat Op Cost</t>
  </si>
  <si>
    <t>Strat Risk Cost</t>
  </si>
  <si>
    <t>BaU Opex</t>
  </si>
  <si>
    <t>Metering and Optimisation</t>
  </si>
  <si>
    <t>Scenario 1</t>
  </si>
  <si>
    <t>No additional BH, WUL expires 2040</t>
  </si>
  <si>
    <t>Max Groundwater Consumption</t>
  </si>
  <si>
    <t>Scenario 2</t>
  </si>
  <si>
    <t>No additional BH, WUL extended to 2050</t>
  </si>
  <si>
    <t>Scenario 3</t>
  </si>
  <si>
    <t>Additional BH, WUL expires 2040</t>
  </si>
  <si>
    <t>Scenario 4</t>
  </si>
  <si>
    <t>Additional BH, WUL extended to 2050</t>
  </si>
  <si>
    <t>STRATEGIC</t>
  </si>
  <si>
    <t>Daily production</t>
  </si>
  <si>
    <t>kg/d</t>
  </si>
  <si>
    <t>Yearly municipal</t>
  </si>
  <si>
    <t>Total raw water available</t>
  </si>
  <si>
    <t>Total treated water for use</t>
  </si>
  <si>
    <t>Metric</t>
  </si>
  <si>
    <t>Full Strategy</t>
  </si>
  <si>
    <t>Savings</t>
  </si>
  <si>
    <t>Cumulative Savings (ZAR billion)</t>
  </si>
  <si>
    <t>“True” Value of Water (ZAR billion)</t>
  </si>
  <si>
    <t>Water CAPEX (ZAR million)</t>
  </si>
  <si>
    <t>Water OPEX (ZAR billion)</t>
  </si>
  <si>
    <t>Lost Production (tonnes)</t>
  </si>
  <si>
    <t>Municipal Water (ML)</t>
  </si>
  <si>
    <t>Wastewater  (ML)</t>
  </si>
  <si>
    <t>Raw Non-municipal</t>
  </si>
  <si>
    <t>Treated Non-municipal</t>
  </si>
  <si>
    <t>Supply &amp; Discharge (alternate)</t>
  </si>
  <si>
    <t>Treated Water Availability Increase</t>
  </si>
  <si>
    <t>Raw Water Availability</t>
  </si>
  <si>
    <t>Treated Groundwater Available</t>
  </si>
  <si>
    <t>Desal Mix</t>
  </si>
  <si>
    <t>Water Risk Exposure</t>
  </si>
  <si>
    <t>Total Treatment OPEX</t>
  </si>
  <si>
    <t>Rainwater Treatment</t>
  </si>
  <si>
    <t>Recovered Water Treatment</t>
  </si>
  <si>
    <t>Desal Treatment</t>
  </si>
  <si>
    <t>Water &amp; Wastewater Tariff</t>
  </si>
  <si>
    <t>Water Availability (WUL extended)</t>
  </si>
  <si>
    <t>Alternate Water Availability (WRP, Desal)</t>
  </si>
  <si>
    <t>Water Availability (WRP, WUL extended)</t>
  </si>
  <si>
    <t>Scenarios</t>
  </si>
  <si>
    <t>Groundwater (WUL extended)</t>
  </si>
  <si>
    <t>Municipal Consumption (WUL extended)</t>
  </si>
  <si>
    <t>Groundwater Consumption (WRP, WUL extended)</t>
  </si>
  <si>
    <t>Water Availability (WRP, WUL expires)</t>
  </si>
  <si>
    <t>Groundwater Consumption (WRP, WUL expires)</t>
  </si>
  <si>
    <t>Bau Op Cost (Pessimistic)</t>
  </si>
  <si>
    <t>BaU Risk Cost (Pessimistic)</t>
  </si>
  <si>
    <t>BaU True Value (Pessimistic)</t>
  </si>
  <si>
    <t xml:space="preserve">Adjusted water risk </t>
  </si>
  <si>
    <t>Water Risk Exposure (Adjusted)</t>
  </si>
  <si>
    <t>Treated Groundwater availability</t>
  </si>
  <si>
    <t>Groundwater (R/yr)</t>
  </si>
  <si>
    <t>Municipal water (R/yr)</t>
  </si>
  <si>
    <t>Rainwater (R/yr)</t>
  </si>
  <si>
    <t>BaU Demand</t>
  </si>
  <si>
    <t>Recovered water (R/yr)</t>
  </si>
  <si>
    <t>Savings (kl/yr)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</si>
</sst>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4">
    <numFmt numFmtId="8" formatCode="&quot;R&quot;#,##0.00;[Red]\-&quot;R&quot;#,##0.00"/>
    <numFmt numFmtId="41" formatCode="_-* #,##0_-;\-* #,##0_-;_-* &quot;-&quot;_-;_-@_-"/>
    <numFmt numFmtId="43" formatCode="_-* #,##0.00_-;\-* #,##0.00_-;_-* &quot;-&quot;??_-;_-@_-"/>
    <numFmt numFmtId="164" formatCode="_(* #,##0.00_);_(* \(#,##0.00\);_(* &quot;-&quot;??_);_(@_)"/>
    <numFmt numFmtId="165" formatCode="_-&quot;$&quot;* #,##0_-;\-&quot;$&quot;* #,##0_-;_-&quot;$&quot;* &quot;-&quot;_-;_-@_-"/>
    <numFmt numFmtId="166" formatCode="_-&quot;$&quot;* #,##0.00_-;\-&quot;$&quot;* #,##0.00_-;_-&quot;$&quot;* &quot;-&quot;??_-;_-@_-"/>
    <numFmt numFmtId="167" formatCode="_(* #,##0_);_(* \(#,##0\);_(* &quot;-&quot;??_);_(@_)"/>
    <numFmt numFmtId="168" formatCode="_(* #,##0.00000000_);_(* \(#,##0.00000000\);_(* &quot;-&quot;??_);_(@_)"/>
    <numFmt numFmtId="169" formatCode="#,##0_-;\ \(#,##0\);_-* &quot;-&quot;??;_-@_-"/>
    <numFmt numFmtId="170" formatCode="&quot;Warning&quot;;&quot;Warning&quot;;&quot;OK&quot;"/>
    <numFmt numFmtId="171" formatCode="0\ &quot;Qtr(s)&quot;"/>
    <numFmt numFmtId="172" formatCode="_(* #,##0.00%_);_(* \(#,##0.00%\);_(* &quot;-&quot;??_);_(@_)"/>
    <numFmt numFmtId="173" formatCode="&quot;Yes&quot;;&quot;Yes&quot;;&quot;No&quot;"/>
    <numFmt numFmtId="174" formatCode="0.00\ &quot;x&quot;;;_(* &quot;-&quot;??_)"/>
    <numFmt numFmtId="175" formatCode="&quot;Qtr&quot;\ 0"/>
    <numFmt numFmtId="176" formatCode="_(* #,##0%_);_(* \(#,##0%\);_(* &quot;-&quot;??_);_(@_)"/>
    <numFmt numFmtId="177" formatCode="_ * #,##0.00_ ;_ * \-#,##0.00_ ;_ * &quot;-&quot;??_ ;_ @_ "/>
    <numFmt numFmtId="178" formatCode="0\ &quot;Yr(s)&quot;"/>
    <numFmt numFmtId="179" formatCode="0&quot;+&quot;"/>
    <numFmt numFmtId="180" formatCode="#,##0.0"/>
    <numFmt numFmtId="181" formatCode="_ &quot;R&quot;\ * #,##0.00_ ;_ &quot;R&quot;\ * \-#,##0.00_ ;_ &quot;R&quot;\ * &quot;-&quot;??_ ;_ @_ "/>
    <numFmt numFmtId="182" formatCode="&quot;$&quot;#,##0_);\(&quot;$&quot;#,##0\)"/>
    <numFmt numFmtId="183" formatCode="_ * #,##0_ ;_ * \-#,##0_ ;_ * &quot;-&quot;??_ ;_ @_ "/>
    <numFmt numFmtId="184" formatCode="#,##0.000"/>
    <numFmt numFmtId="185" formatCode="0.0%"/>
    <numFmt numFmtId="186" formatCode="[$€-2]\ #,##0"/>
    <numFmt numFmtId="187" formatCode="_([$€-2]* #,##0.00_);_([$€-2]* \(#,##0.00\);_([$€-2]* &quot;-&quot;??_)"/>
    <numFmt numFmtId="188" formatCode="#,##0.0;\(###0.0\)"/>
    <numFmt numFmtId="189" formatCode="#,##0.000000_);\(#,##0.000000\)"/>
    <numFmt numFmtId="190" formatCode="0.0000_);\(0.0000\)"/>
    <numFmt numFmtId="191" formatCode="0.00000_);\(0.00000\)"/>
    <numFmt numFmtId="192" formatCode="#,##0.0000"/>
    <numFmt numFmtId="193" formatCode="_(* #,##0.000_);_(* \(#,##0.000\);_(* &quot;-&quot;??_);_(@_)"/>
    <numFmt numFmtId="194" formatCode="_-* #,##0.00\ _€_-;\-* #,##0.00\ _€_-;_-* &quot;-&quot;??\ _€_-;_-@_-"/>
    <numFmt numFmtId="195" formatCode="#,##0;&quot;\&quot;&quot;\&quot;&quot;\&quot;&quot;\&quot;\(#,##0&quot;\&quot;&quot;\&quot;&quot;\&quot;&quot;\&quot;\)"/>
    <numFmt numFmtId="196" formatCode="&quot;\&quot;&quot;\&quot;&quot;\&quot;&quot;\&quot;\$#,##0.00;&quot;\&quot;&quot;\&quot;&quot;\&quot;&quot;\&quot;\(&quot;\&quot;&quot;\&quot;&quot;\&quot;&quot;\&quot;\$#,##0.00&quot;\&quot;&quot;\&quot;&quot;\&quot;&quot;\&quot;\)"/>
    <numFmt numFmtId="197" formatCode="&quot;\&quot;&quot;\&quot;&quot;\&quot;&quot;\&quot;\$#,##0;&quot;\&quot;&quot;\&quot;&quot;\&quot;&quot;\&quot;\(&quot;\&quot;&quot;\&quot;&quot;\&quot;&quot;\&quot;\$#,##0&quot;\&quot;&quot;\&quot;&quot;\&quot;&quot;\&quot;\)"/>
    <numFmt numFmtId="198" formatCode="_-* #,##0.00\ &quot;€&quot;_-;\-* #,##0.00\ &quot;€&quot;_-;_-* &quot;-&quot;??\ &quot;€&quot;_-;_-@_-"/>
    <numFmt numFmtId="199" formatCode="#,##0;\(#,##0\)"/>
    <numFmt numFmtId="200" formatCode="#,##0_);\(#,##0\);"/>
    <numFmt numFmtId="201" formatCode="#,##0.0_);\(#,##0.0\);"/>
    <numFmt numFmtId="202" formatCode="#,##0.00_);\(#,##0.00\);"/>
    <numFmt numFmtId="203" formatCode="_(&quot;R$ &quot;* #,##0_);_(&quot;R$ &quot;* \(#,##0\);_(&quot;R$ &quot;* &quot;-&quot;_);_(@_)"/>
    <numFmt numFmtId="204" formatCode="_(&quot;R$ &quot;* #,##0.00_);_(&quot;R$ &quot;* \(#,##0.00\);_(&quot;R$ &quot;* &quot;-&quot;??_);_(@_)"/>
    <numFmt numFmtId="205" formatCode="_-&quot;£&quot;* #,##0_-;\-&quot;£&quot;* #,##0_-;_-&quot;£&quot;* &quot;-&quot;_-;_-@_-"/>
    <numFmt numFmtId="206" formatCode="0.000000%"/>
    <numFmt numFmtId="207" formatCode="#,##0\ &quot;kr&quot;_);[Red]\(#,##0\ &quot;kr&quot;\)"/>
    <numFmt numFmtId="208" formatCode="#,##0.00\ &quot;kr&quot;_);[Red]\(#,##0.00\ &quot;kr&quot;\)"/>
    <numFmt numFmtId="209" formatCode="0.000%"/>
    <numFmt numFmtId="210" formatCode="#,##0_ ;[Red]\-#,##0\ "/>
    <numFmt numFmtId="211" formatCode="mm/dd/yyyy"/>
    <numFmt numFmtId="212" formatCode="\+\ #,##0.0_);\-\ #,##0.0_)"/>
    <numFmt numFmtId="213" formatCode="0%;\(0%\);\-"/>
    <numFmt numFmtId="214" formatCode="#,##0&quot;F&quot;_);[Red]\(#,##0&quot;F&quot;\)"/>
    <numFmt numFmtId="215" formatCode="_-* #,##0\ &quot;Sk&quot;_-;\-* #,##0\ &quot;Sk&quot;_-;_-* &quot;-&quot;\ &quot;Sk&quot;_-;_-@_-"/>
    <numFmt numFmtId="216" formatCode="_-* #,##0\ _S_k_-;\-* #,##0\ _S_k_-;_-* &quot;-&quot;\ _S_k_-;_-@_-"/>
    <numFmt numFmtId="217" formatCode="_-* #,##0\ _D_M_-;\-* #,##0\ _D_M_-;_-* &quot;-&quot;\ _D_M_-;_-@_-"/>
    <numFmt numFmtId="218" formatCode="mm/yyyy"/>
    <numFmt numFmtId="219" formatCode="&quot;L.&quot;\ #,##0.00;[Red]\-&quot;L.&quot;\ #,##0.00"/>
    <numFmt numFmtId="220" formatCode="#,##0;[Red]&quot;-&quot;#,##0"/>
    <numFmt numFmtId="221" formatCode="#,##0.00;[Red]&quot;-&quot;#,##0.00"/>
    <numFmt numFmtId="222" formatCode="[$-409]mmm\-yy;@"/>
    <numFmt numFmtId="223" formatCode="&quot;R&quot;\ #,##0"/>
    <numFmt numFmtId="224" formatCode="_-* #,##0_-;\-* #,##0_-;_-* &quot;-&quot;??_-;_-@_-"/>
  </numFmts>
  <fonts count="20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8"/>
      <name val="Arial"/>
      <family val="2"/>
    </font>
    <font>
      <sz val="10"/>
      <color indexed="23"/>
      <name val="Arial"/>
      <family val="2"/>
    </font>
    <font>
      <sz val="10"/>
      <color indexed="8"/>
      <name val="Arial"/>
      <family val="2"/>
    </font>
    <font>
      <sz val="10"/>
      <color theme="0"/>
      <name val="Arial"/>
      <family val="2"/>
    </font>
    <font>
      <b/>
      <sz val="18"/>
      <color theme="3"/>
      <name val="Cambria"/>
      <family val="2"/>
      <scheme val="major"/>
    </font>
    <font>
      <b/>
      <sz val="15"/>
      <color theme="3"/>
      <name val="Tahoma"/>
      <family val="2"/>
    </font>
    <font>
      <b/>
      <sz val="13"/>
      <color theme="3"/>
      <name val="Tahoma"/>
      <family val="2"/>
    </font>
    <font>
      <b/>
      <sz val="11"/>
      <color theme="3"/>
      <name val="Tahoma"/>
      <family val="2"/>
    </font>
    <font>
      <sz val="8"/>
      <color rgb="FF006100"/>
      <name val="Tahoma"/>
      <family val="2"/>
    </font>
    <font>
      <sz val="8"/>
      <color rgb="FF9C0006"/>
      <name val="Tahoma"/>
      <family val="2"/>
    </font>
    <font>
      <sz val="8"/>
      <color rgb="FF9C6500"/>
      <name val="Tahoma"/>
      <family val="2"/>
    </font>
    <font>
      <b/>
      <sz val="8"/>
      <color rgb="FF3F3F3F"/>
      <name val="Tahoma"/>
      <family val="2"/>
    </font>
    <font>
      <b/>
      <sz val="8"/>
      <color rgb="FFFA7D00"/>
      <name val="Tahoma"/>
      <family val="2"/>
    </font>
    <font>
      <sz val="8"/>
      <color rgb="FFFA7D00"/>
      <name val="Tahoma"/>
      <family val="2"/>
    </font>
    <font>
      <b/>
      <sz val="8"/>
      <color theme="0"/>
      <name val="Tahoma"/>
      <family val="2"/>
    </font>
    <font>
      <sz val="8"/>
      <color rgb="FFFF0000"/>
      <name val="Tahoma"/>
      <family val="2"/>
    </font>
    <font>
      <i/>
      <sz val="8"/>
      <color rgb="FF7F7F7F"/>
      <name val="Tahoma"/>
      <family val="2"/>
    </font>
    <font>
      <b/>
      <sz val="8"/>
      <color theme="1"/>
      <name val="Tahoma"/>
      <family val="2"/>
    </font>
    <font>
      <sz val="8"/>
      <color theme="0"/>
      <name val="Tahoma"/>
      <family val="2"/>
    </font>
    <font>
      <sz val="8"/>
      <color theme="1"/>
      <name val="Tahoma"/>
      <family val="2"/>
    </font>
    <font>
      <b/>
      <sz val="18"/>
      <color theme="0"/>
      <name val="Arial"/>
      <family val="2"/>
    </font>
    <font>
      <sz val="10"/>
      <name val="Arial"/>
      <family val="2"/>
    </font>
    <font>
      <sz val="18"/>
      <color rgb="FF58595B"/>
      <name val="Arial"/>
      <family val="2"/>
    </font>
    <font>
      <b/>
      <sz val="11"/>
      <name val="Arial"/>
      <family val="2"/>
    </font>
    <font>
      <sz val="10"/>
      <color theme="0" tint="-0.499984740745262"/>
      <name val="Arial"/>
      <family val="2"/>
    </font>
    <font>
      <sz val="10"/>
      <name val="Arial"/>
      <family val="2"/>
    </font>
    <font>
      <u/>
      <sz val="10"/>
      <color theme="10"/>
      <name val="Arial"/>
      <family val="2"/>
    </font>
    <font>
      <sz val="11"/>
      <color theme="1"/>
      <name val="Arial"/>
      <family val="2"/>
    </font>
    <font>
      <b/>
      <sz val="11"/>
      <color theme="1"/>
      <name val="Arial"/>
      <family val="2"/>
    </font>
    <font>
      <sz val="11"/>
      <color theme="0" tint="-0.34998626667073579"/>
      <name val="Arial"/>
      <family val="2"/>
    </font>
    <font>
      <i/>
      <sz val="11"/>
      <color rgb="FF586577"/>
      <name val="Arial"/>
      <family val="2"/>
    </font>
    <font>
      <sz val="11"/>
      <color rgb="FF586577"/>
      <name val="Arial"/>
      <family val="2"/>
    </font>
    <font>
      <sz val="10"/>
      <color theme="3"/>
      <name val="Arial"/>
      <family val="2"/>
    </font>
    <font>
      <i/>
      <sz val="10"/>
      <color theme="0" tint="-0.34998626667073579"/>
      <name val="Arial"/>
      <family val="2"/>
    </font>
    <font>
      <sz val="10"/>
      <color theme="9" tint="-0.499984740745262"/>
      <name val="Arial"/>
      <family val="2"/>
    </font>
    <font>
      <sz val="10"/>
      <color theme="1" tint="0.34998626667073579"/>
      <name val="Arial"/>
      <family val="2"/>
    </font>
    <font>
      <i/>
      <sz val="10"/>
      <color rgb="FFED1C24"/>
      <name val="Arial"/>
      <family val="2"/>
    </font>
    <font>
      <u/>
      <sz val="10"/>
      <color theme="10"/>
      <name val="Arial"/>
      <family val="2"/>
    </font>
    <font>
      <b/>
      <sz val="10"/>
      <name val="Arial"/>
      <family val="2"/>
    </font>
    <font>
      <sz val="10"/>
      <name val="Calibri"/>
      <family val="1"/>
      <scheme val="minor"/>
    </font>
    <font>
      <b/>
      <sz val="12"/>
      <color rgb="FF0070C0"/>
      <name val="Arial"/>
      <family val="2"/>
    </font>
    <font>
      <b/>
      <sz val="14"/>
      <color rgb="FF0070C0"/>
      <name val="Arial"/>
      <family val="2"/>
    </font>
    <font>
      <u/>
      <sz val="10"/>
      <name val="Arial"/>
      <family val="2"/>
    </font>
    <font>
      <b/>
      <sz val="12"/>
      <name val="Arial"/>
      <family val="2"/>
    </font>
    <font>
      <sz val="11"/>
      <color rgb="FF3F3F76"/>
      <name val="Calibri"/>
      <family val="2"/>
      <scheme val="minor"/>
    </font>
    <font>
      <sz val="11"/>
      <color theme="1"/>
      <name val="Calibri"/>
      <family val="2"/>
      <scheme val="minor"/>
    </font>
    <font>
      <sz val="10"/>
      <color theme="1"/>
      <name val="Tahoma"/>
      <family val="2"/>
    </font>
    <font>
      <sz val="18"/>
      <color rgb="FF59595B"/>
      <name val="Arial"/>
      <family val="2"/>
    </font>
    <font>
      <sz val="11"/>
      <name val="Arial"/>
      <family val="2"/>
    </font>
    <font>
      <b/>
      <sz val="11"/>
      <color theme="1"/>
      <name val="Calibri"/>
      <family val="2"/>
      <scheme val="minor"/>
    </font>
    <font>
      <b/>
      <sz val="1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color indexed="8"/>
      <name val="Helvetica Neue"/>
    </font>
    <font>
      <sz val="11"/>
      <color rgb="FF9C6500"/>
      <name val="Calibri"/>
      <family val="2"/>
      <scheme val="minor"/>
    </font>
    <font>
      <sz val="11"/>
      <color indexed="8"/>
      <name val="Calibri"/>
      <family val="2"/>
    </font>
    <font>
      <sz val="11"/>
      <color rgb="FF000000"/>
      <name val="Calibri"/>
      <family val="2"/>
      <scheme val="minor"/>
    </font>
    <font>
      <sz val="11"/>
      <name val="Calibri"/>
      <family val="2"/>
    </font>
    <font>
      <b/>
      <sz val="10"/>
      <color indexed="8"/>
      <name val="Arial"/>
      <family val="2"/>
    </font>
    <font>
      <b/>
      <sz val="10"/>
      <color theme="1"/>
      <name val="Arial"/>
      <family val="2"/>
    </font>
    <font>
      <sz val="10"/>
      <color rgb="FFFF0000"/>
      <name val="Arial"/>
      <family val="2"/>
    </font>
    <font>
      <sz val="10"/>
      <name val="Geneva"/>
      <family val="2"/>
    </font>
    <font>
      <sz val="10"/>
      <name val="Helv"/>
      <charset val="204"/>
    </font>
    <font>
      <sz val="10"/>
      <name val="Geneva"/>
    </font>
    <font>
      <sz val="10"/>
      <color theme="1"/>
      <name val="Calibri"/>
      <family val="2"/>
      <scheme val="minor"/>
    </font>
    <font>
      <sz val="8"/>
      <color theme="1"/>
      <name val="Arial"/>
      <family val="2"/>
    </font>
    <font>
      <sz val="10"/>
      <color theme="0"/>
      <name val="Calibri"/>
      <family val="2"/>
      <scheme val="minor"/>
    </font>
    <font>
      <sz val="8"/>
      <color theme="0"/>
      <name val="Arial"/>
      <family val="2"/>
    </font>
    <font>
      <sz val="11"/>
      <color indexed="9"/>
      <name val="Calibri"/>
      <family val="2"/>
    </font>
    <font>
      <b/>
      <sz val="14"/>
      <name val="Arial"/>
      <family val="2"/>
      <charset val="134"/>
    </font>
    <font>
      <sz val="10"/>
      <color rgb="FF9C0006"/>
      <name val="Calibri"/>
      <family val="2"/>
      <scheme val="minor"/>
    </font>
    <font>
      <sz val="10"/>
      <color rgb="FF9C0006"/>
      <name val="Arial"/>
      <family val="2"/>
    </font>
    <font>
      <sz val="8"/>
      <color rgb="FF9C0006"/>
      <name val="Arial"/>
      <family val="2"/>
    </font>
    <font>
      <sz val="12"/>
      <name val="Tms Rmn"/>
    </font>
    <font>
      <sz val="11"/>
      <color indexed="17"/>
      <name val="Calibri"/>
      <family val="2"/>
    </font>
    <font>
      <b/>
      <sz val="10"/>
      <name val="MS Sans Serif"/>
      <family val="2"/>
    </font>
    <font>
      <b/>
      <sz val="10"/>
      <color rgb="FFFA7D00"/>
      <name val="Calibri"/>
      <family val="2"/>
      <scheme val="minor"/>
    </font>
    <font>
      <b/>
      <sz val="10"/>
      <color rgb="FFFA7D00"/>
      <name val="Arial"/>
      <family val="2"/>
    </font>
    <font>
      <b/>
      <sz val="8"/>
      <color rgb="FFFA7D00"/>
      <name val="Arial"/>
      <family val="2"/>
    </font>
    <font>
      <b/>
      <sz val="11"/>
      <color indexed="52"/>
      <name val="Calibri"/>
      <family val="2"/>
    </font>
    <font>
      <sz val="8"/>
      <name val="Arial Narrow"/>
      <family val="2"/>
    </font>
    <font>
      <b/>
      <sz val="11"/>
      <color indexed="9"/>
      <name val="Calibri"/>
      <family val="2"/>
    </font>
    <font>
      <sz val="11"/>
      <color indexed="52"/>
      <name val="Calibri"/>
      <family val="2"/>
    </font>
    <font>
      <sz val="10"/>
      <name val="Times New Roman"/>
      <family val="1"/>
    </font>
    <font>
      <b/>
      <sz val="10"/>
      <color theme="0"/>
      <name val="Calibri"/>
      <family val="2"/>
      <scheme val="minor"/>
    </font>
    <font>
      <b/>
      <sz val="10"/>
      <color theme="0"/>
      <name val="Arial"/>
      <family val="2"/>
    </font>
    <font>
      <b/>
      <sz val="8"/>
      <color theme="0"/>
      <name val="Arial"/>
      <family val="2"/>
    </font>
    <font>
      <sz val="10"/>
      <name val="Courier New"/>
      <family val="3"/>
    </font>
    <font>
      <b/>
      <sz val="10"/>
      <color indexed="18"/>
      <name val="MS Sans Serif"/>
      <family val="2"/>
    </font>
    <font>
      <b/>
      <sz val="8"/>
      <name val="Arial"/>
      <family val="2"/>
    </font>
    <font>
      <sz val="12"/>
      <name val="Tms Rmn"/>
      <family val="1"/>
    </font>
    <font>
      <sz val="8"/>
      <color indexed="8"/>
      <name val="Calibri"/>
      <family val="2"/>
    </font>
    <font>
      <sz val="12"/>
      <name val="Arial"/>
      <family val="2"/>
    </font>
    <font>
      <sz val="8"/>
      <color theme="1"/>
      <name val="Calibri"/>
      <family val="2"/>
      <scheme val="minor"/>
    </font>
    <font>
      <sz val="12"/>
      <name val="TimesNewRomanPS"/>
    </font>
    <font>
      <sz val="10"/>
      <name val="Courier"/>
      <family val="3"/>
    </font>
    <font>
      <sz val="24"/>
      <color indexed="13"/>
      <name val="SWISS"/>
    </font>
    <font>
      <sz val="11"/>
      <color indexed="62"/>
      <name val="Calibri"/>
      <family val="2"/>
    </font>
    <font>
      <i/>
      <sz val="10"/>
      <color rgb="FF7F7F7F"/>
      <name val="Calibri"/>
      <family val="2"/>
      <scheme val="minor"/>
    </font>
    <font>
      <i/>
      <sz val="10"/>
      <color rgb="FF7F7F7F"/>
      <name val="Arial"/>
      <family val="2"/>
    </font>
    <font>
      <i/>
      <sz val="8"/>
      <color rgb="FF7F7F7F"/>
      <name val="Arial"/>
      <family val="2"/>
    </font>
    <font>
      <b/>
      <sz val="14"/>
      <name val="SWISS"/>
    </font>
    <font>
      <sz val="10"/>
      <color rgb="FF006100"/>
      <name val="Calibri"/>
      <family val="2"/>
      <scheme val="minor"/>
    </font>
    <font>
      <sz val="10"/>
      <color rgb="FF006100"/>
      <name val="Arial"/>
      <family val="2"/>
    </font>
    <font>
      <sz val="8"/>
      <color rgb="FF006100"/>
      <name val="Arial"/>
      <family val="2"/>
    </font>
    <font>
      <b/>
      <sz val="14"/>
      <name val="Arial"/>
      <family val="2"/>
    </font>
    <font>
      <b/>
      <sz val="15"/>
      <color indexed="56"/>
      <name val="Calibri"/>
      <family val="2"/>
    </font>
    <font>
      <b/>
      <sz val="15"/>
      <color theme="3"/>
      <name val="Arial"/>
      <family val="2"/>
    </font>
    <font>
      <b/>
      <sz val="13"/>
      <color indexed="56"/>
      <name val="Calibri"/>
      <family val="2"/>
    </font>
    <font>
      <b/>
      <sz val="13"/>
      <color theme="3"/>
      <name val="Arial"/>
      <family val="2"/>
    </font>
    <font>
      <b/>
      <sz val="11"/>
      <color indexed="56"/>
      <name val="Calibri"/>
      <family val="2"/>
    </font>
    <font>
      <b/>
      <sz val="11"/>
      <color theme="3"/>
      <name val="Arial"/>
      <family val="2"/>
    </font>
    <font>
      <sz val="10"/>
      <name val="Futura Book"/>
    </font>
    <font>
      <u/>
      <sz val="12.4"/>
      <color indexed="12"/>
      <name val="Arial"/>
      <family val="2"/>
    </font>
    <font>
      <sz val="11"/>
      <color indexed="20"/>
      <name val="Calibri"/>
      <family val="2"/>
    </font>
    <font>
      <sz val="10"/>
      <color indexed="24"/>
      <name val="Arial"/>
      <family val="2"/>
    </font>
    <font>
      <sz val="10"/>
      <color rgb="FF3F3F76"/>
      <name val="Calibri"/>
      <family val="2"/>
      <scheme val="minor"/>
    </font>
    <font>
      <sz val="10"/>
      <color rgb="FF3F3F76"/>
      <name val="Arial"/>
      <family val="2"/>
    </font>
    <font>
      <sz val="8"/>
      <color rgb="FF3F3F76"/>
      <name val="Arial"/>
      <family val="2"/>
    </font>
    <font>
      <sz val="18"/>
      <name val="Times New Roman"/>
      <family val="1"/>
    </font>
    <font>
      <b/>
      <sz val="13"/>
      <name val="Times New Roman"/>
      <family val="1"/>
    </font>
    <font>
      <b/>
      <i/>
      <sz val="12"/>
      <name val="Times New Roman"/>
      <family val="1"/>
    </font>
    <font>
      <i/>
      <sz val="12"/>
      <name val="Times New Roman"/>
      <family val="1"/>
    </font>
    <font>
      <sz val="11"/>
      <name val="Times New Roman"/>
      <family val="1"/>
    </font>
    <font>
      <sz val="10"/>
      <color rgb="FFFA7D00"/>
      <name val="Calibri"/>
      <family val="2"/>
      <scheme val="minor"/>
    </font>
    <font>
      <sz val="10"/>
      <color rgb="FFFA7D00"/>
      <name val="Arial"/>
      <family val="2"/>
    </font>
    <font>
      <sz val="8"/>
      <color rgb="FFFA7D00"/>
      <name val="Arial"/>
      <family val="2"/>
    </font>
    <font>
      <sz val="10"/>
      <name val="Arial CE"/>
      <charset val="238"/>
    </font>
    <font>
      <sz val="10"/>
      <name val="Arial CE"/>
      <family val="2"/>
      <charset val="238"/>
    </font>
    <font>
      <sz val="10"/>
      <name val="Helv"/>
    </font>
    <font>
      <sz val="11"/>
      <color indexed="60"/>
      <name val="Calibri"/>
      <family val="2"/>
    </font>
    <font>
      <sz val="10"/>
      <color rgb="FF9C6500"/>
      <name val="Calibri"/>
      <family val="2"/>
      <scheme val="minor"/>
    </font>
    <font>
      <sz val="10"/>
      <color rgb="FF9C6500"/>
      <name val="Arial"/>
      <family val="2"/>
    </font>
    <font>
      <sz val="8"/>
      <color rgb="FF9C6500"/>
      <name val="Arial"/>
      <family val="2"/>
    </font>
    <font>
      <sz val="7"/>
      <name val="Small Fonts"/>
      <family val="2"/>
    </font>
    <font>
      <sz val="10"/>
      <name val="Century Schoolbook"/>
      <family val="1"/>
    </font>
    <font>
      <sz val="10"/>
      <name val="MS Sans Serif"/>
      <family val="2"/>
    </font>
    <font>
      <sz val="11"/>
      <color theme="1"/>
      <name val="Times New Roman"/>
      <family val="2"/>
    </font>
    <font>
      <sz val="12"/>
      <name val="Helv"/>
    </font>
    <font>
      <b/>
      <sz val="10"/>
      <color rgb="FF3F3F3F"/>
      <name val="Calibri"/>
      <family val="2"/>
      <scheme val="minor"/>
    </font>
    <font>
      <b/>
      <sz val="10"/>
      <color rgb="FF3F3F3F"/>
      <name val="Arial"/>
      <family val="2"/>
    </font>
    <font>
      <b/>
      <sz val="8"/>
      <color rgb="FF3F3F3F"/>
      <name val="Arial"/>
      <family val="2"/>
    </font>
    <font>
      <sz val="7"/>
      <name val="Arial"/>
      <family val="2"/>
    </font>
    <font>
      <sz val="11"/>
      <color theme="1"/>
      <name val="Comic Sans MS"/>
      <family val="2"/>
    </font>
    <font>
      <b/>
      <sz val="11"/>
      <color indexed="63"/>
      <name val="Calibri"/>
      <family val="2"/>
    </font>
    <font>
      <b/>
      <sz val="12"/>
      <color indexed="8"/>
      <name val="Arial"/>
      <family val="2"/>
    </font>
    <font>
      <b/>
      <sz val="10"/>
      <color indexed="39"/>
      <name val="Arial"/>
      <family val="2"/>
    </font>
    <font>
      <b/>
      <sz val="14"/>
      <color indexed="8"/>
      <name val="Arial"/>
      <family val="2"/>
    </font>
    <font>
      <sz val="10"/>
      <color indexed="39"/>
      <name val="Arial"/>
      <family val="2"/>
    </font>
    <font>
      <sz val="19"/>
      <color indexed="48"/>
      <name val="Arial"/>
      <family val="2"/>
    </font>
    <font>
      <sz val="10"/>
      <color indexed="10"/>
      <name val="Arial"/>
      <family val="2"/>
    </font>
    <font>
      <sz val="11"/>
      <color indexed="10"/>
      <name val="Calibri"/>
      <family val="2"/>
    </font>
    <font>
      <i/>
      <sz val="11"/>
      <color indexed="23"/>
      <name val="Calibri"/>
      <family val="2"/>
    </font>
    <font>
      <b/>
      <sz val="16"/>
      <color indexed="9"/>
      <name val="Arial"/>
      <family val="2"/>
    </font>
    <font>
      <b/>
      <sz val="18"/>
      <color indexed="56"/>
      <name val="Cambria"/>
      <family val="2"/>
    </font>
    <font>
      <b/>
      <sz val="10"/>
      <color theme="1"/>
      <name val="Calibri"/>
      <family val="2"/>
      <scheme val="minor"/>
    </font>
    <font>
      <b/>
      <sz val="8"/>
      <color theme="1"/>
      <name val="Arial"/>
      <family val="2"/>
    </font>
    <font>
      <sz val="10"/>
      <color rgb="FFFF0000"/>
      <name val="Calibri"/>
      <family val="2"/>
      <scheme val="minor"/>
    </font>
    <font>
      <sz val="8"/>
      <color rgb="FFFF0000"/>
      <name val="Arial"/>
      <family val="2"/>
    </font>
    <font>
      <sz val="12"/>
      <name val="뼻뮝"/>
      <family val="1"/>
      <charset val="129"/>
    </font>
    <font>
      <sz val="12"/>
      <name val="바탕체"/>
      <family val="1"/>
      <charset val="129"/>
    </font>
    <font>
      <sz val="9"/>
      <name val="Arial"/>
      <family val="2"/>
    </font>
    <font>
      <sz val="11"/>
      <name val="ＭＳ Ｐゴシック"/>
      <family val="2"/>
      <charset val="128"/>
    </font>
    <font>
      <sz val="11"/>
      <color theme="0"/>
      <name val="Times New Roman"/>
      <family val="2"/>
    </font>
    <font>
      <sz val="11"/>
      <color rgb="FF9C0006"/>
      <name val="Times New Roman"/>
      <family val="2"/>
    </font>
    <font>
      <b/>
      <sz val="11"/>
      <color rgb="FFFA7D00"/>
      <name val="Times New Roman"/>
      <family val="2"/>
    </font>
    <font>
      <b/>
      <sz val="11"/>
      <color theme="0"/>
      <name val="Times New Roman"/>
      <family val="2"/>
    </font>
    <font>
      <i/>
      <sz val="11"/>
      <color rgb="FF7F7F7F"/>
      <name val="Times New Roman"/>
      <family val="2"/>
    </font>
    <font>
      <sz val="11"/>
      <color rgb="FF006100"/>
      <name val="Times New Roman"/>
      <family val="2"/>
    </font>
    <font>
      <b/>
      <sz val="15"/>
      <color theme="3"/>
      <name val="Times New Roman"/>
      <family val="2"/>
    </font>
    <font>
      <b/>
      <sz val="13"/>
      <color theme="3"/>
      <name val="Times New Roman"/>
      <family val="2"/>
    </font>
    <font>
      <b/>
      <sz val="11"/>
      <color theme="3"/>
      <name val="Times New Roman"/>
      <family val="2"/>
    </font>
    <font>
      <sz val="11"/>
      <color rgb="FF3F3F76"/>
      <name val="Times New Roman"/>
      <family val="2"/>
    </font>
    <font>
      <sz val="11"/>
      <color rgb="FFFA7D00"/>
      <name val="Times New Roman"/>
      <family val="2"/>
    </font>
    <font>
      <sz val="11"/>
      <color rgb="FF9C6500"/>
      <name val="Times New Roman"/>
      <family val="2"/>
    </font>
    <font>
      <b/>
      <sz val="11"/>
      <color rgb="FF3F3F3F"/>
      <name val="Times New Roman"/>
      <family val="2"/>
    </font>
    <font>
      <b/>
      <sz val="11"/>
      <color indexed="8"/>
      <name val="Calibri"/>
      <family val="2"/>
    </font>
    <font>
      <b/>
      <sz val="11"/>
      <color theme="1"/>
      <name val="Times New Roman"/>
      <family val="2"/>
    </font>
    <font>
      <sz val="11"/>
      <color rgb="FFFF0000"/>
      <name val="Times New Roman"/>
      <family val="2"/>
    </font>
    <font>
      <b/>
      <u/>
      <sz val="10"/>
      <name val="Arial"/>
      <family val="2"/>
    </font>
    <font>
      <i/>
      <sz val="10"/>
      <name val="Arial"/>
      <family val="2"/>
    </font>
    <font>
      <b/>
      <sz val="14"/>
      <color rgb="FF155B7F"/>
      <name val="Arial Nova"/>
      <family val="2"/>
    </font>
    <font>
      <sz val="14"/>
      <color rgb="FF155B7F"/>
      <name val="Arial Nova"/>
      <family val="2"/>
    </font>
  </fonts>
  <fills count="96">
    <fill>
      <patternFill patternType="none"/>
    </fill>
    <fill>
      <patternFill patternType="gray125"/>
    </fill>
    <fill>
      <patternFill patternType="lightGray">
        <bgColor indexed="9"/>
      </patternFill>
    </fill>
    <fill>
      <patternFill patternType="solid">
        <fgColor indexed="4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bgColor indexed="64"/>
      </patternFill>
    </fill>
    <fill>
      <patternFill patternType="solid">
        <fgColor rgb="FFFFFFCC"/>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E8ECEE"/>
        <bgColor indexed="64"/>
      </patternFill>
    </fill>
    <fill>
      <patternFill patternType="solid">
        <fgColor rgb="FFEDAA6D"/>
        <bgColor indexed="64"/>
      </patternFill>
    </fill>
    <fill>
      <patternFill patternType="lightUp">
        <fgColor theme="0" tint="-0.24994659260841701"/>
        <bgColor theme="0"/>
      </patternFill>
    </fill>
    <fill>
      <patternFill patternType="solid">
        <fgColor rgb="FF0070C0"/>
        <bgColor indexed="64"/>
      </patternFill>
    </fill>
    <fill>
      <patternFill patternType="solid">
        <fgColor rgb="FFFFCC99"/>
      </patternFill>
    </fill>
    <fill>
      <patternFill patternType="solid">
        <fgColor rgb="FFFFFF00"/>
        <bgColor indexed="64"/>
      </patternFill>
    </fill>
    <fill>
      <patternFill patternType="solid">
        <fgColor rgb="FFED1C24"/>
        <bgColor indexed="64"/>
      </patternFill>
    </fill>
    <fill>
      <patternFill patternType="solid">
        <fgColor theme="9" tint="0.39997558519241921"/>
        <bgColor indexed="64"/>
      </patternFill>
    </fill>
    <fill>
      <patternFill patternType="solid">
        <fgColor indexed="31"/>
      </patternFill>
    </fill>
    <fill>
      <patternFill patternType="solid">
        <fgColor indexed="47"/>
      </patternFill>
    </fill>
    <fill>
      <patternFill patternType="solid">
        <fgColor indexed="45"/>
      </patternFill>
    </fill>
    <fill>
      <patternFill patternType="solid">
        <fgColor indexed="29"/>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12"/>
        <bgColor indexed="12"/>
      </patternFill>
    </fill>
    <fill>
      <patternFill patternType="solid">
        <fgColor indexed="13"/>
        <bgColor indexed="13"/>
      </patternFill>
    </fill>
    <fill>
      <patternFill patternType="solid">
        <fgColor indexed="22"/>
        <bgColor indexed="64"/>
      </patternFill>
    </fill>
    <fill>
      <patternFill patternType="solid">
        <fgColor indexed="26"/>
        <bgColor indexed="64"/>
      </patternFill>
    </fill>
    <fill>
      <patternFill patternType="solid">
        <fgColor indexed="43"/>
        <bgColor indexed="64"/>
      </patternFill>
    </fill>
    <fill>
      <patternFill patternType="solid">
        <fgColor indexed="9"/>
        <bgColor indexed="9"/>
      </patternFill>
    </fill>
    <fill>
      <patternFill patternType="solid">
        <fgColor indexed="26"/>
        <bgColor indexed="43"/>
      </patternFill>
    </fill>
    <fill>
      <patternFill patternType="solid">
        <fgColor indexed="26"/>
        <bgColor indexed="26"/>
      </patternFill>
    </fill>
    <fill>
      <patternFill patternType="solid">
        <fgColor indexed="31"/>
        <bgColor indexed="27"/>
      </patternFill>
    </fill>
    <fill>
      <patternFill patternType="solid">
        <fgColor indexed="50"/>
      </patternFill>
    </fill>
    <fill>
      <patternFill patternType="gray0625">
        <bgColor indexed="9"/>
      </patternFill>
    </fill>
    <fill>
      <patternFill patternType="solid">
        <fgColor indexed="44"/>
        <bgColor indexed="31"/>
      </patternFill>
    </fill>
    <fill>
      <patternFill patternType="solid">
        <fgColor indexed="54"/>
        <bgColor indexed="64"/>
      </patternFill>
    </fill>
    <fill>
      <patternFill patternType="solid">
        <fgColor indexed="40"/>
      </patternFill>
    </fill>
    <fill>
      <patternFill patternType="solid">
        <fgColor indexed="22"/>
        <bgColor indexed="27"/>
      </patternFill>
    </fill>
    <fill>
      <patternFill patternType="solid">
        <fgColor indexed="40"/>
        <bgColor indexed="64"/>
      </patternFill>
    </fill>
    <fill>
      <patternFill patternType="solid">
        <fgColor indexed="44"/>
        <bgColor indexed="64"/>
      </patternFill>
    </fill>
    <fill>
      <patternFill patternType="solid">
        <fgColor indexed="41"/>
        <bgColor indexed="64"/>
      </patternFill>
    </fill>
    <fill>
      <patternFill patternType="solid">
        <fgColor indexed="41"/>
      </patternFill>
    </fill>
    <fill>
      <patternFill patternType="solid">
        <fgColor indexed="31"/>
        <bgColor indexed="31"/>
      </patternFill>
    </fill>
    <fill>
      <patternFill patternType="solid">
        <fgColor indexed="24"/>
        <bgColor indexed="64"/>
      </patternFill>
    </fill>
    <fill>
      <patternFill patternType="solid">
        <fgColor theme="0"/>
        <bgColor indexed="64"/>
      </patternFill>
    </fill>
    <fill>
      <patternFill patternType="solid">
        <fgColor theme="5" tint="0.59999389629810485"/>
        <bgColor indexed="64"/>
      </patternFill>
    </fill>
    <fill>
      <patternFill patternType="lightUp">
        <fgColor theme="0" tint="-0.24994659260841701"/>
        <bgColor theme="5" tint="0.59999389629810485"/>
      </patternFill>
    </fill>
    <fill>
      <patternFill patternType="solid">
        <fgColor rgb="FF00B050"/>
        <bgColor indexed="64"/>
      </patternFill>
    </fill>
    <fill>
      <patternFill patternType="solid">
        <fgColor rgb="FFF2F2F2"/>
        <bgColor indexed="64"/>
      </patternFill>
    </fill>
    <fill>
      <patternFill patternType="solid">
        <fgColor rgb="FFFF0000"/>
        <bgColor indexed="64"/>
      </patternFill>
    </fill>
    <fill>
      <patternFill patternType="solid">
        <fgColor rgb="FF92D050"/>
        <bgColor indexed="64"/>
      </patternFill>
    </fill>
  </fills>
  <borders count="62">
    <border>
      <left/>
      <right/>
      <top/>
      <bottom/>
      <diagonal/>
    </border>
    <border>
      <left style="thin">
        <color indexed="64"/>
      </left>
      <right style="thin">
        <color indexed="64"/>
      </right>
      <top style="thin">
        <color indexed="64"/>
      </top>
      <bottom style="thin">
        <color indexed="64"/>
      </bottom>
      <diagonal/>
    </border>
    <border>
      <left style="thin">
        <color indexed="16"/>
      </left>
      <right style="thin">
        <color indexed="16"/>
      </right>
      <top style="thin">
        <color indexed="16"/>
      </top>
      <bottom style="thin">
        <color indexed="16"/>
      </bottom>
      <diagonal/>
    </border>
    <border>
      <left/>
      <right/>
      <top style="thin">
        <color indexed="64"/>
      </top>
      <bottom style="double">
        <color indexed="64"/>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right/>
      <top/>
      <bottom style="medium">
        <color indexed="64"/>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medium">
        <color rgb="FF58595B"/>
      </bottom>
      <diagonal/>
    </border>
    <border>
      <left style="thin">
        <color rgb="FFB2B2B2"/>
      </left>
      <right style="thin">
        <color rgb="FFB2B2B2"/>
      </right>
      <top style="thin">
        <color rgb="FFB2B2B2"/>
      </top>
      <bottom style="thin">
        <color rgb="FFB2B2B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9" tint="-0.499984740745262"/>
      </left>
      <right style="thin">
        <color theme="9" tint="-0.499984740745262"/>
      </right>
      <top style="thin">
        <color theme="9" tint="-0.499984740745262"/>
      </top>
      <bottom style="thin">
        <color theme="9"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auto="1"/>
      </top>
      <bottom style="thin">
        <color auto="1"/>
      </bottom>
      <diagonal/>
    </border>
    <border>
      <left/>
      <right/>
      <top style="thin">
        <color auto="1"/>
      </top>
      <bottom style="double">
        <color auto="1"/>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medium">
        <color rgb="FF59595B"/>
      </bottom>
      <diagonal/>
    </border>
    <border>
      <left/>
      <right/>
      <top style="medium">
        <color indexed="64"/>
      </top>
      <bottom style="medium">
        <color indexed="64"/>
      </bottom>
      <diagonal/>
    </border>
    <border>
      <left style="thin">
        <color indexed="64"/>
      </left>
      <right style="thin">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8"/>
      </left>
      <right style="thin">
        <color indexed="8"/>
      </right>
      <top style="double">
        <color indexed="8"/>
      </top>
      <bottom style="thin">
        <color indexed="8"/>
      </bottom>
      <diagonal/>
    </border>
    <border>
      <left/>
      <right/>
      <top/>
      <bottom style="thick">
        <color indexed="62"/>
      </bottom>
      <diagonal/>
    </border>
    <border>
      <left/>
      <right/>
      <top/>
      <bottom style="thick">
        <color indexed="22"/>
      </bottom>
      <diagonal/>
    </border>
    <border>
      <left/>
      <right/>
      <top/>
      <bottom style="medium">
        <color indexed="30"/>
      </bottom>
      <diagonal/>
    </border>
    <border>
      <left style="dashed">
        <color indexed="28"/>
      </left>
      <right style="dashed">
        <color indexed="28"/>
      </right>
      <top style="dashed">
        <color indexed="28"/>
      </top>
      <bottom style="dashed">
        <color indexed="28"/>
      </bottom>
      <diagonal/>
    </border>
    <border>
      <left style="thin">
        <color indexed="64"/>
      </left>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ck">
        <color indexed="48"/>
      </left>
      <right style="thick">
        <color indexed="48"/>
      </right>
      <top style="thick">
        <color indexed="48"/>
      </top>
      <bottom style="thick">
        <color indexed="48"/>
      </bottom>
      <diagonal/>
    </border>
    <border>
      <left style="thin">
        <color indexed="64"/>
      </left>
      <right/>
      <top/>
      <bottom style="thin">
        <color indexed="64"/>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medium">
        <color indexed="64"/>
      </left>
      <right style="medium">
        <color indexed="64"/>
      </right>
      <top style="thin">
        <color indexed="64"/>
      </top>
      <bottom style="thin">
        <color indexed="64"/>
      </bottom>
      <diagonal/>
    </border>
    <border>
      <left style="thin">
        <color theme="1" tint="0.34998626667073579"/>
      </left>
      <right/>
      <top/>
      <bottom/>
      <diagonal/>
    </border>
    <border>
      <left style="thin">
        <color theme="1" tint="0.34998626667073579"/>
      </left>
      <right style="thin">
        <color theme="1" tint="0.34998626667073579"/>
      </right>
      <top/>
      <bottom style="thin">
        <color theme="1" tint="0.34998626667073579"/>
      </bottom>
      <diagonal/>
    </border>
    <border>
      <left style="thin">
        <color theme="9" tint="-0.499984740745262"/>
      </left>
      <right style="thin">
        <color theme="9" tint="-0.499984740745262"/>
      </right>
      <top/>
      <bottom/>
      <diagonal/>
    </border>
    <border>
      <left style="medium">
        <color rgb="FFFFFFFF"/>
      </left>
      <right style="medium">
        <color rgb="FF89959D"/>
      </right>
      <top style="medium">
        <color rgb="FFFFFFFF"/>
      </top>
      <bottom style="medium">
        <color rgb="FF89959D"/>
      </bottom>
      <diagonal/>
    </border>
    <border>
      <left style="medium">
        <color rgb="FF89959D"/>
      </left>
      <right style="medium">
        <color rgb="FF89959D"/>
      </right>
      <top style="medium">
        <color rgb="FFFFFFFF"/>
      </top>
      <bottom style="medium">
        <color rgb="FF89959D"/>
      </bottom>
      <diagonal/>
    </border>
    <border>
      <left style="medium">
        <color rgb="FF89959D"/>
      </left>
      <right style="medium">
        <color rgb="FFFFFFFF"/>
      </right>
      <top style="medium">
        <color rgb="FFFFFFFF"/>
      </top>
      <bottom style="medium">
        <color rgb="FF89959D"/>
      </bottom>
      <diagonal/>
    </border>
    <border>
      <left style="medium">
        <color rgb="FFFFFFFF"/>
      </left>
      <right style="medium">
        <color rgb="FF89959D"/>
      </right>
      <top style="medium">
        <color rgb="FF89959D"/>
      </top>
      <bottom style="medium">
        <color rgb="FF89959D"/>
      </bottom>
      <diagonal/>
    </border>
    <border>
      <left style="medium">
        <color rgb="FF89959D"/>
      </left>
      <right style="medium">
        <color rgb="FF89959D"/>
      </right>
      <top style="medium">
        <color rgb="FF89959D"/>
      </top>
      <bottom style="medium">
        <color rgb="FF89959D"/>
      </bottom>
      <diagonal/>
    </border>
    <border>
      <left style="medium">
        <color rgb="FF89959D"/>
      </left>
      <right style="medium">
        <color rgb="FFFFFFFF"/>
      </right>
      <top style="medium">
        <color rgb="FF89959D"/>
      </top>
      <bottom style="medium">
        <color rgb="FF89959D"/>
      </bottom>
      <diagonal/>
    </border>
    <border>
      <left style="medium">
        <color rgb="FFFFFFFF"/>
      </left>
      <right style="medium">
        <color rgb="FF89959D"/>
      </right>
      <top style="medium">
        <color rgb="FF89959D"/>
      </top>
      <bottom style="medium">
        <color rgb="FFFFFFFF"/>
      </bottom>
      <diagonal/>
    </border>
    <border>
      <left style="medium">
        <color rgb="FF89959D"/>
      </left>
      <right style="medium">
        <color rgb="FF89959D"/>
      </right>
      <top style="medium">
        <color rgb="FF89959D"/>
      </top>
      <bottom style="medium">
        <color rgb="FFFFFFFF"/>
      </bottom>
      <diagonal/>
    </border>
    <border>
      <left style="medium">
        <color rgb="FF89959D"/>
      </left>
      <right style="medium">
        <color rgb="FFFFFFFF"/>
      </right>
      <top style="medium">
        <color rgb="FF89959D"/>
      </top>
      <bottom style="medium">
        <color rgb="FFFFFFFF"/>
      </bottom>
      <diagonal/>
    </border>
    <border>
      <left style="thin">
        <color theme="9" tint="-0.499984740745262"/>
      </left>
      <right/>
      <top/>
      <bottom/>
      <diagonal/>
    </border>
  </borders>
  <cellStyleXfs count="39593">
    <xf numFmtId="0" fontId="0" fillId="0" borderId="0" applyNumberFormat="0" applyAlignment="0"/>
    <xf numFmtId="170" fontId="44" fillId="0" borderId="8">
      <alignment horizontal="center"/>
    </xf>
    <xf numFmtId="0" fontId="8" fillId="2" borderId="1" applyNumberFormat="0"/>
    <xf numFmtId="169" fontId="10" fillId="40" borderId="19"/>
    <xf numFmtId="0" fontId="32" fillId="0" borderId="0" applyNumberFormat="0" applyFill="0"/>
    <xf numFmtId="0" fontId="51" fillId="0" borderId="0" applyNumberFormat="0" applyFill="0" applyBorder="0" applyAlignment="0"/>
    <xf numFmtId="0" fontId="11" fillId="3" borderId="2" applyAlignment="0">
      <alignment horizontal="left"/>
    </xf>
    <xf numFmtId="0" fontId="8" fillId="0" borderId="1" applyNumberFormat="0"/>
    <xf numFmtId="0" fontId="8" fillId="0" borderId="3" applyNumberFormat="0" applyFont="0" applyFill="0" applyAlignment="0"/>
    <xf numFmtId="171" fontId="8" fillId="35" borderId="1" applyNumberFormat="0" applyAlignment="0">
      <alignment horizontal="right"/>
    </xf>
    <xf numFmtId="0" fontId="7" fillId="0" borderId="4" applyNumberFormat="0" applyFill="0" applyAlignment="0"/>
    <xf numFmtId="0" fontId="43" fillId="36" borderId="20" applyNumberFormat="0"/>
    <xf numFmtId="172" fontId="8" fillId="0" borderId="0" applyFont="0" applyFill="0" applyBorder="0" applyAlignment="0" applyProtection="0"/>
    <xf numFmtId="174" fontId="8" fillId="0" borderId="0" applyFont="0" applyFill="0" applyBorder="0"/>
    <xf numFmtId="0" fontId="12" fillId="37" borderId="1" applyNumberFormat="0">
      <alignment horizontal="centerContinuous" vertical="center" wrapText="1"/>
    </xf>
    <xf numFmtId="0" fontId="13" fillId="0" borderId="0" applyNumberFormat="0" applyFill="0" applyBorder="0" applyAlignment="0" applyProtection="0"/>
    <xf numFmtId="0" fontId="14" fillId="0" borderId="9" applyNumberFormat="0" applyFill="0" applyAlignment="0" applyProtection="0"/>
    <xf numFmtId="0" fontId="15" fillId="0" borderId="10" applyNumberFormat="0" applyFill="0" applyAlignment="0" applyProtection="0"/>
    <xf numFmtId="0" fontId="16" fillId="0" borderId="11" applyNumberFormat="0" applyFill="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5" borderId="0" applyNumberFormat="0" applyBorder="0" applyAlignment="0" applyProtection="0"/>
    <xf numFmtId="0" fontId="19" fillId="6" borderId="0" applyNumberFormat="0" applyBorder="0" applyAlignment="0" applyProtection="0"/>
    <xf numFmtId="0" fontId="20" fillId="7" borderId="12" applyNumberFormat="0" applyAlignment="0" applyProtection="0"/>
    <xf numFmtId="0" fontId="21" fillId="7" borderId="13" applyNumberFormat="0" applyAlignment="0" applyProtection="0"/>
    <xf numFmtId="0" fontId="22" fillId="0" borderId="14" applyNumberFormat="0" applyFill="0" applyAlignment="0" applyProtection="0"/>
    <xf numFmtId="0" fontId="23" fillId="8" borderId="15" applyNumberFormat="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6" fillId="0" borderId="16" applyNumberFormat="0" applyFill="0" applyAlignment="0" applyProtection="0"/>
    <xf numFmtId="0" fontId="27" fillId="9" borderId="0" applyNumberFormat="0" applyBorder="0" applyAlignment="0" applyProtection="0"/>
    <xf numFmtId="0" fontId="28" fillId="10" borderId="0" applyNumberFormat="0" applyBorder="0" applyAlignment="0" applyProtection="0"/>
    <xf numFmtId="0" fontId="28" fillId="11" borderId="0" applyNumberFormat="0" applyBorder="0" applyAlignment="0" applyProtection="0"/>
    <xf numFmtId="0" fontId="27" fillId="12" borderId="0" applyNumberFormat="0" applyBorder="0" applyAlignment="0" applyProtection="0"/>
    <xf numFmtId="0" fontId="27" fillId="13" borderId="0" applyNumberFormat="0" applyBorder="0" applyAlignment="0" applyProtection="0"/>
    <xf numFmtId="0" fontId="28" fillId="14" borderId="0" applyNumberFormat="0" applyBorder="0" applyAlignment="0" applyProtection="0"/>
    <xf numFmtId="0" fontId="28" fillId="15" borderId="0" applyNumberFormat="0" applyBorder="0" applyAlignment="0" applyProtection="0"/>
    <xf numFmtId="0" fontId="27" fillId="16" borderId="0" applyNumberFormat="0" applyBorder="0" applyAlignment="0" applyProtection="0"/>
    <xf numFmtId="0" fontId="27" fillId="17" borderId="0" applyNumberFormat="0" applyBorder="0" applyAlignment="0" applyProtection="0"/>
    <xf numFmtId="0" fontId="28" fillId="18" borderId="0" applyNumberFormat="0" applyBorder="0" applyAlignment="0" applyProtection="0"/>
    <xf numFmtId="0" fontId="28" fillId="19" borderId="0" applyNumberFormat="0" applyBorder="0" applyAlignment="0" applyProtection="0"/>
    <xf numFmtId="0" fontId="27" fillId="20" borderId="0" applyNumberFormat="0" applyBorder="0" applyAlignment="0" applyProtection="0"/>
    <xf numFmtId="0" fontId="27" fillId="21" borderId="0" applyNumberFormat="0" applyBorder="0" applyAlignment="0" applyProtection="0"/>
    <xf numFmtId="0" fontId="28" fillId="22" borderId="0" applyNumberFormat="0" applyBorder="0" applyAlignment="0" applyProtection="0"/>
    <xf numFmtId="0" fontId="28" fillId="23" borderId="0" applyNumberFormat="0" applyBorder="0" applyAlignment="0" applyProtection="0"/>
    <xf numFmtId="0" fontId="27" fillId="24" borderId="0" applyNumberFormat="0" applyBorder="0" applyAlignment="0" applyProtection="0"/>
    <xf numFmtId="0" fontId="27" fillId="25" borderId="0" applyNumberFormat="0" applyBorder="0" applyAlignment="0" applyProtection="0"/>
    <xf numFmtId="0" fontId="28" fillId="26" borderId="0" applyNumberFormat="0" applyBorder="0" applyAlignment="0" applyProtection="0"/>
    <xf numFmtId="0" fontId="28" fillId="27" borderId="0" applyNumberFormat="0" applyBorder="0" applyAlignment="0" applyProtection="0"/>
    <xf numFmtId="0" fontId="27" fillId="28" borderId="0" applyNumberFormat="0" applyBorder="0" applyAlignment="0" applyProtection="0"/>
    <xf numFmtId="0" fontId="27" fillId="29" borderId="0" applyNumberFormat="0" applyBorder="0" applyAlignment="0" applyProtection="0"/>
    <xf numFmtId="0" fontId="28" fillId="30" borderId="0" applyNumberFormat="0" applyBorder="0" applyAlignment="0" applyProtection="0"/>
    <xf numFmtId="0" fontId="28" fillId="31" borderId="0" applyNumberFormat="0" applyBorder="0" applyAlignment="0" applyProtection="0"/>
    <xf numFmtId="0" fontId="27" fillId="32" borderId="0" applyNumberFormat="0" applyBorder="0" applyAlignment="0" applyProtection="0"/>
    <xf numFmtId="0" fontId="31" fillId="0" borderId="17" applyNumberFormat="0" applyAlignment="0"/>
    <xf numFmtId="0" fontId="8" fillId="0" borderId="0" applyNumberFormat="0" applyFill="0" applyBorder="0" applyAlignment="0" applyProtection="0"/>
    <xf numFmtId="167" fontId="8" fillId="0" borderId="0" applyFont="0" applyFill="0" applyBorder="0" applyAlignment="0" applyProtection="0"/>
    <xf numFmtId="164" fontId="8" fillId="0" borderId="0" applyFont="0" applyFill="0" applyBorder="0" applyAlignment="0" applyProtection="0"/>
    <xf numFmtId="0" fontId="41" fillId="33" borderId="8" applyNumberFormat="0"/>
    <xf numFmtId="0" fontId="30" fillId="34" borderId="18" applyNumberFormat="0" applyFont="0" applyAlignment="0" applyProtection="0"/>
    <xf numFmtId="0" fontId="8" fillId="0" borderId="0" applyFont="0" applyFill="0" applyBorder="0" applyAlignment="0" applyProtection="0"/>
    <xf numFmtId="15" fontId="8" fillId="0" borderId="0" applyFont="0" applyFill="0" applyBorder="0" applyAlignment="0" applyProtection="0"/>
    <xf numFmtId="166" fontId="34" fillId="0" borderId="0" applyFont="0" applyFill="0" applyBorder="0" applyAlignment="0" applyProtection="0"/>
    <xf numFmtId="165" fontId="34" fillId="0" borderId="0" applyFont="0" applyFill="0" applyBorder="0" applyAlignment="0" applyProtection="0"/>
    <xf numFmtId="0" fontId="35" fillId="0" borderId="0" applyNumberFormat="0" applyFill="0" applyBorder="0" applyAlignment="0" applyProtection="0"/>
    <xf numFmtId="0" fontId="50" fillId="0" borderId="0" applyNumberFormat="0" applyProtection="0"/>
    <xf numFmtId="0" fontId="42" fillId="0" borderId="0" applyNumberFormat="0"/>
    <xf numFmtId="167" fontId="36" fillId="0" borderId="0" applyFont="0" applyFill="0" applyBorder="0" applyAlignment="0" applyProtection="0"/>
    <xf numFmtId="0" fontId="33" fillId="36" borderId="21" applyNumberFormat="0" applyAlignment="0"/>
    <xf numFmtId="0" fontId="49" fillId="38" borderId="0" applyAlignment="0"/>
    <xf numFmtId="0" fontId="8" fillId="39" borderId="8" applyNumberFormat="0" applyAlignment="0"/>
    <xf numFmtId="0" fontId="29" fillId="41" borderId="0" applyNumberFormat="0" applyAlignment="0"/>
    <xf numFmtId="2" fontId="45" fillId="0" borderId="0" applyNumberFormat="0"/>
    <xf numFmtId="176" fontId="8" fillId="0" borderId="0" applyFont="0" applyFill="0" applyBorder="0" applyAlignment="0" applyProtection="0"/>
    <xf numFmtId="0" fontId="46" fillId="0" borderId="0" applyNumberFormat="0" applyFill="0" applyBorder="0" applyAlignment="0" applyProtection="0"/>
    <xf numFmtId="0" fontId="48" fillId="0" borderId="0"/>
    <xf numFmtId="0" fontId="53" fillId="42" borderId="13" applyNumberFormat="0" applyAlignment="0" applyProtection="0"/>
    <xf numFmtId="0" fontId="54" fillId="0" borderId="0"/>
    <xf numFmtId="0" fontId="55" fillId="0" borderId="0"/>
    <xf numFmtId="177" fontId="55" fillId="0" borderId="0" applyFont="0" applyFill="0" applyBorder="0" applyAlignment="0" applyProtection="0"/>
    <xf numFmtId="177" fontId="54" fillId="0" borderId="0" applyFont="0" applyFill="0" applyBorder="0" applyAlignment="0" applyProtection="0"/>
    <xf numFmtId="9" fontId="54" fillId="0" borderId="0" applyFont="0" applyFill="0" applyBorder="0" applyAlignment="0" applyProtection="0"/>
    <xf numFmtId="0" fontId="6" fillId="0" borderId="0"/>
    <xf numFmtId="0" fontId="5" fillId="0" borderId="0"/>
    <xf numFmtId="9" fontId="5" fillId="0" borderId="0" applyFont="0" applyFill="0" applyBorder="0" applyAlignment="0" applyProtection="0"/>
    <xf numFmtId="0" fontId="2" fillId="0" borderId="0"/>
    <xf numFmtId="0" fontId="72" fillId="0" borderId="0" applyNumberFormat="0" applyFill="0" applyBorder="0" applyProtection="0">
      <alignment vertical="top" wrapText="1"/>
    </xf>
    <xf numFmtId="0" fontId="13" fillId="0" borderId="0" applyNumberFormat="0" applyFill="0" applyBorder="0" applyAlignment="0" applyProtection="0"/>
    <xf numFmtId="0" fontId="60" fillId="0" borderId="9" applyNumberFormat="0" applyFill="0" applyAlignment="0" applyProtection="0"/>
    <xf numFmtId="0" fontId="61" fillId="0" borderId="10" applyNumberFormat="0" applyFill="0" applyAlignment="0" applyProtection="0"/>
    <xf numFmtId="0" fontId="62" fillId="0" borderId="11" applyNumberFormat="0" applyFill="0" applyAlignment="0" applyProtection="0"/>
    <xf numFmtId="0" fontId="62" fillId="0" borderId="0" applyNumberFormat="0" applyFill="0" applyBorder="0" applyAlignment="0" applyProtection="0"/>
    <xf numFmtId="0" fontId="63" fillId="4" borderId="0" applyNumberFormat="0" applyBorder="0" applyAlignment="0" applyProtection="0"/>
    <xf numFmtId="0" fontId="64" fillId="5" borderId="0" applyNumberFormat="0" applyBorder="0" applyAlignment="0" applyProtection="0"/>
    <xf numFmtId="0" fontId="73" fillId="6" borderId="0" applyNumberFormat="0" applyBorder="0" applyAlignment="0" applyProtection="0"/>
    <xf numFmtId="0" fontId="53" fillId="42" borderId="13" applyNumberFormat="0" applyAlignment="0" applyProtection="0"/>
    <xf numFmtId="0" fontId="65" fillId="7" borderId="12" applyNumberFormat="0" applyAlignment="0" applyProtection="0"/>
    <xf numFmtId="0" fontId="66" fillId="7" borderId="13" applyNumberFormat="0" applyAlignment="0" applyProtection="0"/>
    <xf numFmtId="0" fontId="67" fillId="0" borderId="14" applyNumberFormat="0" applyFill="0" applyAlignment="0" applyProtection="0"/>
    <xf numFmtId="0" fontId="68" fillId="8" borderId="15" applyNumberFormat="0" applyAlignment="0" applyProtection="0"/>
    <xf numFmtId="0" fontId="69" fillId="0" borderId="0" applyNumberFormat="0" applyFill="0" applyBorder="0" applyAlignment="0" applyProtection="0"/>
    <xf numFmtId="0" fontId="2" fillId="34" borderId="18" applyNumberFormat="0" applyFont="0" applyAlignment="0" applyProtection="0"/>
    <xf numFmtId="0" fontId="70" fillId="0" borderId="0" applyNumberFormat="0" applyFill="0" applyBorder="0" applyAlignment="0" applyProtection="0"/>
    <xf numFmtId="0" fontId="58" fillId="0" borderId="16" applyNumberFormat="0" applyFill="0" applyAlignment="0" applyProtection="0"/>
    <xf numFmtId="0" fontId="71"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71" fillId="12" borderId="0" applyNumberFormat="0" applyBorder="0" applyAlignment="0" applyProtection="0"/>
    <xf numFmtId="0" fontId="71"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71" fillId="16" borderId="0" applyNumberFormat="0" applyBorder="0" applyAlignment="0" applyProtection="0"/>
    <xf numFmtId="0" fontId="71"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71" fillId="20" borderId="0" applyNumberFormat="0" applyBorder="0" applyAlignment="0" applyProtection="0"/>
    <xf numFmtId="0" fontId="71"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71" fillId="24" borderId="0" applyNumberFormat="0" applyBorder="0" applyAlignment="0" applyProtection="0"/>
    <xf numFmtId="0" fontId="71"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71" fillId="28" borderId="0" applyNumberFormat="0" applyBorder="0" applyAlignment="0" applyProtection="0"/>
    <xf numFmtId="0" fontId="7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71" fillId="32" borderId="0" applyNumberFormat="0" applyBorder="0" applyAlignment="0" applyProtection="0"/>
    <xf numFmtId="0" fontId="8" fillId="0" borderId="0"/>
    <xf numFmtId="177" fontId="2" fillId="0" borderId="0" applyFont="0" applyFill="0" applyBorder="0" applyAlignment="0" applyProtection="0"/>
    <xf numFmtId="177" fontId="74" fillId="0" borderId="0" applyFont="0" applyFill="0" applyBorder="0" applyAlignment="0" applyProtection="0"/>
    <xf numFmtId="177" fontId="74" fillId="0" borderId="0" applyFont="0" applyFill="0" applyBorder="0" applyAlignment="0" applyProtection="0"/>
    <xf numFmtId="43" fontId="2" fillId="0" borderId="0" applyFont="0" applyFill="0" applyBorder="0" applyAlignment="0" applyProtection="0"/>
    <xf numFmtId="0" fontId="8" fillId="0" borderId="0">
      <alignment wrapText="1"/>
    </xf>
    <xf numFmtId="0" fontId="75" fillId="0" borderId="0"/>
    <xf numFmtId="0" fontId="76" fillId="0" borderId="0"/>
    <xf numFmtId="177" fontId="76" fillId="0" borderId="0" applyFont="0" applyFill="0" applyBorder="0" applyAlignment="0" applyProtection="0"/>
    <xf numFmtId="0" fontId="75" fillId="0" borderId="0"/>
    <xf numFmtId="0" fontId="8" fillId="0" borderId="0"/>
    <xf numFmtId="0" fontId="76" fillId="0" borderId="0"/>
    <xf numFmtId="0" fontId="75" fillId="0" borderId="0"/>
    <xf numFmtId="0" fontId="72" fillId="0" borderId="0" applyNumberFormat="0" applyFill="0" applyBorder="0" applyProtection="0">
      <alignment vertical="top" wrapText="1"/>
    </xf>
    <xf numFmtId="0" fontId="76" fillId="0" borderId="0"/>
    <xf numFmtId="0" fontId="76" fillId="0" borderId="0"/>
    <xf numFmtId="0" fontId="76" fillId="0" borderId="0"/>
    <xf numFmtId="0" fontId="76" fillId="0" borderId="0"/>
    <xf numFmtId="9" fontId="2" fillId="0" borderId="0" applyFont="0" applyFill="0" applyBorder="0" applyAlignment="0" applyProtection="0"/>
    <xf numFmtId="0" fontId="75" fillId="0" borderId="0"/>
    <xf numFmtId="0" fontId="76" fillId="0" borderId="0"/>
    <xf numFmtId="0" fontId="76" fillId="0" borderId="0"/>
    <xf numFmtId="0" fontId="72" fillId="0" borderId="0" applyNumberFormat="0" applyFill="0" applyBorder="0" applyProtection="0">
      <alignment vertical="top" wrapText="1"/>
    </xf>
    <xf numFmtId="0" fontId="76" fillId="0" borderId="0"/>
    <xf numFmtId="0" fontId="8" fillId="0" borderId="0"/>
    <xf numFmtId="0" fontId="75" fillId="0" borderId="0"/>
    <xf numFmtId="0" fontId="76" fillId="0" borderId="0"/>
    <xf numFmtId="0" fontId="76" fillId="0" borderId="0"/>
    <xf numFmtId="0" fontId="76" fillId="0" borderId="0"/>
    <xf numFmtId="0" fontId="76" fillId="0" borderId="0"/>
    <xf numFmtId="0" fontId="8" fillId="0" borderId="0"/>
    <xf numFmtId="0" fontId="8" fillId="0" borderId="0"/>
    <xf numFmtId="0" fontId="8" fillId="0" borderId="0"/>
    <xf numFmtId="0" fontId="8" fillId="0" borderId="0"/>
    <xf numFmtId="0" fontId="8" fillId="0" borderId="0"/>
    <xf numFmtId="0" fontId="81" fillId="0" borderId="0"/>
    <xf numFmtId="0" fontId="8" fillId="0" borderId="0"/>
    <xf numFmtId="0" fontId="8" fillId="0" borderId="0"/>
    <xf numFmtId="0" fontId="80" fillId="0" borderId="0"/>
    <xf numFmtId="0" fontId="8" fillId="0" borderId="0"/>
    <xf numFmtId="0" fontId="8" fillId="0" borderId="0"/>
    <xf numFmtId="0" fontId="8" fillId="0" borderId="0"/>
    <xf numFmtId="0" fontId="8" fillId="0" borderId="0"/>
    <xf numFmtId="0" fontId="8" fillId="0" borderId="0"/>
    <xf numFmtId="0" fontId="8" fillId="0" borderId="0">
      <alignment wrapText="1"/>
    </xf>
    <xf numFmtId="0" fontId="8" fillId="0" borderId="0"/>
    <xf numFmtId="0" fontId="8" fillId="0" borderId="0"/>
    <xf numFmtId="185" fontId="8" fillId="0" borderId="0"/>
    <xf numFmtId="0" fontId="82" fillId="0" borderId="0"/>
    <xf numFmtId="0" fontId="8" fillId="0" borderId="0"/>
    <xf numFmtId="0" fontId="8" fillId="0" borderId="0"/>
    <xf numFmtId="0" fontId="8" fillId="0" borderId="0"/>
    <xf numFmtId="0" fontId="8" fillId="0" borderId="0"/>
    <xf numFmtId="0" fontId="8" fillId="0" borderId="0"/>
    <xf numFmtId="0" fontId="8" fillId="0" borderId="0"/>
    <xf numFmtId="186" fontId="8" fillId="0" borderId="0" applyNumberFormat="0" applyFill="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7"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74" fillId="46"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7"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7"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7"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187" fontId="2" fillId="10" borderId="0" applyNumberFormat="0" applyBorder="0" applyAlignment="0" applyProtection="0"/>
    <xf numFmtId="187"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187" fontId="2" fillId="10" borderId="0" applyNumberFormat="0" applyBorder="0" applyAlignment="0" applyProtection="0"/>
    <xf numFmtId="187"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187" fontId="2" fillId="10" borderId="0" applyNumberFormat="0" applyBorder="0" applyAlignment="0" applyProtection="0"/>
    <xf numFmtId="187"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84" fillId="10" borderId="0" applyNumberFormat="0" applyBorder="0" applyAlignment="0" applyProtection="0"/>
    <xf numFmtId="0" fontId="84" fillId="10" borderId="0" applyNumberFormat="0" applyBorder="0" applyAlignment="0" applyProtection="0"/>
    <xf numFmtId="0" fontId="84"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7"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74" fillId="48"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7"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7"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9"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187" fontId="2" fillId="14" borderId="0" applyNumberFormat="0" applyBorder="0" applyAlignment="0" applyProtection="0"/>
    <xf numFmtId="187"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187" fontId="2" fillId="14" borderId="0" applyNumberFormat="0" applyBorder="0" applyAlignment="0" applyProtection="0"/>
    <xf numFmtId="187"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187" fontId="2" fillId="14" borderId="0" applyNumberFormat="0" applyBorder="0" applyAlignment="0" applyProtection="0"/>
    <xf numFmtId="187"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84" fillId="14" borderId="0" applyNumberFormat="0" applyBorder="0" applyAlignment="0" applyProtection="0"/>
    <xf numFmtId="0" fontId="84" fillId="14" borderId="0" applyNumberFormat="0" applyBorder="0" applyAlignment="0" applyProtection="0"/>
    <xf numFmtId="0" fontId="84"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7"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7"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7"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1"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187" fontId="2" fillId="18" borderId="0" applyNumberFormat="0" applyBorder="0" applyAlignment="0" applyProtection="0"/>
    <xf numFmtId="187"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187" fontId="2" fillId="18" borderId="0" applyNumberFormat="0" applyBorder="0" applyAlignment="0" applyProtection="0"/>
    <xf numFmtId="187"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187" fontId="2" fillId="18" borderId="0" applyNumberFormat="0" applyBorder="0" applyAlignment="0" applyProtection="0"/>
    <xf numFmtId="187"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84" fillId="18" borderId="0" applyNumberFormat="0" applyBorder="0" applyAlignment="0" applyProtection="0"/>
    <xf numFmtId="0" fontId="84" fillId="18" borderId="0" applyNumberFormat="0" applyBorder="0" applyAlignment="0" applyProtection="0"/>
    <xf numFmtId="0" fontId="84"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7"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7"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7"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47"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187" fontId="2" fillId="22" borderId="0" applyNumberFormat="0" applyBorder="0" applyAlignment="0" applyProtection="0"/>
    <xf numFmtId="187"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187" fontId="2" fillId="22" borderId="0" applyNumberFormat="0" applyBorder="0" applyAlignment="0" applyProtection="0"/>
    <xf numFmtId="187"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187" fontId="2" fillId="22" borderId="0" applyNumberFormat="0" applyBorder="0" applyAlignment="0" applyProtection="0"/>
    <xf numFmtId="187"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84" fillId="22" borderId="0" applyNumberFormat="0" applyBorder="0" applyAlignment="0" applyProtection="0"/>
    <xf numFmtId="0" fontId="84" fillId="22" borderId="0" applyNumberFormat="0" applyBorder="0" applyAlignment="0" applyProtection="0"/>
    <xf numFmtId="0" fontId="84"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7"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7"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7"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187" fontId="2" fillId="26" borderId="0" applyNumberFormat="0" applyBorder="0" applyAlignment="0" applyProtection="0"/>
    <xf numFmtId="187"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187" fontId="2" fillId="26" borderId="0" applyNumberFormat="0" applyBorder="0" applyAlignment="0" applyProtection="0"/>
    <xf numFmtId="187"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187" fontId="2" fillId="26" borderId="0" applyNumberFormat="0" applyBorder="0" applyAlignment="0" applyProtection="0"/>
    <xf numFmtId="187"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84" fillId="26" borderId="0" applyNumberFormat="0" applyBorder="0" applyAlignment="0" applyProtection="0"/>
    <xf numFmtId="0" fontId="84" fillId="26" borderId="0" applyNumberFormat="0" applyBorder="0" applyAlignment="0" applyProtection="0"/>
    <xf numFmtId="0" fontId="84"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7"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7"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7"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51"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187" fontId="2" fillId="30" borderId="0" applyNumberFormat="0" applyBorder="0" applyAlignment="0" applyProtection="0"/>
    <xf numFmtId="187"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187" fontId="2" fillId="30" borderId="0" applyNumberFormat="0" applyBorder="0" applyAlignment="0" applyProtection="0"/>
    <xf numFmtId="187"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187" fontId="2" fillId="30" borderId="0" applyNumberFormat="0" applyBorder="0" applyAlignment="0" applyProtection="0"/>
    <xf numFmtId="187"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84" fillId="30" borderId="0" applyNumberFormat="0" applyBorder="0" applyAlignment="0" applyProtection="0"/>
    <xf numFmtId="0" fontId="84" fillId="30" borderId="0" applyNumberFormat="0" applyBorder="0" applyAlignment="0" applyProtection="0"/>
    <xf numFmtId="0" fontId="84"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74" fillId="46" borderId="0" applyNumberFormat="0" applyBorder="0" applyAlignment="0" applyProtection="0"/>
    <xf numFmtId="0" fontId="74" fillId="48" borderId="0" applyNumberFormat="0" applyBorder="0" applyAlignment="0" applyProtection="0"/>
    <xf numFmtId="0" fontId="74" fillId="50" borderId="0" applyNumberFormat="0" applyBorder="0" applyAlignment="0" applyProtection="0"/>
    <xf numFmtId="0" fontId="74" fillId="52" borderId="0" applyNumberFormat="0" applyBorder="0" applyAlignment="0" applyProtection="0"/>
    <xf numFmtId="0" fontId="74" fillId="53" borderId="0" applyNumberFormat="0" applyBorder="0" applyAlignment="0" applyProtection="0"/>
    <xf numFmtId="0" fontId="74" fillId="47"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7"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7"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7"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5"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187" fontId="2" fillId="11" borderId="0" applyNumberFormat="0" applyBorder="0" applyAlignment="0" applyProtection="0"/>
    <xf numFmtId="187"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187" fontId="2" fillId="11" borderId="0" applyNumberFormat="0" applyBorder="0" applyAlignment="0" applyProtection="0"/>
    <xf numFmtId="187"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187" fontId="2" fillId="11" borderId="0" applyNumberFormat="0" applyBorder="0" applyAlignment="0" applyProtection="0"/>
    <xf numFmtId="187"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84" fillId="11" borderId="0" applyNumberFormat="0" applyBorder="0" applyAlignment="0" applyProtection="0"/>
    <xf numFmtId="0" fontId="84" fillId="11" borderId="0" applyNumberFormat="0" applyBorder="0" applyAlignment="0" applyProtection="0"/>
    <xf numFmtId="0" fontId="84"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7"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7"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7"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187" fontId="2" fillId="15" borderId="0" applyNumberFormat="0" applyBorder="0" applyAlignment="0" applyProtection="0"/>
    <xf numFmtId="187"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187" fontId="2" fillId="15" borderId="0" applyNumberFormat="0" applyBorder="0" applyAlignment="0" applyProtection="0"/>
    <xf numFmtId="187"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187" fontId="2" fillId="15" borderId="0" applyNumberFormat="0" applyBorder="0" applyAlignment="0" applyProtection="0"/>
    <xf numFmtId="187"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84" fillId="15" borderId="0" applyNumberFormat="0" applyBorder="0" applyAlignment="0" applyProtection="0"/>
    <xf numFmtId="0" fontId="84" fillId="15" borderId="0" applyNumberFormat="0" applyBorder="0" applyAlignment="0" applyProtection="0"/>
    <xf numFmtId="0" fontId="84"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7"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74" fillId="56"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7"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7"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7"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187" fontId="2" fillId="19" borderId="0" applyNumberFormat="0" applyBorder="0" applyAlignment="0" applyProtection="0"/>
    <xf numFmtId="187"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187" fontId="2" fillId="19" borderId="0" applyNumberFormat="0" applyBorder="0" applyAlignment="0" applyProtection="0"/>
    <xf numFmtId="187"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187" fontId="2" fillId="19" borderId="0" applyNumberFormat="0" applyBorder="0" applyAlignment="0" applyProtection="0"/>
    <xf numFmtId="187"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84" fillId="19" borderId="0" applyNumberFormat="0" applyBorder="0" applyAlignment="0" applyProtection="0"/>
    <xf numFmtId="0" fontId="84" fillId="19" borderId="0" applyNumberFormat="0" applyBorder="0" applyAlignment="0" applyProtection="0"/>
    <xf numFmtId="0" fontId="84"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7"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7"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7"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5"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187" fontId="2" fillId="23" borderId="0" applyNumberFormat="0" applyBorder="0" applyAlignment="0" applyProtection="0"/>
    <xf numFmtId="187"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187" fontId="2" fillId="23" borderId="0" applyNumberFormat="0" applyBorder="0" applyAlignment="0" applyProtection="0"/>
    <xf numFmtId="187"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187" fontId="2" fillId="23" borderId="0" applyNumberFormat="0" applyBorder="0" applyAlignment="0" applyProtection="0"/>
    <xf numFmtId="187"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84" fillId="23" borderId="0" applyNumberFormat="0" applyBorder="0" applyAlignment="0" applyProtection="0"/>
    <xf numFmtId="0" fontId="84" fillId="23" borderId="0" applyNumberFormat="0" applyBorder="0" applyAlignment="0" applyProtection="0"/>
    <xf numFmtId="0" fontId="84"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7"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7"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7"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187" fontId="2" fillId="27" borderId="0" applyNumberFormat="0" applyBorder="0" applyAlignment="0" applyProtection="0"/>
    <xf numFmtId="187"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187" fontId="2" fillId="27" borderId="0" applyNumberFormat="0" applyBorder="0" applyAlignment="0" applyProtection="0"/>
    <xf numFmtId="187"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187" fontId="2" fillId="27" borderId="0" applyNumberFormat="0" applyBorder="0" applyAlignment="0" applyProtection="0"/>
    <xf numFmtId="187"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84" fillId="27" borderId="0" applyNumberFormat="0" applyBorder="0" applyAlignment="0" applyProtection="0"/>
    <xf numFmtId="0" fontId="84" fillId="27" borderId="0" applyNumberFormat="0" applyBorder="0" applyAlignment="0" applyProtection="0"/>
    <xf numFmtId="0" fontId="84"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7"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74" fillId="58"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7"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7"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7"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187" fontId="2" fillId="31" borderId="0" applyNumberFormat="0" applyBorder="0" applyAlignment="0" applyProtection="0"/>
    <xf numFmtId="187"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187" fontId="2" fillId="31" borderId="0" applyNumberFormat="0" applyBorder="0" applyAlignment="0" applyProtection="0"/>
    <xf numFmtId="187"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187" fontId="2" fillId="31" borderId="0" applyNumberFormat="0" applyBorder="0" applyAlignment="0" applyProtection="0"/>
    <xf numFmtId="187"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84" fillId="31" borderId="0" applyNumberFormat="0" applyBorder="0" applyAlignment="0" applyProtection="0"/>
    <xf numFmtId="0" fontId="84" fillId="31" borderId="0" applyNumberFormat="0" applyBorder="0" applyAlignment="0" applyProtection="0"/>
    <xf numFmtId="0" fontId="84"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74" fillId="54" borderId="0" applyNumberFormat="0" applyBorder="0" applyAlignment="0" applyProtection="0"/>
    <xf numFmtId="0" fontId="74" fillId="49" borderId="0" applyNumberFormat="0" applyBorder="0" applyAlignment="0" applyProtection="0"/>
    <xf numFmtId="0" fontId="74" fillId="56" borderId="0" applyNumberFormat="0" applyBorder="0" applyAlignment="0" applyProtection="0"/>
    <xf numFmtId="0" fontId="74" fillId="52" borderId="0" applyNumberFormat="0" applyBorder="0" applyAlignment="0" applyProtection="0"/>
    <xf numFmtId="0" fontId="74" fillId="54" borderId="0" applyNumberFormat="0" applyBorder="0" applyAlignment="0" applyProtection="0"/>
    <xf numFmtId="0" fontId="74" fillId="58"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12"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6" fillId="12" borderId="0" applyNumberFormat="0" applyBorder="0" applyAlignment="0" applyProtection="0"/>
    <xf numFmtId="0" fontId="12"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12"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2"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12"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6" fillId="16" borderId="0" applyNumberFormat="0" applyBorder="0" applyAlignment="0" applyProtection="0"/>
    <xf numFmtId="0" fontId="12"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12"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16"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12"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6" fillId="20" borderId="0" applyNumberFormat="0" applyBorder="0" applyAlignment="0" applyProtection="0"/>
    <xf numFmtId="0" fontId="12"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12"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0"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12"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6" fillId="24" borderId="0" applyNumberFormat="0" applyBorder="0" applyAlignment="0" applyProtection="0"/>
    <xf numFmtId="0" fontId="12"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12"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4"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12"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6" fillId="28" borderId="0" applyNumberFormat="0" applyBorder="0" applyAlignment="0" applyProtection="0"/>
    <xf numFmtId="0" fontId="12"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12"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28"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12"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6" fillId="32" borderId="0" applyNumberFormat="0" applyBorder="0" applyAlignment="0" applyProtection="0"/>
    <xf numFmtId="0" fontId="12"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12"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5" fillId="32" borderId="0" applyNumberFormat="0" applyBorder="0" applyAlignment="0" applyProtection="0"/>
    <xf numFmtId="0" fontId="87" fillId="59" borderId="0" applyNumberFormat="0" applyBorder="0" applyAlignment="0" applyProtection="0"/>
    <xf numFmtId="0" fontId="87" fillId="49" borderId="0" applyNumberFormat="0" applyBorder="0" applyAlignment="0" applyProtection="0"/>
    <xf numFmtId="0" fontId="87" fillId="56" borderId="0" applyNumberFormat="0" applyBorder="0" applyAlignment="0" applyProtection="0"/>
    <xf numFmtId="0" fontId="87" fillId="60" borderId="0" applyNumberFormat="0" applyBorder="0" applyAlignment="0" applyProtection="0"/>
    <xf numFmtId="0" fontId="87" fillId="61" borderId="0" applyNumberFormat="0" applyBorder="0" applyAlignment="0" applyProtection="0"/>
    <xf numFmtId="0" fontId="87" fillId="62" borderId="0" applyNumberFormat="0" applyBorder="0" applyAlignment="0" applyProtection="0"/>
    <xf numFmtId="0" fontId="88" fillId="0" borderId="0">
      <alignment horizontal="center" vertical="center"/>
    </xf>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12"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6" fillId="9" borderId="0" applyNumberFormat="0" applyBorder="0" applyAlignment="0" applyProtection="0"/>
    <xf numFmtId="0" fontId="12"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12"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9"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12"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6" fillId="13" borderId="0" applyNumberFormat="0" applyBorder="0" applyAlignment="0" applyProtection="0"/>
    <xf numFmtId="0" fontId="12"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12"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3"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12"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6" fillId="17" borderId="0" applyNumberFormat="0" applyBorder="0" applyAlignment="0" applyProtection="0"/>
    <xf numFmtId="0" fontId="12"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12"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17"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12"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6" fillId="21" borderId="0" applyNumberFormat="0" applyBorder="0" applyAlignment="0" applyProtection="0"/>
    <xf numFmtId="0" fontId="12"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12"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1"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12"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6" fillId="25" borderId="0" applyNumberFormat="0" applyBorder="0" applyAlignment="0" applyProtection="0"/>
    <xf numFmtId="0" fontId="12"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12"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5"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12"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6" fillId="29" borderId="0" applyNumberFormat="0" applyBorder="0" applyAlignment="0" applyProtection="0"/>
    <xf numFmtId="0" fontId="12"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12"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0" fontId="85" fillId="29" borderId="0" applyNumberFormat="0" applyBorder="0" applyAlignment="0" applyProtection="0"/>
    <xf numFmtId="188" fontId="8" fillId="0" borderId="0"/>
    <xf numFmtId="188" fontId="8" fillId="0" borderId="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90"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91" fillId="5" borderId="0" applyNumberFormat="0" applyBorder="0" applyAlignment="0" applyProtection="0"/>
    <xf numFmtId="0" fontId="90"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90"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89" fillId="5" borderId="0" applyNumberFormat="0" applyBorder="0" applyAlignment="0" applyProtection="0"/>
    <xf numFmtId="0" fontId="92" fillId="0" borderId="0" applyNumberFormat="0" applyFill="0" applyBorder="0" applyAlignment="0" applyProtection="0"/>
    <xf numFmtId="0" fontId="93" fillId="50" borderId="0" applyNumberFormat="0" applyBorder="0"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2" fontId="94" fillId="0" borderId="24" applyAlignment="0" applyProtection="0"/>
    <xf numFmtId="189" fontId="8" fillId="0" borderId="0" applyFill="0" applyBorder="0" applyAlignment="0"/>
    <xf numFmtId="190" fontId="8" fillId="0" borderId="0" applyFill="0" applyBorder="0" applyAlignment="0"/>
    <xf numFmtId="191" fontId="8" fillId="0" borderId="0" applyFill="0" applyBorder="0" applyAlignment="0"/>
    <xf numFmtId="180" fontId="8" fillId="0" borderId="0" applyFill="0" applyBorder="0" applyAlignment="0"/>
    <xf numFmtId="184" fontId="8" fillId="0" borderId="0" applyFill="0" applyBorder="0" applyAlignment="0"/>
    <xf numFmtId="189" fontId="8" fillId="0" borderId="0" applyFill="0" applyBorder="0" applyAlignment="0"/>
    <xf numFmtId="192" fontId="8" fillId="0" borderId="0" applyFill="0" applyBorder="0" applyAlignment="0"/>
    <xf numFmtId="190" fontId="8" fillId="0" borderId="0" applyFill="0" applyBorder="0" applyAlignment="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6"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7" fillId="7" borderId="13" applyNumberFormat="0" applyAlignment="0" applyProtection="0"/>
    <xf numFmtId="0" fontId="96"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6"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5" fillId="7" borderId="13" applyNumberFormat="0" applyAlignment="0" applyProtection="0"/>
    <xf numFmtId="0" fontId="98" fillId="55" borderId="30" applyNumberFormat="0" applyAlignment="0" applyProtection="0"/>
    <xf numFmtId="180" fontId="99" fillId="0" borderId="0"/>
    <xf numFmtId="0" fontId="100" fillId="63" borderId="31" applyNumberFormat="0" applyAlignment="0" applyProtection="0"/>
    <xf numFmtId="0" fontId="101" fillId="0" borderId="32" applyNumberFormat="0" applyFill="0" applyAlignment="0" applyProtection="0"/>
    <xf numFmtId="0" fontId="102" fillId="0" borderId="0" applyNumberFormat="0" applyFont="0" applyFill="0" applyBorder="0" applyProtection="0">
      <alignment horizontal="centerContinuous"/>
    </xf>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4"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5" fillId="8" borderId="15" applyNumberFormat="0" applyAlignment="0" applyProtection="0"/>
    <xf numFmtId="0" fontId="104"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4"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3" fillId="8" borderId="15" applyNumberFormat="0" applyAlignment="0" applyProtection="0"/>
    <xf numFmtId="0" fontId="106" fillId="0" borderId="0" applyNumberFormat="0" applyFill="0" applyBorder="0" applyAlignment="0" applyProtection="0"/>
    <xf numFmtId="0" fontId="107" fillId="0" borderId="0"/>
    <xf numFmtId="0" fontId="108" fillId="0" borderId="0" applyNumberFormat="0" applyFill="0" applyBorder="0" applyProtection="0">
      <alignment horizontal="center" wrapText="1"/>
    </xf>
    <xf numFmtId="37" fontId="109" fillId="0" borderId="0"/>
    <xf numFmtId="37" fontId="109" fillId="0" borderId="0"/>
    <xf numFmtId="37" fontId="109" fillId="0" borderId="0"/>
    <xf numFmtId="37" fontId="109" fillId="0" borderId="0"/>
    <xf numFmtId="37" fontId="109" fillId="0" borderId="0"/>
    <xf numFmtId="37" fontId="109" fillId="0" borderId="0"/>
    <xf numFmtId="37" fontId="109" fillId="0" borderId="0"/>
    <xf numFmtId="37" fontId="109" fillId="0" borderId="0"/>
    <xf numFmtId="41" fontId="2" fillId="0" borderId="0" applyFont="0" applyFill="0" applyBorder="0" applyAlignment="0" applyProtection="0"/>
    <xf numFmtId="41" fontId="2" fillId="0" borderId="0" applyFont="0" applyFill="0" applyBorder="0" applyAlignment="0" applyProtection="0"/>
    <xf numFmtId="41" fontId="8" fillId="0" borderId="0" applyFont="0" applyFill="0" applyBorder="0" applyAlignment="0" applyProtection="0"/>
    <xf numFmtId="189" fontId="8" fillId="0" borderId="0" applyFont="0" applyFill="0" applyBorder="0" applyAlignment="0" applyProtection="0"/>
    <xf numFmtId="193" fontId="8"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74"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7"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74" fillId="0" borderId="0" applyFont="0" applyFill="0" applyBorder="0" applyAlignment="0" applyProtection="0"/>
    <xf numFmtId="177" fontId="84" fillId="0" borderId="0" applyFont="0" applyFill="0" applyBorder="0" applyAlignment="0" applyProtection="0"/>
    <xf numFmtId="177" fontId="84" fillId="0" borderId="0" applyFont="0" applyFill="0" applyBorder="0" applyAlignment="0" applyProtection="0"/>
    <xf numFmtId="43" fontId="2"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43" fontId="8"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43" fontId="8" fillId="0" borderId="0" applyFont="0" applyFill="0" applyBorder="0" applyAlignment="0" applyProtection="0"/>
    <xf numFmtId="177" fontId="8" fillId="0" borderId="0" applyFont="0" applyFill="0" applyBorder="0" applyAlignment="0" applyProtection="0"/>
    <xf numFmtId="43" fontId="8" fillId="0" borderId="0" applyFont="0" applyFill="0" applyBorder="0" applyAlignment="0" applyProtection="0"/>
    <xf numFmtId="177" fontId="8" fillId="0" borderId="0" applyFont="0" applyFill="0" applyBorder="0" applyAlignment="0" applyProtection="0"/>
    <xf numFmtId="43" fontId="8" fillId="0" borderId="0" applyFont="0" applyFill="0" applyBorder="0" applyAlignment="0" applyProtection="0"/>
    <xf numFmtId="177"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36" fillId="0" borderId="0" applyFont="0" applyFill="0" applyBorder="0" applyAlignment="0" applyProtection="0"/>
    <xf numFmtId="177" fontId="8" fillId="0" borderId="0" applyFont="0" applyFill="0" applyBorder="0" applyAlignment="0" applyProtection="0"/>
    <xf numFmtId="177" fontId="74"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36"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110"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3"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77" fontId="111"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83" fontId="8"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83" fontId="8" fillId="0" borderId="0" applyFont="0" applyFill="0" applyBorder="0" applyAlignment="0" applyProtection="0"/>
    <xf numFmtId="43"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177"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alignment wrapText="1"/>
    </xf>
    <xf numFmtId="43" fontId="8" fillId="0" borderId="0" applyFont="0" applyFill="0" applyBorder="0" applyAlignment="0" applyProtection="0">
      <alignment wrapText="1"/>
    </xf>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74"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43"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83" fontId="8"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87" fontId="8" fillId="0" borderId="0" applyFont="0" applyFill="0" applyBorder="0" applyAlignment="0" applyProtection="0"/>
    <xf numFmtId="187"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187" fontId="8"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alignment wrapText="1"/>
    </xf>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43" fontId="11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applyFont="0" applyFill="0" applyBorder="0" applyAlignment="0" applyProtection="0"/>
    <xf numFmtId="177" fontId="74" fillId="0" borderId="0" applyFont="0" applyFill="0" applyBorder="0" applyAlignment="0" applyProtection="0"/>
    <xf numFmtId="177" fontId="74"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7" fontId="8" fillId="0" borderId="0" applyFont="0" applyFill="0" applyBorder="0" applyAlignment="0" applyProtection="0"/>
    <xf numFmtId="185" fontId="8"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177" fontId="74" fillId="0" borderId="0" applyFont="0" applyFill="0" applyBorder="0" applyAlignment="0" applyProtection="0"/>
    <xf numFmtId="177" fontId="74" fillId="0" borderId="0" applyFont="0" applyFill="0" applyBorder="0" applyAlignment="0" applyProtection="0"/>
    <xf numFmtId="177" fontId="74" fillId="0" borderId="0" applyFont="0" applyFill="0" applyBorder="0" applyAlignment="0" applyProtection="0"/>
    <xf numFmtId="177" fontId="74" fillId="0" borderId="0" applyFont="0" applyFill="0" applyBorder="0" applyAlignment="0" applyProtection="0"/>
    <xf numFmtId="177" fontId="74" fillId="0" borderId="0" applyFont="0" applyFill="0" applyBorder="0" applyAlignment="0" applyProtection="0"/>
    <xf numFmtId="177" fontId="74"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4" fillId="0" borderId="0" applyFont="0" applyFill="0" applyBorder="0" applyAlignment="0" applyProtection="0"/>
    <xf numFmtId="177" fontId="84" fillId="0" borderId="0" applyFont="0" applyFill="0" applyBorder="0" applyAlignment="0" applyProtection="0"/>
    <xf numFmtId="177" fontId="84" fillId="0" borderId="0" applyFont="0" applyFill="0" applyBorder="0" applyAlignment="0" applyProtection="0"/>
    <xf numFmtId="177" fontId="84"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94" fontId="2"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95" fontId="102" fillId="0" borderId="0"/>
    <xf numFmtId="190" fontId="8" fillId="0" borderId="0" applyFont="0" applyFill="0" applyBorder="0" applyAlignment="0" applyProtection="0"/>
    <xf numFmtId="181" fontId="8" fillId="0" borderId="0" applyFont="0" applyFill="0" applyBorder="0" applyAlignment="0" applyProtection="0"/>
    <xf numFmtId="166"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81" fontId="8" fillId="0" borderId="0" applyFont="0" applyFill="0" applyBorder="0" applyAlignment="0" applyProtection="0"/>
    <xf numFmtId="181" fontId="8" fillId="0" borderId="0" applyFont="0" applyFill="0" applyBorder="0" applyAlignment="0" applyProtection="0"/>
    <xf numFmtId="196" fontId="102" fillId="0" borderId="0"/>
    <xf numFmtId="14" fontId="113" fillId="0" borderId="0"/>
    <xf numFmtId="14" fontId="11" fillId="0" borderId="0" applyFill="0" applyBorder="0" applyAlignment="0"/>
    <xf numFmtId="0" fontId="114" fillId="0" borderId="0"/>
    <xf numFmtId="0" fontId="8" fillId="0" borderId="0" applyFont="0" applyFill="0" applyBorder="0" applyAlignment="0" applyProtection="0"/>
    <xf numFmtId="0" fontId="8" fillId="0" borderId="0" applyFont="0" applyFill="0" applyBorder="0" applyAlignment="0" applyProtection="0"/>
    <xf numFmtId="197" fontId="102" fillId="0" borderId="0"/>
    <xf numFmtId="0" fontId="114" fillId="0" borderId="33"/>
    <xf numFmtId="0" fontId="114" fillId="0" borderId="33"/>
    <xf numFmtId="0" fontId="102" fillId="0" borderId="30" applyNumberFormat="0" applyFont="0" applyFill="0" applyAlignment="0" applyProtection="0">
      <alignment horizontal="centerContinuous"/>
    </xf>
    <xf numFmtId="0" fontId="87" fillId="64" borderId="0" applyNumberFormat="0" applyBorder="0" applyAlignment="0" applyProtection="0"/>
    <xf numFmtId="0" fontId="87" fillId="65" borderId="0" applyNumberFormat="0" applyBorder="0" applyAlignment="0" applyProtection="0"/>
    <xf numFmtId="0" fontId="87" fillId="66" borderId="0" applyNumberFormat="0" applyBorder="0" applyAlignment="0" applyProtection="0"/>
    <xf numFmtId="0" fontId="87" fillId="60" borderId="0" applyNumberFormat="0" applyBorder="0" applyAlignment="0" applyProtection="0"/>
    <xf numFmtId="0" fontId="87" fillId="61" borderId="0" applyNumberFormat="0" applyBorder="0" applyAlignment="0" applyProtection="0"/>
    <xf numFmtId="0" fontId="87" fillId="67" borderId="0" applyNumberFormat="0" applyBorder="0" applyAlignment="0" applyProtection="0"/>
    <xf numFmtId="0" fontId="115" fillId="68" borderId="0"/>
    <xf numFmtId="189" fontId="8" fillId="0" borderId="0" applyFill="0" applyBorder="0" applyAlignment="0"/>
    <xf numFmtId="190" fontId="8" fillId="0" borderId="0" applyFill="0" applyBorder="0" applyAlignment="0"/>
    <xf numFmtId="189" fontId="8" fillId="0" borderId="0" applyFill="0" applyBorder="0" applyAlignment="0"/>
    <xf numFmtId="192" fontId="8" fillId="0" borderId="0" applyFill="0" applyBorder="0" applyAlignment="0"/>
    <xf numFmtId="190" fontId="8" fillId="0" borderId="0" applyFill="0" applyBorder="0" applyAlignment="0"/>
    <xf numFmtId="0" fontId="116" fillId="47" borderId="30" applyNumberFormat="0" applyAlignment="0" applyProtection="0"/>
    <xf numFmtId="198" fontId="8" fillId="0" borderId="0" applyFont="0" applyFill="0" applyBorder="0" applyAlignment="0" applyProtection="0"/>
    <xf numFmtId="187" fontId="8" fillId="0" borderId="0" applyFont="0" applyFill="0" applyBorder="0" applyAlignment="0" applyProtection="0"/>
    <xf numFmtId="37" fontId="9" fillId="0" borderId="6" applyNumberFormat="0">
      <alignment horizontal="centerContinuous" vertical="top" wrapText="1"/>
    </xf>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8"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9" fillId="0" borderId="0" applyNumberFormat="0" applyFill="0" applyBorder="0" applyAlignment="0" applyProtection="0"/>
    <xf numFmtId="0" fontId="118"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8"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187" fontId="9" fillId="0" borderId="34" applyFont="0" applyFill="0" applyBorder="0" applyAlignment="0" applyProtection="0"/>
    <xf numFmtId="0" fontId="120" fillId="0" borderId="35"/>
    <xf numFmtId="0" fontId="120" fillId="0" borderId="33"/>
    <xf numFmtId="0" fontId="120" fillId="69" borderId="33"/>
    <xf numFmtId="0" fontId="8" fillId="0" borderId="0" applyFont="0" applyFill="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2"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3" fillId="4" borderId="0" applyNumberFormat="0" applyBorder="0" applyAlignment="0" applyProtection="0"/>
    <xf numFmtId="0" fontId="122"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2"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0" fontId="121" fillId="4" borderId="0" applyNumberFormat="0" applyBorder="0" applyAlignment="0" applyProtection="0"/>
    <xf numFmtId="38" fontId="9" fillId="70" borderId="0" applyNumberFormat="0" applyBorder="0" applyAlignment="0" applyProtection="0"/>
    <xf numFmtId="37" fontId="108" fillId="70" borderId="29" applyBorder="0" applyAlignment="0"/>
    <xf numFmtId="0" fontId="52" fillId="0" borderId="28" applyNumberFormat="0" applyAlignment="0" applyProtection="0">
      <alignment horizontal="left" vertical="center"/>
    </xf>
    <xf numFmtId="0" fontId="52" fillId="0" borderId="22">
      <alignment horizontal="left" vertical="center"/>
    </xf>
    <xf numFmtId="0" fontId="124" fillId="0" borderId="0" applyNumberFormat="0" applyFill="0" applyBorder="0" applyProtection="0">
      <alignment horizontal="left"/>
    </xf>
    <xf numFmtId="0" fontId="60" fillId="0" borderId="9" applyNumberFormat="0" applyFill="0" applyAlignment="0" applyProtection="0"/>
    <xf numFmtId="0" fontId="60" fillId="0" borderId="9" applyNumberFormat="0" applyFill="0" applyAlignment="0" applyProtection="0"/>
    <xf numFmtId="0" fontId="60" fillId="0" borderId="9" applyNumberFormat="0" applyFill="0" applyAlignment="0" applyProtection="0"/>
    <xf numFmtId="0" fontId="60" fillId="0" borderId="9" applyNumberFormat="0" applyFill="0" applyAlignment="0" applyProtection="0"/>
    <xf numFmtId="0" fontId="60" fillId="0" borderId="9" applyNumberFormat="0" applyFill="0" applyAlignment="0" applyProtection="0"/>
    <xf numFmtId="0" fontId="60" fillId="0" borderId="9" applyNumberFormat="0" applyFill="0" applyAlignment="0" applyProtection="0"/>
    <xf numFmtId="0" fontId="60" fillId="0" borderId="9" applyNumberFormat="0" applyFill="0" applyAlignment="0" applyProtection="0"/>
    <xf numFmtId="0" fontId="60" fillId="0" borderId="9" applyNumberFormat="0" applyFill="0" applyAlignment="0" applyProtection="0"/>
    <xf numFmtId="0" fontId="60" fillId="0" borderId="9" applyNumberFormat="0" applyFill="0" applyAlignment="0" applyProtection="0"/>
    <xf numFmtId="0" fontId="125" fillId="0" borderId="36" applyNumberFormat="0" applyFill="0" applyAlignment="0" applyProtection="0"/>
    <xf numFmtId="0" fontId="126" fillId="0" borderId="9"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60" fillId="0" borderId="9" applyNumberFormat="0" applyFill="0" applyAlignment="0" applyProtection="0"/>
    <xf numFmtId="0" fontId="60" fillId="0" borderId="9" applyNumberFormat="0" applyFill="0" applyAlignment="0" applyProtection="0"/>
    <xf numFmtId="0" fontId="126" fillId="0" borderId="9" applyNumberFormat="0" applyFill="0" applyAlignment="0" applyProtection="0"/>
    <xf numFmtId="0" fontId="126" fillId="0" borderId="9" applyNumberFormat="0" applyFill="0" applyAlignment="0" applyProtection="0"/>
    <xf numFmtId="0" fontId="60" fillId="0" borderId="9" applyNumberFormat="0" applyFill="0" applyAlignment="0" applyProtection="0"/>
    <xf numFmtId="0" fontId="126" fillId="0" borderId="9" applyNumberFormat="0" applyFill="0" applyAlignment="0" applyProtection="0"/>
    <xf numFmtId="0" fontId="60" fillId="0" borderId="9" applyNumberFormat="0" applyFill="0" applyAlignment="0" applyProtection="0"/>
    <xf numFmtId="0" fontId="60" fillId="0" borderId="9" applyNumberFormat="0" applyFill="0" applyAlignment="0" applyProtection="0"/>
    <xf numFmtId="0" fontId="60" fillId="0" borderId="9" applyNumberFormat="0" applyFill="0" applyAlignment="0" applyProtection="0"/>
    <xf numFmtId="0" fontId="60" fillId="0" borderId="9" applyNumberFormat="0" applyFill="0" applyAlignment="0" applyProtection="0"/>
    <xf numFmtId="0" fontId="60" fillId="0" borderId="9" applyNumberFormat="0" applyFill="0" applyAlignment="0" applyProtection="0"/>
    <xf numFmtId="0" fontId="61" fillId="0" borderId="10" applyNumberFormat="0" applyFill="0" applyAlignment="0" applyProtection="0"/>
    <xf numFmtId="0" fontId="61" fillId="0" borderId="10" applyNumberFormat="0" applyFill="0" applyAlignment="0" applyProtection="0"/>
    <xf numFmtId="0" fontId="61" fillId="0" borderId="10" applyNumberFormat="0" applyFill="0" applyAlignment="0" applyProtection="0"/>
    <xf numFmtId="0" fontId="61" fillId="0" borderId="10" applyNumberFormat="0" applyFill="0" applyAlignment="0" applyProtection="0"/>
    <xf numFmtId="0" fontId="61" fillId="0" borderId="10" applyNumberFormat="0" applyFill="0" applyAlignment="0" applyProtection="0"/>
    <xf numFmtId="0" fontId="61" fillId="0" borderId="10" applyNumberFormat="0" applyFill="0" applyAlignment="0" applyProtection="0"/>
    <xf numFmtId="0" fontId="61" fillId="0" borderId="10" applyNumberFormat="0" applyFill="0" applyAlignment="0" applyProtection="0"/>
    <xf numFmtId="0" fontId="61" fillId="0" borderId="10" applyNumberFormat="0" applyFill="0" applyAlignment="0" applyProtection="0"/>
    <xf numFmtId="0" fontId="61" fillId="0" borderId="10" applyNumberFormat="0" applyFill="0" applyAlignment="0" applyProtection="0"/>
    <xf numFmtId="0" fontId="127" fillId="0" borderId="37" applyNumberFormat="0" applyFill="0" applyAlignment="0" applyProtection="0"/>
    <xf numFmtId="0" fontId="128" fillId="0" borderId="10"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61" fillId="0" borderId="10" applyNumberFormat="0" applyFill="0" applyAlignment="0" applyProtection="0"/>
    <xf numFmtId="0" fontId="61" fillId="0" borderId="10" applyNumberFormat="0" applyFill="0" applyAlignment="0" applyProtection="0"/>
    <xf numFmtId="0" fontId="128" fillId="0" borderId="10" applyNumberFormat="0" applyFill="0" applyAlignment="0" applyProtection="0"/>
    <xf numFmtId="0" fontId="128" fillId="0" borderId="10" applyNumberFormat="0" applyFill="0" applyAlignment="0" applyProtection="0"/>
    <xf numFmtId="0" fontId="61" fillId="0" borderId="10" applyNumberFormat="0" applyFill="0" applyAlignment="0" applyProtection="0"/>
    <xf numFmtId="0" fontId="128" fillId="0" borderId="10" applyNumberFormat="0" applyFill="0" applyAlignment="0" applyProtection="0"/>
    <xf numFmtId="0" fontId="61" fillId="0" borderId="10" applyNumberFormat="0" applyFill="0" applyAlignment="0" applyProtection="0"/>
    <xf numFmtId="0" fontId="61" fillId="0" borderId="10" applyNumberFormat="0" applyFill="0" applyAlignment="0" applyProtection="0"/>
    <xf numFmtId="0" fontId="61" fillId="0" borderId="10" applyNumberFormat="0" applyFill="0" applyAlignment="0" applyProtection="0"/>
    <xf numFmtId="0" fontId="61" fillId="0" borderId="10" applyNumberFormat="0" applyFill="0" applyAlignment="0" applyProtection="0"/>
    <xf numFmtId="0" fontId="61" fillId="0" borderId="10" applyNumberFormat="0" applyFill="0" applyAlignment="0" applyProtection="0"/>
    <xf numFmtId="0" fontId="62" fillId="0" borderId="11" applyNumberFormat="0" applyFill="0" applyAlignment="0" applyProtection="0"/>
    <xf numFmtId="0" fontId="62" fillId="0" borderId="11" applyNumberFormat="0" applyFill="0" applyAlignment="0" applyProtection="0"/>
    <xf numFmtId="0" fontId="62" fillId="0" borderId="11" applyNumberFormat="0" applyFill="0" applyAlignment="0" applyProtection="0"/>
    <xf numFmtId="0" fontId="62" fillId="0" borderId="11" applyNumberFormat="0" applyFill="0" applyAlignment="0" applyProtection="0"/>
    <xf numFmtId="0" fontId="62" fillId="0" borderId="11" applyNumberFormat="0" applyFill="0" applyAlignment="0" applyProtection="0"/>
    <xf numFmtId="0" fontId="62" fillId="0" borderId="11" applyNumberFormat="0" applyFill="0" applyAlignment="0" applyProtection="0"/>
    <xf numFmtId="0" fontId="62" fillId="0" borderId="11" applyNumberFormat="0" applyFill="0" applyAlignment="0" applyProtection="0"/>
    <xf numFmtId="0" fontId="62" fillId="0" borderId="11" applyNumberFormat="0" applyFill="0" applyAlignment="0" applyProtection="0"/>
    <xf numFmtId="0" fontId="62" fillId="0" borderId="11" applyNumberFormat="0" applyFill="0" applyAlignment="0" applyProtection="0"/>
    <xf numFmtId="0" fontId="129" fillId="0" borderId="38" applyNumberFormat="0" applyFill="0" applyAlignment="0" applyProtection="0"/>
    <xf numFmtId="0" fontId="130" fillId="0" borderId="11"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62" fillId="0" borderId="11" applyNumberFormat="0" applyFill="0" applyAlignment="0" applyProtection="0"/>
    <xf numFmtId="0" fontId="62" fillId="0" borderId="11" applyNumberFormat="0" applyFill="0" applyAlignment="0" applyProtection="0"/>
    <xf numFmtId="0" fontId="130" fillId="0" borderId="11" applyNumberFormat="0" applyFill="0" applyAlignment="0" applyProtection="0"/>
    <xf numFmtId="0" fontId="130" fillId="0" borderId="11" applyNumberFormat="0" applyFill="0" applyAlignment="0" applyProtection="0"/>
    <xf numFmtId="0" fontId="62" fillId="0" borderId="11" applyNumberFormat="0" applyFill="0" applyAlignment="0" applyProtection="0"/>
    <xf numFmtId="0" fontId="130" fillId="0" borderId="11" applyNumberFormat="0" applyFill="0" applyAlignment="0" applyProtection="0"/>
    <xf numFmtId="0" fontId="62" fillId="0" borderId="11" applyNumberFormat="0" applyFill="0" applyAlignment="0" applyProtection="0"/>
    <xf numFmtId="0" fontId="62" fillId="0" borderId="11" applyNumberFormat="0" applyFill="0" applyAlignment="0" applyProtection="0"/>
    <xf numFmtId="0" fontId="62" fillId="0" borderId="11" applyNumberFormat="0" applyFill="0" applyAlignment="0" applyProtection="0"/>
    <xf numFmtId="0" fontId="62" fillId="0" borderId="11" applyNumberFormat="0" applyFill="0" applyAlignment="0" applyProtection="0"/>
    <xf numFmtId="0" fontId="62" fillId="0" borderId="11" applyNumberFormat="0" applyFill="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129" fillId="0" borderId="0" applyNumberFormat="0" applyFill="0" applyBorder="0" applyAlignment="0" applyProtection="0"/>
    <xf numFmtId="0" fontId="130"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130" fillId="0" borderId="0" applyNumberFormat="0" applyFill="0" applyBorder="0" applyAlignment="0" applyProtection="0"/>
    <xf numFmtId="0" fontId="130" fillId="0" borderId="0" applyNumberFormat="0" applyFill="0" applyBorder="0" applyAlignment="0" applyProtection="0"/>
    <xf numFmtId="0" fontId="62" fillId="0" borderId="0" applyNumberFormat="0" applyFill="0" applyBorder="0" applyAlignment="0" applyProtection="0"/>
    <xf numFmtId="0" fontId="130"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62" fillId="0" borderId="0" applyNumberFormat="0" applyFill="0" applyBorder="0" applyAlignment="0" applyProtection="0"/>
    <xf numFmtId="0" fontId="131" fillId="0" borderId="0"/>
    <xf numFmtId="0" fontId="132" fillId="0" borderId="0" applyNumberFormat="0" applyFill="0" applyBorder="0" applyAlignment="0" applyProtection="0">
      <alignment vertical="top"/>
      <protection locked="0"/>
    </xf>
    <xf numFmtId="0" fontId="133" fillId="48" borderId="0" applyNumberFormat="0" applyBorder="0" applyAlignment="0" applyProtection="0"/>
    <xf numFmtId="0" fontId="114" fillId="0" borderId="0"/>
    <xf numFmtId="10" fontId="9" fillId="71" borderId="34" applyNumberFormat="0" applyBorder="0" applyAlignment="0" applyProtection="0"/>
    <xf numFmtId="199" fontId="134" fillId="72" borderId="39" applyNumberFormat="0">
      <alignment vertical="center"/>
    </xf>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6"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7" fillId="42" borderId="13" applyNumberFormat="0" applyAlignment="0" applyProtection="0"/>
    <xf numFmtId="0" fontId="136"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6"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0" fontId="135" fillId="42" borderId="13" applyNumberFormat="0" applyAlignment="0" applyProtection="0"/>
    <xf numFmtId="38" fontId="138" fillId="0" borderId="0"/>
    <xf numFmtId="38" fontId="139" fillId="0" borderId="0"/>
    <xf numFmtId="38" fontId="140" fillId="0" borderId="0"/>
    <xf numFmtId="38" fontId="141" fillId="0" borderId="0"/>
    <xf numFmtId="0" fontId="142" fillId="0" borderId="0"/>
    <xf numFmtId="0" fontId="142" fillId="0" borderId="0"/>
    <xf numFmtId="37" fontId="8" fillId="0" borderId="0" applyBorder="0" applyAlignment="0">
      <alignment horizontal="left"/>
      <protection locked="0"/>
    </xf>
    <xf numFmtId="0" fontId="11" fillId="73" borderId="0" applyNumberFormat="0" applyBorder="0">
      <alignment horizontal="right"/>
      <protection locked="0"/>
    </xf>
    <xf numFmtId="189" fontId="8" fillId="0" borderId="0" applyFill="0" applyBorder="0" applyAlignment="0"/>
    <xf numFmtId="190" fontId="8" fillId="0" borderId="0" applyFill="0" applyBorder="0" applyAlignment="0"/>
    <xf numFmtId="189" fontId="8" fillId="0" borderId="0" applyFill="0" applyBorder="0" applyAlignment="0"/>
    <xf numFmtId="192" fontId="8" fillId="0" borderId="0" applyFill="0" applyBorder="0" applyAlignment="0"/>
    <xf numFmtId="190" fontId="8" fillId="0" borderId="0" applyFill="0" applyBorder="0" applyAlignment="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4"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5" fillId="0" borderId="14" applyNumberFormat="0" applyFill="0" applyAlignment="0" applyProtection="0"/>
    <xf numFmtId="0" fontId="144"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4"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143" fillId="0" borderId="14" applyNumberFormat="0" applyFill="0" applyAlignment="0" applyProtection="0"/>
    <xf numFmtId="0" fontId="8" fillId="0" borderId="0">
      <alignment vertical="top" wrapText="1"/>
    </xf>
    <xf numFmtId="0" fontId="146" fillId="0" borderId="0" applyFont="0" applyFill="0" applyBorder="0" applyAlignment="0" applyProtection="0"/>
    <xf numFmtId="0" fontId="8" fillId="0" borderId="0">
      <alignment vertical="top" wrapText="1"/>
    </xf>
    <xf numFmtId="0" fontId="8" fillId="0" borderId="0">
      <alignment vertical="top" wrapText="1"/>
    </xf>
    <xf numFmtId="0" fontId="147" fillId="0" borderId="0" applyFont="0" applyFill="0" applyBorder="0" applyAlignment="0" applyProtection="0"/>
    <xf numFmtId="0" fontId="82" fillId="0" borderId="0"/>
    <xf numFmtId="0" fontId="8" fillId="0" borderId="0"/>
    <xf numFmtId="0" fontId="82" fillId="0" borderId="0"/>
    <xf numFmtId="0" fontId="8" fillId="0" borderId="0"/>
    <xf numFmtId="0" fontId="74" fillId="0" borderId="0"/>
    <xf numFmtId="0" fontId="82" fillId="0" borderId="0"/>
    <xf numFmtId="0" fontId="8" fillId="0" borderId="40" applyBorder="0">
      <alignment horizontal="center" vertical="center" wrapText="1"/>
    </xf>
    <xf numFmtId="4" fontId="148" fillId="0" borderId="0" applyFont="0" applyFill="0" applyBorder="0" applyAlignment="0" applyProtection="0"/>
    <xf numFmtId="200" fontId="102" fillId="0" borderId="0" applyFont="0" applyFill="0" applyBorder="0" applyAlignment="0" applyProtection="0"/>
    <xf numFmtId="201" fontId="102" fillId="0" borderId="0" applyFont="0" applyFill="0" applyBorder="0" applyAlignment="0" applyProtection="0"/>
    <xf numFmtId="202" fontId="102" fillId="0" borderId="0" applyFont="0" applyFill="0" applyBorder="0" applyAlignment="0" applyProtection="0"/>
    <xf numFmtId="41" fontId="8" fillId="0" borderId="0" applyFont="0" applyFill="0" applyBorder="0" applyAlignment="0" applyProtection="0"/>
    <xf numFmtId="43" fontId="8" fillId="0" borderId="0" applyFont="0" applyFill="0" applyBorder="0" applyAlignment="0" applyProtection="0"/>
    <xf numFmtId="203" fontId="8" fillId="0" borderId="0" applyFont="0" applyFill="0" applyBorder="0" applyAlignment="0" applyProtection="0"/>
    <xf numFmtId="204" fontId="8" fillId="0" borderId="0" applyFont="0" applyFill="0" applyBorder="0" applyAlignment="0" applyProtection="0"/>
    <xf numFmtId="205" fontId="8" fillId="0" borderId="0" applyFont="0" applyFill="0" applyBorder="0" applyAlignment="0" applyProtection="0"/>
    <xf numFmtId="206" fontId="8" fillId="0" borderId="0" applyFont="0" applyFill="0" applyBorder="0" applyAlignment="0" applyProtection="0"/>
    <xf numFmtId="207" fontId="8" fillId="0" borderId="0" applyFont="0" applyFill="0" applyBorder="0" applyAlignment="0" applyProtection="0"/>
    <xf numFmtId="208" fontId="8" fillId="0" borderId="0" applyFont="0" applyFill="0" applyBorder="0" applyAlignment="0" applyProtection="0"/>
    <xf numFmtId="0" fontId="149" fillId="57"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1"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2" fillId="6" borderId="0" applyNumberFormat="0" applyBorder="0" applyAlignment="0" applyProtection="0"/>
    <xf numFmtId="0" fontId="151"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1"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0" fontId="150" fillId="6" borderId="0" applyNumberFormat="0" applyBorder="0" applyAlignment="0" applyProtection="0"/>
    <xf numFmtId="37" fontId="153" fillId="0" borderId="0"/>
    <xf numFmtId="187" fontId="154" fillId="0" borderId="0"/>
    <xf numFmtId="0" fontId="148" fillId="0" borderId="0"/>
    <xf numFmtId="0" fontId="148" fillId="0" borderId="0"/>
    <xf numFmtId="0" fontId="83" fillId="0" borderId="0"/>
    <xf numFmtId="0" fontId="2" fillId="0" borderId="0"/>
    <xf numFmtId="0" fontId="83" fillId="0" borderId="0"/>
    <xf numFmtId="0" fontId="2" fillId="0" borderId="0"/>
    <xf numFmtId="0" fontId="8" fillId="0" borderId="0"/>
    <xf numFmtId="0" fontId="8" fillId="0" borderId="0"/>
    <xf numFmtId="0"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187" fontId="2" fillId="0" borderId="0"/>
    <xf numFmtId="0" fontId="8" fillId="0" borderId="0"/>
    <xf numFmtId="187" fontId="8" fillId="0" borderId="0"/>
    <xf numFmtId="187"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4" fillId="0" borderId="0"/>
    <xf numFmtId="0" fontId="83" fillId="0" borderId="0"/>
    <xf numFmtId="0" fontId="8" fillId="0" borderId="0">
      <alignment wrapText="1"/>
    </xf>
    <xf numFmtId="0" fontId="8" fillId="0" borderId="0">
      <alignment wrapText="1"/>
    </xf>
    <xf numFmtId="0" fontId="8" fillId="0" borderId="0"/>
    <xf numFmtId="0" fontId="83"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8" fillId="0" borderId="0"/>
    <xf numFmtId="187" fontId="8"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8" fillId="0" borderId="0"/>
    <xf numFmtId="0" fontId="2" fillId="0" borderId="0"/>
    <xf numFmtId="0" fontId="8" fillId="0" borderId="0"/>
    <xf numFmtId="187" fontId="8" fillId="0" borderId="0"/>
    <xf numFmtId="187"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8" fillId="0" borderId="0"/>
    <xf numFmtId="187" fontId="8" fillId="0" borderId="0"/>
    <xf numFmtId="0" fontId="2" fillId="0" borderId="0"/>
    <xf numFmtId="0" fontId="2" fillId="0" borderId="0"/>
    <xf numFmtId="0" fontId="2" fillId="0" borderId="0"/>
    <xf numFmtId="0" fontId="83"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187" fontId="8" fillId="0" borderId="0"/>
    <xf numFmtId="187" fontId="8" fillId="0" borderId="0"/>
    <xf numFmtId="0" fontId="2" fillId="0" borderId="0"/>
    <xf numFmtId="0" fontId="2" fillId="0" borderId="0"/>
    <xf numFmtId="0" fontId="2" fillId="0" borderId="0"/>
    <xf numFmtId="0" fontId="8" fillId="0" borderId="0">
      <alignmen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8" fillId="0" borderId="0"/>
    <xf numFmtId="187"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 fillId="0" borderId="0"/>
    <xf numFmtId="0" fontId="83"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8" fillId="0" borderId="0"/>
    <xf numFmtId="187" fontId="8"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2" fillId="0" borderId="0"/>
    <xf numFmtId="0" fontId="2" fillId="0" borderId="0"/>
    <xf numFmtId="0" fontId="36"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8" fillId="0" borderId="0"/>
    <xf numFmtId="0" fontId="8" fillId="0" borderId="0"/>
    <xf numFmtId="0" fontId="2" fillId="0" borderId="0"/>
    <xf numFmtId="0" fontId="84" fillId="0" borderId="0"/>
    <xf numFmtId="0" fontId="84" fillId="0" borderId="0"/>
    <xf numFmtId="0" fontId="84" fillId="0" borderId="0"/>
    <xf numFmtId="0" fontId="84" fillId="0" borderId="0"/>
    <xf numFmtId="0" fontId="2" fillId="0" borderId="0"/>
    <xf numFmtId="0" fontId="84" fillId="0" borderId="0"/>
    <xf numFmtId="0" fontId="84" fillId="0" borderId="0"/>
    <xf numFmtId="0" fontId="84" fillId="0" borderId="0"/>
    <xf numFmtId="0" fontId="84" fillId="0" borderId="0"/>
    <xf numFmtId="0" fontId="2" fillId="0" borderId="0"/>
    <xf numFmtId="187" fontId="8" fillId="0" borderId="0"/>
    <xf numFmtId="187" fontId="8" fillId="0" borderId="0"/>
    <xf numFmtId="187" fontId="8" fillId="0" borderId="0"/>
    <xf numFmtId="187" fontId="8" fillId="0" borderId="0"/>
    <xf numFmtId="0" fontId="8"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 fillId="0" borderId="0"/>
    <xf numFmtId="0" fontId="2" fillId="0" borderId="0"/>
    <xf numFmtId="0" fontId="2" fillId="0" borderId="0"/>
    <xf numFmtId="0" fontId="2" fillId="0" borderId="0"/>
    <xf numFmtId="0" fontId="8" fillId="0" borderId="0"/>
    <xf numFmtId="0" fontId="8" fillId="0" borderId="0"/>
    <xf numFmtId="0" fontId="84" fillId="0" borderId="0"/>
    <xf numFmtId="0" fontId="8" fillId="0" borderId="0">
      <alignment wrapText="1"/>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3" fillId="0" borderId="0"/>
    <xf numFmtId="0" fontId="83" fillId="0" borderId="0"/>
    <xf numFmtId="0" fontId="8" fillId="0" borderId="0"/>
    <xf numFmtId="0" fontId="83"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1" fillId="0" borderId="0"/>
    <xf numFmtId="0" fontId="2" fillId="0" borderId="0"/>
    <xf numFmtId="0" fontId="2" fillId="0" borderId="0"/>
    <xf numFmtId="0" fontId="2" fillId="0" borderId="0"/>
    <xf numFmtId="0" fontId="2" fillId="0" borderId="0"/>
    <xf numFmtId="0" fontId="2" fillId="0" borderId="0"/>
    <xf numFmtId="0" fontId="2" fillId="0" borderId="0"/>
    <xf numFmtId="0" fontId="36" fillId="0" borderId="0"/>
    <xf numFmtId="0" fontId="36" fillId="0" borderId="0"/>
    <xf numFmtId="0" fontId="83"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8" fillId="0" borderId="0"/>
    <xf numFmtId="0" fontId="2" fillId="0" borderId="0"/>
    <xf numFmtId="0" fontId="8" fillId="0" borderId="0"/>
    <xf numFmtId="0" fontId="83"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 fillId="0" borderId="0"/>
    <xf numFmtId="0" fontId="2"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alignmen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84" fillId="0" borderId="0"/>
    <xf numFmtId="0" fontId="2" fillId="0" borderId="0"/>
    <xf numFmtId="0" fontId="2" fillId="0" borderId="0"/>
    <xf numFmtId="0" fontId="2" fillId="0" borderId="0"/>
    <xf numFmtId="187" fontId="8" fillId="0" borderId="0"/>
    <xf numFmtId="0" fontId="2" fillId="0" borderId="0"/>
    <xf numFmtId="0" fontId="8" fillId="0" borderId="0"/>
    <xf numFmtId="43" fontId="74" fillId="0" borderId="0"/>
    <xf numFmtId="0" fontId="2" fillId="0" borderId="0"/>
    <xf numFmtId="0" fontId="8" fillId="0" borderId="0" applyNumberFormat="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0" fontId="2" fillId="0" borderId="0"/>
    <xf numFmtId="0"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187" fontId="2" fillId="0" borderId="0"/>
    <xf numFmtId="0" fontId="2" fillId="0" borderId="0"/>
    <xf numFmtId="0"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4" fillId="0" borderId="0"/>
    <xf numFmtId="0" fontId="36"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 fillId="0" borderId="0"/>
    <xf numFmtId="0" fontId="2" fillId="0" borderId="0"/>
    <xf numFmtId="0" fontId="2" fillId="0" borderId="0"/>
    <xf numFmtId="187" fontId="2" fillId="0" borderId="0"/>
    <xf numFmtId="0" fontId="2" fillId="0" borderId="0"/>
    <xf numFmtId="0" fontId="2" fillId="0" borderId="0"/>
    <xf numFmtId="187" fontId="2" fillId="0" borderId="0"/>
    <xf numFmtId="0" fontId="2" fillId="0" borderId="0"/>
    <xf numFmtId="0" fontId="2" fillId="0" borderId="0"/>
    <xf numFmtId="0" fontId="2" fillId="0" borderId="0"/>
    <xf numFmtId="0" fontId="8"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187" fontId="8" fillId="0" borderId="0"/>
    <xf numFmtId="187" fontId="8" fillId="0" borderId="0"/>
    <xf numFmtId="187" fontId="2" fillId="0" borderId="0"/>
    <xf numFmtId="187" fontId="2" fillId="0" borderId="0"/>
    <xf numFmtId="187" fontId="8"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8" fillId="0" borderId="0"/>
    <xf numFmtId="209"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alignmen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83"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83" fillId="0" borderId="0"/>
    <xf numFmtId="0" fontId="83"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15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3"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1"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3"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8" fillId="0" borderId="0"/>
    <xf numFmtId="0" fontId="8" fillId="0" borderId="0"/>
    <xf numFmtId="0" fontId="8" fillId="0" borderId="0"/>
    <xf numFmtId="0" fontId="11"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9"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83"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187"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8"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8" fillId="0" borderId="0"/>
    <xf numFmtId="0"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83"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187" fontId="2" fillId="0" borderId="0"/>
    <xf numFmtId="0" fontId="83" fillId="0" borderId="0"/>
    <xf numFmtId="0" fontId="7"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187" fontId="2" fillId="0" borderId="0"/>
    <xf numFmtId="0" fontId="83"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187"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09" fontId="8" fillId="0" borderId="0"/>
    <xf numFmtId="209" fontId="8"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3" fillId="0" borderId="0"/>
    <xf numFmtId="0" fontId="2" fillId="0" borderId="0"/>
    <xf numFmtId="0" fontId="2" fillId="0" borderId="0"/>
    <xf numFmtId="0" fontId="2" fillId="0" borderId="0"/>
    <xf numFmtId="0" fontId="2" fillId="0" borderId="0"/>
    <xf numFmtId="0" fontId="2" fillId="0" borderId="0"/>
    <xf numFmtId="0" fontId="155" fillId="0" borderId="0"/>
    <xf numFmtId="0" fontId="74" fillId="0" borderId="0"/>
    <xf numFmtId="0" fontId="83"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 fillId="0" borderId="0">
      <alignmen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alignment wrapText="1"/>
    </xf>
    <xf numFmtId="187" fontId="2" fillId="0" borderId="0"/>
    <xf numFmtId="187" fontId="2" fillId="0" borderId="0"/>
    <xf numFmtId="0" fontId="2" fillId="0" borderId="0"/>
    <xf numFmtId="0" fontId="2" fillId="0" borderId="0"/>
    <xf numFmtId="0" fontId="2" fillId="0" borderId="0"/>
    <xf numFmtId="0" fontId="8" fillId="0" borderId="0">
      <alignment wrapText="1"/>
    </xf>
    <xf numFmtId="0" fontId="2" fillId="0" borderId="0"/>
    <xf numFmtId="0" fontId="2" fillId="0" borderId="0"/>
    <xf numFmtId="0" fontId="2" fillId="0" borderId="0"/>
    <xf numFmtId="0" fontId="8" fillId="0" borderId="0">
      <alignmen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7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8"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3" fillId="0" borderId="0"/>
    <xf numFmtId="0" fontId="7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74" fillId="0" borderId="0"/>
    <xf numFmtId="0" fontId="83" fillId="0" borderId="0"/>
    <xf numFmtId="0" fontId="7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74"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74" fillId="0" borderId="0"/>
    <xf numFmtId="0" fontId="83" fillId="0" borderId="0"/>
    <xf numFmtId="0" fontId="83" fillId="0" borderId="0"/>
    <xf numFmtId="0" fontId="8" fillId="0" borderId="0">
      <alignment wrapText="1"/>
    </xf>
    <xf numFmtId="0" fontId="83" fillId="0" borderId="0"/>
    <xf numFmtId="0" fontId="74" fillId="0" borderId="0"/>
    <xf numFmtId="0" fontId="83" fillId="0" borderId="0"/>
    <xf numFmtId="0" fontId="74" fillId="0" borderId="0"/>
    <xf numFmtId="0" fontId="83" fillId="0" borderId="0"/>
    <xf numFmtId="0" fontId="74" fillId="0" borderId="0"/>
    <xf numFmtId="0" fontId="83" fillId="0" borderId="0"/>
    <xf numFmtId="0" fontId="83" fillId="0" borderId="0"/>
    <xf numFmtId="0" fontId="74" fillId="0" borderId="0"/>
    <xf numFmtId="0" fontId="83" fillId="0" borderId="0"/>
    <xf numFmtId="0" fontId="74" fillId="0" borderId="0"/>
    <xf numFmtId="0" fontId="2" fillId="0" borderId="0"/>
    <xf numFmtId="0" fontId="8" fillId="0" borderId="0"/>
    <xf numFmtId="0" fontId="1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3" fillId="0" borderId="0"/>
    <xf numFmtId="187" fontId="8" fillId="0" borderId="0"/>
    <xf numFmtId="187"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8"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15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3" fillId="0" borderId="0"/>
    <xf numFmtId="0" fontId="2" fillId="0" borderId="0"/>
    <xf numFmtId="0" fontId="2" fillId="0" borderId="0"/>
    <xf numFmtId="187" fontId="8" fillId="0" borderId="0"/>
    <xf numFmtId="0" fontId="36" fillId="0" borderId="0"/>
    <xf numFmtId="0" fontId="8" fillId="0" borderId="0"/>
    <xf numFmtId="0" fontId="74" fillId="0" borderId="0"/>
    <xf numFmtId="0" fontId="83" fillId="0" borderId="0"/>
    <xf numFmtId="0" fontId="8" fillId="0" borderId="0"/>
    <xf numFmtId="0" fontId="83" fillId="0" borderId="0"/>
    <xf numFmtId="0" fontId="83"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alignment wrapText="1"/>
    </xf>
    <xf numFmtId="0" fontId="8" fillId="0" borderId="0">
      <alignment wrapText="1"/>
    </xf>
    <xf numFmtId="0" fontId="2" fillId="0" borderId="0"/>
    <xf numFmtId="0" fontId="2" fillId="0" borderId="0"/>
    <xf numFmtId="0" fontId="2" fillId="0" borderId="0"/>
    <xf numFmtId="0" fontId="83" fillId="0" borderId="0"/>
    <xf numFmtId="0" fontId="8" fillId="0" borderId="0"/>
    <xf numFmtId="0"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 fillId="0" borderId="0">
      <alignmen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2" fillId="0" borderId="0"/>
    <xf numFmtId="0" fontId="2" fillId="0" borderId="0"/>
    <xf numFmtId="0" fontId="2" fillId="0" borderId="0"/>
    <xf numFmtId="0" fontId="74"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3" fillId="0" borderId="0"/>
    <xf numFmtId="0" fontId="84" fillId="0" borderId="0"/>
    <xf numFmtId="210" fontId="8" fillId="0" borderId="0"/>
    <xf numFmtId="199" fontId="8" fillId="0" borderId="0"/>
    <xf numFmtId="199" fontId="8" fillId="0" borderId="0"/>
    <xf numFmtId="0" fontId="8"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2" fillId="0" borderId="0"/>
    <xf numFmtId="187" fontId="2" fillId="0" borderId="0"/>
    <xf numFmtId="187" fontId="2" fillId="0" borderId="0"/>
    <xf numFmtId="0" fontId="2" fillId="0" borderId="0"/>
    <xf numFmtId="0" fontId="2" fillId="0" borderId="0"/>
    <xf numFmtId="0" fontId="2" fillId="0" borderId="0"/>
    <xf numFmtId="0" fontId="83" fillId="0" borderId="0"/>
    <xf numFmtId="0" fontId="8" fillId="0" borderId="0">
      <alignment wrapText="1"/>
    </xf>
    <xf numFmtId="0" fontId="8" fillId="0" borderId="0">
      <alignment wrapText="1"/>
    </xf>
    <xf numFmtId="0" fontId="2" fillId="0" borderId="0"/>
    <xf numFmtId="0" fontId="2" fillId="0" borderId="0"/>
    <xf numFmtId="0" fontId="2" fillId="0" borderId="0"/>
    <xf numFmtId="0" fontId="8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7" fontId="8" fillId="0" borderId="0"/>
    <xf numFmtId="187" fontId="8" fillId="0" borderId="0"/>
    <xf numFmtId="0" fontId="8" fillId="0" borderId="0"/>
    <xf numFmtId="37" fontId="157" fillId="0" borderId="0"/>
    <xf numFmtId="0" fontId="147" fillId="0" borderId="0"/>
    <xf numFmtId="0" fontId="11" fillId="0" borderId="0"/>
    <xf numFmtId="0" fontId="8" fillId="51" borderId="41"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7"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7"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7"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7"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7"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83" fillId="34" borderId="18" applyNumberFormat="0" applyFont="0" applyAlignment="0" applyProtection="0"/>
    <xf numFmtId="0" fontId="74" fillId="51" borderId="41"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187" fontId="2" fillId="34" borderId="18" applyNumberFormat="0" applyFont="0" applyAlignment="0" applyProtection="0"/>
    <xf numFmtId="187"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84" fillId="34" borderId="18" applyNumberFormat="0" applyFont="0" applyAlignment="0" applyProtection="0"/>
    <xf numFmtId="0" fontId="84" fillId="34" borderId="18" applyNumberFormat="0" applyFont="0" applyAlignment="0" applyProtection="0"/>
    <xf numFmtId="0" fontId="84"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0" fontId="83" fillId="34" borderId="18" applyNumberFormat="0" applyFont="0" applyAlignment="0" applyProtection="0"/>
    <xf numFmtId="49" fontId="148" fillId="0" borderId="0" applyBorder="0">
      <alignment horizontal="centerContinuous"/>
    </xf>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9"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60" fillId="7" borderId="12" applyNumberFormat="0" applyAlignment="0" applyProtection="0"/>
    <xf numFmtId="0" fontId="159"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9"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0" fontId="158" fillId="7" borderId="12" applyNumberFormat="0" applyAlignment="0" applyProtection="0"/>
    <xf numFmtId="184" fontId="8" fillId="0" borderId="0" applyFont="0" applyFill="0" applyBorder="0" applyAlignment="0" applyProtection="0"/>
    <xf numFmtId="211" fontId="8" fillId="0" borderId="0" applyFont="0" applyFill="0" applyBorder="0" applyAlignment="0" applyProtection="0"/>
    <xf numFmtId="10" fontId="8" fillId="0" borderId="0" applyFont="0" applyFill="0" applyBorder="0" applyAlignment="0" applyProtection="0"/>
    <xf numFmtId="10" fontId="8" fillId="0" borderId="0" applyFont="0" applyFill="0" applyBorder="0" applyAlignment="0" applyProtection="0"/>
    <xf numFmtId="212" fontId="161" fillId="0" borderId="0" applyFont="0" applyFill="0" applyBorder="0" applyProtection="0">
      <alignment horizontal="center"/>
      <protection locked="0"/>
    </xf>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7"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162"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alignment wrapText="1"/>
    </xf>
    <xf numFmtId="9" fontId="8" fillId="0" borderId="0" applyFont="0" applyFill="0" applyBorder="0" applyAlignment="0" applyProtection="0">
      <alignment wrapText="1"/>
    </xf>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11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187" fontId="8" fillId="0" borderId="0"/>
    <xf numFmtId="213" fontId="8" fillId="0" borderId="0" applyFont="0" applyFill="0" applyBorder="0" applyAlignment="0" applyProtection="0"/>
    <xf numFmtId="214" fontId="8" fillId="0" borderId="0" applyFont="0" applyFill="0" applyBorder="0" applyAlignment="0" applyProtection="0"/>
    <xf numFmtId="215" fontId="8" fillId="0" borderId="0" applyFont="0" applyFill="0" applyBorder="0" applyAlignment="0" applyProtection="0"/>
    <xf numFmtId="216" fontId="8" fillId="0" borderId="0" applyFont="0" applyFill="0" applyBorder="0" applyAlignment="0" applyProtection="0"/>
    <xf numFmtId="189" fontId="8" fillId="0" borderId="0" applyFill="0" applyBorder="0" applyAlignment="0"/>
    <xf numFmtId="190" fontId="8" fillId="0" borderId="0" applyFill="0" applyBorder="0" applyAlignment="0"/>
    <xf numFmtId="189" fontId="8" fillId="0" borderId="0" applyFill="0" applyBorder="0" applyAlignment="0"/>
    <xf numFmtId="192" fontId="8" fillId="0" borderId="0" applyFill="0" applyBorder="0" applyAlignment="0"/>
    <xf numFmtId="190" fontId="8" fillId="0" borderId="0" applyFill="0" applyBorder="0" applyAlignment="0"/>
    <xf numFmtId="0" fontId="114" fillId="0" borderId="0"/>
    <xf numFmtId="0" fontId="163" fillId="55" borderId="42" applyNumberFormat="0" applyAlignment="0" applyProtection="0"/>
    <xf numFmtId="4" fontId="164" fillId="74" borderId="43" applyNumberFormat="0" applyProtection="0">
      <alignment vertical="center"/>
    </xf>
    <xf numFmtId="4" fontId="165" fillId="72" borderId="43" applyNumberFormat="0" applyProtection="0">
      <alignment vertical="center"/>
    </xf>
    <xf numFmtId="4" fontId="164" fillId="75" borderId="43" applyNumberFormat="0" applyProtection="0">
      <alignment horizontal="left" vertical="center" indent="1"/>
    </xf>
    <xf numFmtId="0" fontId="77" fillId="72" borderId="43" applyNumberFormat="0" applyProtection="0">
      <alignment horizontal="left" vertical="top" indent="1"/>
    </xf>
    <xf numFmtId="4" fontId="164" fillId="76" borderId="22" applyNumberFormat="0" applyProtection="0">
      <alignment horizontal="left" vertical="center" indent="1"/>
    </xf>
    <xf numFmtId="4" fontId="11" fillId="48" borderId="43" applyNumberFormat="0" applyProtection="0">
      <alignment horizontal="right" vertical="center"/>
    </xf>
    <xf numFmtId="4" fontId="11" fillId="49" borderId="43" applyNumberFormat="0" applyProtection="0">
      <alignment horizontal="right" vertical="center"/>
    </xf>
    <xf numFmtId="4" fontId="164" fillId="65" borderId="43" applyNumberFormat="0" applyProtection="0">
      <alignment horizontal="right" vertical="center"/>
    </xf>
    <xf numFmtId="4" fontId="11" fillId="58" borderId="43" applyNumberFormat="0" applyProtection="0">
      <alignment horizontal="right" vertical="center"/>
    </xf>
    <xf numFmtId="4" fontId="11" fillId="62" borderId="43" applyNumberFormat="0" applyProtection="0">
      <alignment horizontal="right" vertical="center"/>
    </xf>
    <xf numFmtId="4" fontId="164" fillId="67" borderId="43" applyNumberFormat="0" applyProtection="0">
      <alignment horizontal="right" vertical="center"/>
    </xf>
    <xf numFmtId="4" fontId="11" fillId="66" borderId="43" applyNumberFormat="0" applyProtection="0">
      <alignment horizontal="right" vertical="center"/>
    </xf>
    <xf numFmtId="4" fontId="11" fillId="77" borderId="43" applyNumberFormat="0" applyProtection="0">
      <alignment horizontal="right" vertical="center"/>
    </xf>
    <xf numFmtId="4" fontId="164" fillId="56" borderId="43" applyNumberFormat="0" applyProtection="0">
      <alignment horizontal="right" vertical="center"/>
    </xf>
    <xf numFmtId="4" fontId="166" fillId="78" borderId="44" applyNumberFormat="0" applyProtection="0">
      <alignment horizontal="left" vertical="center" indent="1"/>
    </xf>
    <xf numFmtId="4" fontId="164" fillId="79" borderId="0" applyNumberFormat="0" applyProtection="0">
      <alignment horizontal="left" vertical="center" indent="1"/>
    </xf>
    <xf numFmtId="4" fontId="164" fillId="80" borderId="0" applyNumberFormat="0" applyProtection="0">
      <alignment horizontal="left" vertical="center" indent="1"/>
    </xf>
    <xf numFmtId="4" fontId="11" fillId="81" borderId="43" applyNumberFormat="0" applyProtection="0">
      <alignment horizontal="right" vertical="center"/>
    </xf>
    <xf numFmtId="4" fontId="11" fillId="0" borderId="0" applyNumberFormat="0" applyProtection="0">
      <alignment horizontal="left" vertical="center" indent="1"/>
    </xf>
    <xf numFmtId="4" fontId="11" fillId="82" borderId="6" applyNumberFormat="0" applyProtection="0">
      <alignment horizontal="left" vertical="center" indent="1"/>
    </xf>
    <xf numFmtId="0" fontId="8" fillId="80" borderId="43" applyNumberFormat="0" applyProtection="0">
      <alignment horizontal="left" vertical="center" indent="1"/>
    </xf>
    <xf numFmtId="0" fontId="8" fillId="80" borderId="43" applyNumberFormat="0" applyProtection="0">
      <alignment horizontal="left" vertical="top" indent="1"/>
    </xf>
    <xf numFmtId="0" fontId="8" fillId="83" borderId="43" applyNumberFormat="0" applyProtection="0">
      <alignment horizontal="left" vertical="center" indent="1"/>
    </xf>
    <xf numFmtId="0" fontId="8" fillId="83" borderId="43" applyNumberFormat="0" applyProtection="0">
      <alignment horizontal="left" vertical="top" indent="1"/>
    </xf>
    <xf numFmtId="0" fontId="8" fillId="84" borderId="43" applyNumberFormat="0" applyProtection="0">
      <alignment horizontal="left" vertical="center" indent="1"/>
    </xf>
    <xf numFmtId="0" fontId="8" fillId="84" borderId="43" applyNumberFormat="0" applyProtection="0">
      <alignment horizontal="left" vertical="top" indent="1"/>
    </xf>
    <xf numFmtId="0" fontId="8" fillId="85" borderId="43" applyNumberFormat="0" applyProtection="0">
      <alignment horizontal="left" vertical="center" indent="1"/>
    </xf>
    <xf numFmtId="0" fontId="8" fillId="85" borderId="43" applyNumberFormat="0" applyProtection="0">
      <alignment horizontal="left" vertical="top" indent="1"/>
    </xf>
    <xf numFmtId="4" fontId="11" fillId="71" borderId="43" applyNumberFormat="0" applyProtection="0">
      <alignment vertical="center"/>
    </xf>
    <xf numFmtId="4" fontId="167" fillId="71" borderId="43" applyNumberFormat="0" applyProtection="0">
      <alignment vertical="center"/>
    </xf>
    <xf numFmtId="4" fontId="11" fillId="71" borderId="43" applyNumberFormat="0" applyProtection="0">
      <alignment horizontal="left" vertical="center" indent="1"/>
    </xf>
    <xf numFmtId="0" fontId="11" fillId="71" borderId="43" applyNumberFormat="0" applyProtection="0">
      <alignment horizontal="left" vertical="top" indent="1"/>
    </xf>
    <xf numFmtId="4" fontId="164" fillId="0" borderId="43" applyNumberFormat="0" applyProtection="0">
      <alignment horizontal="right" vertical="center"/>
    </xf>
    <xf numFmtId="4" fontId="167" fillId="86" borderId="43" applyNumberFormat="0" applyProtection="0">
      <alignment horizontal="right" vertical="center"/>
    </xf>
    <xf numFmtId="4" fontId="164" fillId="0" borderId="43" applyNumberFormat="0" applyProtection="0">
      <alignment horizontal="left" vertical="center" indent="1"/>
    </xf>
    <xf numFmtId="0" fontId="164" fillId="0" borderId="43" applyNumberFormat="0" applyProtection="0">
      <alignment horizontal="left" vertical="top" indent="1"/>
    </xf>
    <xf numFmtId="4" fontId="168" fillId="87" borderId="0" applyNumberFormat="0" applyProtection="0">
      <alignment horizontal="left" vertical="center" indent="1"/>
    </xf>
    <xf numFmtId="4" fontId="169" fillId="86" borderId="43" applyNumberFormat="0" applyProtection="0">
      <alignment horizontal="right" vertical="center"/>
    </xf>
    <xf numFmtId="41" fontId="8" fillId="0" borderId="0" applyFont="0" applyFill="0" applyBorder="0" applyAlignment="0" applyProtection="0"/>
    <xf numFmtId="43" fontId="8" fillId="0" borderId="0" applyFont="0" applyFill="0" applyBorder="0" applyAlignment="0" applyProtection="0"/>
    <xf numFmtId="0" fontId="8" fillId="70" borderId="45" applyBorder="0" applyAlignment="0">
      <alignment horizontal="center" vertical="top"/>
    </xf>
    <xf numFmtId="3" fontId="114" fillId="0" borderId="0"/>
    <xf numFmtId="0" fontId="8" fillId="0" borderId="0"/>
    <xf numFmtId="0" fontId="8" fillId="0" borderId="0"/>
    <xf numFmtId="0" fontId="8" fillId="0" borderId="0"/>
    <xf numFmtId="0" fontId="8" fillId="0" borderId="0"/>
    <xf numFmtId="0" fontId="8" fillId="0" borderId="0"/>
    <xf numFmtId="217" fontId="8" fillId="0" borderId="0" applyNumberFormat="0" applyFill="0" applyBorder="0" applyProtection="0"/>
    <xf numFmtId="49" fontId="11" fillId="0" borderId="0" applyFill="0" applyBorder="0" applyAlignment="0"/>
    <xf numFmtId="218" fontId="8" fillId="0" borderId="0" applyFill="0" applyBorder="0" applyAlignment="0"/>
    <xf numFmtId="193" fontId="8" fillId="0" borderId="0" applyFill="0" applyBorder="0" applyAlignment="0"/>
    <xf numFmtId="0" fontId="170" fillId="0" borderId="0" applyNumberFormat="0" applyFill="0" applyBorder="0" applyAlignment="0" applyProtection="0"/>
    <xf numFmtId="0" fontId="171" fillId="0" borderId="0" applyNumberFormat="0" applyFill="0" applyBorder="0" applyAlignment="0" applyProtection="0"/>
    <xf numFmtId="0" fontId="8" fillId="0" borderId="0"/>
    <xf numFmtId="0" fontId="8" fillId="0" borderId="0"/>
    <xf numFmtId="0" fontId="8" fillId="0" borderId="0"/>
    <xf numFmtId="0" fontId="8" fillId="0" borderId="0"/>
    <xf numFmtId="199" fontId="172" fillId="88" borderId="0" applyNumberFormat="0">
      <alignment vertical="center"/>
    </xf>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214" fontId="8" fillId="0" borderId="0" applyNumberFormat="0" applyFill="0" applyBorder="0" applyProtection="0">
      <alignment horizontal="right" vertical="center" wrapText="1"/>
    </xf>
    <xf numFmtId="0" fontId="11" fillId="73" borderId="0" applyNumberFormat="0" applyBorder="0">
      <alignment horizontal="center"/>
      <protection locked="0"/>
    </xf>
    <xf numFmtId="0" fontId="11" fillId="73" borderId="0" applyNumberFormat="0" applyBorder="0">
      <alignment horizontal="left"/>
      <protection locked="0"/>
    </xf>
    <xf numFmtId="214" fontId="8" fillId="0" borderId="0" applyNumberFormat="0" applyFill="0" applyBorder="0" applyProtection="0">
      <alignment horizontal="right" vertical="center" wrapText="1"/>
    </xf>
    <xf numFmtId="0" fontId="173" fillId="0" borderId="0" applyNumberFormat="0" applyFill="0" applyBorder="0" applyAlignment="0" applyProtection="0"/>
    <xf numFmtId="0" fontId="125" fillId="0" borderId="36" applyNumberFormat="0" applyFill="0" applyAlignment="0" applyProtection="0"/>
    <xf numFmtId="0" fontId="127" fillId="0" borderId="37" applyNumberFormat="0" applyFill="0" applyAlignment="0" applyProtection="0"/>
    <xf numFmtId="0" fontId="129" fillId="0" borderId="38" applyNumberFormat="0" applyFill="0" applyAlignment="0" applyProtection="0"/>
    <xf numFmtId="0" fontId="129" fillId="0" borderId="0" applyNumberFormat="0" applyFill="0" applyBorder="0" applyAlignment="0" applyProtection="0"/>
    <xf numFmtId="0" fontId="8" fillId="0" borderId="40" applyBorder="0">
      <alignment horizontal="center" vertical="top" wrapText="1"/>
    </xf>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78"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5" fillId="0" borderId="16" applyNumberFormat="0" applyFill="0" applyAlignment="0" applyProtection="0"/>
    <xf numFmtId="0" fontId="78"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78"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0" fontId="174" fillId="0" borderId="16" applyNumberFormat="0" applyFill="0" applyAlignment="0" applyProtection="0"/>
    <xf numFmtId="219" fontId="14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79"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7" fillId="0" borderId="0" applyNumberFormat="0" applyFill="0" applyBorder="0" applyAlignment="0" applyProtection="0"/>
    <xf numFmtId="0" fontId="79"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79"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6" fillId="0" borderId="0" applyNumberFormat="0" applyFill="0" applyBorder="0" applyAlignment="0" applyProtection="0"/>
    <xf numFmtId="0" fontId="178" fillId="0" borderId="0"/>
    <xf numFmtId="43" fontId="8" fillId="0" borderId="0" applyFont="0" applyFill="0" applyBorder="0" applyAlignment="0" applyProtection="0"/>
    <xf numFmtId="220" fontId="179" fillId="0" borderId="0" applyFont="0" applyFill="0" applyBorder="0" applyAlignment="0" applyProtection="0"/>
    <xf numFmtId="221" fontId="179" fillId="0" borderId="0" applyFont="0" applyFill="0" applyBorder="0" applyAlignment="0" applyProtection="0"/>
    <xf numFmtId="0" fontId="180" fillId="0" borderId="0"/>
    <xf numFmtId="0" fontId="8" fillId="0" borderId="0"/>
    <xf numFmtId="43" fontId="8" fillId="0" borderId="0" applyFont="0" applyFill="0" applyBorder="0" applyAlignment="0" applyProtection="0"/>
    <xf numFmtId="0" fontId="8" fillId="0" borderId="0" applyBorder="0"/>
    <xf numFmtId="43" fontId="8" fillId="0" borderId="0" applyFont="0" applyFill="0" applyBorder="0" applyAlignment="0" applyProtection="0"/>
    <xf numFmtId="38" fontId="181" fillId="0" borderId="0" applyFont="0" applyFill="0" applyBorder="0" applyAlignment="0" applyProtection="0">
      <alignment vertical="center"/>
    </xf>
    <xf numFmtId="0" fontId="8" fillId="0" borderId="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74" fillId="46" borderId="0" applyNumberFormat="0" applyBorder="0" applyAlignment="0" applyProtection="0"/>
    <xf numFmtId="0" fontId="7"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74" fillId="46" borderId="0" applyNumberFormat="0" applyBorder="0" applyAlignment="0" applyProtection="0"/>
    <xf numFmtId="0" fontId="74" fillId="46" borderId="0" applyNumberFormat="0" applyBorder="0" applyAlignment="0" applyProtection="0"/>
    <xf numFmtId="0" fontId="74" fillId="46" borderId="0" applyNumberFormat="0" applyBorder="0" applyAlignment="0" applyProtection="0"/>
    <xf numFmtId="0" fontId="74" fillId="46"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7"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74" fillId="46"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4"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156"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83" fillId="10" borderId="0" applyNumberFormat="0" applyBorder="0" applyAlignment="0" applyProtection="0"/>
    <xf numFmtId="0" fontId="74" fillId="46"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74" fillId="48" borderId="0" applyNumberFormat="0" applyBorder="0" applyAlignment="0" applyProtection="0"/>
    <xf numFmtId="0" fontId="7"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74" fillId="48" borderId="0" applyNumberFormat="0" applyBorder="0" applyAlignment="0" applyProtection="0"/>
    <xf numFmtId="0" fontId="74" fillId="48" borderId="0" applyNumberFormat="0" applyBorder="0" applyAlignment="0" applyProtection="0"/>
    <xf numFmtId="0" fontId="74" fillId="48" borderId="0" applyNumberFormat="0" applyBorder="0" applyAlignment="0" applyProtection="0"/>
    <xf numFmtId="0" fontId="74" fillId="48"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7"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74" fillId="48"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4"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156"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83" fillId="14" borderId="0" applyNumberFormat="0" applyBorder="0" applyAlignment="0" applyProtection="0"/>
    <xf numFmtId="0" fontId="74" fillId="48"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0" fontId="7"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7"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74" fillId="50"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4"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156"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83" fillId="18" borderId="0" applyNumberFormat="0" applyBorder="0" applyAlignment="0" applyProtection="0"/>
    <xf numFmtId="0" fontId="74" fillId="50"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7"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74" fillId="52"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4"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156"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83" fillId="22" borderId="0" applyNumberFormat="0" applyBorder="0" applyAlignment="0" applyProtection="0"/>
    <xf numFmtId="0" fontId="74" fillId="5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7"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4"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156"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83" fillId="26" borderId="0" applyNumberFormat="0" applyBorder="0" applyAlignment="0" applyProtection="0"/>
    <xf numFmtId="0" fontId="74" fillId="53"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7"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74" fillId="47"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74" fillId="51"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4"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156"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83" fillId="30" borderId="0" applyNumberFormat="0" applyBorder="0" applyAlignment="0" applyProtection="0"/>
    <xf numFmtId="0" fontId="74" fillId="47"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7"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74" fillId="54"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4"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156"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83" fillId="11" borderId="0" applyNumberFormat="0" applyBorder="0" applyAlignment="0" applyProtection="0"/>
    <xf numFmtId="0" fontId="74" fillId="54"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7"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4"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156"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83" fillId="15" borderId="0" applyNumberFormat="0" applyBorder="0" applyAlignment="0" applyProtection="0"/>
    <xf numFmtId="0" fontId="74" fillId="49"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5"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74" fillId="56" borderId="0" applyNumberFormat="0" applyBorder="0" applyAlignment="0" applyProtection="0"/>
    <xf numFmtId="0" fontId="7"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74" fillId="56" borderId="0" applyNumberFormat="0" applyBorder="0" applyAlignment="0" applyProtection="0"/>
    <xf numFmtId="0" fontId="74" fillId="56" borderId="0" applyNumberFormat="0" applyBorder="0" applyAlignment="0" applyProtection="0"/>
    <xf numFmtId="0" fontId="74" fillId="56" borderId="0" applyNumberFormat="0" applyBorder="0" applyAlignment="0" applyProtection="0"/>
    <xf numFmtId="0" fontId="74" fillId="56"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7"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74" fillId="56"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4"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156"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83" fillId="19" borderId="0" applyNumberFormat="0" applyBorder="0" applyAlignment="0" applyProtection="0"/>
    <xf numFmtId="0" fontId="74" fillId="56"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7"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74" fillId="52"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74" fillId="55"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4"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156"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83" fillId="23" borderId="0" applyNumberFormat="0" applyBorder="0" applyAlignment="0" applyProtection="0"/>
    <xf numFmtId="0" fontId="74" fillId="52"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7"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4"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156"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83" fillId="27" borderId="0" applyNumberFormat="0" applyBorder="0" applyAlignment="0" applyProtection="0"/>
    <xf numFmtId="0" fontId="74" fillId="54"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74" fillId="58" borderId="0" applyNumberFormat="0" applyBorder="0" applyAlignment="0" applyProtection="0"/>
    <xf numFmtId="0" fontId="7"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74" fillId="58" borderId="0" applyNumberFormat="0" applyBorder="0" applyAlignment="0" applyProtection="0"/>
    <xf numFmtId="0" fontId="74" fillId="58" borderId="0" applyNumberFormat="0" applyBorder="0" applyAlignment="0" applyProtection="0"/>
    <xf numFmtId="0" fontId="74" fillId="58" borderId="0" applyNumberFormat="0" applyBorder="0" applyAlignment="0" applyProtection="0"/>
    <xf numFmtId="0" fontId="74" fillId="58"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7"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74" fillId="58"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74" fillId="5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4"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156"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3" fillId="31" borderId="0" applyNumberFormat="0" applyBorder="0" applyAlignment="0" applyProtection="0"/>
    <xf numFmtId="0" fontId="74" fillId="58"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85" fillId="12" borderId="0" applyNumberFormat="0" applyBorder="0" applyAlignment="0" applyProtection="0"/>
    <xf numFmtId="0" fontId="87" fillId="59" borderId="0" applyNumberFormat="0" applyBorder="0" applyAlignment="0" applyProtection="0"/>
    <xf numFmtId="0" fontId="85" fillId="12" borderId="0" applyNumberFormat="0" applyBorder="0" applyAlignment="0" applyProtection="0"/>
    <xf numFmtId="0" fontId="87" fillId="59" borderId="0" applyNumberFormat="0" applyBorder="0" applyAlignment="0" applyProtection="0"/>
    <xf numFmtId="0" fontId="85" fillId="12" borderId="0" applyNumberFormat="0" applyBorder="0" applyAlignment="0" applyProtection="0"/>
    <xf numFmtId="0" fontId="87" fillId="59" borderId="0" applyNumberFormat="0" applyBorder="0" applyAlignment="0" applyProtection="0"/>
    <xf numFmtId="0" fontId="85" fillId="12" borderId="0" applyNumberFormat="0" applyBorder="0" applyAlignment="0" applyProtection="0"/>
    <xf numFmtId="0" fontId="87" fillId="59" borderId="0" applyNumberFormat="0" applyBorder="0" applyAlignment="0" applyProtection="0"/>
    <xf numFmtId="0" fontId="85" fillId="12" borderId="0" applyNumberFormat="0" applyBorder="0" applyAlignment="0" applyProtection="0"/>
    <xf numFmtId="0" fontId="87" fillId="59" borderId="0" applyNumberFormat="0" applyBorder="0" applyAlignment="0" applyProtection="0"/>
    <xf numFmtId="0" fontId="85" fillId="12" borderId="0" applyNumberFormat="0" applyBorder="0" applyAlignment="0" applyProtection="0"/>
    <xf numFmtId="0" fontId="87" fillId="59" borderId="0" applyNumberFormat="0" applyBorder="0" applyAlignment="0" applyProtection="0"/>
    <xf numFmtId="0" fontId="85" fillId="12" borderId="0" applyNumberFormat="0" applyBorder="0" applyAlignment="0" applyProtection="0"/>
    <xf numFmtId="0" fontId="87" fillId="59" borderId="0" applyNumberFormat="0" applyBorder="0" applyAlignment="0" applyProtection="0"/>
    <xf numFmtId="0" fontId="85" fillId="12" borderId="0" applyNumberFormat="0" applyBorder="0" applyAlignment="0" applyProtection="0"/>
    <xf numFmtId="0" fontId="87" fillId="59" borderId="0" applyNumberFormat="0" applyBorder="0" applyAlignment="0" applyProtection="0"/>
    <xf numFmtId="0" fontId="85" fillId="12" borderId="0" applyNumberFormat="0" applyBorder="0" applyAlignment="0" applyProtection="0"/>
    <xf numFmtId="0" fontId="87" fillId="59" borderId="0" applyNumberFormat="0" applyBorder="0" applyAlignment="0" applyProtection="0"/>
    <xf numFmtId="0" fontId="87" fillId="59" borderId="0" applyNumberFormat="0" applyBorder="0" applyAlignment="0" applyProtection="0"/>
    <xf numFmtId="0" fontId="12" fillId="12" borderId="0" applyNumberFormat="0" applyBorder="0" applyAlignment="0" applyProtection="0"/>
    <xf numFmtId="0" fontId="71" fillId="12" borderId="0" applyNumberFormat="0" applyBorder="0" applyAlignment="0" applyProtection="0"/>
    <xf numFmtId="0" fontId="182" fillId="12" borderId="0" applyNumberFormat="0" applyBorder="0" applyAlignment="0" applyProtection="0"/>
    <xf numFmtId="0" fontId="87" fillId="59" borderId="0" applyNumberFormat="0" applyBorder="0" applyAlignment="0" applyProtection="0"/>
    <xf numFmtId="0" fontId="87" fillId="59" borderId="0" applyNumberFormat="0" applyBorder="0" applyAlignment="0" applyProtection="0"/>
    <xf numFmtId="0" fontId="87" fillId="59" borderId="0" applyNumberFormat="0" applyBorder="0" applyAlignment="0" applyProtection="0"/>
    <xf numFmtId="0" fontId="87" fillId="59" borderId="0" applyNumberFormat="0" applyBorder="0" applyAlignment="0" applyProtection="0"/>
    <xf numFmtId="0" fontId="87" fillId="59" borderId="0" applyNumberFormat="0" applyBorder="0" applyAlignment="0" applyProtection="0"/>
    <xf numFmtId="0" fontId="87" fillId="59" borderId="0" applyNumberFormat="0" applyBorder="0" applyAlignment="0" applyProtection="0"/>
    <xf numFmtId="0" fontId="87" fillId="59" borderId="0" applyNumberFormat="0" applyBorder="0" applyAlignment="0" applyProtection="0"/>
    <xf numFmtId="0" fontId="87" fillId="59" borderId="0" applyNumberFormat="0" applyBorder="0" applyAlignment="0" applyProtection="0"/>
    <xf numFmtId="0" fontId="71" fillId="12" borderId="0" applyNumberFormat="0" applyBorder="0" applyAlignment="0" applyProtection="0"/>
    <xf numFmtId="0" fontId="71" fillId="12" borderId="0" applyNumberFormat="0" applyBorder="0" applyAlignment="0" applyProtection="0"/>
    <xf numFmtId="0" fontId="12" fillId="12" borderId="0" applyNumberFormat="0" applyBorder="0" applyAlignment="0" applyProtection="0"/>
    <xf numFmtId="0" fontId="87" fillId="59" borderId="0" applyNumberFormat="0" applyBorder="0" applyAlignment="0" applyProtection="0"/>
    <xf numFmtId="0" fontId="71" fillId="12" borderId="0" applyNumberFormat="0" applyBorder="0" applyAlignment="0" applyProtection="0"/>
    <xf numFmtId="0" fontId="85" fillId="12" borderId="0" applyNumberFormat="0" applyBorder="0" applyAlignment="0" applyProtection="0"/>
    <xf numFmtId="0" fontId="87" fillId="59" borderId="0" applyNumberFormat="0" applyBorder="0" applyAlignment="0" applyProtection="0"/>
    <xf numFmtId="0" fontId="85" fillId="12" borderId="0" applyNumberFormat="0" applyBorder="0" applyAlignment="0" applyProtection="0"/>
    <xf numFmtId="0" fontId="87" fillId="59" borderId="0" applyNumberFormat="0" applyBorder="0" applyAlignment="0" applyProtection="0"/>
    <xf numFmtId="0" fontId="85" fillId="12" borderId="0" applyNumberFormat="0" applyBorder="0" applyAlignment="0" applyProtection="0"/>
    <xf numFmtId="0" fontId="87" fillId="59" borderId="0" applyNumberFormat="0" applyBorder="0" applyAlignment="0" applyProtection="0"/>
    <xf numFmtId="0" fontId="85" fillId="12" borderId="0" applyNumberFormat="0" applyBorder="0" applyAlignment="0" applyProtection="0"/>
    <xf numFmtId="0" fontId="87" fillId="59" borderId="0" applyNumberFormat="0" applyBorder="0" applyAlignment="0" applyProtection="0"/>
    <xf numFmtId="0" fontId="85" fillId="12" borderId="0" applyNumberFormat="0" applyBorder="0" applyAlignment="0" applyProtection="0"/>
    <xf numFmtId="0" fontId="87" fillId="59" borderId="0" applyNumberFormat="0" applyBorder="0" applyAlignment="0" applyProtection="0"/>
    <xf numFmtId="0" fontId="85" fillId="12" borderId="0" applyNumberFormat="0" applyBorder="0" applyAlignment="0" applyProtection="0"/>
    <xf numFmtId="0" fontId="87" fillId="59" borderId="0" applyNumberFormat="0" applyBorder="0" applyAlignment="0" applyProtection="0"/>
    <xf numFmtId="0" fontId="85" fillId="16" borderId="0" applyNumberFormat="0" applyBorder="0" applyAlignment="0" applyProtection="0"/>
    <xf numFmtId="0" fontId="87" fillId="49" borderId="0" applyNumberFormat="0" applyBorder="0" applyAlignment="0" applyProtection="0"/>
    <xf numFmtId="0" fontId="85" fillId="16" borderId="0" applyNumberFormat="0" applyBorder="0" applyAlignment="0" applyProtection="0"/>
    <xf numFmtId="0" fontId="87" fillId="49" borderId="0" applyNumberFormat="0" applyBorder="0" applyAlignment="0" applyProtection="0"/>
    <xf numFmtId="0" fontId="85" fillId="16" borderId="0" applyNumberFormat="0" applyBorder="0" applyAlignment="0" applyProtection="0"/>
    <xf numFmtId="0" fontId="87" fillId="49" borderId="0" applyNumberFormat="0" applyBorder="0" applyAlignment="0" applyProtection="0"/>
    <xf numFmtId="0" fontId="85" fillId="16" borderId="0" applyNumberFormat="0" applyBorder="0" applyAlignment="0" applyProtection="0"/>
    <xf numFmtId="0" fontId="87" fillId="49" borderId="0" applyNumberFormat="0" applyBorder="0" applyAlignment="0" applyProtection="0"/>
    <xf numFmtId="0" fontId="85" fillId="16" borderId="0" applyNumberFormat="0" applyBorder="0" applyAlignment="0" applyProtection="0"/>
    <xf numFmtId="0" fontId="87" fillId="49" borderId="0" applyNumberFormat="0" applyBorder="0" applyAlignment="0" applyProtection="0"/>
    <xf numFmtId="0" fontId="85" fillId="16" borderId="0" applyNumberFormat="0" applyBorder="0" applyAlignment="0" applyProtection="0"/>
    <xf numFmtId="0" fontId="87" fillId="49" borderId="0" applyNumberFormat="0" applyBorder="0" applyAlignment="0" applyProtection="0"/>
    <xf numFmtId="0" fontId="85" fillId="16" borderId="0" applyNumberFormat="0" applyBorder="0" applyAlignment="0" applyProtection="0"/>
    <xf numFmtId="0" fontId="87" fillId="49" borderId="0" applyNumberFormat="0" applyBorder="0" applyAlignment="0" applyProtection="0"/>
    <xf numFmtId="0" fontId="85" fillId="16" borderId="0" applyNumberFormat="0" applyBorder="0" applyAlignment="0" applyProtection="0"/>
    <xf numFmtId="0" fontId="87" fillId="49" borderId="0" applyNumberFormat="0" applyBorder="0" applyAlignment="0" applyProtection="0"/>
    <xf numFmtId="0" fontId="85" fillId="16" borderId="0" applyNumberFormat="0" applyBorder="0" applyAlignment="0" applyProtection="0"/>
    <xf numFmtId="0" fontId="87" fillId="49" borderId="0" applyNumberFormat="0" applyBorder="0" applyAlignment="0" applyProtection="0"/>
    <xf numFmtId="0" fontId="87" fillId="49" borderId="0" applyNumberFormat="0" applyBorder="0" applyAlignment="0" applyProtection="0"/>
    <xf numFmtId="0" fontId="12" fillId="16" borderId="0" applyNumberFormat="0" applyBorder="0" applyAlignment="0" applyProtection="0"/>
    <xf numFmtId="0" fontId="71" fillId="16" borderId="0" applyNumberFormat="0" applyBorder="0" applyAlignment="0" applyProtection="0"/>
    <xf numFmtId="0" fontId="182" fillId="16" borderId="0" applyNumberFormat="0" applyBorder="0" applyAlignment="0" applyProtection="0"/>
    <xf numFmtId="0" fontId="87" fillId="49" borderId="0" applyNumberFormat="0" applyBorder="0" applyAlignment="0" applyProtection="0"/>
    <xf numFmtId="0" fontId="87" fillId="49" borderId="0" applyNumberFormat="0" applyBorder="0" applyAlignment="0" applyProtection="0"/>
    <xf numFmtId="0" fontId="87" fillId="49" borderId="0" applyNumberFormat="0" applyBorder="0" applyAlignment="0" applyProtection="0"/>
    <xf numFmtId="0" fontId="87" fillId="49" borderId="0" applyNumberFormat="0" applyBorder="0" applyAlignment="0" applyProtection="0"/>
    <xf numFmtId="0" fontId="87" fillId="49" borderId="0" applyNumberFormat="0" applyBorder="0" applyAlignment="0" applyProtection="0"/>
    <xf numFmtId="0" fontId="87" fillId="49" borderId="0" applyNumberFormat="0" applyBorder="0" applyAlignment="0" applyProtection="0"/>
    <xf numFmtId="0" fontId="87" fillId="49" borderId="0" applyNumberFormat="0" applyBorder="0" applyAlignment="0" applyProtection="0"/>
    <xf numFmtId="0" fontId="87" fillId="49" borderId="0" applyNumberFormat="0" applyBorder="0" applyAlignment="0" applyProtection="0"/>
    <xf numFmtId="0" fontId="71" fillId="16" borderId="0" applyNumberFormat="0" applyBorder="0" applyAlignment="0" applyProtection="0"/>
    <xf numFmtId="0" fontId="71" fillId="16" borderId="0" applyNumberFormat="0" applyBorder="0" applyAlignment="0" applyProtection="0"/>
    <xf numFmtId="0" fontId="12" fillId="16" borderId="0" applyNumberFormat="0" applyBorder="0" applyAlignment="0" applyProtection="0"/>
    <xf numFmtId="0" fontId="87" fillId="49" borderId="0" applyNumberFormat="0" applyBorder="0" applyAlignment="0" applyProtection="0"/>
    <xf numFmtId="0" fontId="71" fillId="16" borderId="0" applyNumberFormat="0" applyBorder="0" applyAlignment="0" applyProtection="0"/>
    <xf numFmtId="0" fontId="85" fillId="16" borderId="0" applyNumberFormat="0" applyBorder="0" applyAlignment="0" applyProtection="0"/>
    <xf numFmtId="0" fontId="87" fillId="49" borderId="0" applyNumberFormat="0" applyBorder="0" applyAlignment="0" applyProtection="0"/>
    <xf numFmtId="0" fontId="85" fillId="16" borderId="0" applyNumberFormat="0" applyBorder="0" applyAlignment="0" applyProtection="0"/>
    <xf numFmtId="0" fontId="87" fillId="49" borderId="0" applyNumberFormat="0" applyBorder="0" applyAlignment="0" applyProtection="0"/>
    <xf numFmtId="0" fontId="85" fillId="16" borderId="0" applyNumberFormat="0" applyBorder="0" applyAlignment="0" applyProtection="0"/>
    <xf numFmtId="0" fontId="87" fillId="49" borderId="0" applyNumberFormat="0" applyBorder="0" applyAlignment="0" applyProtection="0"/>
    <xf numFmtId="0" fontId="85" fillId="16" borderId="0" applyNumberFormat="0" applyBorder="0" applyAlignment="0" applyProtection="0"/>
    <xf numFmtId="0" fontId="87" fillId="49" borderId="0" applyNumberFormat="0" applyBorder="0" applyAlignment="0" applyProtection="0"/>
    <xf numFmtId="0" fontId="85" fillId="16" borderId="0" applyNumberFormat="0" applyBorder="0" applyAlignment="0" applyProtection="0"/>
    <xf numFmtId="0" fontId="87" fillId="49" borderId="0" applyNumberFormat="0" applyBorder="0" applyAlignment="0" applyProtection="0"/>
    <xf numFmtId="0" fontId="85" fillId="16" borderId="0" applyNumberFormat="0" applyBorder="0" applyAlignment="0" applyProtection="0"/>
    <xf numFmtId="0" fontId="87" fillId="49" borderId="0" applyNumberFormat="0" applyBorder="0" applyAlignment="0" applyProtection="0"/>
    <xf numFmtId="0" fontId="85" fillId="20" borderId="0" applyNumberFormat="0" applyBorder="0" applyAlignment="0" applyProtection="0"/>
    <xf numFmtId="0" fontId="87" fillId="56" borderId="0" applyNumberFormat="0" applyBorder="0" applyAlignment="0" applyProtection="0"/>
    <xf numFmtId="0" fontId="85" fillId="20" borderId="0" applyNumberFormat="0" applyBorder="0" applyAlignment="0" applyProtection="0"/>
    <xf numFmtId="0" fontId="87" fillId="56" borderId="0" applyNumberFormat="0" applyBorder="0" applyAlignment="0" applyProtection="0"/>
    <xf numFmtId="0" fontId="85" fillId="20" borderId="0" applyNumberFormat="0" applyBorder="0" applyAlignment="0" applyProtection="0"/>
    <xf numFmtId="0" fontId="87" fillId="56" borderId="0" applyNumberFormat="0" applyBorder="0" applyAlignment="0" applyProtection="0"/>
    <xf numFmtId="0" fontId="85" fillId="20" borderId="0" applyNumberFormat="0" applyBorder="0" applyAlignment="0" applyProtection="0"/>
    <xf numFmtId="0" fontId="87" fillId="56" borderId="0" applyNumberFormat="0" applyBorder="0" applyAlignment="0" applyProtection="0"/>
    <xf numFmtId="0" fontId="85" fillId="20" borderId="0" applyNumberFormat="0" applyBorder="0" applyAlignment="0" applyProtection="0"/>
    <xf numFmtId="0" fontId="87" fillId="56" borderId="0" applyNumberFormat="0" applyBorder="0" applyAlignment="0" applyProtection="0"/>
    <xf numFmtId="0" fontId="85" fillId="20" borderId="0" applyNumberFormat="0" applyBorder="0" applyAlignment="0" applyProtection="0"/>
    <xf numFmtId="0" fontId="87" fillId="56" borderId="0" applyNumberFormat="0" applyBorder="0" applyAlignment="0" applyProtection="0"/>
    <xf numFmtId="0" fontId="85" fillId="20" borderId="0" applyNumberFormat="0" applyBorder="0" applyAlignment="0" applyProtection="0"/>
    <xf numFmtId="0" fontId="87" fillId="56" borderId="0" applyNumberFormat="0" applyBorder="0" applyAlignment="0" applyProtection="0"/>
    <xf numFmtId="0" fontId="85" fillId="20" borderId="0" applyNumberFormat="0" applyBorder="0" applyAlignment="0" applyProtection="0"/>
    <xf numFmtId="0" fontId="87" fillId="56" borderId="0" applyNumberFormat="0" applyBorder="0" applyAlignment="0" applyProtection="0"/>
    <xf numFmtId="0" fontId="85" fillId="20" borderId="0" applyNumberFormat="0" applyBorder="0" applyAlignment="0" applyProtection="0"/>
    <xf numFmtId="0" fontId="87" fillId="56" borderId="0" applyNumberFormat="0" applyBorder="0" applyAlignment="0" applyProtection="0"/>
    <xf numFmtId="0" fontId="87" fillId="56" borderId="0" applyNumberFormat="0" applyBorder="0" applyAlignment="0" applyProtection="0"/>
    <xf numFmtId="0" fontId="12" fillId="20" borderId="0" applyNumberFormat="0" applyBorder="0" applyAlignment="0" applyProtection="0"/>
    <xf numFmtId="0" fontId="71" fillId="20" borderId="0" applyNumberFormat="0" applyBorder="0" applyAlignment="0" applyProtection="0"/>
    <xf numFmtId="0" fontId="182" fillId="20" borderId="0" applyNumberFormat="0" applyBorder="0" applyAlignment="0" applyProtection="0"/>
    <xf numFmtId="0" fontId="87" fillId="56" borderId="0" applyNumberFormat="0" applyBorder="0" applyAlignment="0" applyProtection="0"/>
    <xf numFmtId="0" fontId="87" fillId="56" borderId="0" applyNumberFormat="0" applyBorder="0" applyAlignment="0" applyProtection="0"/>
    <xf numFmtId="0" fontId="87" fillId="56" borderId="0" applyNumberFormat="0" applyBorder="0" applyAlignment="0" applyProtection="0"/>
    <xf numFmtId="0" fontId="87" fillId="56" borderId="0" applyNumberFormat="0" applyBorder="0" applyAlignment="0" applyProtection="0"/>
    <xf numFmtId="0" fontId="87" fillId="56" borderId="0" applyNumberFormat="0" applyBorder="0" applyAlignment="0" applyProtection="0"/>
    <xf numFmtId="0" fontId="87" fillId="56" borderId="0" applyNumberFormat="0" applyBorder="0" applyAlignment="0" applyProtection="0"/>
    <xf numFmtId="0" fontId="87" fillId="56" borderId="0" applyNumberFormat="0" applyBorder="0" applyAlignment="0" applyProtection="0"/>
    <xf numFmtId="0" fontId="87" fillId="56" borderId="0" applyNumberFormat="0" applyBorder="0" applyAlignment="0" applyProtection="0"/>
    <xf numFmtId="0" fontId="71" fillId="20" borderId="0" applyNumberFormat="0" applyBorder="0" applyAlignment="0" applyProtection="0"/>
    <xf numFmtId="0" fontId="71" fillId="20" borderId="0" applyNumberFormat="0" applyBorder="0" applyAlignment="0" applyProtection="0"/>
    <xf numFmtId="0" fontId="12" fillId="20" borderId="0" applyNumberFormat="0" applyBorder="0" applyAlignment="0" applyProtection="0"/>
    <xf numFmtId="0" fontId="87" fillId="56" borderId="0" applyNumberFormat="0" applyBorder="0" applyAlignment="0" applyProtection="0"/>
    <xf numFmtId="0" fontId="71" fillId="20" borderId="0" applyNumberFormat="0" applyBorder="0" applyAlignment="0" applyProtection="0"/>
    <xf numFmtId="0" fontId="85" fillId="20" borderId="0" applyNumberFormat="0" applyBorder="0" applyAlignment="0" applyProtection="0"/>
    <xf numFmtId="0" fontId="87" fillId="56" borderId="0" applyNumberFormat="0" applyBorder="0" applyAlignment="0" applyProtection="0"/>
    <xf numFmtId="0" fontId="85" fillId="20" borderId="0" applyNumberFormat="0" applyBorder="0" applyAlignment="0" applyProtection="0"/>
    <xf numFmtId="0" fontId="87" fillId="56" borderId="0" applyNumberFormat="0" applyBorder="0" applyAlignment="0" applyProtection="0"/>
    <xf numFmtId="0" fontId="85" fillId="20" borderId="0" applyNumberFormat="0" applyBorder="0" applyAlignment="0" applyProtection="0"/>
    <xf numFmtId="0" fontId="87" fillId="56" borderId="0" applyNumberFormat="0" applyBorder="0" applyAlignment="0" applyProtection="0"/>
    <xf numFmtId="0" fontId="85" fillId="20" borderId="0" applyNumberFormat="0" applyBorder="0" applyAlignment="0" applyProtection="0"/>
    <xf numFmtId="0" fontId="87" fillId="56" borderId="0" applyNumberFormat="0" applyBorder="0" applyAlignment="0" applyProtection="0"/>
    <xf numFmtId="0" fontId="85" fillId="20" borderId="0" applyNumberFormat="0" applyBorder="0" applyAlignment="0" applyProtection="0"/>
    <xf numFmtId="0" fontId="87" fillId="56" borderId="0" applyNumberFormat="0" applyBorder="0" applyAlignment="0" applyProtection="0"/>
    <xf numFmtId="0" fontId="85" fillId="20" borderId="0" applyNumberFormat="0" applyBorder="0" applyAlignment="0" applyProtection="0"/>
    <xf numFmtId="0" fontId="87" fillId="56" borderId="0" applyNumberFormat="0" applyBorder="0" applyAlignment="0" applyProtection="0"/>
    <xf numFmtId="0" fontId="85" fillId="24" borderId="0" applyNumberFormat="0" applyBorder="0" applyAlignment="0" applyProtection="0"/>
    <xf numFmtId="0" fontId="87" fillId="60" borderId="0" applyNumberFormat="0" applyBorder="0" applyAlignment="0" applyProtection="0"/>
    <xf numFmtId="0" fontId="85" fillId="24" borderId="0" applyNumberFormat="0" applyBorder="0" applyAlignment="0" applyProtection="0"/>
    <xf numFmtId="0" fontId="87" fillId="60" borderId="0" applyNumberFormat="0" applyBorder="0" applyAlignment="0" applyProtection="0"/>
    <xf numFmtId="0" fontId="85" fillId="24" borderId="0" applyNumberFormat="0" applyBorder="0" applyAlignment="0" applyProtection="0"/>
    <xf numFmtId="0" fontId="87" fillId="60" borderId="0" applyNumberFormat="0" applyBorder="0" applyAlignment="0" applyProtection="0"/>
    <xf numFmtId="0" fontId="85" fillId="24" borderId="0" applyNumberFormat="0" applyBorder="0" applyAlignment="0" applyProtection="0"/>
    <xf numFmtId="0" fontId="87" fillId="60" borderId="0" applyNumberFormat="0" applyBorder="0" applyAlignment="0" applyProtection="0"/>
    <xf numFmtId="0" fontId="85" fillId="24" borderId="0" applyNumberFormat="0" applyBorder="0" applyAlignment="0" applyProtection="0"/>
    <xf numFmtId="0" fontId="87" fillId="60" borderId="0" applyNumberFormat="0" applyBorder="0" applyAlignment="0" applyProtection="0"/>
    <xf numFmtId="0" fontId="85" fillId="24" borderId="0" applyNumberFormat="0" applyBorder="0" applyAlignment="0" applyProtection="0"/>
    <xf numFmtId="0" fontId="87" fillId="60" borderId="0" applyNumberFormat="0" applyBorder="0" applyAlignment="0" applyProtection="0"/>
    <xf numFmtId="0" fontId="85" fillId="24" borderId="0" applyNumberFormat="0" applyBorder="0" applyAlignment="0" applyProtection="0"/>
    <xf numFmtId="0" fontId="87" fillId="60" borderId="0" applyNumberFormat="0" applyBorder="0" applyAlignment="0" applyProtection="0"/>
    <xf numFmtId="0" fontId="85" fillId="24" borderId="0" applyNumberFormat="0" applyBorder="0" applyAlignment="0" applyProtection="0"/>
    <xf numFmtId="0" fontId="87" fillId="60" borderId="0" applyNumberFormat="0" applyBorder="0" applyAlignment="0" applyProtection="0"/>
    <xf numFmtId="0" fontId="85" fillId="24"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12" fillId="24" borderId="0" applyNumberFormat="0" applyBorder="0" applyAlignment="0" applyProtection="0"/>
    <xf numFmtId="0" fontId="71" fillId="24" borderId="0" applyNumberFormat="0" applyBorder="0" applyAlignment="0" applyProtection="0"/>
    <xf numFmtId="0" fontId="182" fillId="24"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71" fillId="24" borderId="0" applyNumberFormat="0" applyBorder="0" applyAlignment="0" applyProtection="0"/>
    <xf numFmtId="0" fontId="71" fillId="24" borderId="0" applyNumberFormat="0" applyBorder="0" applyAlignment="0" applyProtection="0"/>
    <xf numFmtId="0" fontId="12" fillId="24" borderId="0" applyNumberFormat="0" applyBorder="0" applyAlignment="0" applyProtection="0"/>
    <xf numFmtId="0" fontId="87" fillId="60" borderId="0" applyNumberFormat="0" applyBorder="0" applyAlignment="0" applyProtection="0"/>
    <xf numFmtId="0" fontId="71" fillId="24" borderId="0" applyNumberFormat="0" applyBorder="0" applyAlignment="0" applyProtection="0"/>
    <xf numFmtId="0" fontId="85" fillId="24" borderId="0" applyNumberFormat="0" applyBorder="0" applyAlignment="0" applyProtection="0"/>
    <xf numFmtId="0" fontId="87" fillId="60" borderId="0" applyNumberFormat="0" applyBorder="0" applyAlignment="0" applyProtection="0"/>
    <xf numFmtId="0" fontId="85" fillId="24" borderId="0" applyNumberFormat="0" applyBorder="0" applyAlignment="0" applyProtection="0"/>
    <xf numFmtId="0" fontId="87" fillId="60" borderId="0" applyNumberFormat="0" applyBorder="0" applyAlignment="0" applyProtection="0"/>
    <xf numFmtId="0" fontId="85" fillId="24" borderId="0" applyNumberFormat="0" applyBorder="0" applyAlignment="0" applyProtection="0"/>
    <xf numFmtId="0" fontId="87" fillId="60" borderId="0" applyNumberFormat="0" applyBorder="0" applyAlignment="0" applyProtection="0"/>
    <xf numFmtId="0" fontId="85" fillId="24" borderId="0" applyNumberFormat="0" applyBorder="0" applyAlignment="0" applyProtection="0"/>
    <xf numFmtId="0" fontId="87" fillId="60" borderId="0" applyNumberFormat="0" applyBorder="0" applyAlignment="0" applyProtection="0"/>
    <xf numFmtId="0" fontId="85" fillId="24" borderId="0" applyNumberFormat="0" applyBorder="0" applyAlignment="0" applyProtection="0"/>
    <xf numFmtId="0" fontId="87" fillId="60" borderId="0" applyNumberFormat="0" applyBorder="0" applyAlignment="0" applyProtection="0"/>
    <xf numFmtId="0" fontId="85" fillId="24" borderId="0" applyNumberFormat="0" applyBorder="0" applyAlignment="0" applyProtection="0"/>
    <xf numFmtId="0" fontId="87" fillId="60" borderId="0" applyNumberFormat="0" applyBorder="0" applyAlignment="0" applyProtection="0"/>
    <xf numFmtId="0" fontId="85" fillId="28" borderId="0" applyNumberFormat="0" applyBorder="0" applyAlignment="0" applyProtection="0"/>
    <xf numFmtId="0" fontId="87" fillId="61" borderId="0" applyNumberFormat="0" applyBorder="0" applyAlignment="0" applyProtection="0"/>
    <xf numFmtId="0" fontId="85" fillId="28" borderId="0" applyNumberFormat="0" applyBorder="0" applyAlignment="0" applyProtection="0"/>
    <xf numFmtId="0" fontId="87" fillId="61" borderId="0" applyNumberFormat="0" applyBorder="0" applyAlignment="0" applyProtection="0"/>
    <xf numFmtId="0" fontId="85" fillId="28" borderId="0" applyNumberFormat="0" applyBorder="0" applyAlignment="0" applyProtection="0"/>
    <xf numFmtId="0" fontId="87" fillId="61" borderId="0" applyNumberFormat="0" applyBorder="0" applyAlignment="0" applyProtection="0"/>
    <xf numFmtId="0" fontId="85" fillId="28" borderId="0" applyNumberFormat="0" applyBorder="0" applyAlignment="0" applyProtection="0"/>
    <xf numFmtId="0" fontId="87" fillId="61" borderId="0" applyNumberFormat="0" applyBorder="0" applyAlignment="0" applyProtection="0"/>
    <xf numFmtId="0" fontId="85" fillId="28" borderId="0" applyNumberFormat="0" applyBorder="0" applyAlignment="0" applyProtection="0"/>
    <xf numFmtId="0" fontId="87" fillId="61" borderId="0" applyNumberFormat="0" applyBorder="0" applyAlignment="0" applyProtection="0"/>
    <xf numFmtId="0" fontId="85" fillId="28" borderId="0" applyNumberFormat="0" applyBorder="0" applyAlignment="0" applyProtection="0"/>
    <xf numFmtId="0" fontId="87" fillId="61" borderId="0" applyNumberFormat="0" applyBorder="0" applyAlignment="0" applyProtection="0"/>
    <xf numFmtId="0" fontId="85" fillId="28" borderId="0" applyNumberFormat="0" applyBorder="0" applyAlignment="0" applyProtection="0"/>
    <xf numFmtId="0" fontId="87" fillId="61" borderId="0" applyNumberFormat="0" applyBorder="0" applyAlignment="0" applyProtection="0"/>
    <xf numFmtId="0" fontId="85" fillId="28" borderId="0" applyNumberFormat="0" applyBorder="0" applyAlignment="0" applyProtection="0"/>
    <xf numFmtId="0" fontId="87" fillId="61" borderId="0" applyNumberFormat="0" applyBorder="0" applyAlignment="0" applyProtection="0"/>
    <xf numFmtId="0" fontId="85" fillId="28"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12" fillId="28" borderId="0" applyNumberFormat="0" applyBorder="0" applyAlignment="0" applyProtection="0"/>
    <xf numFmtId="0" fontId="71" fillId="28" borderId="0" applyNumberFormat="0" applyBorder="0" applyAlignment="0" applyProtection="0"/>
    <xf numFmtId="0" fontId="182" fillId="28"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71" fillId="28" borderId="0" applyNumberFormat="0" applyBorder="0" applyAlignment="0" applyProtection="0"/>
    <xf numFmtId="0" fontId="71" fillId="28" borderId="0" applyNumberFormat="0" applyBorder="0" applyAlignment="0" applyProtection="0"/>
    <xf numFmtId="0" fontId="12" fillId="28" borderId="0" applyNumberFormat="0" applyBorder="0" applyAlignment="0" applyProtection="0"/>
    <xf numFmtId="0" fontId="87" fillId="61" borderId="0" applyNumberFormat="0" applyBorder="0" applyAlignment="0" applyProtection="0"/>
    <xf numFmtId="0" fontId="71" fillId="28" borderId="0" applyNumberFormat="0" applyBorder="0" applyAlignment="0" applyProtection="0"/>
    <xf numFmtId="0" fontId="85" fillId="28" borderId="0" applyNumberFormat="0" applyBorder="0" applyAlignment="0" applyProtection="0"/>
    <xf numFmtId="0" fontId="87" fillId="61" borderId="0" applyNumberFormat="0" applyBorder="0" applyAlignment="0" applyProtection="0"/>
    <xf numFmtId="0" fontId="85" fillId="28" borderId="0" applyNumberFormat="0" applyBorder="0" applyAlignment="0" applyProtection="0"/>
    <xf numFmtId="0" fontId="87" fillId="61" borderId="0" applyNumberFormat="0" applyBorder="0" applyAlignment="0" applyProtection="0"/>
    <xf numFmtId="0" fontId="85" fillId="28" borderId="0" applyNumberFormat="0" applyBorder="0" applyAlignment="0" applyProtection="0"/>
    <xf numFmtId="0" fontId="87" fillId="61" borderId="0" applyNumberFormat="0" applyBorder="0" applyAlignment="0" applyProtection="0"/>
    <xf numFmtId="0" fontId="85" fillId="28" borderId="0" applyNumberFormat="0" applyBorder="0" applyAlignment="0" applyProtection="0"/>
    <xf numFmtId="0" fontId="87" fillId="61" borderId="0" applyNumberFormat="0" applyBorder="0" applyAlignment="0" applyProtection="0"/>
    <xf numFmtId="0" fontId="85" fillId="28" borderId="0" applyNumberFormat="0" applyBorder="0" applyAlignment="0" applyProtection="0"/>
    <xf numFmtId="0" fontId="87" fillId="61" borderId="0" applyNumberFormat="0" applyBorder="0" applyAlignment="0" applyProtection="0"/>
    <xf numFmtId="0" fontId="85" fillId="28" borderId="0" applyNumberFormat="0" applyBorder="0" applyAlignment="0" applyProtection="0"/>
    <xf numFmtId="0" fontId="87" fillId="61" borderId="0" applyNumberFormat="0" applyBorder="0" applyAlignment="0" applyProtection="0"/>
    <xf numFmtId="0" fontId="85" fillId="32" borderId="0" applyNumberFormat="0" applyBorder="0" applyAlignment="0" applyProtection="0"/>
    <xf numFmtId="0" fontId="87" fillId="62" borderId="0" applyNumberFormat="0" applyBorder="0" applyAlignment="0" applyProtection="0"/>
    <xf numFmtId="0" fontId="85" fillId="32" borderId="0" applyNumberFormat="0" applyBorder="0" applyAlignment="0" applyProtection="0"/>
    <xf numFmtId="0" fontId="87" fillId="62" borderId="0" applyNumberFormat="0" applyBorder="0" applyAlignment="0" applyProtection="0"/>
    <xf numFmtId="0" fontId="85" fillId="32" borderId="0" applyNumberFormat="0" applyBorder="0" applyAlignment="0" applyProtection="0"/>
    <xf numFmtId="0" fontId="87" fillId="62" borderId="0" applyNumberFormat="0" applyBorder="0" applyAlignment="0" applyProtection="0"/>
    <xf numFmtId="0" fontId="85" fillId="32" borderId="0" applyNumberFormat="0" applyBorder="0" applyAlignment="0" applyProtection="0"/>
    <xf numFmtId="0" fontId="87" fillId="62" borderId="0" applyNumberFormat="0" applyBorder="0" applyAlignment="0" applyProtection="0"/>
    <xf numFmtId="0" fontId="85" fillId="32" borderId="0" applyNumberFormat="0" applyBorder="0" applyAlignment="0" applyProtection="0"/>
    <xf numFmtId="0" fontId="87" fillId="62" borderId="0" applyNumberFormat="0" applyBorder="0" applyAlignment="0" applyProtection="0"/>
    <xf numFmtId="0" fontId="85" fillId="32" borderId="0" applyNumberFormat="0" applyBorder="0" applyAlignment="0" applyProtection="0"/>
    <xf numFmtId="0" fontId="87" fillId="62" borderId="0" applyNumberFormat="0" applyBorder="0" applyAlignment="0" applyProtection="0"/>
    <xf numFmtId="0" fontId="85" fillId="32" borderId="0" applyNumberFormat="0" applyBorder="0" applyAlignment="0" applyProtection="0"/>
    <xf numFmtId="0" fontId="87" fillId="62" borderId="0" applyNumberFormat="0" applyBorder="0" applyAlignment="0" applyProtection="0"/>
    <xf numFmtId="0" fontId="85" fillId="32" borderId="0" applyNumberFormat="0" applyBorder="0" applyAlignment="0" applyProtection="0"/>
    <xf numFmtId="0" fontId="87" fillId="62" borderId="0" applyNumberFormat="0" applyBorder="0" applyAlignment="0" applyProtection="0"/>
    <xf numFmtId="0" fontId="85" fillId="3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12" fillId="32" borderId="0" applyNumberFormat="0" applyBorder="0" applyAlignment="0" applyProtection="0"/>
    <xf numFmtId="0" fontId="71" fillId="32" borderId="0" applyNumberFormat="0" applyBorder="0" applyAlignment="0" applyProtection="0"/>
    <xf numFmtId="0" fontId="182" fillId="3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87" fillId="62" borderId="0" applyNumberFormat="0" applyBorder="0" applyAlignment="0" applyProtection="0"/>
    <xf numFmtId="0" fontId="71" fillId="32" borderId="0" applyNumberFormat="0" applyBorder="0" applyAlignment="0" applyProtection="0"/>
    <xf numFmtId="0" fontId="71" fillId="32" borderId="0" applyNumberFormat="0" applyBorder="0" applyAlignment="0" applyProtection="0"/>
    <xf numFmtId="0" fontId="12" fillId="32" borderId="0" applyNumberFormat="0" applyBorder="0" applyAlignment="0" applyProtection="0"/>
    <xf numFmtId="0" fontId="87" fillId="62" borderId="0" applyNumberFormat="0" applyBorder="0" applyAlignment="0" applyProtection="0"/>
    <xf numFmtId="0" fontId="71" fillId="32" borderId="0" applyNumberFormat="0" applyBorder="0" applyAlignment="0" applyProtection="0"/>
    <xf numFmtId="0" fontId="85" fillId="32" borderId="0" applyNumberFormat="0" applyBorder="0" applyAlignment="0" applyProtection="0"/>
    <xf numFmtId="0" fontId="87" fillId="62" borderId="0" applyNumberFormat="0" applyBorder="0" applyAlignment="0" applyProtection="0"/>
    <xf numFmtId="0" fontId="85" fillId="32" borderId="0" applyNumberFormat="0" applyBorder="0" applyAlignment="0" applyProtection="0"/>
    <xf numFmtId="0" fontId="87" fillId="62" borderId="0" applyNumberFormat="0" applyBorder="0" applyAlignment="0" applyProtection="0"/>
    <xf numFmtId="0" fontId="85" fillId="32" borderId="0" applyNumberFormat="0" applyBorder="0" applyAlignment="0" applyProtection="0"/>
    <xf numFmtId="0" fontId="87" fillId="62" borderId="0" applyNumberFormat="0" applyBorder="0" applyAlignment="0" applyProtection="0"/>
    <xf numFmtId="0" fontId="85" fillId="32" borderId="0" applyNumberFormat="0" applyBorder="0" applyAlignment="0" applyProtection="0"/>
    <xf numFmtId="0" fontId="87" fillId="62" borderId="0" applyNumberFormat="0" applyBorder="0" applyAlignment="0" applyProtection="0"/>
    <xf numFmtId="0" fontId="85" fillId="32" borderId="0" applyNumberFormat="0" applyBorder="0" applyAlignment="0" applyProtection="0"/>
    <xf numFmtId="0" fontId="87" fillId="62" borderId="0" applyNumberFormat="0" applyBorder="0" applyAlignment="0" applyProtection="0"/>
    <xf numFmtId="0" fontId="85" fillId="32" borderId="0" applyNumberFormat="0" applyBorder="0" applyAlignment="0" applyProtection="0"/>
    <xf numFmtId="0" fontId="87" fillId="62" borderId="0" applyNumberFormat="0" applyBorder="0" applyAlignment="0" applyProtection="0"/>
    <xf numFmtId="0" fontId="85" fillId="9" borderId="0" applyNumberFormat="0" applyBorder="0" applyAlignment="0" applyProtection="0"/>
    <xf numFmtId="0" fontId="87" fillId="64" borderId="0" applyNumberFormat="0" applyBorder="0" applyAlignment="0" applyProtection="0"/>
    <xf numFmtId="0" fontId="85" fillId="9" borderId="0" applyNumberFormat="0" applyBorder="0" applyAlignment="0" applyProtection="0"/>
    <xf numFmtId="0" fontId="87" fillId="64" borderId="0" applyNumberFormat="0" applyBorder="0" applyAlignment="0" applyProtection="0"/>
    <xf numFmtId="0" fontId="85" fillId="9" borderId="0" applyNumberFormat="0" applyBorder="0" applyAlignment="0" applyProtection="0"/>
    <xf numFmtId="0" fontId="87" fillId="64" borderId="0" applyNumberFormat="0" applyBorder="0" applyAlignment="0" applyProtection="0"/>
    <xf numFmtId="0" fontId="85" fillId="9" borderId="0" applyNumberFormat="0" applyBorder="0" applyAlignment="0" applyProtection="0"/>
    <xf numFmtId="0" fontId="87" fillId="64" borderId="0" applyNumberFormat="0" applyBorder="0" applyAlignment="0" applyProtection="0"/>
    <xf numFmtId="0" fontId="85" fillId="9" borderId="0" applyNumberFormat="0" applyBorder="0" applyAlignment="0" applyProtection="0"/>
    <xf numFmtId="0" fontId="87" fillId="64" borderId="0" applyNumberFormat="0" applyBorder="0" applyAlignment="0" applyProtection="0"/>
    <xf numFmtId="0" fontId="85" fillId="9" borderId="0" applyNumberFormat="0" applyBorder="0" applyAlignment="0" applyProtection="0"/>
    <xf numFmtId="0" fontId="87" fillId="64" borderId="0" applyNumberFormat="0" applyBorder="0" applyAlignment="0" applyProtection="0"/>
    <xf numFmtId="0" fontId="85" fillId="9" borderId="0" applyNumberFormat="0" applyBorder="0" applyAlignment="0" applyProtection="0"/>
    <xf numFmtId="0" fontId="87" fillId="64" borderId="0" applyNumberFormat="0" applyBorder="0" applyAlignment="0" applyProtection="0"/>
    <xf numFmtId="0" fontId="85" fillId="9" borderId="0" applyNumberFormat="0" applyBorder="0" applyAlignment="0" applyProtection="0"/>
    <xf numFmtId="0" fontId="87" fillId="64" borderId="0" applyNumberFormat="0" applyBorder="0" applyAlignment="0" applyProtection="0"/>
    <xf numFmtId="0" fontId="85" fillId="9" borderId="0" applyNumberFormat="0" applyBorder="0" applyAlignment="0" applyProtection="0"/>
    <xf numFmtId="0" fontId="87" fillId="64" borderId="0" applyNumberFormat="0" applyBorder="0" applyAlignment="0" applyProtection="0"/>
    <xf numFmtId="0" fontId="87" fillId="64" borderId="0" applyNumberFormat="0" applyBorder="0" applyAlignment="0" applyProtection="0"/>
    <xf numFmtId="0" fontId="12" fillId="9" borderId="0" applyNumberFormat="0" applyBorder="0" applyAlignment="0" applyProtection="0"/>
    <xf numFmtId="0" fontId="71" fillId="9" borderId="0" applyNumberFormat="0" applyBorder="0" applyAlignment="0" applyProtection="0"/>
    <xf numFmtId="0" fontId="182" fillId="9" borderId="0" applyNumberFormat="0" applyBorder="0" applyAlignment="0" applyProtection="0"/>
    <xf numFmtId="0" fontId="87" fillId="64" borderId="0" applyNumberFormat="0" applyBorder="0" applyAlignment="0" applyProtection="0"/>
    <xf numFmtId="0" fontId="87" fillId="64" borderId="0" applyNumberFormat="0" applyBorder="0" applyAlignment="0" applyProtection="0"/>
    <xf numFmtId="0" fontId="87" fillId="64" borderId="0" applyNumberFormat="0" applyBorder="0" applyAlignment="0" applyProtection="0"/>
    <xf numFmtId="0" fontId="87" fillId="64" borderId="0" applyNumberFormat="0" applyBorder="0" applyAlignment="0" applyProtection="0"/>
    <xf numFmtId="0" fontId="87" fillId="64" borderId="0" applyNumberFormat="0" applyBorder="0" applyAlignment="0" applyProtection="0"/>
    <xf numFmtId="0" fontId="87" fillId="64" borderId="0" applyNumberFormat="0" applyBorder="0" applyAlignment="0" applyProtection="0"/>
    <xf numFmtId="0" fontId="87" fillId="64" borderId="0" applyNumberFormat="0" applyBorder="0" applyAlignment="0" applyProtection="0"/>
    <xf numFmtId="0" fontId="87" fillId="64" borderId="0" applyNumberFormat="0" applyBorder="0" applyAlignment="0" applyProtection="0"/>
    <xf numFmtId="0" fontId="71" fillId="9" borderId="0" applyNumberFormat="0" applyBorder="0" applyAlignment="0" applyProtection="0"/>
    <xf numFmtId="0" fontId="71" fillId="9" borderId="0" applyNumberFormat="0" applyBorder="0" applyAlignment="0" applyProtection="0"/>
    <xf numFmtId="0" fontId="12" fillId="9" borderId="0" applyNumberFormat="0" applyBorder="0" applyAlignment="0" applyProtection="0"/>
    <xf numFmtId="0" fontId="87" fillId="64" borderId="0" applyNumberFormat="0" applyBorder="0" applyAlignment="0" applyProtection="0"/>
    <xf numFmtId="0" fontId="71" fillId="9" borderId="0" applyNumberFormat="0" applyBorder="0" applyAlignment="0" applyProtection="0"/>
    <xf numFmtId="0" fontId="85" fillId="9" borderId="0" applyNumberFormat="0" applyBorder="0" applyAlignment="0" applyProtection="0"/>
    <xf numFmtId="0" fontId="87" fillId="64" borderId="0" applyNumberFormat="0" applyBorder="0" applyAlignment="0" applyProtection="0"/>
    <xf numFmtId="0" fontId="85" fillId="9" borderId="0" applyNumberFormat="0" applyBorder="0" applyAlignment="0" applyProtection="0"/>
    <xf numFmtId="0" fontId="87" fillId="64" borderId="0" applyNumberFormat="0" applyBorder="0" applyAlignment="0" applyProtection="0"/>
    <xf numFmtId="0" fontId="85" fillId="9" borderId="0" applyNumberFormat="0" applyBorder="0" applyAlignment="0" applyProtection="0"/>
    <xf numFmtId="0" fontId="87" fillId="64" borderId="0" applyNumberFormat="0" applyBorder="0" applyAlignment="0" applyProtection="0"/>
    <xf numFmtId="0" fontId="85" fillId="9" borderId="0" applyNumberFormat="0" applyBorder="0" applyAlignment="0" applyProtection="0"/>
    <xf numFmtId="0" fontId="87" fillId="64" borderId="0" applyNumberFormat="0" applyBorder="0" applyAlignment="0" applyProtection="0"/>
    <xf numFmtId="0" fontId="85" fillId="9" borderId="0" applyNumberFormat="0" applyBorder="0" applyAlignment="0" applyProtection="0"/>
    <xf numFmtId="0" fontId="87" fillId="64" borderId="0" applyNumberFormat="0" applyBorder="0" applyAlignment="0" applyProtection="0"/>
    <xf numFmtId="0" fontId="85" fillId="9" borderId="0" applyNumberFormat="0" applyBorder="0" applyAlignment="0" applyProtection="0"/>
    <xf numFmtId="0" fontId="87" fillId="64" borderId="0" applyNumberFormat="0" applyBorder="0" applyAlignment="0" applyProtection="0"/>
    <xf numFmtId="0" fontId="85" fillId="13" borderId="0" applyNumberFormat="0" applyBorder="0" applyAlignment="0" applyProtection="0"/>
    <xf numFmtId="0" fontId="87" fillId="65" borderId="0" applyNumberFormat="0" applyBorder="0" applyAlignment="0" applyProtection="0"/>
    <xf numFmtId="0" fontId="85" fillId="13" borderId="0" applyNumberFormat="0" applyBorder="0" applyAlignment="0" applyProtection="0"/>
    <xf numFmtId="0" fontId="87" fillId="65" borderId="0" applyNumberFormat="0" applyBorder="0" applyAlignment="0" applyProtection="0"/>
    <xf numFmtId="0" fontId="85" fillId="13" borderId="0" applyNumberFormat="0" applyBorder="0" applyAlignment="0" applyProtection="0"/>
    <xf numFmtId="0" fontId="87" fillId="65" borderId="0" applyNumberFormat="0" applyBorder="0" applyAlignment="0" applyProtection="0"/>
    <xf numFmtId="0" fontId="85" fillId="13" borderId="0" applyNumberFormat="0" applyBorder="0" applyAlignment="0" applyProtection="0"/>
    <xf numFmtId="0" fontId="87" fillId="65" borderId="0" applyNumberFormat="0" applyBorder="0" applyAlignment="0" applyProtection="0"/>
    <xf numFmtId="0" fontId="85" fillId="13" borderId="0" applyNumberFormat="0" applyBorder="0" applyAlignment="0" applyProtection="0"/>
    <xf numFmtId="0" fontId="87" fillId="65" borderId="0" applyNumberFormat="0" applyBorder="0" applyAlignment="0" applyProtection="0"/>
    <xf numFmtId="0" fontId="85" fillId="13" borderId="0" applyNumberFormat="0" applyBorder="0" applyAlignment="0" applyProtection="0"/>
    <xf numFmtId="0" fontId="87" fillId="65" borderId="0" applyNumberFormat="0" applyBorder="0" applyAlignment="0" applyProtection="0"/>
    <xf numFmtId="0" fontId="85" fillId="13" borderId="0" applyNumberFormat="0" applyBorder="0" applyAlignment="0" applyProtection="0"/>
    <xf numFmtId="0" fontId="87" fillId="65" borderId="0" applyNumberFormat="0" applyBorder="0" applyAlignment="0" applyProtection="0"/>
    <xf numFmtId="0" fontId="85" fillId="13" borderId="0" applyNumberFormat="0" applyBorder="0" applyAlignment="0" applyProtection="0"/>
    <xf numFmtId="0" fontId="87" fillId="65" borderId="0" applyNumberFormat="0" applyBorder="0" applyAlignment="0" applyProtection="0"/>
    <xf numFmtId="0" fontId="85" fillId="13" borderId="0" applyNumberFormat="0" applyBorder="0" applyAlignment="0" applyProtection="0"/>
    <xf numFmtId="0" fontId="87" fillId="65" borderId="0" applyNumberFormat="0" applyBorder="0" applyAlignment="0" applyProtection="0"/>
    <xf numFmtId="0" fontId="87" fillId="65" borderId="0" applyNumberFormat="0" applyBorder="0" applyAlignment="0" applyProtection="0"/>
    <xf numFmtId="0" fontId="12" fillId="13" borderId="0" applyNumberFormat="0" applyBorder="0" applyAlignment="0" applyProtection="0"/>
    <xf numFmtId="0" fontId="71" fillId="13" borderId="0" applyNumberFormat="0" applyBorder="0" applyAlignment="0" applyProtection="0"/>
    <xf numFmtId="0" fontId="182" fillId="13" borderId="0" applyNumberFormat="0" applyBorder="0" applyAlignment="0" applyProtection="0"/>
    <xf numFmtId="0" fontId="87" fillId="65" borderId="0" applyNumberFormat="0" applyBorder="0" applyAlignment="0" applyProtection="0"/>
    <xf numFmtId="0" fontId="87" fillId="65" borderId="0" applyNumberFormat="0" applyBorder="0" applyAlignment="0" applyProtection="0"/>
    <xf numFmtId="0" fontId="87" fillId="65" borderId="0" applyNumberFormat="0" applyBorder="0" applyAlignment="0" applyProtection="0"/>
    <xf numFmtId="0" fontId="87" fillId="65" borderId="0" applyNumberFormat="0" applyBorder="0" applyAlignment="0" applyProtection="0"/>
    <xf numFmtId="0" fontId="87" fillId="65" borderId="0" applyNumberFormat="0" applyBorder="0" applyAlignment="0" applyProtection="0"/>
    <xf numFmtId="0" fontId="87" fillId="65" borderId="0" applyNumberFormat="0" applyBorder="0" applyAlignment="0" applyProtection="0"/>
    <xf numFmtId="0" fontId="87" fillId="65" borderId="0" applyNumberFormat="0" applyBorder="0" applyAlignment="0" applyProtection="0"/>
    <xf numFmtId="0" fontId="87" fillId="65" borderId="0" applyNumberFormat="0" applyBorder="0" applyAlignment="0" applyProtection="0"/>
    <xf numFmtId="0" fontId="71" fillId="13" borderId="0" applyNumberFormat="0" applyBorder="0" applyAlignment="0" applyProtection="0"/>
    <xf numFmtId="0" fontId="71" fillId="13" borderId="0" applyNumberFormat="0" applyBorder="0" applyAlignment="0" applyProtection="0"/>
    <xf numFmtId="0" fontId="12" fillId="13" borderId="0" applyNumberFormat="0" applyBorder="0" applyAlignment="0" applyProtection="0"/>
    <xf numFmtId="0" fontId="87" fillId="65" borderId="0" applyNumberFormat="0" applyBorder="0" applyAlignment="0" applyProtection="0"/>
    <xf numFmtId="0" fontId="71" fillId="13" borderId="0" applyNumberFormat="0" applyBorder="0" applyAlignment="0" applyProtection="0"/>
    <xf numFmtId="0" fontId="85" fillId="13" borderId="0" applyNumberFormat="0" applyBorder="0" applyAlignment="0" applyProtection="0"/>
    <xf numFmtId="0" fontId="87" fillId="65" borderId="0" applyNumberFormat="0" applyBorder="0" applyAlignment="0" applyProtection="0"/>
    <xf numFmtId="0" fontId="85" fillId="13" borderId="0" applyNumberFormat="0" applyBorder="0" applyAlignment="0" applyProtection="0"/>
    <xf numFmtId="0" fontId="87" fillId="65" borderId="0" applyNumberFormat="0" applyBorder="0" applyAlignment="0" applyProtection="0"/>
    <xf numFmtId="0" fontId="85" fillId="13" borderId="0" applyNumberFormat="0" applyBorder="0" applyAlignment="0" applyProtection="0"/>
    <xf numFmtId="0" fontId="87" fillId="65" borderId="0" applyNumberFormat="0" applyBorder="0" applyAlignment="0" applyProtection="0"/>
    <xf numFmtId="0" fontId="85" fillId="13" borderId="0" applyNumberFormat="0" applyBorder="0" applyAlignment="0" applyProtection="0"/>
    <xf numFmtId="0" fontId="87" fillId="65" borderId="0" applyNumberFormat="0" applyBorder="0" applyAlignment="0" applyProtection="0"/>
    <xf numFmtId="0" fontId="85" fillId="13" borderId="0" applyNumberFormat="0" applyBorder="0" applyAlignment="0" applyProtection="0"/>
    <xf numFmtId="0" fontId="87" fillId="65" borderId="0" applyNumberFormat="0" applyBorder="0" applyAlignment="0" applyProtection="0"/>
    <xf numFmtId="0" fontId="85" fillId="13" borderId="0" applyNumberFormat="0" applyBorder="0" applyAlignment="0" applyProtection="0"/>
    <xf numFmtId="0" fontId="87" fillId="65" borderId="0" applyNumberFormat="0" applyBorder="0" applyAlignment="0" applyProtection="0"/>
    <xf numFmtId="0" fontId="85" fillId="17" borderId="0" applyNumberFormat="0" applyBorder="0" applyAlignment="0" applyProtection="0"/>
    <xf numFmtId="0" fontId="87" fillId="66" borderId="0" applyNumberFormat="0" applyBorder="0" applyAlignment="0" applyProtection="0"/>
    <xf numFmtId="0" fontId="85" fillId="17" borderId="0" applyNumberFormat="0" applyBorder="0" applyAlignment="0" applyProtection="0"/>
    <xf numFmtId="0" fontId="87" fillId="66" borderId="0" applyNumberFormat="0" applyBorder="0" applyAlignment="0" applyProtection="0"/>
    <xf numFmtId="0" fontId="85" fillId="17" borderId="0" applyNumberFormat="0" applyBorder="0" applyAlignment="0" applyProtection="0"/>
    <xf numFmtId="0" fontId="87" fillId="66" borderId="0" applyNumberFormat="0" applyBorder="0" applyAlignment="0" applyProtection="0"/>
    <xf numFmtId="0" fontId="85" fillId="17" borderId="0" applyNumberFormat="0" applyBorder="0" applyAlignment="0" applyProtection="0"/>
    <xf numFmtId="0" fontId="87" fillId="66" borderId="0" applyNumberFormat="0" applyBorder="0" applyAlignment="0" applyProtection="0"/>
    <xf numFmtId="0" fontId="85" fillId="17" borderId="0" applyNumberFormat="0" applyBorder="0" applyAlignment="0" applyProtection="0"/>
    <xf numFmtId="0" fontId="87" fillId="66" borderId="0" applyNumberFormat="0" applyBorder="0" applyAlignment="0" applyProtection="0"/>
    <xf numFmtId="0" fontId="85" fillId="17" borderId="0" applyNumberFormat="0" applyBorder="0" applyAlignment="0" applyProtection="0"/>
    <xf numFmtId="0" fontId="87" fillId="66" borderId="0" applyNumberFormat="0" applyBorder="0" applyAlignment="0" applyProtection="0"/>
    <xf numFmtId="0" fontId="85" fillId="17" borderId="0" applyNumberFormat="0" applyBorder="0" applyAlignment="0" applyProtection="0"/>
    <xf numFmtId="0" fontId="87" fillId="66" borderId="0" applyNumberFormat="0" applyBorder="0" applyAlignment="0" applyProtection="0"/>
    <xf numFmtId="0" fontId="85" fillId="17" borderId="0" applyNumberFormat="0" applyBorder="0" applyAlignment="0" applyProtection="0"/>
    <xf numFmtId="0" fontId="87" fillId="66" borderId="0" applyNumberFormat="0" applyBorder="0" applyAlignment="0" applyProtection="0"/>
    <xf numFmtId="0" fontId="85" fillId="17" borderId="0" applyNumberFormat="0" applyBorder="0" applyAlignment="0" applyProtection="0"/>
    <xf numFmtId="0" fontId="87" fillId="66" borderId="0" applyNumberFormat="0" applyBorder="0" applyAlignment="0" applyProtection="0"/>
    <xf numFmtId="0" fontId="87" fillId="66" borderId="0" applyNumberFormat="0" applyBorder="0" applyAlignment="0" applyProtection="0"/>
    <xf numFmtId="0" fontId="12" fillId="17" borderId="0" applyNumberFormat="0" applyBorder="0" applyAlignment="0" applyProtection="0"/>
    <xf numFmtId="0" fontId="71" fillId="17" borderId="0" applyNumberFormat="0" applyBorder="0" applyAlignment="0" applyProtection="0"/>
    <xf numFmtId="0" fontId="182" fillId="17" borderId="0" applyNumberFormat="0" applyBorder="0" applyAlignment="0" applyProtection="0"/>
    <xf numFmtId="0" fontId="87" fillId="66" borderId="0" applyNumberFormat="0" applyBorder="0" applyAlignment="0" applyProtection="0"/>
    <xf numFmtId="0" fontId="87" fillId="66" borderId="0" applyNumberFormat="0" applyBorder="0" applyAlignment="0" applyProtection="0"/>
    <xf numFmtId="0" fontId="87" fillId="66" borderId="0" applyNumberFormat="0" applyBorder="0" applyAlignment="0" applyProtection="0"/>
    <xf numFmtId="0" fontId="87" fillId="66" borderId="0" applyNumberFormat="0" applyBorder="0" applyAlignment="0" applyProtection="0"/>
    <xf numFmtId="0" fontId="87" fillId="66" borderId="0" applyNumberFormat="0" applyBorder="0" applyAlignment="0" applyProtection="0"/>
    <xf numFmtId="0" fontId="87" fillId="66" borderId="0" applyNumberFormat="0" applyBorder="0" applyAlignment="0" applyProtection="0"/>
    <xf numFmtId="0" fontId="87" fillId="66" borderId="0" applyNumberFormat="0" applyBorder="0" applyAlignment="0" applyProtection="0"/>
    <xf numFmtId="0" fontId="87" fillId="66" borderId="0" applyNumberFormat="0" applyBorder="0" applyAlignment="0" applyProtection="0"/>
    <xf numFmtId="0" fontId="71" fillId="17" borderId="0" applyNumberFormat="0" applyBorder="0" applyAlignment="0" applyProtection="0"/>
    <xf numFmtId="0" fontId="71" fillId="17" borderId="0" applyNumberFormat="0" applyBorder="0" applyAlignment="0" applyProtection="0"/>
    <xf numFmtId="0" fontId="12" fillId="17" borderId="0" applyNumberFormat="0" applyBorder="0" applyAlignment="0" applyProtection="0"/>
    <xf numFmtId="0" fontId="87" fillId="66" borderId="0" applyNumberFormat="0" applyBorder="0" applyAlignment="0" applyProtection="0"/>
    <xf numFmtId="0" fontId="71" fillId="17" borderId="0" applyNumberFormat="0" applyBorder="0" applyAlignment="0" applyProtection="0"/>
    <xf numFmtId="0" fontId="85" fillId="17" borderId="0" applyNumberFormat="0" applyBorder="0" applyAlignment="0" applyProtection="0"/>
    <xf numFmtId="0" fontId="87" fillId="66" borderId="0" applyNumberFormat="0" applyBorder="0" applyAlignment="0" applyProtection="0"/>
    <xf numFmtId="0" fontId="85" fillId="17" borderId="0" applyNumberFormat="0" applyBorder="0" applyAlignment="0" applyProtection="0"/>
    <xf numFmtId="0" fontId="87" fillId="66" borderId="0" applyNumberFormat="0" applyBorder="0" applyAlignment="0" applyProtection="0"/>
    <xf numFmtId="0" fontId="85" fillId="17" borderId="0" applyNumberFormat="0" applyBorder="0" applyAlignment="0" applyProtection="0"/>
    <xf numFmtId="0" fontId="87" fillId="66" borderId="0" applyNumberFormat="0" applyBorder="0" applyAlignment="0" applyProtection="0"/>
    <xf numFmtId="0" fontId="85" fillId="17" borderId="0" applyNumberFormat="0" applyBorder="0" applyAlignment="0" applyProtection="0"/>
    <xf numFmtId="0" fontId="87" fillId="66" borderId="0" applyNumberFormat="0" applyBorder="0" applyAlignment="0" applyProtection="0"/>
    <xf numFmtId="0" fontId="85" fillId="17" borderId="0" applyNumberFormat="0" applyBorder="0" applyAlignment="0" applyProtection="0"/>
    <xf numFmtId="0" fontId="87" fillId="66" borderId="0" applyNumberFormat="0" applyBorder="0" applyAlignment="0" applyProtection="0"/>
    <xf numFmtId="0" fontId="85" fillId="17" borderId="0" applyNumberFormat="0" applyBorder="0" applyAlignment="0" applyProtection="0"/>
    <xf numFmtId="0" fontId="87" fillId="66" borderId="0" applyNumberFormat="0" applyBorder="0" applyAlignment="0" applyProtection="0"/>
    <xf numFmtId="0" fontId="85" fillId="21" borderId="0" applyNumberFormat="0" applyBorder="0" applyAlignment="0" applyProtection="0"/>
    <xf numFmtId="0" fontId="87" fillId="60" borderId="0" applyNumberFormat="0" applyBorder="0" applyAlignment="0" applyProtection="0"/>
    <xf numFmtId="0" fontId="85" fillId="21" borderId="0" applyNumberFormat="0" applyBorder="0" applyAlignment="0" applyProtection="0"/>
    <xf numFmtId="0" fontId="87" fillId="60" borderId="0" applyNumberFormat="0" applyBorder="0" applyAlignment="0" applyProtection="0"/>
    <xf numFmtId="0" fontId="85" fillId="21" borderId="0" applyNumberFormat="0" applyBorder="0" applyAlignment="0" applyProtection="0"/>
    <xf numFmtId="0" fontId="87" fillId="60" borderId="0" applyNumberFormat="0" applyBorder="0" applyAlignment="0" applyProtection="0"/>
    <xf numFmtId="0" fontId="85" fillId="21" borderId="0" applyNumberFormat="0" applyBorder="0" applyAlignment="0" applyProtection="0"/>
    <xf numFmtId="0" fontId="87" fillId="60" borderId="0" applyNumberFormat="0" applyBorder="0" applyAlignment="0" applyProtection="0"/>
    <xf numFmtId="0" fontId="85" fillId="21" borderId="0" applyNumberFormat="0" applyBorder="0" applyAlignment="0" applyProtection="0"/>
    <xf numFmtId="0" fontId="87" fillId="60" borderId="0" applyNumberFormat="0" applyBorder="0" applyAlignment="0" applyProtection="0"/>
    <xf numFmtId="0" fontId="85" fillId="21" borderId="0" applyNumberFormat="0" applyBorder="0" applyAlignment="0" applyProtection="0"/>
    <xf numFmtId="0" fontId="87" fillId="60" borderId="0" applyNumberFormat="0" applyBorder="0" applyAlignment="0" applyProtection="0"/>
    <xf numFmtId="0" fontId="85" fillId="21" borderId="0" applyNumberFormat="0" applyBorder="0" applyAlignment="0" applyProtection="0"/>
    <xf numFmtId="0" fontId="87" fillId="60" borderId="0" applyNumberFormat="0" applyBorder="0" applyAlignment="0" applyProtection="0"/>
    <xf numFmtId="0" fontId="85" fillId="21" borderId="0" applyNumberFormat="0" applyBorder="0" applyAlignment="0" applyProtection="0"/>
    <xf numFmtId="0" fontId="87" fillId="60" borderId="0" applyNumberFormat="0" applyBorder="0" applyAlignment="0" applyProtection="0"/>
    <xf numFmtId="0" fontId="85" fillId="21"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12" fillId="21" borderId="0" applyNumberFormat="0" applyBorder="0" applyAlignment="0" applyProtection="0"/>
    <xf numFmtId="0" fontId="71" fillId="21" borderId="0" applyNumberFormat="0" applyBorder="0" applyAlignment="0" applyProtection="0"/>
    <xf numFmtId="0" fontId="182" fillId="21"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87" fillId="60" borderId="0" applyNumberFormat="0" applyBorder="0" applyAlignment="0" applyProtection="0"/>
    <xf numFmtId="0" fontId="71" fillId="21" borderId="0" applyNumberFormat="0" applyBorder="0" applyAlignment="0" applyProtection="0"/>
    <xf numFmtId="0" fontId="71" fillId="21" borderId="0" applyNumberFormat="0" applyBorder="0" applyAlignment="0" applyProtection="0"/>
    <xf numFmtId="0" fontId="12" fillId="21" borderId="0" applyNumberFormat="0" applyBorder="0" applyAlignment="0" applyProtection="0"/>
    <xf numFmtId="0" fontId="87" fillId="60" borderId="0" applyNumberFormat="0" applyBorder="0" applyAlignment="0" applyProtection="0"/>
    <xf numFmtId="0" fontId="71" fillId="21" borderId="0" applyNumberFormat="0" applyBorder="0" applyAlignment="0" applyProtection="0"/>
    <xf numFmtId="0" fontId="85" fillId="21" borderId="0" applyNumberFormat="0" applyBorder="0" applyAlignment="0" applyProtection="0"/>
    <xf numFmtId="0" fontId="87" fillId="60" borderId="0" applyNumberFormat="0" applyBorder="0" applyAlignment="0" applyProtection="0"/>
    <xf numFmtId="0" fontId="85" fillId="21" borderId="0" applyNumberFormat="0" applyBorder="0" applyAlignment="0" applyProtection="0"/>
    <xf numFmtId="0" fontId="87" fillId="60" borderId="0" applyNumberFormat="0" applyBorder="0" applyAlignment="0" applyProtection="0"/>
    <xf numFmtId="0" fontId="85" fillId="21" borderId="0" applyNumberFormat="0" applyBorder="0" applyAlignment="0" applyProtection="0"/>
    <xf numFmtId="0" fontId="87" fillId="60" borderId="0" applyNumberFormat="0" applyBorder="0" applyAlignment="0" applyProtection="0"/>
    <xf numFmtId="0" fontId="85" fillId="21" borderId="0" applyNumberFormat="0" applyBorder="0" applyAlignment="0" applyProtection="0"/>
    <xf numFmtId="0" fontId="87" fillId="60" borderId="0" applyNumberFormat="0" applyBorder="0" applyAlignment="0" applyProtection="0"/>
    <xf numFmtId="0" fontId="85" fillId="21" borderId="0" applyNumberFormat="0" applyBorder="0" applyAlignment="0" applyProtection="0"/>
    <xf numFmtId="0" fontId="87" fillId="60" borderId="0" applyNumberFormat="0" applyBorder="0" applyAlignment="0" applyProtection="0"/>
    <xf numFmtId="0" fontId="85" fillId="21" borderId="0" applyNumberFormat="0" applyBorder="0" applyAlignment="0" applyProtection="0"/>
    <xf numFmtId="0" fontId="87" fillId="60" borderId="0" applyNumberFormat="0" applyBorder="0" applyAlignment="0" applyProtection="0"/>
    <xf numFmtId="0" fontId="85" fillId="25" borderId="0" applyNumberFormat="0" applyBorder="0" applyAlignment="0" applyProtection="0"/>
    <xf numFmtId="0" fontId="87" fillId="61" borderId="0" applyNumberFormat="0" applyBorder="0" applyAlignment="0" applyProtection="0"/>
    <xf numFmtId="0" fontId="85" fillId="25" borderId="0" applyNumberFormat="0" applyBorder="0" applyAlignment="0" applyProtection="0"/>
    <xf numFmtId="0" fontId="87" fillId="61" borderId="0" applyNumberFormat="0" applyBorder="0" applyAlignment="0" applyProtection="0"/>
    <xf numFmtId="0" fontId="85" fillId="25" borderId="0" applyNumberFormat="0" applyBorder="0" applyAlignment="0" applyProtection="0"/>
    <xf numFmtId="0" fontId="87" fillId="61" borderId="0" applyNumberFormat="0" applyBorder="0" applyAlignment="0" applyProtection="0"/>
    <xf numFmtId="0" fontId="85" fillId="25" borderId="0" applyNumberFormat="0" applyBorder="0" applyAlignment="0" applyProtection="0"/>
    <xf numFmtId="0" fontId="87" fillId="61" borderId="0" applyNumberFormat="0" applyBorder="0" applyAlignment="0" applyProtection="0"/>
    <xf numFmtId="0" fontId="85" fillId="25" borderId="0" applyNumberFormat="0" applyBorder="0" applyAlignment="0" applyProtection="0"/>
    <xf numFmtId="0" fontId="87" fillId="61" borderId="0" applyNumberFormat="0" applyBorder="0" applyAlignment="0" applyProtection="0"/>
    <xf numFmtId="0" fontId="85" fillId="25" borderId="0" applyNumberFormat="0" applyBorder="0" applyAlignment="0" applyProtection="0"/>
    <xf numFmtId="0" fontId="87" fillId="61" borderId="0" applyNumberFormat="0" applyBorder="0" applyAlignment="0" applyProtection="0"/>
    <xf numFmtId="0" fontId="85" fillId="25" borderId="0" applyNumberFormat="0" applyBorder="0" applyAlignment="0" applyProtection="0"/>
    <xf numFmtId="0" fontId="87" fillId="61" borderId="0" applyNumberFormat="0" applyBorder="0" applyAlignment="0" applyProtection="0"/>
    <xf numFmtId="0" fontId="85" fillId="25" borderId="0" applyNumberFormat="0" applyBorder="0" applyAlignment="0" applyProtection="0"/>
    <xf numFmtId="0" fontId="87" fillId="61" borderId="0" applyNumberFormat="0" applyBorder="0" applyAlignment="0" applyProtection="0"/>
    <xf numFmtId="0" fontId="85" fillId="25"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12" fillId="25" borderId="0" applyNumberFormat="0" applyBorder="0" applyAlignment="0" applyProtection="0"/>
    <xf numFmtId="0" fontId="71" fillId="25" borderId="0" applyNumberFormat="0" applyBorder="0" applyAlignment="0" applyProtection="0"/>
    <xf numFmtId="0" fontId="182" fillId="25"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87" fillId="61" borderId="0" applyNumberFormat="0" applyBorder="0" applyAlignment="0" applyProtection="0"/>
    <xf numFmtId="0" fontId="71" fillId="25" borderId="0" applyNumberFormat="0" applyBorder="0" applyAlignment="0" applyProtection="0"/>
    <xf numFmtId="0" fontId="71" fillId="25" borderId="0" applyNumberFormat="0" applyBorder="0" applyAlignment="0" applyProtection="0"/>
    <xf numFmtId="0" fontId="12" fillId="25" borderId="0" applyNumberFormat="0" applyBorder="0" applyAlignment="0" applyProtection="0"/>
    <xf numFmtId="0" fontId="87" fillId="61" borderId="0" applyNumberFormat="0" applyBorder="0" applyAlignment="0" applyProtection="0"/>
    <xf numFmtId="0" fontId="71" fillId="25" borderId="0" applyNumberFormat="0" applyBorder="0" applyAlignment="0" applyProtection="0"/>
    <xf numFmtId="0" fontId="85" fillId="25" borderId="0" applyNumberFormat="0" applyBorder="0" applyAlignment="0" applyProtection="0"/>
    <xf numFmtId="0" fontId="87" fillId="61" borderId="0" applyNumberFormat="0" applyBorder="0" applyAlignment="0" applyProtection="0"/>
    <xf numFmtId="0" fontId="85" fillId="25" borderId="0" applyNumberFormat="0" applyBorder="0" applyAlignment="0" applyProtection="0"/>
    <xf numFmtId="0" fontId="87" fillId="61" borderId="0" applyNumberFormat="0" applyBorder="0" applyAlignment="0" applyProtection="0"/>
    <xf numFmtId="0" fontId="85" fillId="25" borderId="0" applyNumberFormat="0" applyBorder="0" applyAlignment="0" applyProtection="0"/>
    <xf numFmtId="0" fontId="87" fillId="61" borderId="0" applyNumberFormat="0" applyBorder="0" applyAlignment="0" applyProtection="0"/>
    <xf numFmtId="0" fontId="85" fillId="25" borderId="0" applyNumberFormat="0" applyBorder="0" applyAlignment="0" applyProtection="0"/>
    <xf numFmtId="0" fontId="87" fillId="61" borderId="0" applyNumberFormat="0" applyBorder="0" applyAlignment="0" applyProtection="0"/>
    <xf numFmtId="0" fontId="85" fillId="25" borderId="0" applyNumberFormat="0" applyBorder="0" applyAlignment="0" applyProtection="0"/>
    <xf numFmtId="0" fontId="87" fillId="61" borderId="0" applyNumberFormat="0" applyBorder="0" applyAlignment="0" applyProtection="0"/>
    <xf numFmtId="0" fontId="85" fillId="25" borderId="0" applyNumberFormat="0" applyBorder="0" applyAlignment="0" applyProtection="0"/>
    <xf numFmtId="0" fontId="87" fillId="61" borderId="0" applyNumberFormat="0" applyBorder="0" applyAlignment="0" applyProtection="0"/>
    <xf numFmtId="0" fontId="85" fillId="29" borderId="0" applyNumberFormat="0" applyBorder="0" applyAlignment="0" applyProtection="0"/>
    <xf numFmtId="0" fontId="87" fillId="67" borderId="0" applyNumberFormat="0" applyBorder="0" applyAlignment="0" applyProtection="0"/>
    <xf numFmtId="0" fontId="85" fillId="29" borderId="0" applyNumberFormat="0" applyBorder="0" applyAlignment="0" applyProtection="0"/>
    <xf numFmtId="0" fontId="87" fillId="67" borderId="0" applyNumberFormat="0" applyBorder="0" applyAlignment="0" applyProtection="0"/>
    <xf numFmtId="0" fontId="85" fillId="29" borderId="0" applyNumberFormat="0" applyBorder="0" applyAlignment="0" applyProtection="0"/>
    <xf numFmtId="0" fontId="87" fillId="67" borderId="0" applyNumberFormat="0" applyBorder="0" applyAlignment="0" applyProtection="0"/>
    <xf numFmtId="0" fontId="85" fillId="29" borderId="0" applyNumberFormat="0" applyBorder="0" applyAlignment="0" applyProtection="0"/>
    <xf numFmtId="0" fontId="87" fillId="67" borderId="0" applyNumberFormat="0" applyBorder="0" applyAlignment="0" applyProtection="0"/>
    <xf numFmtId="0" fontId="85" fillId="29" borderId="0" applyNumberFormat="0" applyBorder="0" applyAlignment="0" applyProtection="0"/>
    <xf numFmtId="0" fontId="87" fillId="67" borderId="0" applyNumberFormat="0" applyBorder="0" applyAlignment="0" applyProtection="0"/>
    <xf numFmtId="0" fontId="85" fillId="29" borderId="0" applyNumberFormat="0" applyBorder="0" applyAlignment="0" applyProtection="0"/>
    <xf numFmtId="0" fontId="87" fillId="67" borderId="0" applyNumberFormat="0" applyBorder="0" applyAlignment="0" applyProtection="0"/>
    <xf numFmtId="0" fontId="85" fillId="29" borderId="0" applyNumberFormat="0" applyBorder="0" applyAlignment="0" applyProtection="0"/>
    <xf numFmtId="0" fontId="87" fillId="67" borderId="0" applyNumberFormat="0" applyBorder="0" applyAlignment="0" applyProtection="0"/>
    <xf numFmtId="0" fontId="85" fillId="29" borderId="0" applyNumberFormat="0" applyBorder="0" applyAlignment="0" applyProtection="0"/>
    <xf numFmtId="0" fontId="87" fillId="67" borderId="0" applyNumberFormat="0" applyBorder="0" applyAlignment="0" applyProtection="0"/>
    <xf numFmtId="0" fontId="85" fillId="29"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12" fillId="29" borderId="0" applyNumberFormat="0" applyBorder="0" applyAlignment="0" applyProtection="0"/>
    <xf numFmtId="0" fontId="71" fillId="29" borderId="0" applyNumberFormat="0" applyBorder="0" applyAlignment="0" applyProtection="0"/>
    <xf numFmtId="0" fontId="182" fillId="29"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87" fillId="67" borderId="0" applyNumberFormat="0" applyBorder="0" applyAlignment="0" applyProtection="0"/>
    <xf numFmtId="0" fontId="71" fillId="29" borderId="0" applyNumberFormat="0" applyBorder="0" applyAlignment="0" applyProtection="0"/>
    <xf numFmtId="0" fontId="71" fillId="29" borderId="0" applyNumberFormat="0" applyBorder="0" applyAlignment="0" applyProtection="0"/>
    <xf numFmtId="0" fontId="12" fillId="29" borderId="0" applyNumberFormat="0" applyBorder="0" applyAlignment="0" applyProtection="0"/>
    <xf numFmtId="0" fontId="87" fillId="67" borderId="0" applyNumberFormat="0" applyBorder="0" applyAlignment="0" applyProtection="0"/>
    <xf numFmtId="0" fontId="71" fillId="29" borderId="0" applyNumberFormat="0" applyBorder="0" applyAlignment="0" applyProtection="0"/>
    <xf numFmtId="0" fontId="85" fillId="29" borderId="0" applyNumberFormat="0" applyBorder="0" applyAlignment="0" applyProtection="0"/>
    <xf numFmtId="0" fontId="87" fillId="67" borderId="0" applyNumberFormat="0" applyBorder="0" applyAlignment="0" applyProtection="0"/>
    <xf numFmtId="0" fontId="85" fillId="29" borderId="0" applyNumberFormat="0" applyBorder="0" applyAlignment="0" applyProtection="0"/>
    <xf numFmtId="0" fontId="87" fillId="67" borderId="0" applyNumberFormat="0" applyBorder="0" applyAlignment="0" applyProtection="0"/>
    <xf numFmtId="0" fontId="85" fillId="29" borderId="0" applyNumberFormat="0" applyBorder="0" applyAlignment="0" applyProtection="0"/>
    <xf numFmtId="0" fontId="87" fillId="67" borderId="0" applyNumberFormat="0" applyBorder="0" applyAlignment="0" applyProtection="0"/>
    <xf numFmtId="0" fontId="85" fillId="29" borderId="0" applyNumberFormat="0" applyBorder="0" applyAlignment="0" applyProtection="0"/>
    <xf numFmtId="0" fontId="87" fillId="67" borderId="0" applyNumberFormat="0" applyBorder="0" applyAlignment="0" applyProtection="0"/>
    <xf numFmtId="0" fontId="85" fillId="29" borderId="0" applyNumberFormat="0" applyBorder="0" applyAlignment="0" applyProtection="0"/>
    <xf numFmtId="0" fontId="87" fillId="67" borderId="0" applyNumberFormat="0" applyBorder="0" applyAlignment="0" applyProtection="0"/>
    <xf numFmtId="0" fontId="85" fillId="29" borderId="0" applyNumberFormat="0" applyBorder="0" applyAlignment="0" applyProtection="0"/>
    <xf numFmtId="0" fontId="87" fillId="67" borderId="0" applyNumberFormat="0" applyBorder="0" applyAlignment="0" applyProtection="0"/>
    <xf numFmtId="0" fontId="89" fillId="5" borderId="0" applyNumberFormat="0" applyBorder="0" applyAlignment="0" applyProtection="0"/>
    <xf numFmtId="0" fontId="133" fillId="48" borderId="0" applyNumberFormat="0" applyBorder="0" applyAlignment="0" applyProtection="0"/>
    <xf numFmtId="0" fontId="89" fillId="5" borderId="0" applyNumberFormat="0" applyBorder="0" applyAlignment="0" applyProtection="0"/>
    <xf numFmtId="0" fontId="133" fillId="48" borderId="0" applyNumberFormat="0" applyBorder="0" applyAlignment="0" applyProtection="0"/>
    <xf numFmtId="0" fontId="89" fillId="5" borderId="0" applyNumberFormat="0" applyBorder="0" applyAlignment="0" applyProtection="0"/>
    <xf numFmtId="0" fontId="133" fillId="48" borderId="0" applyNumberFormat="0" applyBorder="0" applyAlignment="0" applyProtection="0"/>
    <xf numFmtId="0" fontId="89" fillId="5" borderId="0" applyNumberFormat="0" applyBorder="0" applyAlignment="0" applyProtection="0"/>
    <xf numFmtId="0" fontId="133" fillId="48" borderId="0" applyNumberFormat="0" applyBorder="0" applyAlignment="0" applyProtection="0"/>
    <xf numFmtId="0" fontId="89" fillId="5" borderId="0" applyNumberFormat="0" applyBorder="0" applyAlignment="0" applyProtection="0"/>
    <xf numFmtId="0" fontId="133" fillId="48" borderId="0" applyNumberFormat="0" applyBorder="0" applyAlignment="0" applyProtection="0"/>
    <xf numFmtId="0" fontId="89" fillId="5" borderId="0" applyNumberFormat="0" applyBorder="0" applyAlignment="0" applyProtection="0"/>
    <xf numFmtId="0" fontId="133" fillId="48" borderId="0" applyNumberFormat="0" applyBorder="0" applyAlignment="0" applyProtection="0"/>
    <xf numFmtId="0" fontId="89" fillId="5" borderId="0" applyNumberFormat="0" applyBorder="0" applyAlignment="0" applyProtection="0"/>
    <xf numFmtId="0" fontId="133" fillId="48" borderId="0" applyNumberFormat="0" applyBorder="0" applyAlignment="0" applyProtection="0"/>
    <xf numFmtId="0" fontId="89" fillId="5" borderId="0" applyNumberFormat="0" applyBorder="0" applyAlignment="0" applyProtection="0"/>
    <xf numFmtId="0" fontId="133" fillId="48" borderId="0" applyNumberFormat="0" applyBorder="0" applyAlignment="0" applyProtection="0"/>
    <xf numFmtId="0" fontId="89" fillId="5" borderId="0" applyNumberFormat="0" applyBorder="0" applyAlignment="0" applyProtection="0"/>
    <xf numFmtId="0" fontId="133" fillId="48" borderId="0" applyNumberFormat="0" applyBorder="0" applyAlignment="0" applyProtection="0"/>
    <xf numFmtId="0" fontId="133" fillId="48" borderId="0" applyNumberFormat="0" applyBorder="0" applyAlignment="0" applyProtection="0"/>
    <xf numFmtId="0" fontId="90" fillId="5" borderId="0" applyNumberFormat="0" applyBorder="0" applyAlignment="0" applyProtection="0"/>
    <xf numFmtId="0" fontId="64" fillId="5" borderId="0" applyNumberFormat="0" applyBorder="0" applyAlignment="0" applyProtection="0"/>
    <xf numFmtId="0" fontId="183" fillId="5" borderId="0" applyNumberFormat="0" applyBorder="0" applyAlignment="0" applyProtection="0"/>
    <xf numFmtId="0" fontId="133" fillId="48" borderId="0" applyNumberFormat="0" applyBorder="0" applyAlignment="0" applyProtection="0"/>
    <xf numFmtId="0" fontId="133" fillId="48" borderId="0" applyNumberFormat="0" applyBorder="0" applyAlignment="0" applyProtection="0"/>
    <xf numFmtId="0" fontId="133" fillId="48" borderId="0" applyNumberFormat="0" applyBorder="0" applyAlignment="0" applyProtection="0"/>
    <xf numFmtId="0" fontId="133" fillId="48" borderId="0" applyNumberFormat="0" applyBorder="0" applyAlignment="0" applyProtection="0"/>
    <xf numFmtId="0" fontId="133" fillId="48" borderId="0" applyNumberFormat="0" applyBorder="0" applyAlignment="0" applyProtection="0"/>
    <xf numFmtId="0" fontId="133" fillId="48" borderId="0" applyNumberFormat="0" applyBorder="0" applyAlignment="0" applyProtection="0"/>
    <xf numFmtId="0" fontId="133" fillId="48" borderId="0" applyNumberFormat="0" applyBorder="0" applyAlignment="0" applyProtection="0"/>
    <xf numFmtId="0" fontId="133" fillId="48" borderId="0" applyNumberFormat="0" applyBorder="0" applyAlignment="0" applyProtection="0"/>
    <xf numFmtId="0" fontId="133" fillId="48" borderId="0" applyNumberFormat="0" applyBorder="0" applyAlignment="0" applyProtection="0"/>
    <xf numFmtId="0" fontId="64" fillId="5" borderId="0" applyNumberFormat="0" applyBorder="0" applyAlignment="0" applyProtection="0"/>
    <xf numFmtId="0" fontId="64" fillId="5" borderId="0" applyNumberFormat="0" applyBorder="0" applyAlignment="0" applyProtection="0"/>
    <xf numFmtId="0" fontId="90" fillId="5" borderId="0" applyNumberFormat="0" applyBorder="0" applyAlignment="0" applyProtection="0"/>
    <xf numFmtId="0" fontId="133" fillId="48" borderId="0" applyNumberFormat="0" applyBorder="0" applyAlignment="0" applyProtection="0"/>
    <xf numFmtId="0" fontId="64" fillId="5" borderId="0" applyNumberFormat="0" applyBorder="0" applyAlignment="0" applyProtection="0"/>
    <xf numFmtId="0" fontId="89" fillId="5" borderId="0" applyNumberFormat="0" applyBorder="0" applyAlignment="0" applyProtection="0"/>
    <xf numFmtId="0" fontId="133" fillId="48" borderId="0" applyNumberFormat="0" applyBorder="0" applyAlignment="0" applyProtection="0"/>
    <xf numFmtId="0" fontId="89" fillId="5" borderId="0" applyNumberFormat="0" applyBorder="0" applyAlignment="0" applyProtection="0"/>
    <xf numFmtId="0" fontId="133" fillId="48" borderId="0" applyNumberFormat="0" applyBorder="0" applyAlignment="0" applyProtection="0"/>
    <xf numFmtId="0" fontId="89" fillId="5" borderId="0" applyNumberFormat="0" applyBorder="0" applyAlignment="0" applyProtection="0"/>
    <xf numFmtId="0" fontId="133" fillId="48" borderId="0" applyNumberFormat="0" applyBorder="0" applyAlignment="0" applyProtection="0"/>
    <xf numFmtId="0" fontId="89" fillId="5" borderId="0" applyNumberFormat="0" applyBorder="0" applyAlignment="0" applyProtection="0"/>
    <xf numFmtId="0" fontId="133" fillId="48" borderId="0" applyNumberFormat="0" applyBorder="0" applyAlignment="0" applyProtection="0"/>
    <xf numFmtId="0" fontId="89" fillId="5" borderId="0" applyNumberFormat="0" applyBorder="0" applyAlignment="0" applyProtection="0"/>
    <xf numFmtId="0" fontId="133" fillId="48" borderId="0" applyNumberFormat="0" applyBorder="0" applyAlignment="0" applyProtection="0"/>
    <xf numFmtId="0" fontId="89" fillId="5" borderId="0" applyNumberFormat="0" applyBorder="0" applyAlignment="0" applyProtection="0"/>
    <xf numFmtId="0" fontId="133" fillId="48" borderId="0" applyNumberFormat="0" applyBorder="0" applyAlignment="0" applyProtection="0"/>
    <xf numFmtId="0" fontId="95" fillId="7" borderId="13" applyNumberFormat="0" applyAlignment="0" applyProtection="0"/>
    <xf numFmtId="0" fontId="98" fillId="55" borderId="46" applyNumberFormat="0" applyAlignment="0" applyProtection="0"/>
    <xf numFmtId="0" fontId="95" fillId="7" borderId="13" applyNumberFormat="0" applyAlignment="0" applyProtection="0"/>
    <xf numFmtId="0" fontId="98" fillId="55" borderId="46" applyNumberFormat="0" applyAlignment="0" applyProtection="0"/>
    <xf numFmtId="0" fontId="95" fillId="7" borderId="13" applyNumberFormat="0" applyAlignment="0" applyProtection="0"/>
    <xf numFmtId="0" fontId="98" fillId="55" borderId="46" applyNumberFormat="0" applyAlignment="0" applyProtection="0"/>
    <xf numFmtId="0" fontId="95" fillId="7" borderId="13" applyNumberFormat="0" applyAlignment="0" applyProtection="0"/>
    <xf numFmtId="0" fontId="98" fillId="55" borderId="46" applyNumberFormat="0" applyAlignment="0" applyProtection="0"/>
    <xf numFmtId="0" fontId="95" fillId="7" borderId="13" applyNumberFormat="0" applyAlignment="0" applyProtection="0"/>
    <xf numFmtId="0" fontId="98" fillId="55" borderId="46" applyNumberFormat="0" applyAlignment="0" applyProtection="0"/>
    <xf numFmtId="0" fontId="95" fillId="7" borderId="13" applyNumberFormat="0" applyAlignment="0" applyProtection="0"/>
    <xf numFmtId="0" fontId="98" fillId="55" borderId="46" applyNumberFormat="0" applyAlignment="0" applyProtection="0"/>
    <xf numFmtId="0" fontId="95" fillId="7" borderId="13" applyNumberFormat="0" applyAlignment="0" applyProtection="0"/>
    <xf numFmtId="0" fontId="98" fillId="55" borderId="46" applyNumberFormat="0" applyAlignment="0" applyProtection="0"/>
    <xf numFmtId="0" fontId="95" fillId="7" borderId="13" applyNumberFormat="0" applyAlignment="0" applyProtection="0"/>
    <xf numFmtId="0" fontId="98" fillId="55" borderId="46" applyNumberFormat="0" applyAlignment="0" applyProtection="0"/>
    <xf numFmtId="0" fontId="95" fillId="7" borderId="13" applyNumberFormat="0" applyAlignment="0" applyProtection="0"/>
    <xf numFmtId="0" fontId="98" fillId="55" borderId="46" applyNumberFormat="0" applyAlignment="0" applyProtection="0"/>
    <xf numFmtId="0" fontId="98" fillId="55" borderId="46" applyNumberFormat="0" applyAlignment="0" applyProtection="0"/>
    <xf numFmtId="222" fontId="98" fillId="55" borderId="46" applyNumberFormat="0" applyAlignment="0" applyProtection="0"/>
    <xf numFmtId="0" fontId="96" fillId="7" borderId="13" applyNumberFormat="0" applyAlignment="0" applyProtection="0"/>
    <xf numFmtId="0" fontId="66" fillId="7" borderId="13" applyNumberFormat="0" applyAlignment="0" applyProtection="0"/>
    <xf numFmtId="0" fontId="184" fillId="7" borderId="13" applyNumberFormat="0" applyAlignment="0" applyProtection="0"/>
    <xf numFmtId="0" fontId="98" fillId="55" borderId="46" applyNumberFormat="0" applyAlignment="0" applyProtection="0"/>
    <xf numFmtId="0" fontId="98" fillId="55" borderId="46" applyNumberFormat="0" applyAlignment="0" applyProtection="0"/>
    <xf numFmtId="0" fontId="98" fillId="55" borderId="46" applyNumberFormat="0" applyAlignment="0" applyProtection="0"/>
    <xf numFmtId="0" fontId="98" fillId="55" borderId="46" applyNumberFormat="0" applyAlignment="0" applyProtection="0"/>
    <xf numFmtId="0" fontId="98" fillId="55" borderId="46" applyNumberFormat="0" applyAlignment="0" applyProtection="0"/>
    <xf numFmtId="0" fontId="98" fillId="55" borderId="46" applyNumberFormat="0" applyAlignment="0" applyProtection="0"/>
    <xf numFmtId="0" fontId="98" fillId="55" borderId="46" applyNumberFormat="0" applyAlignment="0" applyProtection="0"/>
    <xf numFmtId="0" fontId="98" fillId="55" borderId="46" applyNumberFormat="0" applyAlignment="0" applyProtection="0"/>
    <xf numFmtId="0" fontId="66" fillId="7" borderId="13" applyNumberFormat="0" applyAlignment="0" applyProtection="0"/>
    <xf numFmtId="0" fontId="66" fillId="7" borderId="13" applyNumberFormat="0" applyAlignment="0" applyProtection="0"/>
    <xf numFmtId="0" fontId="96" fillId="7" borderId="13" applyNumberFormat="0" applyAlignment="0" applyProtection="0"/>
    <xf numFmtId="0" fontId="98" fillId="55" borderId="46" applyNumberFormat="0" applyAlignment="0" applyProtection="0"/>
    <xf numFmtId="0" fontId="66" fillId="7" borderId="13" applyNumberFormat="0" applyAlignment="0" applyProtection="0"/>
    <xf numFmtId="0" fontId="95" fillId="7" borderId="13" applyNumberFormat="0" applyAlignment="0" applyProtection="0"/>
    <xf numFmtId="0" fontId="98" fillId="55" borderId="46" applyNumberFormat="0" applyAlignment="0" applyProtection="0"/>
    <xf numFmtId="0" fontId="95" fillId="7" borderId="13" applyNumberFormat="0" applyAlignment="0" applyProtection="0"/>
    <xf numFmtId="0" fontId="98" fillId="55" borderId="46" applyNumberFormat="0" applyAlignment="0" applyProtection="0"/>
    <xf numFmtId="0" fontId="95" fillId="7" borderId="13" applyNumberFormat="0" applyAlignment="0" applyProtection="0"/>
    <xf numFmtId="0" fontId="98" fillId="55" borderId="46" applyNumberFormat="0" applyAlignment="0" applyProtection="0"/>
    <xf numFmtId="0" fontId="95" fillId="7" borderId="13" applyNumberFormat="0" applyAlignment="0" applyProtection="0"/>
    <xf numFmtId="0" fontId="98" fillId="55" borderId="46" applyNumberFormat="0" applyAlignment="0" applyProtection="0"/>
    <xf numFmtId="0" fontId="95" fillId="7" borderId="13" applyNumberFormat="0" applyAlignment="0" applyProtection="0"/>
    <xf numFmtId="0" fontId="98" fillId="55" borderId="46" applyNumberFormat="0" applyAlignment="0" applyProtection="0"/>
    <xf numFmtId="0" fontId="95" fillId="7" borderId="13" applyNumberFormat="0" applyAlignment="0" applyProtection="0"/>
    <xf numFmtId="0" fontId="98" fillId="55" borderId="46" applyNumberFormat="0" applyAlignment="0" applyProtection="0"/>
    <xf numFmtId="0" fontId="103" fillId="8" borderId="15" applyNumberFormat="0" applyAlignment="0" applyProtection="0"/>
    <xf numFmtId="0" fontId="100" fillId="63" borderId="31" applyNumberFormat="0" applyAlignment="0" applyProtection="0"/>
    <xf numFmtId="0" fontId="103" fillId="8" borderId="15" applyNumberFormat="0" applyAlignment="0" applyProtection="0"/>
    <xf numFmtId="0" fontId="100" fillId="63" borderId="31" applyNumberFormat="0" applyAlignment="0" applyProtection="0"/>
    <xf numFmtId="0" fontId="103" fillId="8" borderId="15" applyNumberFormat="0" applyAlignment="0" applyProtection="0"/>
    <xf numFmtId="0" fontId="100" fillId="63" borderId="31" applyNumberFormat="0" applyAlignment="0" applyProtection="0"/>
    <xf numFmtId="0" fontId="103" fillId="8" borderId="15" applyNumberFormat="0" applyAlignment="0" applyProtection="0"/>
    <xf numFmtId="0" fontId="100" fillId="63" borderId="31" applyNumberFormat="0" applyAlignment="0" applyProtection="0"/>
    <xf numFmtId="0" fontId="103" fillId="8" borderId="15" applyNumberFormat="0" applyAlignment="0" applyProtection="0"/>
    <xf numFmtId="0" fontId="100" fillId="63" borderId="31" applyNumberFormat="0" applyAlignment="0" applyProtection="0"/>
    <xf numFmtId="0" fontId="103" fillId="8" borderId="15" applyNumberFormat="0" applyAlignment="0" applyProtection="0"/>
    <xf numFmtId="0" fontId="100" fillId="63" borderId="31" applyNumberFormat="0" applyAlignment="0" applyProtection="0"/>
    <xf numFmtId="0" fontId="103" fillId="8" borderId="15" applyNumberFormat="0" applyAlignment="0" applyProtection="0"/>
    <xf numFmtId="0" fontId="100" fillId="63" borderId="31" applyNumberFormat="0" applyAlignment="0" applyProtection="0"/>
    <xf numFmtId="0" fontId="103" fillId="8" borderId="15" applyNumberFormat="0" applyAlignment="0" applyProtection="0"/>
    <xf numFmtId="0" fontId="100" fillId="63" borderId="31" applyNumberFormat="0" applyAlignment="0" applyProtection="0"/>
    <xf numFmtId="0" fontId="103" fillId="8" borderId="15" applyNumberFormat="0" applyAlignment="0" applyProtection="0"/>
    <xf numFmtId="0" fontId="100" fillId="63" borderId="31" applyNumberFormat="0" applyAlignment="0" applyProtection="0"/>
    <xf numFmtId="0" fontId="100" fillId="63" borderId="31" applyNumberFormat="0" applyAlignment="0" applyProtection="0"/>
    <xf numFmtId="0" fontId="104" fillId="8" borderId="15" applyNumberFormat="0" applyAlignment="0" applyProtection="0"/>
    <xf numFmtId="0" fontId="68" fillId="8" borderId="15" applyNumberFormat="0" applyAlignment="0" applyProtection="0"/>
    <xf numFmtId="0" fontId="185" fillId="8" borderId="15" applyNumberFormat="0" applyAlignment="0" applyProtection="0"/>
    <xf numFmtId="0" fontId="100" fillId="63" borderId="31" applyNumberFormat="0" applyAlignment="0" applyProtection="0"/>
    <xf numFmtId="0" fontId="100" fillId="63" borderId="31" applyNumberFormat="0" applyAlignment="0" applyProtection="0"/>
    <xf numFmtId="0" fontId="100" fillId="63" borderId="31" applyNumberFormat="0" applyAlignment="0" applyProtection="0"/>
    <xf numFmtId="0" fontId="100" fillId="63" borderId="31" applyNumberFormat="0" applyAlignment="0" applyProtection="0"/>
    <xf numFmtId="0" fontId="100" fillId="63" borderId="31" applyNumberFormat="0" applyAlignment="0" applyProtection="0"/>
    <xf numFmtId="0" fontId="100" fillId="63" borderId="31" applyNumberFormat="0" applyAlignment="0" applyProtection="0"/>
    <xf numFmtId="0" fontId="100" fillId="63" borderId="31" applyNumberFormat="0" applyAlignment="0" applyProtection="0"/>
    <xf numFmtId="0" fontId="100" fillId="63" borderId="31" applyNumberFormat="0" applyAlignment="0" applyProtection="0"/>
    <xf numFmtId="0" fontId="68" fillId="8" borderId="15" applyNumberFormat="0" applyAlignment="0" applyProtection="0"/>
    <xf numFmtId="0" fontId="68" fillId="8" borderId="15" applyNumberFormat="0" applyAlignment="0" applyProtection="0"/>
    <xf numFmtId="0" fontId="104" fillId="8" borderId="15" applyNumberFormat="0" applyAlignment="0" applyProtection="0"/>
    <xf numFmtId="0" fontId="100" fillId="63" borderId="31" applyNumberFormat="0" applyAlignment="0" applyProtection="0"/>
    <xf numFmtId="0" fontId="68" fillId="8" borderId="15" applyNumberFormat="0" applyAlignment="0" applyProtection="0"/>
    <xf numFmtId="0" fontId="103" fillId="8" borderId="15" applyNumberFormat="0" applyAlignment="0" applyProtection="0"/>
    <xf numFmtId="0" fontId="100" fillId="63" borderId="31" applyNumberFormat="0" applyAlignment="0" applyProtection="0"/>
    <xf numFmtId="0" fontId="103" fillId="8" borderId="15" applyNumberFormat="0" applyAlignment="0" applyProtection="0"/>
    <xf numFmtId="0" fontId="100" fillId="63" borderId="31" applyNumberFormat="0" applyAlignment="0" applyProtection="0"/>
    <xf numFmtId="0" fontId="103" fillId="8" borderId="15" applyNumberFormat="0" applyAlignment="0" applyProtection="0"/>
    <xf numFmtId="0" fontId="100" fillId="63" borderId="31" applyNumberFormat="0" applyAlignment="0" applyProtection="0"/>
    <xf numFmtId="0" fontId="103" fillId="8" borderId="15" applyNumberFormat="0" applyAlignment="0" applyProtection="0"/>
    <xf numFmtId="0" fontId="100" fillId="63" borderId="31" applyNumberFormat="0" applyAlignment="0" applyProtection="0"/>
    <xf numFmtId="0" fontId="103" fillId="8" borderId="15" applyNumberFormat="0" applyAlignment="0" applyProtection="0"/>
    <xf numFmtId="0" fontId="100" fillId="63" borderId="31" applyNumberFormat="0" applyAlignment="0" applyProtection="0"/>
    <xf numFmtId="0" fontId="103" fillId="8" borderId="15" applyNumberFormat="0" applyAlignment="0" applyProtection="0"/>
    <xf numFmtId="0" fontId="100" fillId="63" borderId="31" applyNumberFormat="0" applyAlignment="0" applyProtection="0"/>
    <xf numFmtId="185" fontId="156" fillId="0" borderId="0" applyFont="0" applyFill="0" applyBorder="0" applyAlignment="0" applyProtection="0"/>
    <xf numFmtId="177" fontId="8"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162"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43" fontId="8" fillId="0" borderId="0" applyFont="0" applyFill="0" applyBorder="0" applyAlignment="0" applyProtection="0"/>
    <xf numFmtId="185"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85" fontId="8" fillId="0" borderId="0" applyFont="0" applyFill="0" applyBorder="0" applyAlignment="0" applyProtection="0"/>
    <xf numFmtId="185" fontId="8" fillId="0" borderId="0" applyFont="0" applyFill="0" applyBorder="0" applyAlignment="0" applyProtection="0"/>
    <xf numFmtId="185"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7" fontId="8" fillId="0" borderId="0" applyFont="0" applyFill="0" applyBorder="0" applyAlignment="0" applyProtection="0"/>
    <xf numFmtId="43" fontId="8" fillId="0" borderId="0" applyFont="0" applyFill="0" applyBorder="0" applyAlignment="0" applyProtection="0"/>
    <xf numFmtId="177" fontId="8" fillId="0" borderId="0" applyFont="0" applyFill="0" applyBorder="0" applyAlignment="0" applyProtection="0"/>
    <xf numFmtId="43" fontId="8"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74" fillId="0" borderId="0" applyFont="0" applyFill="0" applyBorder="0" applyAlignment="0" applyProtection="0"/>
    <xf numFmtId="177" fontId="8" fillId="0" borderId="0" applyFont="0" applyFill="0" applyBorder="0" applyAlignment="0" applyProtection="0"/>
    <xf numFmtId="43" fontId="2"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83" fontId="2" fillId="0" borderId="0" applyFont="0" applyFill="0" applyBorder="0" applyAlignment="0" applyProtection="0"/>
    <xf numFmtId="183" fontId="2" fillId="0" borderId="0" applyFont="0" applyFill="0" applyBorder="0" applyAlignment="0" applyProtection="0"/>
    <xf numFmtId="43" fontId="8" fillId="0" borderId="0" applyFont="0" applyFill="0" applyBorder="0" applyAlignment="0" applyProtection="0"/>
    <xf numFmtId="177" fontId="2" fillId="0" borderId="0" applyFont="0" applyFill="0" applyBorder="0" applyAlignment="0" applyProtection="0"/>
    <xf numFmtId="177" fontId="110"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77" fontId="2" fillId="0" borderId="0" applyFont="0" applyFill="0" applyBorder="0" applyAlignment="0" applyProtection="0"/>
    <xf numFmtId="183" fontId="8" fillId="0" borderId="0" applyFont="0" applyFill="0" applyBorder="0" applyAlignment="0" applyProtection="0"/>
    <xf numFmtId="43" fontId="8" fillId="0" borderId="0" applyFont="0" applyFill="0" applyBorder="0" applyAlignment="0" applyProtection="0"/>
    <xf numFmtId="177" fontId="111" fillId="0" borderId="0" applyFont="0" applyFill="0" applyBorder="0" applyAlignment="0" applyProtection="0"/>
    <xf numFmtId="43" fontId="8" fillId="0" borderId="0" applyFont="0" applyFill="0" applyBorder="0" applyAlignment="0" applyProtection="0"/>
    <xf numFmtId="177" fontId="111" fillId="0" borderId="0" applyFont="0" applyFill="0" applyBorder="0" applyAlignment="0" applyProtection="0"/>
    <xf numFmtId="177" fontId="8" fillId="0" borderId="0" applyFont="0" applyFill="0" applyBorder="0" applyAlignment="0" applyProtection="0"/>
    <xf numFmtId="43" fontId="8" fillId="0" borderId="0" applyFont="0" applyFill="0" applyBorder="0" applyAlignment="0" applyProtection="0"/>
    <xf numFmtId="177" fontId="111" fillId="0" borderId="0" applyFont="0" applyFill="0" applyBorder="0" applyAlignment="0" applyProtection="0"/>
    <xf numFmtId="0" fontId="8"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177" fontId="36"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87" fontId="8" fillId="0" borderId="0" applyFont="0" applyFill="0" applyBorder="0" applyAlignment="0" applyProtection="0"/>
    <xf numFmtId="0" fontId="8" fillId="0" borderId="0" applyFont="0" applyFill="0" applyBorder="0" applyAlignment="0" applyProtection="0"/>
    <xf numFmtId="0" fontId="8" fillId="0" borderId="0" applyFont="0" applyFill="0" applyBorder="0" applyAlignment="0" applyProtection="0"/>
    <xf numFmtId="43" fontId="8" fillId="0" borderId="0" applyFont="0" applyFill="0" applyBorder="0" applyAlignment="0" applyProtection="0"/>
    <xf numFmtId="177" fontId="8" fillId="0" borderId="0" applyFont="0" applyFill="0" applyBorder="0" applyAlignment="0" applyProtection="0"/>
    <xf numFmtId="185" fontId="8" fillId="0" borderId="0" applyFont="0" applyFill="0" applyBorder="0" applyAlignment="0" applyProtection="0"/>
    <xf numFmtId="0" fontId="8" fillId="0" borderId="0" applyFont="0" applyFill="0" applyBorder="0" applyAlignment="0" applyProtection="0"/>
    <xf numFmtId="43" fontId="8" fillId="0" borderId="0" applyFont="0" applyFill="0" applyBorder="0" applyAlignment="0" applyProtection="0"/>
    <xf numFmtId="177" fontId="74" fillId="0" borderId="0" applyFont="0" applyFill="0" applyBorder="0" applyAlignment="0" applyProtection="0"/>
    <xf numFmtId="177" fontId="74" fillId="0" borderId="0" applyFont="0" applyFill="0" applyBorder="0" applyAlignment="0" applyProtection="0"/>
    <xf numFmtId="177" fontId="2" fillId="0" borderId="0" applyFont="0" applyFill="0" applyBorder="0" applyAlignment="0" applyProtection="0"/>
    <xf numFmtId="177" fontId="8" fillId="0" borderId="0" applyFont="0" applyFill="0" applyBorder="0" applyAlignment="0" applyProtection="0"/>
    <xf numFmtId="177" fontId="2" fillId="0" borderId="0" applyFont="0" applyFill="0" applyBorder="0" applyAlignment="0" applyProtection="0"/>
    <xf numFmtId="0" fontId="8" fillId="0" borderId="0" applyFont="0" applyFill="0" applyBorder="0" applyAlignment="0" applyProtection="0"/>
    <xf numFmtId="223" fontId="2" fillId="0" borderId="0" applyFont="0" applyFill="0" applyBorder="0" applyAlignment="0" applyProtection="0"/>
    <xf numFmtId="177" fontId="8" fillId="0" borderId="0" applyFont="0" applyFill="0" applyBorder="0" applyAlignment="0" applyProtection="0"/>
    <xf numFmtId="177"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43" fontId="36" fillId="0" borderId="0" applyFont="0" applyFill="0" applyBorder="0" applyAlignment="0" applyProtection="0"/>
    <xf numFmtId="177" fontId="2" fillId="0" borderId="0" applyFont="0" applyFill="0" applyBorder="0" applyAlignment="0" applyProtection="0"/>
    <xf numFmtId="43" fontId="2" fillId="0" borderId="0" applyFont="0" applyFill="0" applyBorder="0" applyAlignment="0" applyProtection="0"/>
    <xf numFmtId="177" fontId="2" fillId="0" borderId="0" applyFont="0" applyFill="0" applyBorder="0" applyAlignment="0" applyProtection="0"/>
    <xf numFmtId="0" fontId="117" fillId="0" borderId="0" applyNumberFormat="0" applyFill="0" applyBorder="0" applyAlignment="0" applyProtection="0"/>
    <xf numFmtId="0" fontId="171" fillId="0" borderId="0" applyNumberFormat="0" applyFill="0" applyBorder="0" applyAlignment="0" applyProtection="0"/>
    <xf numFmtId="0" fontId="117" fillId="0" borderId="0" applyNumberFormat="0" applyFill="0" applyBorder="0" applyAlignment="0" applyProtection="0"/>
    <xf numFmtId="0" fontId="171" fillId="0" borderId="0" applyNumberFormat="0" applyFill="0" applyBorder="0" applyAlignment="0" applyProtection="0"/>
    <xf numFmtId="0" fontId="117" fillId="0" borderId="0" applyNumberFormat="0" applyFill="0" applyBorder="0" applyAlignment="0" applyProtection="0"/>
    <xf numFmtId="0" fontId="171" fillId="0" borderId="0" applyNumberFormat="0" applyFill="0" applyBorder="0" applyAlignment="0" applyProtection="0"/>
    <xf numFmtId="0" fontId="117" fillId="0" borderId="0" applyNumberFormat="0" applyFill="0" applyBorder="0" applyAlignment="0" applyProtection="0"/>
    <xf numFmtId="0" fontId="171" fillId="0" borderId="0" applyNumberFormat="0" applyFill="0" applyBorder="0" applyAlignment="0" applyProtection="0"/>
    <xf numFmtId="0" fontId="117" fillId="0" borderId="0" applyNumberFormat="0" applyFill="0" applyBorder="0" applyAlignment="0" applyProtection="0"/>
    <xf numFmtId="0" fontId="171" fillId="0" borderId="0" applyNumberFormat="0" applyFill="0" applyBorder="0" applyAlignment="0" applyProtection="0"/>
    <xf numFmtId="0" fontId="117" fillId="0" borderId="0" applyNumberFormat="0" applyFill="0" applyBorder="0" applyAlignment="0" applyProtection="0"/>
    <xf numFmtId="0" fontId="171" fillId="0" borderId="0" applyNumberFormat="0" applyFill="0" applyBorder="0" applyAlignment="0" applyProtection="0"/>
    <xf numFmtId="0" fontId="117" fillId="0" borderId="0" applyNumberFormat="0" applyFill="0" applyBorder="0" applyAlignment="0" applyProtection="0"/>
    <xf numFmtId="0" fontId="171" fillId="0" borderId="0" applyNumberFormat="0" applyFill="0" applyBorder="0" applyAlignment="0" applyProtection="0"/>
    <xf numFmtId="0" fontId="117" fillId="0" borderId="0" applyNumberFormat="0" applyFill="0" applyBorder="0" applyAlignment="0" applyProtection="0"/>
    <xf numFmtId="0" fontId="171" fillId="0" borderId="0" applyNumberFormat="0" applyFill="0" applyBorder="0" applyAlignment="0" applyProtection="0"/>
    <xf numFmtId="0" fontId="117"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118" fillId="0" borderId="0" applyNumberFormat="0" applyFill="0" applyBorder="0" applyAlignment="0" applyProtection="0"/>
    <xf numFmtId="0" fontId="70" fillId="0" borderId="0" applyNumberFormat="0" applyFill="0" applyBorder="0" applyAlignment="0" applyProtection="0"/>
    <xf numFmtId="0" fontId="186"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171"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18" fillId="0" borderId="0" applyNumberFormat="0" applyFill="0" applyBorder="0" applyAlignment="0" applyProtection="0"/>
    <xf numFmtId="0" fontId="171" fillId="0" borderId="0" applyNumberFormat="0" applyFill="0" applyBorder="0" applyAlignment="0" applyProtection="0"/>
    <xf numFmtId="0" fontId="70" fillId="0" borderId="0" applyNumberFormat="0" applyFill="0" applyBorder="0" applyAlignment="0" applyProtection="0"/>
    <xf numFmtId="0" fontId="117" fillId="0" borderId="0" applyNumberFormat="0" applyFill="0" applyBorder="0" applyAlignment="0" applyProtection="0"/>
    <xf numFmtId="0" fontId="171" fillId="0" borderId="0" applyNumberFormat="0" applyFill="0" applyBorder="0" applyAlignment="0" applyProtection="0"/>
    <xf numFmtId="0" fontId="117" fillId="0" borderId="0" applyNumberFormat="0" applyFill="0" applyBorder="0" applyAlignment="0" applyProtection="0"/>
    <xf numFmtId="0" fontId="171" fillId="0" borderId="0" applyNumberFormat="0" applyFill="0" applyBorder="0" applyAlignment="0" applyProtection="0"/>
    <xf numFmtId="0" fontId="117" fillId="0" borderId="0" applyNumberFormat="0" applyFill="0" applyBorder="0" applyAlignment="0" applyProtection="0"/>
    <xf numFmtId="0" fontId="171" fillId="0" borderId="0" applyNumberFormat="0" applyFill="0" applyBorder="0" applyAlignment="0" applyProtection="0"/>
    <xf numFmtId="0" fontId="117" fillId="0" borderId="0" applyNumberFormat="0" applyFill="0" applyBorder="0" applyAlignment="0" applyProtection="0"/>
    <xf numFmtId="0" fontId="171" fillId="0" borderId="0" applyNumberFormat="0" applyFill="0" applyBorder="0" applyAlignment="0" applyProtection="0"/>
    <xf numFmtId="0" fontId="117" fillId="0" borderId="0" applyNumberFormat="0" applyFill="0" applyBorder="0" applyAlignment="0" applyProtection="0"/>
    <xf numFmtId="0" fontId="171" fillId="0" borderId="0" applyNumberFormat="0" applyFill="0" applyBorder="0" applyAlignment="0" applyProtection="0"/>
    <xf numFmtId="0" fontId="117" fillId="0" borderId="0" applyNumberFormat="0" applyFill="0" applyBorder="0" applyAlignment="0" applyProtection="0"/>
    <xf numFmtId="0" fontId="171" fillId="0" borderId="0" applyNumberFormat="0" applyFill="0" applyBorder="0" applyAlignment="0" applyProtection="0"/>
    <xf numFmtId="0" fontId="121" fillId="4" borderId="0" applyNumberFormat="0" applyBorder="0" applyAlignment="0" applyProtection="0"/>
    <xf numFmtId="0" fontId="93" fillId="50" borderId="0" applyNumberFormat="0" applyBorder="0" applyAlignment="0" applyProtection="0"/>
    <xf numFmtId="0" fontId="121" fillId="4" borderId="0" applyNumberFormat="0" applyBorder="0" applyAlignment="0" applyProtection="0"/>
    <xf numFmtId="0" fontId="93" fillId="50" borderId="0" applyNumberFormat="0" applyBorder="0" applyAlignment="0" applyProtection="0"/>
    <xf numFmtId="0" fontId="121" fillId="4" borderId="0" applyNumberFormat="0" applyBorder="0" applyAlignment="0" applyProtection="0"/>
    <xf numFmtId="0" fontId="93" fillId="50" borderId="0" applyNumberFormat="0" applyBorder="0" applyAlignment="0" applyProtection="0"/>
    <xf numFmtId="0" fontId="121" fillId="4" borderId="0" applyNumberFormat="0" applyBorder="0" applyAlignment="0" applyProtection="0"/>
    <xf numFmtId="0" fontId="93" fillId="50" borderId="0" applyNumberFormat="0" applyBorder="0" applyAlignment="0" applyProtection="0"/>
    <xf numFmtId="0" fontId="121" fillId="4" borderId="0" applyNumberFormat="0" applyBorder="0" applyAlignment="0" applyProtection="0"/>
    <xf numFmtId="0" fontId="93" fillId="50" borderId="0" applyNumberFormat="0" applyBorder="0" applyAlignment="0" applyProtection="0"/>
    <xf numFmtId="0" fontId="121" fillId="4" borderId="0" applyNumberFormat="0" applyBorder="0" applyAlignment="0" applyProtection="0"/>
    <xf numFmtId="0" fontId="93" fillId="50" borderId="0" applyNumberFormat="0" applyBorder="0" applyAlignment="0" applyProtection="0"/>
    <xf numFmtId="0" fontId="121" fillId="4" borderId="0" applyNumberFormat="0" applyBorder="0" applyAlignment="0" applyProtection="0"/>
    <xf numFmtId="0" fontId="93" fillId="50" borderId="0" applyNumberFormat="0" applyBorder="0" applyAlignment="0" applyProtection="0"/>
    <xf numFmtId="0" fontId="121" fillId="4" borderId="0" applyNumberFormat="0" applyBorder="0" applyAlignment="0" applyProtection="0"/>
    <xf numFmtId="0" fontId="93" fillId="50" borderId="0" applyNumberFormat="0" applyBorder="0" applyAlignment="0" applyProtection="0"/>
    <xf numFmtId="0" fontId="121" fillId="4" borderId="0" applyNumberFormat="0" applyBorder="0" applyAlignment="0" applyProtection="0"/>
    <xf numFmtId="0" fontId="93" fillId="50" borderId="0" applyNumberFormat="0" applyBorder="0" applyAlignment="0" applyProtection="0"/>
    <xf numFmtId="0" fontId="93" fillId="50" borderId="0" applyNumberFormat="0" applyBorder="0" applyAlignment="0" applyProtection="0"/>
    <xf numFmtId="0" fontId="122" fillId="4" borderId="0" applyNumberFormat="0" applyBorder="0" applyAlignment="0" applyProtection="0"/>
    <xf numFmtId="0" fontId="63" fillId="4" borderId="0" applyNumberFormat="0" applyBorder="0" applyAlignment="0" applyProtection="0"/>
    <xf numFmtId="0" fontId="187" fillId="4" borderId="0" applyNumberFormat="0" applyBorder="0" applyAlignment="0" applyProtection="0"/>
    <xf numFmtId="0" fontId="93" fillId="50" borderId="0" applyNumberFormat="0" applyBorder="0" applyAlignment="0" applyProtection="0"/>
    <xf numFmtId="0" fontId="93" fillId="50" borderId="0" applyNumberFormat="0" applyBorder="0" applyAlignment="0" applyProtection="0"/>
    <xf numFmtId="0" fontId="93" fillId="50" borderId="0" applyNumberFormat="0" applyBorder="0" applyAlignment="0" applyProtection="0"/>
    <xf numFmtId="0" fontId="93" fillId="50" borderId="0" applyNumberFormat="0" applyBorder="0" applyAlignment="0" applyProtection="0"/>
    <xf numFmtId="0" fontId="93" fillId="50" borderId="0" applyNumberFormat="0" applyBorder="0" applyAlignment="0" applyProtection="0"/>
    <xf numFmtId="0" fontId="93" fillId="50" borderId="0" applyNumberFormat="0" applyBorder="0" applyAlignment="0" applyProtection="0"/>
    <xf numFmtId="0" fontId="93" fillId="50" borderId="0" applyNumberFormat="0" applyBorder="0" applyAlignment="0" applyProtection="0"/>
    <xf numFmtId="0" fontId="93" fillId="50" borderId="0" applyNumberFormat="0" applyBorder="0" applyAlignment="0" applyProtection="0"/>
    <xf numFmtId="0" fontId="63" fillId="4" borderId="0" applyNumberFormat="0" applyBorder="0" applyAlignment="0" applyProtection="0"/>
    <xf numFmtId="0" fontId="63" fillId="4" borderId="0" applyNumberFormat="0" applyBorder="0" applyAlignment="0" applyProtection="0"/>
    <xf numFmtId="0" fontId="122" fillId="4" borderId="0" applyNumberFormat="0" applyBorder="0" applyAlignment="0" applyProtection="0"/>
    <xf numFmtId="0" fontId="93" fillId="50" borderId="0" applyNumberFormat="0" applyBorder="0" applyAlignment="0" applyProtection="0"/>
    <xf numFmtId="0" fontId="63" fillId="4" borderId="0" applyNumberFormat="0" applyBorder="0" applyAlignment="0" applyProtection="0"/>
    <xf numFmtId="0" fontId="121" fillId="4" borderId="0" applyNumberFormat="0" applyBorder="0" applyAlignment="0" applyProtection="0"/>
    <xf numFmtId="0" fontId="93" fillId="50" borderId="0" applyNumberFormat="0" applyBorder="0" applyAlignment="0" applyProtection="0"/>
    <xf numFmtId="0" fontId="121" fillId="4" borderId="0" applyNumberFormat="0" applyBorder="0" applyAlignment="0" applyProtection="0"/>
    <xf numFmtId="0" fontId="93" fillId="50" borderId="0" applyNumberFormat="0" applyBorder="0" applyAlignment="0" applyProtection="0"/>
    <xf numFmtId="0" fontId="121" fillId="4" borderId="0" applyNumberFormat="0" applyBorder="0" applyAlignment="0" applyProtection="0"/>
    <xf numFmtId="0" fontId="93" fillId="50" borderId="0" applyNumberFormat="0" applyBorder="0" applyAlignment="0" applyProtection="0"/>
    <xf numFmtId="0" fontId="121" fillId="4" borderId="0" applyNumberFormat="0" applyBorder="0" applyAlignment="0" applyProtection="0"/>
    <xf numFmtId="0" fontId="93" fillId="50" borderId="0" applyNumberFormat="0" applyBorder="0" applyAlignment="0" applyProtection="0"/>
    <xf numFmtId="0" fontId="121" fillId="4" borderId="0" applyNumberFormat="0" applyBorder="0" applyAlignment="0" applyProtection="0"/>
    <xf numFmtId="0" fontId="93" fillId="50" borderId="0" applyNumberFormat="0" applyBorder="0" applyAlignment="0" applyProtection="0"/>
    <xf numFmtId="0" fontId="121" fillId="4" borderId="0" applyNumberFormat="0" applyBorder="0" applyAlignment="0" applyProtection="0"/>
    <xf numFmtId="0" fontId="93" fillId="50" borderId="0" applyNumberFormat="0" applyBorder="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6" fillId="0" borderId="9" applyNumberFormat="0" applyFill="0" applyAlignment="0" applyProtection="0"/>
    <xf numFmtId="0" fontId="60" fillId="0" borderId="9" applyNumberFormat="0" applyFill="0" applyAlignment="0" applyProtection="0"/>
    <xf numFmtId="0" fontId="188" fillId="0" borderId="9" applyNumberFormat="0" applyFill="0" applyAlignment="0" applyProtection="0"/>
    <xf numFmtId="0" fontId="126" fillId="0" borderId="9"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5" fillId="0" borderId="36"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8" fillId="0" borderId="10" applyNumberFormat="0" applyFill="0" applyAlignment="0" applyProtection="0"/>
    <xf numFmtId="0" fontId="61" fillId="0" borderId="10" applyNumberFormat="0" applyFill="0" applyAlignment="0" applyProtection="0"/>
    <xf numFmtId="0" fontId="189" fillId="0" borderId="10" applyNumberFormat="0" applyFill="0" applyAlignment="0" applyProtection="0"/>
    <xf numFmtId="0" fontId="128" fillId="0" borderId="10"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7" fillId="0" borderId="37"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30" fillId="0" borderId="11" applyNumberFormat="0" applyFill="0" applyAlignment="0" applyProtection="0"/>
    <xf numFmtId="0" fontId="62" fillId="0" borderId="11" applyNumberFormat="0" applyFill="0" applyAlignment="0" applyProtection="0"/>
    <xf numFmtId="0" fontId="190" fillId="0" borderId="11" applyNumberFormat="0" applyFill="0" applyAlignment="0" applyProtection="0"/>
    <xf numFmtId="0" fontId="130" fillId="0" borderId="11"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38" applyNumberFormat="0" applyFill="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30" fillId="0" borderId="0" applyNumberFormat="0" applyFill="0" applyBorder="0" applyAlignment="0" applyProtection="0"/>
    <xf numFmtId="0" fontId="62" fillId="0" borderId="0" applyNumberFormat="0" applyFill="0" applyBorder="0" applyAlignment="0" applyProtection="0"/>
    <xf numFmtId="0" fontId="190" fillId="0" borderId="0" applyNumberFormat="0" applyFill="0" applyBorder="0" applyAlignment="0" applyProtection="0"/>
    <xf numFmtId="0" fontId="130"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29" fillId="0" borderId="0" applyNumberFormat="0" applyFill="0" applyBorder="0" applyAlignment="0" applyProtection="0"/>
    <xf numFmtId="0" fontId="135" fillId="42" borderId="13" applyNumberFormat="0" applyAlignment="0" applyProtection="0"/>
    <xf numFmtId="0" fontId="116" fillId="47" borderId="46" applyNumberFormat="0" applyAlignment="0" applyProtection="0"/>
    <xf numFmtId="0" fontId="135" fillId="42" borderId="13" applyNumberFormat="0" applyAlignment="0" applyProtection="0"/>
    <xf numFmtId="0" fontId="116" fillId="47" borderId="46" applyNumberFormat="0" applyAlignment="0" applyProtection="0"/>
    <xf numFmtId="0" fontId="135" fillId="42" borderId="13" applyNumberFormat="0" applyAlignment="0" applyProtection="0"/>
    <xf numFmtId="0" fontId="116" fillId="47" borderId="46" applyNumberFormat="0" applyAlignment="0" applyProtection="0"/>
    <xf numFmtId="0" fontId="135" fillId="42" borderId="13" applyNumberFormat="0" applyAlignment="0" applyProtection="0"/>
    <xf numFmtId="0" fontId="116" fillId="47" borderId="46" applyNumberFormat="0" applyAlignment="0" applyProtection="0"/>
    <xf numFmtId="0" fontId="135" fillId="42" borderId="13" applyNumberFormat="0" applyAlignment="0" applyProtection="0"/>
    <xf numFmtId="0" fontId="116" fillId="47" borderId="46" applyNumberFormat="0" applyAlignment="0" applyProtection="0"/>
    <xf numFmtId="0" fontId="135" fillId="42" borderId="13" applyNumberFormat="0" applyAlignment="0" applyProtection="0"/>
    <xf numFmtId="0" fontId="116" fillId="47" borderId="46" applyNumberFormat="0" applyAlignment="0" applyProtection="0"/>
    <xf numFmtId="0" fontId="135" fillId="42" borderId="13" applyNumberFormat="0" applyAlignment="0" applyProtection="0"/>
    <xf numFmtId="0" fontId="116" fillId="47" borderId="46" applyNumberFormat="0" applyAlignment="0" applyProtection="0"/>
    <xf numFmtId="0" fontId="135" fillId="42" borderId="13" applyNumberFormat="0" applyAlignment="0" applyProtection="0"/>
    <xf numFmtId="0" fontId="116" fillId="47" borderId="46" applyNumberFormat="0" applyAlignment="0" applyProtection="0"/>
    <xf numFmtId="0" fontId="135" fillId="42" borderId="13" applyNumberFormat="0" applyAlignment="0" applyProtection="0"/>
    <xf numFmtId="0" fontId="116" fillId="47" borderId="46" applyNumberFormat="0" applyAlignment="0" applyProtection="0"/>
    <xf numFmtId="0" fontId="116" fillId="47" borderId="46" applyNumberFormat="0" applyAlignment="0" applyProtection="0"/>
    <xf numFmtId="222" fontId="116" fillId="47" borderId="46" applyNumberFormat="0" applyAlignment="0" applyProtection="0"/>
    <xf numFmtId="0" fontId="136" fillId="42" borderId="13" applyNumberFormat="0" applyAlignment="0" applyProtection="0"/>
    <xf numFmtId="0" fontId="53" fillId="42" borderId="13" applyNumberFormat="0" applyAlignment="0" applyProtection="0"/>
    <xf numFmtId="0" fontId="191" fillId="42" borderId="13" applyNumberFormat="0" applyAlignment="0" applyProtection="0"/>
    <xf numFmtId="0" fontId="116" fillId="47" borderId="46" applyNumberFormat="0" applyAlignment="0" applyProtection="0"/>
    <xf numFmtId="0" fontId="116" fillId="47" borderId="46" applyNumberFormat="0" applyAlignment="0" applyProtection="0"/>
    <xf numFmtId="0" fontId="116" fillId="47" borderId="46" applyNumberFormat="0" applyAlignment="0" applyProtection="0"/>
    <xf numFmtId="0" fontId="116" fillId="47" borderId="46" applyNumberFormat="0" applyAlignment="0" applyProtection="0"/>
    <xf numFmtId="0" fontId="116" fillId="47" borderId="46" applyNumberFormat="0" applyAlignment="0" applyProtection="0"/>
    <xf numFmtId="0" fontId="116" fillId="47" borderId="46" applyNumberFormat="0" applyAlignment="0" applyProtection="0"/>
    <xf numFmtId="0" fontId="116" fillId="47" borderId="46" applyNumberFormat="0" applyAlignment="0" applyProtection="0"/>
    <xf numFmtId="0" fontId="116" fillId="47" borderId="46" applyNumberFormat="0" applyAlignment="0" applyProtection="0"/>
    <xf numFmtId="0" fontId="53" fillId="42" borderId="13" applyNumberFormat="0" applyAlignment="0" applyProtection="0"/>
    <xf numFmtId="0" fontId="53" fillId="42" borderId="13" applyNumberFormat="0" applyAlignment="0" applyProtection="0"/>
    <xf numFmtId="0" fontId="136" fillId="42" borderId="13" applyNumberFormat="0" applyAlignment="0" applyProtection="0"/>
    <xf numFmtId="0" fontId="116" fillId="47" borderId="46"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135" fillId="42" borderId="13" applyNumberFormat="0" applyAlignment="0" applyProtection="0"/>
    <xf numFmtId="0" fontId="116" fillId="47" borderId="46"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135" fillId="42" borderId="13" applyNumberFormat="0" applyAlignment="0" applyProtection="0"/>
    <xf numFmtId="0" fontId="116" fillId="47" borderId="46"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53" fillId="42" borderId="13" applyNumberFormat="0" applyAlignment="0" applyProtection="0"/>
    <xf numFmtId="0" fontId="135" fillId="42" borderId="13" applyNumberFormat="0" applyAlignment="0" applyProtection="0"/>
    <xf numFmtId="0" fontId="116" fillId="47" borderId="46" applyNumberFormat="0" applyAlignment="0" applyProtection="0"/>
    <xf numFmtId="0" fontId="135" fillId="42" borderId="13" applyNumberFormat="0" applyAlignment="0" applyProtection="0"/>
    <xf numFmtId="0" fontId="116" fillId="47" borderId="46" applyNumberFormat="0" applyAlignment="0" applyProtection="0"/>
    <xf numFmtId="0" fontId="135" fillId="42" borderId="13" applyNumberFormat="0" applyAlignment="0" applyProtection="0"/>
    <xf numFmtId="0" fontId="116" fillId="47" borderId="46" applyNumberFormat="0" applyAlignment="0" applyProtection="0"/>
    <xf numFmtId="0" fontId="135" fillId="42" borderId="13" applyNumberFormat="0" applyAlignment="0" applyProtection="0"/>
    <xf numFmtId="0" fontId="116" fillId="47" borderId="46" applyNumberFormat="0" applyAlignment="0" applyProtection="0"/>
    <xf numFmtId="0" fontId="143" fillId="0" borderId="14" applyNumberFormat="0" applyFill="0" applyAlignment="0" applyProtection="0"/>
    <xf numFmtId="0" fontId="101" fillId="0" borderId="32" applyNumberFormat="0" applyFill="0" applyAlignment="0" applyProtection="0"/>
    <xf numFmtId="0" fontId="143" fillId="0" borderId="14" applyNumberFormat="0" applyFill="0" applyAlignment="0" applyProtection="0"/>
    <xf numFmtId="0" fontId="101" fillId="0" borderId="32" applyNumberFormat="0" applyFill="0" applyAlignment="0" applyProtection="0"/>
    <xf numFmtId="0" fontId="143" fillId="0" borderId="14" applyNumberFormat="0" applyFill="0" applyAlignment="0" applyProtection="0"/>
    <xf numFmtId="0" fontId="101" fillId="0" borderId="32" applyNumberFormat="0" applyFill="0" applyAlignment="0" applyProtection="0"/>
    <xf numFmtId="0" fontId="143" fillId="0" borderId="14" applyNumberFormat="0" applyFill="0" applyAlignment="0" applyProtection="0"/>
    <xf numFmtId="0" fontId="101" fillId="0" borderId="32" applyNumberFormat="0" applyFill="0" applyAlignment="0" applyProtection="0"/>
    <xf numFmtId="0" fontId="143" fillId="0" borderId="14" applyNumberFormat="0" applyFill="0" applyAlignment="0" applyProtection="0"/>
    <xf numFmtId="0" fontId="101" fillId="0" borderId="32" applyNumberFormat="0" applyFill="0" applyAlignment="0" applyProtection="0"/>
    <xf numFmtId="0" fontId="143" fillId="0" borderId="14" applyNumberFormat="0" applyFill="0" applyAlignment="0" applyProtection="0"/>
    <xf numFmtId="0" fontId="101" fillId="0" borderId="32" applyNumberFormat="0" applyFill="0" applyAlignment="0" applyProtection="0"/>
    <xf numFmtId="0" fontId="143" fillId="0" borderId="14" applyNumberFormat="0" applyFill="0" applyAlignment="0" applyProtection="0"/>
    <xf numFmtId="0" fontId="101" fillId="0" borderId="32" applyNumberFormat="0" applyFill="0" applyAlignment="0" applyProtection="0"/>
    <xf numFmtId="0" fontId="143" fillId="0" borderId="14" applyNumberFormat="0" applyFill="0" applyAlignment="0" applyProtection="0"/>
    <xf numFmtId="0" fontId="101" fillId="0" borderId="32" applyNumberFormat="0" applyFill="0" applyAlignment="0" applyProtection="0"/>
    <xf numFmtId="0" fontId="143" fillId="0" borderId="14" applyNumberFormat="0" applyFill="0" applyAlignment="0" applyProtection="0"/>
    <xf numFmtId="0" fontId="101" fillId="0" borderId="32" applyNumberFormat="0" applyFill="0" applyAlignment="0" applyProtection="0"/>
    <xf numFmtId="0" fontId="101" fillId="0" borderId="32" applyNumberFormat="0" applyFill="0" applyAlignment="0" applyProtection="0"/>
    <xf numFmtId="0" fontId="144" fillId="0" borderId="14" applyNumberFormat="0" applyFill="0" applyAlignment="0" applyProtection="0"/>
    <xf numFmtId="0" fontId="67" fillId="0" borderId="14" applyNumberFormat="0" applyFill="0" applyAlignment="0" applyProtection="0"/>
    <xf numFmtId="0" fontId="192" fillId="0" borderId="14" applyNumberFormat="0" applyFill="0" applyAlignment="0" applyProtection="0"/>
    <xf numFmtId="0" fontId="101" fillId="0" borderId="32" applyNumberFormat="0" applyFill="0" applyAlignment="0" applyProtection="0"/>
    <xf numFmtId="0" fontId="101" fillId="0" borderId="32" applyNumberFormat="0" applyFill="0" applyAlignment="0" applyProtection="0"/>
    <xf numFmtId="0" fontId="101" fillId="0" borderId="32" applyNumberFormat="0" applyFill="0" applyAlignment="0" applyProtection="0"/>
    <xf numFmtId="0" fontId="101" fillId="0" borderId="32" applyNumberFormat="0" applyFill="0" applyAlignment="0" applyProtection="0"/>
    <xf numFmtId="0" fontId="101" fillId="0" borderId="32" applyNumberFormat="0" applyFill="0" applyAlignment="0" applyProtection="0"/>
    <xf numFmtId="0" fontId="101" fillId="0" borderId="32" applyNumberFormat="0" applyFill="0" applyAlignment="0" applyProtection="0"/>
    <xf numFmtId="0" fontId="101" fillId="0" borderId="32" applyNumberFormat="0" applyFill="0" applyAlignment="0" applyProtection="0"/>
    <xf numFmtId="0" fontId="101" fillId="0" borderId="32" applyNumberFormat="0" applyFill="0" applyAlignment="0" applyProtection="0"/>
    <xf numFmtId="0" fontId="67" fillId="0" borderId="14" applyNumberFormat="0" applyFill="0" applyAlignment="0" applyProtection="0"/>
    <xf numFmtId="0" fontId="67" fillId="0" borderId="14" applyNumberFormat="0" applyFill="0" applyAlignment="0" applyProtection="0"/>
    <xf numFmtId="0" fontId="144" fillId="0" borderId="14" applyNumberFormat="0" applyFill="0" applyAlignment="0" applyProtection="0"/>
    <xf numFmtId="0" fontId="101" fillId="0" borderId="32" applyNumberFormat="0" applyFill="0" applyAlignment="0" applyProtection="0"/>
    <xf numFmtId="0" fontId="67" fillId="0" borderId="14" applyNumberFormat="0" applyFill="0" applyAlignment="0" applyProtection="0"/>
    <xf numFmtId="0" fontId="143" fillId="0" borderId="14" applyNumberFormat="0" applyFill="0" applyAlignment="0" applyProtection="0"/>
    <xf numFmtId="0" fontId="101" fillId="0" borderId="32" applyNumberFormat="0" applyFill="0" applyAlignment="0" applyProtection="0"/>
    <xf numFmtId="0" fontId="143" fillId="0" borderId="14" applyNumberFormat="0" applyFill="0" applyAlignment="0" applyProtection="0"/>
    <xf numFmtId="0" fontId="101" fillId="0" borderId="32" applyNumberFormat="0" applyFill="0" applyAlignment="0" applyProtection="0"/>
    <xf numFmtId="0" fontId="143" fillId="0" borderId="14" applyNumberFormat="0" applyFill="0" applyAlignment="0" applyProtection="0"/>
    <xf numFmtId="0" fontId="101" fillId="0" borderId="32" applyNumberFormat="0" applyFill="0" applyAlignment="0" applyProtection="0"/>
    <xf numFmtId="0" fontId="143" fillId="0" borderId="14" applyNumberFormat="0" applyFill="0" applyAlignment="0" applyProtection="0"/>
    <xf numFmtId="0" fontId="101" fillId="0" borderId="32" applyNumberFormat="0" applyFill="0" applyAlignment="0" applyProtection="0"/>
    <xf numFmtId="0" fontId="143" fillId="0" borderId="14" applyNumberFormat="0" applyFill="0" applyAlignment="0" applyProtection="0"/>
    <xf numFmtId="0" fontId="101" fillId="0" borderId="32" applyNumberFormat="0" applyFill="0" applyAlignment="0" applyProtection="0"/>
    <xf numFmtId="0" fontId="143" fillId="0" borderId="14" applyNumberFormat="0" applyFill="0" applyAlignment="0" applyProtection="0"/>
    <xf numFmtId="0" fontId="101" fillId="0" borderId="32" applyNumberFormat="0" applyFill="0" applyAlignment="0" applyProtection="0"/>
    <xf numFmtId="0" fontId="150" fillId="6" borderId="0" applyNumberFormat="0" applyBorder="0" applyAlignment="0" applyProtection="0"/>
    <xf numFmtId="0" fontId="149" fillId="57" borderId="0" applyNumberFormat="0" applyBorder="0" applyAlignment="0" applyProtection="0"/>
    <xf numFmtId="0" fontId="150" fillId="6" borderId="0" applyNumberFormat="0" applyBorder="0" applyAlignment="0" applyProtection="0"/>
    <xf numFmtId="0" fontId="149" fillId="57" borderId="0" applyNumberFormat="0" applyBorder="0" applyAlignment="0" applyProtection="0"/>
    <xf numFmtId="0" fontId="150" fillId="6" borderId="0" applyNumberFormat="0" applyBorder="0" applyAlignment="0" applyProtection="0"/>
    <xf numFmtId="0" fontId="149" fillId="57" borderId="0" applyNumberFormat="0" applyBorder="0" applyAlignment="0" applyProtection="0"/>
    <xf numFmtId="0" fontId="150" fillId="6" borderId="0" applyNumberFormat="0" applyBorder="0" applyAlignment="0" applyProtection="0"/>
    <xf numFmtId="0" fontId="149" fillId="57" borderId="0" applyNumberFormat="0" applyBorder="0" applyAlignment="0" applyProtection="0"/>
    <xf numFmtId="0" fontId="150" fillId="6" borderId="0" applyNumberFormat="0" applyBorder="0" applyAlignment="0" applyProtection="0"/>
    <xf numFmtId="0" fontId="149" fillId="57" borderId="0" applyNumberFormat="0" applyBorder="0" applyAlignment="0" applyProtection="0"/>
    <xf numFmtId="0" fontId="150" fillId="6" borderId="0" applyNumberFormat="0" applyBorder="0" applyAlignment="0" applyProtection="0"/>
    <xf numFmtId="0" fontId="149" fillId="57" borderId="0" applyNumberFormat="0" applyBorder="0" applyAlignment="0" applyProtection="0"/>
    <xf numFmtId="0" fontId="150" fillId="6" borderId="0" applyNumberFormat="0" applyBorder="0" applyAlignment="0" applyProtection="0"/>
    <xf numFmtId="0" fontId="149" fillId="57" borderId="0" applyNumberFormat="0" applyBorder="0" applyAlignment="0" applyProtection="0"/>
    <xf numFmtId="0" fontId="150" fillId="6" borderId="0" applyNumberFormat="0" applyBorder="0" applyAlignment="0" applyProtection="0"/>
    <xf numFmtId="0" fontId="149" fillId="57" borderId="0" applyNumberFormat="0" applyBorder="0" applyAlignment="0" applyProtection="0"/>
    <xf numFmtId="0" fontId="150" fillId="6" borderId="0" applyNumberFormat="0" applyBorder="0" applyAlignment="0" applyProtection="0"/>
    <xf numFmtId="0" fontId="149" fillId="57" borderId="0" applyNumberFormat="0" applyBorder="0" applyAlignment="0" applyProtection="0"/>
    <xf numFmtId="0" fontId="149" fillId="57" borderId="0" applyNumberFormat="0" applyBorder="0" applyAlignment="0" applyProtection="0"/>
    <xf numFmtId="0" fontId="151" fillId="6" borderId="0" applyNumberFormat="0" applyBorder="0" applyAlignment="0" applyProtection="0"/>
    <xf numFmtId="0" fontId="73" fillId="6" borderId="0" applyNumberFormat="0" applyBorder="0" applyAlignment="0" applyProtection="0"/>
    <xf numFmtId="0" fontId="193" fillId="6" borderId="0" applyNumberFormat="0" applyBorder="0" applyAlignment="0" applyProtection="0"/>
    <xf numFmtId="0" fontId="149" fillId="57" borderId="0" applyNumberFormat="0" applyBorder="0" applyAlignment="0" applyProtection="0"/>
    <xf numFmtId="0" fontId="149" fillId="57" borderId="0" applyNumberFormat="0" applyBorder="0" applyAlignment="0" applyProtection="0"/>
    <xf numFmtId="0" fontId="149" fillId="57" borderId="0" applyNumberFormat="0" applyBorder="0" applyAlignment="0" applyProtection="0"/>
    <xf numFmtId="0" fontId="149" fillId="57" borderId="0" applyNumberFormat="0" applyBorder="0" applyAlignment="0" applyProtection="0"/>
    <xf numFmtId="0" fontId="149" fillId="57" borderId="0" applyNumberFormat="0" applyBorder="0" applyAlignment="0" applyProtection="0"/>
    <xf numFmtId="0" fontId="149" fillId="57" borderId="0" applyNumberFormat="0" applyBorder="0" applyAlignment="0" applyProtection="0"/>
    <xf numFmtId="0" fontId="149" fillId="57" borderId="0" applyNumberFormat="0" applyBorder="0" applyAlignment="0" applyProtection="0"/>
    <xf numFmtId="0" fontId="149" fillId="57" borderId="0" applyNumberFormat="0" applyBorder="0" applyAlignment="0" applyProtection="0"/>
    <xf numFmtId="0" fontId="73" fillId="6" borderId="0" applyNumberFormat="0" applyBorder="0" applyAlignment="0" applyProtection="0"/>
    <xf numFmtId="0" fontId="73" fillId="6" borderId="0" applyNumberFormat="0" applyBorder="0" applyAlignment="0" applyProtection="0"/>
    <xf numFmtId="0" fontId="151" fillId="6" borderId="0" applyNumberFormat="0" applyBorder="0" applyAlignment="0" applyProtection="0"/>
    <xf numFmtId="0" fontId="149" fillId="57" borderId="0" applyNumberFormat="0" applyBorder="0" applyAlignment="0" applyProtection="0"/>
    <xf numFmtId="0" fontId="73" fillId="6" borderId="0" applyNumberFormat="0" applyBorder="0" applyAlignment="0" applyProtection="0"/>
    <xf numFmtId="0" fontId="150" fillId="6" borderId="0" applyNumberFormat="0" applyBorder="0" applyAlignment="0" applyProtection="0"/>
    <xf numFmtId="0" fontId="149" fillId="57" borderId="0" applyNumberFormat="0" applyBorder="0" applyAlignment="0" applyProtection="0"/>
    <xf numFmtId="0" fontId="150" fillId="6" borderId="0" applyNumberFormat="0" applyBorder="0" applyAlignment="0" applyProtection="0"/>
    <xf numFmtId="0" fontId="149" fillId="57" borderId="0" applyNumberFormat="0" applyBorder="0" applyAlignment="0" applyProtection="0"/>
    <xf numFmtId="0" fontId="150" fillId="6" borderId="0" applyNumberFormat="0" applyBorder="0" applyAlignment="0" applyProtection="0"/>
    <xf numFmtId="0" fontId="149" fillId="57" borderId="0" applyNumberFormat="0" applyBorder="0" applyAlignment="0" applyProtection="0"/>
    <xf numFmtId="0" fontId="150" fillId="6" borderId="0" applyNumberFormat="0" applyBorder="0" applyAlignment="0" applyProtection="0"/>
    <xf numFmtId="0" fontId="149" fillId="57" borderId="0" applyNumberFormat="0" applyBorder="0" applyAlignment="0" applyProtection="0"/>
    <xf numFmtId="0" fontId="150" fillId="6" borderId="0" applyNumberFormat="0" applyBorder="0" applyAlignment="0" applyProtection="0"/>
    <xf numFmtId="0" fontId="149" fillId="57" borderId="0" applyNumberFormat="0" applyBorder="0" applyAlignment="0" applyProtection="0"/>
    <xf numFmtId="0" fontId="150" fillId="6" borderId="0" applyNumberFormat="0" applyBorder="0" applyAlignment="0" applyProtection="0"/>
    <xf numFmtId="0" fontId="149" fillId="57" borderId="0" applyNumberFormat="0" applyBorder="0" applyAlignment="0" applyProtection="0"/>
    <xf numFmtId="0" fontId="83" fillId="0" borderId="0"/>
    <xf numFmtId="0" fontId="2" fillId="0" borderId="0"/>
    <xf numFmtId="0" fontId="8" fillId="0" borderId="0"/>
    <xf numFmtId="0" fontId="83" fillId="0" borderId="0"/>
    <xf numFmtId="187" fontId="2" fillId="0" borderId="0"/>
    <xf numFmtId="187" fontId="2" fillId="0" borderId="0"/>
    <xf numFmtId="187" fontId="2" fillId="0" borderId="0"/>
    <xf numFmtId="187" fontId="2" fillId="0" borderId="0"/>
    <xf numFmtId="187" fontId="2" fillId="0" borderId="0"/>
    <xf numFmtId="187" fontId="2" fillId="0" borderId="0"/>
    <xf numFmtId="0" fontId="8" fillId="0" borderId="0"/>
    <xf numFmtId="0" fontId="2" fillId="0" borderId="0"/>
    <xf numFmtId="0" fontId="2" fillId="0" borderId="0"/>
    <xf numFmtId="0" fontId="2" fillId="0" borderId="0"/>
    <xf numFmtId="187" fontId="8" fillId="0" borderId="0"/>
    <xf numFmtId="0" fontId="2" fillId="0" borderId="0"/>
    <xf numFmtId="0" fontId="2" fillId="0" borderId="0"/>
    <xf numFmtId="0" fontId="2" fillId="0" borderId="0"/>
    <xf numFmtId="0" fontId="2" fillId="0" borderId="0"/>
    <xf numFmtId="187" fontId="8" fillId="0" borderId="0"/>
    <xf numFmtId="0" fontId="2" fillId="0" borderId="0"/>
    <xf numFmtId="0" fontId="8" fillId="0" borderId="0"/>
    <xf numFmtId="0" fontId="2" fillId="0" borderId="0"/>
    <xf numFmtId="0" fontId="36" fillId="0" borderId="0"/>
    <xf numFmtId="0" fontId="8" fillId="0" borderId="0"/>
    <xf numFmtId="0" fontId="111" fillId="0" borderId="0"/>
    <xf numFmtId="0" fontId="8" fillId="0" borderId="0"/>
    <xf numFmtId="0" fontId="83" fillId="0" borderId="0"/>
    <xf numFmtId="0" fontId="83" fillId="0" borderId="0"/>
    <xf numFmtId="0" fontId="111" fillId="0" borderId="0"/>
    <xf numFmtId="0" fontId="15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3" fillId="0" borderId="0"/>
    <xf numFmtId="0" fontId="2" fillId="0" borderId="0"/>
    <xf numFmtId="0" fontId="111" fillId="0" borderId="0"/>
    <xf numFmtId="0" fontId="2" fillId="0" borderId="0"/>
    <xf numFmtId="0" fontId="2" fillId="0" borderId="0"/>
    <xf numFmtId="0" fontId="3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alignment wrapText="1"/>
    </xf>
    <xf numFmtId="0" fontId="83" fillId="0" borderId="0"/>
    <xf numFmtId="0" fontId="2" fillId="0" borderId="0"/>
    <xf numFmtId="0" fontId="2" fillId="0" borderId="0"/>
    <xf numFmtId="0" fontId="111" fillId="0" borderId="0"/>
    <xf numFmtId="0" fontId="8" fillId="0" borderId="0">
      <alignment wrapText="1"/>
    </xf>
    <xf numFmtId="186" fontId="8" fillId="0" borderId="0">
      <alignment vertical="top"/>
    </xf>
    <xf numFmtId="0" fontId="8" fillId="0" borderId="0"/>
    <xf numFmtId="0" fontId="8" fillId="0" borderId="0"/>
    <xf numFmtId="0" fontId="7" fillId="0" borderId="0"/>
    <xf numFmtId="0" fontId="2" fillId="0" borderId="0"/>
    <xf numFmtId="0" fontId="111" fillId="0" borderId="0"/>
    <xf numFmtId="0" fontId="2" fillId="0" borderId="0"/>
    <xf numFmtId="0" fontId="2" fillId="0" borderId="0"/>
    <xf numFmtId="0" fontId="8" fillId="0" borderId="0"/>
    <xf numFmtId="0" fontId="8" fillId="0" borderId="0"/>
    <xf numFmtId="187" fontId="2" fillId="0" borderId="0"/>
    <xf numFmtId="0" fontId="111" fillId="0" borderId="0"/>
    <xf numFmtId="187" fontId="2" fillId="0" borderId="0"/>
    <xf numFmtId="187" fontId="2" fillId="0" borderId="0"/>
    <xf numFmtId="0" fontId="2" fillId="0" borderId="0"/>
    <xf numFmtId="0" fontId="155" fillId="0" borderId="0"/>
    <xf numFmtId="0" fontId="8" fillId="0" borderId="0"/>
    <xf numFmtId="0" fontId="2" fillId="0" borderId="0"/>
    <xf numFmtId="0" fontId="8" fillId="0" borderId="0"/>
    <xf numFmtId="0" fontId="2" fillId="0" borderId="0"/>
    <xf numFmtId="0" fontId="8" fillId="0" borderId="0"/>
    <xf numFmtId="0" fontId="2" fillId="0" borderId="0"/>
    <xf numFmtId="187" fontId="2" fillId="0" borderId="0"/>
    <xf numFmtId="0" fontId="8" fillId="0" borderId="0"/>
    <xf numFmtId="0" fontId="2" fillId="0" borderId="0"/>
    <xf numFmtId="0" fontId="8" fillId="0" borderId="0"/>
    <xf numFmtId="0" fontId="2" fillId="0" borderId="0"/>
    <xf numFmtId="0" fontId="8" fillId="0" borderId="0"/>
    <xf numFmtId="0" fontId="83" fillId="0" borderId="0"/>
    <xf numFmtId="0" fontId="8" fillId="0" borderId="0"/>
    <xf numFmtId="0" fontId="8" fillId="0" borderId="0"/>
    <xf numFmtId="0" fontId="2" fillId="0" borderId="0"/>
    <xf numFmtId="0" fontId="2" fillId="0" borderId="0"/>
    <xf numFmtId="0" fontId="8" fillId="0" borderId="0"/>
    <xf numFmtId="0" fontId="8" fillId="0" borderId="0"/>
    <xf numFmtId="0" fontId="2" fillId="0" borderId="0"/>
    <xf numFmtId="0" fontId="8" fillId="0" borderId="0"/>
    <xf numFmtId="187" fontId="2" fillId="0" borderId="0"/>
    <xf numFmtId="0" fontId="8" fillId="0" borderId="0"/>
    <xf numFmtId="0" fontId="8" fillId="0" borderId="0"/>
    <xf numFmtId="187" fontId="2" fillId="0" borderId="0"/>
    <xf numFmtId="0" fontId="8" fillId="0" borderId="0"/>
    <xf numFmtId="187" fontId="2" fillId="0" borderId="0"/>
    <xf numFmtId="187" fontId="2" fillId="0" borderId="0"/>
    <xf numFmtId="0" fontId="8" fillId="0" borderId="0"/>
    <xf numFmtId="0" fontId="8" fillId="0" borderId="0"/>
    <xf numFmtId="0" fontId="7" fillId="0" borderId="0"/>
    <xf numFmtId="187" fontId="2" fillId="0" borderId="0"/>
    <xf numFmtId="0" fontId="8" fillId="0" borderId="0"/>
    <xf numFmtId="0" fontId="2" fillId="0" borderId="0"/>
    <xf numFmtId="0" fontId="8" fillId="0" borderId="0"/>
    <xf numFmtId="0" fontId="2" fillId="0" borderId="0"/>
    <xf numFmtId="0" fontId="83"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8" fillId="0" borderId="0"/>
    <xf numFmtId="0" fontId="2" fillId="0" borderId="0"/>
    <xf numFmtId="0" fontId="8" fillId="0" borderId="0">
      <alignment wrapText="1"/>
    </xf>
    <xf numFmtId="0" fontId="2" fillId="0" borderId="0"/>
    <xf numFmtId="0" fontId="2" fillId="0" borderId="0"/>
    <xf numFmtId="0" fontId="83" fillId="0" borderId="0"/>
    <xf numFmtId="0" fontId="8" fillId="0" borderId="0"/>
    <xf numFmtId="0" fontId="8" fillId="0" borderId="0"/>
    <xf numFmtId="0" fontId="8" fillId="0" borderId="0"/>
    <xf numFmtId="0" fontId="2"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2" fillId="0" borderId="0"/>
    <xf numFmtId="0" fontId="8" fillId="0" borderId="0"/>
    <xf numFmtId="0" fontId="74" fillId="0" borderId="0"/>
    <xf numFmtId="0" fontId="8" fillId="0" borderId="0"/>
    <xf numFmtId="0" fontId="74" fillId="0" borderId="0"/>
    <xf numFmtId="0" fontId="2" fillId="0" borderId="0"/>
    <xf numFmtId="0" fontId="2" fillId="0" borderId="0"/>
    <xf numFmtId="0" fontId="2" fillId="0" borderId="0"/>
    <xf numFmtId="0" fontId="83" fillId="0" borderId="0"/>
    <xf numFmtId="0" fontId="2" fillId="0" borderId="0"/>
    <xf numFmtId="0" fontId="74" fillId="0" borderId="0"/>
    <xf numFmtId="0" fontId="74" fillId="0" borderId="0"/>
    <xf numFmtId="0" fontId="2" fillId="0" borderId="0"/>
    <xf numFmtId="0" fontId="2" fillId="0" borderId="0"/>
    <xf numFmtId="0" fontId="8" fillId="0" borderId="0"/>
    <xf numFmtId="0" fontId="2" fillId="0" borderId="0"/>
    <xf numFmtId="0" fontId="8" fillId="0" borderId="0"/>
    <xf numFmtId="0" fontId="2" fillId="0" borderId="0"/>
    <xf numFmtId="0" fontId="8" fillId="0" borderId="0"/>
    <xf numFmtId="0" fontId="2" fillId="0" borderId="0"/>
    <xf numFmtId="0" fontId="8" fillId="0" borderId="0"/>
    <xf numFmtId="0" fontId="2" fillId="0" borderId="0"/>
    <xf numFmtId="0" fontId="8" fillId="0" borderId="0"/>
    <xf numFmtId="0" fontId="83" fillId="0" borderId="0"/>
    <xf numFmtId="0" fontId="8" fillId="0" borderId="0"/>
    <xf numFmtId="0" fontId="74" fillId="0" borderId="0"/>
    <xf numFmtId="0" fontId="8" fillId="0" borderId="0"/>
    <xf numFmtId="0" fontId="74" fillId="0" borderId="0"/>
    <xf numFmtId="0" fontId="8" fillId="0" borderId="0">
      <alignment wrapText="1"/>
    </xf>
    <xf numFmtId="0" fontId="8" fillId="0" borderId="0"/>
    <xf numFmtId="0" fontId="74" fillId="0" borderId="0"/>
    <xf numFmtId="0" fontId="74" fillId="0" borderId="0"/>
    <xf numFmtId="0" fontId="74" fillId="0" borderId="0"/>
    <xf numFmtId="0" fontId="74" fillId="0" borderId="0"/>
    <xf numFmtId="0" fontId="83" fillId="0" borderId="0"/>
    <xf numFmtId="0" fontId="74" fillId="0" borderId="0"/>
    <xf numFmtId="0" fontId="8"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2" fillId="0" borderId="0"/>
    <xf numFmtId="0" fontId="156" fillId="0" borderId="0"/>
    <xf numFmtId="0" fontId="8" fillId="0" borderId="0">
      <alignment wrapText="1"/>
    </xf>
    <xf numFmtId="0" fontId="162" fillId="0" borderId="0"/>
    <xf numFmtId="0" fontId="2" fillId="0" borderId="0"/>
    <xf numFmtId="0" fontId="2" fillId="0" borderId="0"/>
    <xf numFmtId="0" fontId="2" fillId="0" borderId="0"/>
    <xf numFmtId="187" fontId="8" fillId="0" borderId="0"/>
    <xf numFmtId="0" fontId="83" fillId="0" borderId="0"/>
    <xf numFmtId="0" fontId="8" fillId="0" borderId="0">
      <alignment wrapText="1"/>
    </xf>
    <xf numFmtId="0" fontId="2" fillId="0" borderId="0"/>
    <xf numFmtId="0" fontId="8" fillId="0" borderId="0"/>
    <xf numFmtId="0" fontId="8" fillId="0" borderId="0"/>
    <xf numFmtId="0" fontId="36" fillId="0" borderId="0"/>
    <xf numFmtId="0" fontId="36"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 fillId="0" borderId="0"/>
    <xf numFmtId="0" fontId="8" fillId="0" borderId="0"/>
    <xf numFmtId="0" fontId="2" fillId="0" borderId="0"/>
    <xf numFmtId="0" fontId="2" fillId="0" borderId="0"/>
    <xf numFmtId="0" fontId="8" fillId="0" borderId="0">
      <alignment wrapText="1"/>
    </xf>
    <xf numFmtId="0" fontId="2" fillId="0" borderId="0"/>
    <xf numFmtId="0" fontId="83" fillId="0" borderId="0"/>
    <xf numFmtId="0" fontId="2" fillId="0" borderId="0"/>
    <xf numFmtId="0" fontId="8" fillId="0" borderId="0"/>
    <xf numFmtId="0" fontId="8" fillId="0" borderId="0"/>
    <xf numFmtId="0" fontId="8" fillId="0" borderId="0"/>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8" fillId="0" borderId="0"/>
    <xf numFmtId="0" fontId="84" fillId="0" borderId="0"/>
    <xf numFmtId="0" fontId="8" fillId="0" borderId="0"/>
    <xf numFmtId="210" fontId="8" fillId="0" borderId="0"/>
    <xf numFmtId="185" fontId="8" fillId="0" borderId="0"/>
    <xf numFmtId="0" fontId="2" fillId="0" borderId="0"/>
    <xf numFmtId="0" fontId="2" fillId="0" borderId="0"/>
    <xf numFmtId="0" fontId="2" fillId="0" borderId="0"/>
    <xf numFmtId="0" fontId="2" fillId="0" borderId="0"/>
    <xf numFmtId="0" fontId="8" fillId="0" borderId="0"/>
    <xf numFmtId="0" fontId="2" fillId="0" borderId="0"/>
    <xf numFmtId="0" fontId="2" fillId="0" borderId="0"/>
    <xf numFmtId="0" fontId="2" fillId="0" borderId="0"/>
    <xf numFmtId="0" fontId="2" fillId="0" borderId="0"/>
    <xf numFmtId="0" fontId="8" fillId="0" borderId="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111" fillId="51" borderId="41"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74" fillId="51" borderId="41" applyNumberFormat="0" applyFont="0" applyAlignment="0" applyProtection="0"/>
    <xf numFmtId="0" fontId="74" fillId="51" borderId="41"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56"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74" fillId="51" borderId="41" applyNumberFormat="0" applyFont="0" applyAlignment="0" applyProtection="0"/>
    <xf numFmtId="0" fontId="74" fillId="51" borderId="41" applyNumberFormat="0" applyFont="0" applyAlignment="0" applyProtection="0"/>
    <xf numFmtId="0" fontId="74" fillId="51" borderId="41" applyNumberFormat="0" applyFont="0" applyAlignment="0" applyProtection="0"/>
    <xf numFmtId="0" fontId="74" fillId="51" borderId="41" applyNumberFormat="0" applyFont="0" applyAlignment="0" applyProtection="0"/>
    <xf numFmtId="0" fontId="74" fillId="51" borderId="41" applyNumberFormat="0" applyFont="0" applyAlignment="0" applyProtection="0"/>
    <xf numFmtId="0" fontId="74"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74" fillId="51" borderId="41" applyNumberFormat="0" applyFont="0" applyAlignment="0" applyProtection="0"/>
    <xf numFmtId="0" fontId="74" fillId="51" borderId="41" applyNumberFormat="0" applyFont="0" applyAlignment="0" applyProtection="0"/>
    <xf numFmtId="0" fontId="74" fillId="51" borderId="41" applyNumberFormat="0" applyFont="0" applyAlignment="0" applyProtection="0"/>
    <xf numFmtId="0" fontId="74" fillId="51" borderId="41" applyNumberFormat="0" applyFont="0" applyAlignment="0" applyProtection="0"/>
    <xf numFmtId="0" fontId="74" fillId="51" borderId="41" applyNumberFormat="0" applyFont="0" applyAlignment="0" applyProtection="0"/>
    <xf numFmtId="0" fontId="74" fillId="51" borderId="41" applyNumberFormat="0" applyFont="0" applyAlignment="0" applyProtection="0"/>
    <xf numFmtId="0" fontId="74" fillId="51" borderId="41" applyNumberFormat="0" applyFont="0" applyAlignment="0" applyProtection="0"/>
    <xf numFmtId="0" fontId="74" fillId="51" borderId="41" applyNumberFormat="0" applyFont="0" applyAlignment="0" applyProtection="0"/>
    <xf numFmtId="0" fontId="74"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111" fillId="51" borderId="41" applyNumberFormat="0" applyFont="0" applyAlignment="0" applyProtection="0"/>
    <xf numFmtId="0" fontId="2" fillId="34" borderId="18" applyNumberFormat="0" applyFont="0" applyAlignment="0" applyProtection="0"/>
    <xf numFmtId="0" fontId="2" fillId="34" borderId="18" applyNumberFormat="0" applyFont="0" applyAlignment="0" applyProtection="0"/>
    <xf numFmtId="0" fontId="83" fillId="34" borderId="18" applyNumberFormat="0" applyFont="0" applyAlignment="0" applyProtection="0"/>
    <xf numFmtId="0" fontId="111" fillId="51" borderId="41" applyNumberFormat="0" applyFont="0" applyAlignment="0" applyProtection="0"/>
    <xf numFmtId="0" fontId="158" fillId="7" borderId="12" applyNumberFormat="0" applyAlignment="0" applyProtection="0"/>
    <xf numFmtId="0" fontId="163" fillId="55" borderId="42" applyNumberFormat="0" applyAlignment="0" applyProtection="0"/>
    <xf numFmtId="0" fontId="158" fillId="7" borderId="12" applyNumberFormat="0" applyAlignment="0" applyProtection="0"/>
    <xf numFmtId="0" fontId="163" fillId="55" borderId="42" applyNumberFormat="0" applyAlignment="0" applyProtection="0"/>
    <xf numFmtId="0" fontId="158" fillId="7" borderId="12" applyNumberFormat="0" applyAlignment="0" applyProtection="0"/>
    <xf numFmtId="0" fontId="163" fillId="55" borderId="42" applyNumberFormat="0" applyAlignment="0" applyProtection="0"/>
    <xf numFmtId="0" fontId="158" fillId="7" borderId="12" applyNumberFormat="0" applyAlignment="0" applyProtection="0"/>
    <xf numFmtId="0" fontId="163" fillId="55" borderId="42" applyNumberFormat="0" applyAlignment="0" applyProtection="0"/>
    <xf numFmtId="0" fontId="158" fillId="7" borderId="12" applyNumberFormat="0" applyAlignment="0" applyProtection="0"/>
    <xf numFmtId="0" fontId="163" fillId="55" borderId="42" applyNumberFormat="0" applyAlignment="0" applyProtection="0"/>
    <xf numFmtId="0" fontId="158" fillId="7" borderId="12" applyNumberFormat="0" applyAlignment="0" applyProtection="0"/>
    <xf numFmtId="0" fontId="163" fillId="55" borderId="42" applyNumberFormat="0" applyAlignment="0" applyProtection="0"/>
    <xf numFmtId="0" fontId="158" fillId="7" borderId="12" applyNumberFormat="0" applyAlignment="0" applyProtection="0"/>
    <xf numFmtId="0" fontId="163" fillId="55" borderId="42" applyNumberFormat="0" applyAlignment="0" applyProtection="0"/>
    <xf numFmtId="0" fontId="158" fillId="7" borderId="12" applyNumberFormat="0" applyAlignment="0" applyProtection="0"/>
    <xf numFmtId="0" fontId="163" fillId="55" borderId="42" applyNumberFormat="0" applyAlignment="0" applyProtection="0"/>
    <xf numFmtId="0" fontId="158" fillId="7" borderId="12" applyNumberFormat="0" applyAlignment="0" applyProtection="0"/>
    <xf numFmtId="0" fontId="163" fillId="55" borderId="42" applyNumberFormat="0" applyAlignment="0" applyProtection="0"/>
    <xf numFmtId="0" fontId="163" fillId="55" borderId="42" applyNumberFormat="0" applyAlignment="0" applyProtection="0"/>
    <xf numFmtId="222" fontId="163" fillId="55" borderId="42" applyNumberFormat="0" applyAlignment="0" applyProtection="0"/>
    <xf numFmtId="0" fontId="159" fillId="7" borderId="12" applyNumberFormat="0" applyAlignment="0" applyProtection="0"/>
    <xf numFmtId="0" fontId="65" fillId="7" borderId="12" applyNumberFormat="0" applyAlignment="0" applyProtection="0"/>
    <xf numFmtId="0" fontId="194" fillId="7" borderId="12" applyNumberFormat="0" applyAlignment="0" applyProtection="0"/>
    <xf numFmtId="0" fontId="163" fillId="55" borderId="42" applyNumberFormat="0" applyAlignment="0" applyProtection="0"/>
    <xf numFmtId="0" fontId="163" fillId="55" borderId="42" applyNumberFormat="0" applyAlignment="0" applyProtection="0"/>
    <xf numFmtId="0" fontId="163" fillId="55" borderId="42" applyNumberFormat="0" applyAlignment="0" applyProtection="0"/>
    <xf numFmtId="0" fontId="163" fillId="55" borderId="42" applyNumberFormat="0" applyAlignment="0" applyProtection="0"/>
    <xf numFmtId="0" fontId="163" fillId="55" borderId="42" applyNumberFormat="0" applyAlignment="0" applyProtection="0"/>
    <xf numFmtId="0" fontId="163" fillId="55" borderId="42" applyNumberFormat="0" applyAlignment="0" applyProtection="0"/>
    <xf numFmtId="0" fontId="163" fillId="55" borderId="42" applyNumberFormat="0" applyAlignment="0" applyProtection="0"/>
    <xf numFmtId="0" fontId="163" fillId="55" borderId="42" applyNumberFormat="0" applyAlignment="0" applyProtection="0"/>
    <xf numFmtId="0" fontId="65" fillId="7" borderId="12" applyNumberFormat="0" applyAlignment="0" applyProtection="0"/>
    <xf numFmtId="0" fontId="65" fillId="7" borderId="12" applyNumberFormat="0" applyAlignment="0" applyProtection="0"/>
    <xf numFmtId="0" fontId="159" fillId="7" borderId="12" applyNumberFormat="0" applyAlignment="0" applyProtection="0"/>
    <xf numFmtId="0" fontId="163" fillId="55" borderId="42" applyNumberFormat="0" applyAlignment="0" applyProtection="0"/>
    <xf numFmtId="0" fontId="65" fillId="7" borderId="12" applyNumberFormat="0" applyAlignment="0" applyProtection="0"/>
    <xf numFmtId="0" fontId="158" fillId="7" borderId="12" applyNumberFormat="0" applyAlignment="0" applyProtection="0"/>
    <xf numFmtId="0" fontId="163" fillId="55" borderId="42" applyNumberFormat="0" applyAlignment="0" applyProtection="0"/>
    <xf numFmtId="0" fontId="158" fillId="7" borderId="12" applyNumberFormat="0" applyAlignment="0" applyProtection="0"/>
    <xf numFmtId="0" fontId="163" fillId="55" borderId="42" applyNumberFormat="0" applyAlignment="0" applyProtection="0"/>
    <xf numFmtId="0" fontId="158" fillId="7" borderId="12" applyNumberFormat="0" applyAlignment="0" applyProtection="0"/>
    <xf numFmtId="0" fontId="163" fillId="55" borderId="42" applyNumberFormat="0" applyAlignment="0" applyProtection="0"/>
    <xf numFmtId="0" fontId="158" fillId="7" borderId="12" applyNumberFormat="0" applyAlignment="0" applyProtection="0"/>
    <xf numFmtId="0" fontId="163" fillId="55" borderId="42" applyNumberFormat="0" applyAlignment="0" applyProtection="0"/>
    <xf numFmtId="0" fontId="158" fillId="7" borderId="12" applyNumberFormat="0" applyAlignment="0" applyProtection="0"/>
    <xf numFmtId="0" fontId="163" fillId="55" borderId="42" applyNumberFormat="0" applyAlignment="0" applyProtection="0"/>
    <xf numFmtId="0" fontId="158" fillId="7" borderId="12" applyNumberFormat="0" applyAlignment="0" applyProtection="0"/>
    <xf numFmtId="0" fontId="163" fillId="55" borderId="42"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9" fontId="2" fillId="0" borderId="0" applyFont="0" applyFill="0" applyBorder="0" applyAlignment="0" applyProtection="0"/>
    <xf numFmtId="9" fontId="36" fillId="0" borderId="0" applyFon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3" fillId="0" borderId="0" applyNumberFormat="0" applyFill="0" applyBorder="0" applyAlignment="0" applyProtection="0"/>
    <xf numFmtId="0" fontId="174" fillId="0" borderId="16" applyNumberFormat="0" applyFill="0" applyAlignment="0" applyProtection="0"/>
    <xf numFmtId="0" fontId="195" fillId="0" borderId="47" applyNumberFormat="0" applyFill="0" applyAlignment="0" applyProtection="0"/>
    <xf numFmtId="0" fontId="174" fillId="0" borderId="16" applyNumberFormat="0" applyFill="0" applyAlignment="0" applyProtection="0"/>
    <xf numFmtId="0" fontId="195" fillId="0" borderId="47" applyNumberFormat="0" applyFill="0" applyAlignment="0" applyProtection="0"/>
    <xf numFmtId="0" fontId="174" fillId="0" borderId="16" applyNumberFormat="0" applyFill="0" applyAlignment="0" applyProtection="0"/>
    <xf numFmtId="0" fontId="195" fillId="0" borderId="47" applyNumberFormat="0" applyFill="0" applyAlignment="0" applyProtection="0"/>
    <xf numFmtId="0" fontId="174" fillId="0" borderId="16" applyNumberFormat="0" applyFill="0" applyAlignment="0" applyProtection="0"/>
    <xf numFmtId="0" fontId="195" fillId="0" borderId="47" applyNumberFormat="0" applyFill="0" applyAlignment="0" applyProtection="0"/>
    <xf numFmtId="0" fontId="174" fillId="0" borderId="16" applyNumberFormat="0" applyFill="0" applyAlignment="0" applyProtection="0"/>
    <xf numFmtId="0" fontId="195" fillId="0" borderId="47" applyNumberFormat="0" applyFill="0" applyAlignment="0" applyProtection="0"/>
    <xf numFmtId="0" fontId="174" fillId="0" borderId="16" applyNumberFormat="0" applyFill="0" applyAlignment="0" applyProtection="0"/>
    <xf numFmtId="0" fontId="195" fillId="0" borderId="47" applyNumberFormat="0" applyFill="0" applyAlignment="0" applyProtection="0"/>
    <xf numFmtId="0" fontId="174" fillId="0" borderId="16" applyNumberFormat="0" applyFill="0" applyAlignment="0" applyProtection="0"/>
    <xf numFmtId="0" fontId="195" fillId="0" borderId="47" applyNumberFormat="0" applyFill="0" applyAlignment="0" applyProtection="0"/>
    <xf numFmtId="0" fontId="174" fillId="0" borderId="16" applyNumberFormat="0" applyFill="0" applyAlignment="0" applyProtection="0"/>
    <xf numFmtId="0" fontId="195" fillId="0" borderId="47" applyNumberFormat="0" applyFill="0" applyAlignment="0" applyProtection="0"/>
    <xf numFmtId="0" fontId="174" fillId="0" borderId="16" applyNumberFormat="0" applyFill="0" applyAlignment="0" applyProtection="0"/>
    <xf numFmtId="0" fontId="195" fillId="0" borderId="47" applyNumberFormat="0" applyFill="0" applyAlignment="0" applyProtection="0"/>
    <xf numFmtId="0" fontId="195" fillId="0" borderId="47" applyNumberFormat="0" applyFill="0" applyAlignment="0" applyProtection="0"/>
    <xf numFmtId="222" fontId="195" fillId="0" borderId="47" applyNumberFormat="0" applyFill="0" applyAlignment="0" applyProtection="0"/>
    <xf numFmtId="0" fontId="78" fillId="0" borderId="16" applyNumberFormat="0" applyFill="0" applyAlignment="0" applyProtection="0"/>
    <xf numFmtId="0" fontId="58" fillId="0" borderId="16" applyNumberFormat="0" applyFill="0" applyAlignment="0" applyProtection="0"/>
    <xf numFmtId="0" fontId="196" fillId="0" borderId="16" applyNumberFormat="0" applyFill="0" applyAlignment="0" applyProtection="0"/>
    <xf numFmtId="0" fontId="195" fillId="0" borderId="47" applyNumberFormat="0" applyFill="0" applyAlignment="0" applyProtection="0"/>
    <xf numFmtId="0" fontId="195" fillId="0" borderId="47" applyNumberFormat="0" applyFill="0" applyAlignment="0" applyProtection="0"/>
    <xf numFmtId="0" fontId="195" fillId="0" borderId="47" applyNumberFormat="0" applyFill="0" applyAlignment="0" applyProtection="0"/>
    <xf numFmtId="0" fontId="195" fillId="0" borderId="47" applyNumberFormat="0" applyFill="0" applyAlignment="0" applyProtection="0"/>
    <xf numFmtId="0" fontId="195" fillId="0" borderId="47" applyNumberFormat="0" applyFill="0" applyAlignment="0" applyProtection="0"/>
    <xf numFmtId="0" fontId="195" fillId="0" borderId="47" applyNumberFormat="0" applyFill="0" applyAlignment="0" applyProtection="0"/>
    <xf numFmtId="0" fontId="195" fillId="0" borderId="47" applyNumberFormat="0" applyFill="0" applyAlignment="0" applyProtection="0"/>
    <xf numFmtId="0" fontId="195" fillId="0" borderId="47" applyNumberFormat="0" applyFill="0" applyAlignment="0" applyProtection="0"/>
    <xf numFmtId="0" fontId="58" fillId="0" borderId="16" applyNumberFormat="0" applyFill="0" applyAlignment="0" applyProtection="0"/>
    <xf numFmtId="0" fontId="58" fillId="0" borderId="16" applyNumberFormat="0" applyFill="0" applyAlignment="0" applyProtection="0"/>
    <xf numFmtId="0" fontId="78" fillId="0" borderId="16" applyNumberFormat="0" applyFill="0" applyAlignment="0" applyProtection="0"/>
    <xf numFmtId="0" fontId="195" fillId="0" borderId="47" applyNumberFormat="0" applyFill="0" applyAlignment="0" applyProtection="0"/>
    <xf numFmtId="0" fontId="58" fillId="0" borderId="16" applyNumberFormat="0" applyFill="0" applyAlignment="0" applyProtection="0"/>
    <xf numFmtId="0" fontId="174" fillId="0" borderId="16" applyNumberFormat="0" applyFill="0" applyAlignment="0" applyProtection="0"/>
    <xf numFmtId="0" fontId="195" fillId="0" borderId="47" applyNumberFormat="0" applyFill="0" applyAlignment="0" applyProtection="0"/>
    <xf numFmtId="0" fontId="174" fillId="0" borderId="16" applyNumberFormat="0" applyFill="0" applyAlignment="0" applyProtection="0"/>
    <xf numFmtId="0" fontId="195" fillId="0" borderId="47" applyNumberFormat="0" applyFill="0" applyAlignment="0" applyProtection="0"/>
    <xf numFmtId="0" fontId="174" fillId="0" borderId="16" applyNumberFormat="0" applyFill="0" applyAlignment="0" applyProtection="0"/>
    <xf numFmtId="0" fontId="195" fillId="0" borderId="47" applyNumberFormat="0" applyFill="0" applyAlignment="0" applyProtection="0"/>
    <xf numFmtId="0" fontId="174" fillId="0" borderId="16" applyNumberFormat="0" applyFill="0" applyAlignment="0" applyProtection="0"/>
    <xf numFmtId="0" fontId="195" fillId="0" borderId="47" applyNumberFormat="0" applyFill="0" applyAlignment="0" applyProtection="0"/>
    <xf numFmtId="0" fontId="174" fillId="0" borderId="16" applyNumberFormat="0" applyFill="0" applyAlignment="0" applyProtection="0"/>
    <xf numFmtId="0" fontId="195" fillId="0" borderId="47" applyNumberFormat="0" applyFill="0" applyAlignment="0" applyProtection="0"/>
    <xf numFmtId="0" fontId="174" fillId="0" borderId="16" applyNumberFormat="0" applyFill="0" applyAlignment="0" applyProtection="0"/>
    <xf numFmtId="0" fontId="195" fillId="0" borderId="47" applyNumberFormat="0" applyFill="0" applyAlignment="0" applyProtection="0"/>
    <xf numFmtId="0" fontId="176" fillId="0" borderId="0" applyNumberFormat="0" applyFill="0" applyBorder="0" applyAlignment="0" applyProtection="0"/>
    <xf numFmtId="0" fontId="170" fillId="0" borderId="0" applyNumberFormat="0" applyFill="0" applyBorder="0" applyAlignment="0" applyProtection="0"/>
    <xf numFmtId="0" fontId="176" fillId="0" borderId="0" applyNumberFormat="0" applyFill="0" applyBorder="0" applyAlignment="0" applyProtection="0"/>
    <xf numFmtId="0" fontId="170" fillId="0" borderId="0" applyNumberFormat="0" applyFill="0" applyBorder="0" applyAlignment="0" applyProtection="0"/>
    <xf numFmtId="0" fontId="176" fillId="0" borderId="0" applyNumberFormat="0" applyFill="0" applyBorder="0" applyAlignment="0" applyProtection="0"/>
    <xf numFmtId="0" fontId="170" fillId="0" borderId="0" applyNumberFormat="0" applyFill="0" applyBorder="0" applyAlignment="0" applyProtection="0"/>
    <xf numFmtId="0" fontId="176" fillId="0" borderId="0" applyNumberFormat="0" applyFill="0" applyBorder="0" applyAlignment="0" applyProtection="0"/>
    <xf numFmtId="0" fontId="170" fillId="0" borderId="0" applyNumberFormat="0" applyFill="0" applyBorder="0" applyAlignment="0" applyProtection="0"/>
    <xf numFmtId="0" fontId="176" fillId="0" borderId="0" applyNumberFormat="0" applyFill="0" applyBorder="0" applyAlignment="0" applyProtection="0"/>
    <xf numFmtId="0" fontId="170" fillId="0" borderId="0" applyNumberFormat="0" applyFill="0" applyBorder="0" applyAlignment="0" applyProtection="0"/>
    <xf numFmtId="0" fontId="176" fillId="0" borderId="0" applyNumberFormat="0" applyFill="0" applyBorder="0" applyAlignment="0" applyProtection="0"/>
    <xf numFmtId="0" fontId="170" fillId="0" borderId="0" applyNumberFormat="0" applyFill="0" applyBorder="0" applyAlignment="0" applyProtection="0"/>
    <xf numFmtId="0" fontId="176" fillId="0" borderId="0" applyNumberFormat="0" applyFill="0" applyBorder="0" applyAlignment="0" applyProtection="0"/>
    <xf numFmtId="0" fontId="170" fillId="0" borderId="0" applyNumberFormat="0" applyFill="0" applyBorder="0" applyAlignment="0" applyProtection="0"/>
    <xf numFmtId="0" fontId="176" fillId="0" borderId="0" applyNumberFormat="0" applyFill="0" applyBorder="0" applyAlignment="0" applyProtection="0"/>
    <xf numFmtId="0" fontId="170" fillId="0" borderId="0" applyNumberFormat="0" applyFill="0" applyBorder="0" applyAlignment="0" applyProtection="0"/>
    <xf numFmtId="0" fontId="176" fillId="0" borderId="0" applyNumberFormat="0" applyFill="0" applyBorder="0" applyAlignment="0" applyProtection="0"/>
    <xf numFmtId="0" fontId="170" fillId="0" borderId="0" applyNumberFormat="0" applyFill="0" applyBorder="0" applyAlignment="0" applyProtection="0"/>
    <xf numFmtId="0" fontId="170" fillId="0" borderId="0" applyNumberFormat="0" applyFill="0" applyBorder="0" applyAlignment="0" applyProtection="0"/>
    <xf numFmtId="0" fontId="79" fillId="0" borderId="0" applyNumberFormat="0" applyFill="0" applyBorder="0" applyAlignment="0" applyProtection="0"/>
    <xf numFmtId="0" fontId="69" fillId="0" borderId="0" applyNumberFormat="0" applyFill="0" applyBorder="0" applyAlignment="0" applyProtection="0"/>
    <xf numFmtId="0" fontId="197" fillId="0" borderId="0" applyNumberFormat="0" applyFill="0" applyBorder="0" applyAlignment="0" applyProtection="0"/>
    <xf numFmtId="0" fontId="170" fillId="0" borderId="0" applyNumberFormat="0" applyFill="0" applyBorder="0" applyAlignment="0" applyProtection="0"/>
    <xf numFmtId="0" fontId="170" fillId="0" borderId="0" applyNumberFormat="0" applyFill="0" applyBorder="0" applyAlignment="0" applyProtection="0"/>
    <xf numFmtId="0" fontId="170" fillId="0" borderId="0" applyNumberFormat="0" applyFill="0" applyBorder="0" applyAlignment="0" applyProtection="0"/>
    <xf numFmtId="0" fontId="170" fillId="0" borderId="0" applyNumberFormat="0" applyFill="0" applyBorder="0" applyAlignment="0" applyProtection="0"/>
    <xf numFmtId="0" fontId="170" fillId="0" borderId="0" applyNumberFormat="0" applyFill="0" applyBorder="0" applyAlignment="0" applyProtection="0"/>
    <xf numFmtId="0" fontId="170" fillId="0" borderId="0" applyNumberFormat="0" applyFill="0" applyBorder="0" applyAlignment="0" applyProtection="0"/>
    <xf numFmtId="0" fontId="170" fillId="0" borderId="0" applyNumberFormat="0" applyFill="0" applyBorder="0" applyAlignment="0" applyProtection="0"/>
    <xf numFmtId="0" fontId="170" fillId="0" borderId="0" applyNumberFormat="0" applyFill="0" applyBorder="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9" fillId="0" borderId="0" applyNumberFormat="0" applyFill="0" applyBorder="0" applyAlignment="0" applyProtection="0"/>
    <xf numFmtId="0" fontId="170" fillId="0" borderId="0" applyNumberFormat="0" applyFill="0" applyBorder="0" applyAlignment="0" applyProtection="0"/>
    <xf numFmtId="0" fontId="69" fillId="0" borderId="0" applyNumberFormat="0" applyFill="0" applyBorder="0" applyAlignment="0" applyProtection="0"/>
    <xf numFmtId="0" fontId="176" fillId="0" borderId="0" applyNumberFormat="0" applyFill="0" applyBorder="0" applyAlignment="0" applyProtection="0"/>
    <xf numFmtId="0" fontId="170" fillId="0" borderId="0" applyNumberFormat="0" applyFill="0" applyBorder="0" applyAlignment="0" applyProtection="0"/>
    <xf numFmtId="0" fontId="176" fillId="0" borderId="0" applyNumberFormat="0" applyFill="0" applyBorder="0" applyAlignment="0" applyProtection="0"/>
    <xf numFmtId="0" fontId="170" fillId="0" borderId="0" applyNumberFormat="0" applyFill="0" applyBorder="0" applyAlignment="0" applyProtection="0"/>
    <xf numFmtId="0" fontId="176" fillId="0" borderId="0" applyNumberFormat="0" applyFill="0" applyBorder="0" applyAlignment="0" applyProtection="0"/>
    <xf numFmtId="0" fontId="170" fillId="0" borderId="0" applyNumberFormat="0" applyFill="0" applyBorder="0" applyAlignment="0" applyProtection="0"/>
    <xf numFmtId="0" fontId="176" fillId="0" borderId="0" applyNumberFormat="0" applyFill="0" applyBorder="0" applyAlignment="0" applyProtection="0"/>
    <xf numFmtId="0" fontId="170" fillId="0" borderId="0" applyNumberFormat="0" applyFill="0" applyBorder="0" applyAlignment="0" applyProtection="0"/>
    <xf numFmtId="0" fontId="176" fillId="0" borderId="0" applyNumberFormat="0" applyFill="0" applyBorder="0" applyAlignment="0" applyProtection="0"/>
    <xf numFmtId="0" fontId="170" fillId="0" borderId="0" applyNumberFormat="0" applyFill="0" applyBorder="0" applyAlignment="0" applyProtection="0"/>
    <xf numFmtId="0" fontId="176" fillId="0" borderId="0" applyNumberFormat="0" applyFill="0" applyBorder="0" applyAlignment="0" applyProtection="0"/>
    <xf numFmtId="0" fontId="170" fillId="0" borderId="0" applyNumberFormat="0" applyFill="0" applyBorder="0" applyAlignment="0" applyProtection="0"/>
    <xf numFmtId="0" fontId="76" fillId="0" borderId="0"/>
    <xf numFmtId="0" fontId="2" fillId="0" borderId="0"/>
    <xf numFmtId="0" fontId="1" fillId="0" borderId="0"/>
    <xf numFmtId="9" fontId="1" fillId="0" borderId="0" applyFont="0" applyFill="0" applyBorder="0" applyAlignment="0" applyProtection="0"/>
  </cellStyleXfs>
  <cellXfs count="195">
    <xf numFmtId="0" fontId="0" fillId="0" borderId="0" xfId="0"/>
    <xf numFmtId="3" fontId="33" fillId="36" borderId="21" xfId="68" applyNumberFormat="1" applyAlignment="1">
      <alignment horizontal="right"/>
    </xf>
    <xf numFmtId="0" fontId="41" fillId="33" borderId="8" xfId="58"/>
    <xf numFmtId="0" fontId="51" fillId="0" borderId="0" xfId="5"/>
    <xf numFmtId="0" fontId="32" fillId="0" borderId="0" xfId="4"/>
    <xf numFmtId="0" fontId="0" fillId="0" borderId="4" xfId="0" applyBorder="1"/>
    <xf numFmtId="0" fontId="43" fillId="36" borderId="20" xfId="11"/>
    <xf numFmtId="0" fontId="8" fillId="0" borderId="0" xfId="0" applyFont="1"/>
    <xf numFmtId="169" fontId="10" fillId="40" borderId="19" xfId="3"/>
    <xf numFmtId="164" fontId="0" fillId="0" borderId="0" xfId="57" applyFont="1"/>
    <xf numFmtId="172" fontId="0" fillId="0" borderId="0" xfId="12" applyFont="1"/>
    <xf numFmtId="0" fontId="29" fillId="0" borderId="5" xfId="0" applyFont="1" applyBorder="1"/>
    <xf numFmtId="0" fontId="33" fillId="36" borderId="21" xfId="68" applyAlignment="1">
      <alignment horizontal="right"/>
    </xf>
    <xf numFmtId="0" fontId="8" fillId="35" borderId="25" xfId="9" applyNumberFormat="1" applyBorder="1" applyAlignment="1"/>
    <xf numFmtId="0" fontId="32" fillId="0" borderId="6" xfId="4" applyBorder="1"/>
    <xf numFmtId="0" fontId="50" fillId="0" borderId="0" xfId="65"/>
    <xf numFmtId="0" fontId="42" fillId="0" borderId="0" xfId="66"/>
    <xf numFmtId="0" fontId="49" fillId="38" borderId="0" xfId="69"/>
    <xf numFmtId="0" fontId="12" fillId="37" borderId="25" xfId="14" applyBorder="1">
      <alignment horizontal="centerContinuous" vertical="center" wrapText="1"/>
    </xf>
    <xf numFmtId="168" fontId="33" fillId="36" borderId="21" xfId="68" applyNumberFormat="1" applyAlignment="1">
      <alignment horizontal="right"/>
    </xf>
    <xf numFmtId="0" fontId="0" fillId="0" borderId="22" xfId="0" applyBorder="1"/>
    <xf numFmtId="0" fontId="29" fillId="0" borderId="0" xfId="0" applyFont="1"/>
    <xf numFmtId="0" fontId="8" fillId="0" borderId="25" xfId="7" applyBorder="1"/>
    <xf numFmtId="0" fontId="7" fillId="0" borderId="24" xfId="10" applyBorder="1"/>
    <xf numFmtId="0" fontId="37" fillId="0" borderId="7" xfId="0" applyFont="1" applyBorder="1"/>
    <xf numFmtId="0" fontId="0" fillId="0" borderId="7" xfId="0" applyBorder="1"/>
    <xf numFmtId="167" fontId="38" fillId="0" borderId="0" xfId="67" applyFont="1"/>
    <xf numFmtId="0" fontId="39" fillId="0" borderId="0" xfId="66" applyFont="1"/>
    <xf numFmtId="0" fontId="40" fillId="0" borderId="0" xfId="0" applyFont="1"/>
    <xf numFmtId="0" fontId="33" fillId="36" borderId="21" xfId="68"/>
    <xf numFmtId="0" fontId="29" fillId="41" borderId="0" xfId="71"/>
    <xf numFmtId="0" fontId="8" fillId="2" borderId="25" xfId="2" applyBorder="1"/>
    <xf numFmtId="4" fontId="33" fillId="36" borderId="21" xfId="68" applyNumberFormat="1" applyAlignment="1">
      <alignment horizontal="right"/>
    </xf>
    <xf numFmtId="173" fontId="33" fillId="36" borderId="21" xfId="68" applyNumberFormat="1"/>
    <xf numFmtId="175" fontId="33" fillId="36" borderId="21" xfId="68" applyNumberFormat="1" applyAlignment="1">
      <alignment horizontal="right"/>
    </xf>
    <xf numFmtId="0" fontId="0" fillId="0" borderId="23" xfId="8" applyFont="1" applyBorder="1"/>
    <xf numFmtId="0" fontId="12" fillId="37" borderId="26" xfId="14" applyBorder="1">
      <alignment horizontal="centerContinuous" vertical="center" wrapText="1"/>
    </xf>
    <xf numFmtId="15" fontId="0" fillId="0" borderId="0" xfId="61" applyFont="1"/>
    <xf numFmtId="15" fontId="43" fillId="36" borderId="20" xfId="11" applyNumberFormat="1"/>
    <xf numFmtId="169" fontId="0" fillId="0" borderId="0" xfId="0" applyNumberFormat="1"/>
    <xf numFmtId="0" fontId="8" fillId="2" borderId="26" xfId="2" applyBorder="1"/>
    <xf numFmtId="164" fontId="33" fillId="36" borderId="21" xfId="68" applyNumberFormat="1"/>
    <xf numFmtId="0" fontId="46" fillId="0" borderId="0" xfId="74"/>
    <xf numFmtId="0" fontId="47" fillId="0" borderId="0" xfId="0" applyFont="1"/>
    <xf numFmtId="172" fontId="43" fillId="36" borderId="20" xfId="12" applyFont="1" applyFill="1" applyBorder="1"/>
    <xf numFmtId="0" fontId="52" fillId="0" borderId="0" xfId="0" applyFont="1"/>
    <xf numFmtId="172" fontId="33" fillId="36" borderId="21" xfId="12" applyFont="1" applyFill="1" applyBorder="1" applyAlignment="1">
      <alignment horizontal="right"/>
    </xf>
    <xf numFmtId="0" fontId="56" fillId="0" borderId="27" xfId="54" applyFont="1" applyBorder="1"/>
    <xf numFmtId="15" fontId="41" fillId="33" borderId="8" xfId="58" applyNumberFormat="1" applyProtection="1">
      <protection locked="0"/>
    </xf>
    <xf numFmtId="15" fontId="0" fillId="0" borderId="0" xfId="0" applyNumberFormat="1"/>
    <xf numFmtId="178" fontId="41" fillId="33" borderId="8" xfId="58" applyNumberFormat="1" applyProtection="1">
      <protection locked="0"/>
    </xf>
    <xf numFmtId="172" fontId="41" fillId="33" borderId="8" xfId="12" applyFont="1" applyFill="1" applyBorder="1"/>
    <xf numFmtId="0" fontId="12" fillId="37" borderId="26" xfId="14" applyBorder="1" applyAlignment="1">
      <alignment horizontal="centerContinuous" vertical="center"/>
    </xf>
    <xf numFmtId="179" fontId="12" fillId="37" borderId="26" xfId="14" applyNumberFormat="1" applyBorder="1">
      <alignment horizontal="centerContinuous" vertical="center" wrapText="1"/>
    </xf>
    <xf numFmtId="2" fontId="41" fillId="33" borderId="8" xfId="58" applyNumberFormat="1"/>
    <xf numFmtId="0" fontId="6" fillId="0" borderId="0" xfId="82"/>
    <xf numFmtId="0" fontId="6" fillId="0" borderId="0" xfId="82" quotePrefix="1"/>
    <xf numFmtId="0" fontId="31" fillId="0" borderId="17" xfId="54"/>
    <xf numFmtId="164" fontId="42" fillId="0" borderId="0" xfId="57" applyFont="1"/>
    <xf numFmtId="164" fontId="43" fillId="36" borderId="20" xfId="57" applyFont="1" applyFill="1" applyBorder="1"/>
    <xf numFmtId="164" fontId="8" fillId="0" borderId="26" xfId="7" applyNumberFormat="1" applyBorder="1"/>
    <xf numFmtId="43" fontId="8" fillId="0" borderId="26" xfId="7" applyNumberFormat="1" applyBorder="1"/>
    <xf numFmtId="0" fontId="8" fillId="0" borderId="26" xfId="7" applyBorder="1"/>
    <xf numFmtId="0" fontId="8" fillId="43" borderId="0" xfId="0" applyFont="1" applyFill="1"/>
    <xf numFmtId="0" fontId="49" fillId="0" borderId="0" xfId="69" applyFill="1"/>
    <xf numFmtId="43" fontId="0" fillId="0" borderId="0" xfId="0" applyNumberFormat="1"/>
    <xf numFmtId="0" fontId="8" fillId="0" borderId="0" xfId="7" applyBorder="1"/>
    <xf numFmtId="0" fontId="32" fillId="0" borderId="0" xfId="4" applyFill="1"/>
    <xf numFmtId="0" fontId="12" fillId="37" borderId="26" xfId="14" quotePrefix="1" applyBorder="1">
      <alignment horizontal="centerContinuous" vertical="center" wrapText="1"/>
    </xf>
    <xf numFmtId="164" fontId="47" fillId="0" borderId="0" xfId="57" applyFont="1"/>
    <xf numFmtId="43" fontId="47" fillId="0" borderId="0" xfId="0" applyNumberFormat="1" applyFont="1"/>
    <xf numFmtId="177" fontId="50" fillId="0" borderId="0" xfId="65" applyNumberFormat="1"/>
    <xf numFmtId="0" fontId="57" fillId="0" borderId="0" xfId="4" applyFont="1"/>
    <xf numFmtId="0" fontId="57" fillId="0" borderId="0" xfId="4" applyFont="1" applyFill="1"/>
    <xf numFmtId="0" fontId="5" fillId="0" borderId="0" xfId="83" applyAlignment="1">
      <alignment horizontal="left"/>
    </xf>
    <xf numFmtId="0" fontId="5" fillId="0" borderId="0" xfId="83"/>
    <xf numFmtId="0" fontId="7" fillId="0" borderId="0" xfId="83" applyFont="1" applyAlignment="1">
      <alignment horizontal="left"/>
    </xf>
    <xf numFmtId="3" fontId="0" fillId="0" borderId="0" xfId="84" applyNumberFormat="1" applyFont="1"/>
    <xf numFmtId="0" fontId="5" fillId="43" borderId="0" xfId="83" applyFill="1" applyAlignment="1">
      <alignment horizontal="left"/>
    </xf>
    <xf numFmtId="9" fontId="0" fillId="0" borderId="0" xfId="84" applyFont="1"/>
    <xf numFmtId="9" fontId="5" fillId="0" borderId="0" xfId="83" applyNumberFormat="1" applyAlignment="1">
      <alignment horizontal="center"/>
    </xf>
    <xf numFmtId="9" fontId="5" fillId="0" borderId="0" xfId="83" applyNumberFormat="1"/>
    <xf numFmtId="0" fontId="58" fillId="0" borderId="0" xfId="83" applyFont="1" applyAlignment="1">
      <alignment horizontal="left"/>
    </xf>
    <xf numFmtId="0" fontId="5" fillId="0" borderId="0" xfId="83" applyAlignment="1">
      <alignment horizontal="center"/>
    </xf>
    <xf numFmtId="0" fontId="58" fillId="0" borderId="0" xfId="83" applyFont="1"/>
    <xf numFmtId="1" fontId="0" fillId="0" borderId="0" xfId="84" applyNumberFormat="1" applyFont="1" applyAlignment="1">
      <alignment horizontal="center"/>
    </xf>
    <xf numFmtId="180" fontId="0" fillId="0" borderId="0" xfId="84" applyNumberFormat="1" applyFont="1"/>
    <xf numFmtId="2" fontId="5" fillId="0" borderId="0" xfId="83" applyNumberFormat="1"/>
    <xf numFmtId="0" fontId="41" fillId="0" borderId="8" xfId="58" applyFill="1"/>
    <xf numFmtId="0" fontId="0" fillId="43" borderId="0" xfId="0" applyFill="1"/>
    <xf numFmtId="43" fontId="0" fillId="43" borderId="0" xfId="0" applyNumberFormat="1" applyFill="1"/>
    <xf numFmtId="0" fontId="8" fillId="44" borderId="0" xfId="0" applyFont="1" applyFill="1"/>
    <xf numFmtId="0" fontId="4" fillId="0" borderId="0" xfId="83" applyFont="1"/>
    <xf numFmtId="0" fontId="3" fillId="0" borderId="0" xfId="83" quotePrefix="1" applyFont="1"/>
    <xf numFmtId="0" fontId="0" fillId="0" borderId="0" xfId="0" applyAlignment="1">
      <alignment vertical="center" wrapText="1"/>
    </xf>
    <xf numFmtId="0" fontId="59" fillId="0" borderId="0" xfId="0" applyFont="1" applyAlignment="1">
      <alignment vertical="center" wrapText="1"/>
    </xf>
    <xf numFmtId="0" fontId="46" fillId="0" borderId="0" xfId="74" applyAlignment="1">
      <alignment vertical="center" wrapText="1"/>
    </xf>
    <xf numFmtId="8" fontId="0" fillId="0" borderId="0" xfId="0" applyNumberFormat="1" applyAlignment="1">
      <alignment vertical="center" wrapText="1"/>
    </xf>
    <xf numFmtId="0" fontId="3" fillId="43" borderId="0" xfId="83" applyFont="1" applyFill="1" applyAlignment="1">
      <alignment horizontal="left"/>
    </xf>
    <xf numFmtId="0" fontId="3" fillId="0" borderId="0" xfId="83" applyFont="1"/>
    <xf numFmtId="0" fontId="32" fillId="37" borderId="0" xfId="4" applyFill="1"/>
    <xf numFmtId="0" fontId="0" fillId="37" borderId="0" xfId="0" applyFill="1"/>
    <xf numFmtId="0" fontId="8" fillId="37" borderId="0" xfId="0" applyFont="1" applyFill="1"/>
    <xf numFmtId="0" fontId="42" fillId="37" borderId="0" xfId="66" applyFill="1"/>
    <xf numFmtId="0" fontId="2" fillId="0" borderId="0" xfId="83" applyFont="1"/>
    <xf numFmtId="2" fontId="0" fillId="0" borderId="0" xfId="0" applyNumberFormat="1"/>
    <xf numFmtId="43" fontId="0" fillId="0" borderId="6" xfId="0" applyNumberFormat="1" applyBorder="1"/>
    <xf numFmtId="0" fontId="2" fillId="0" borderId="0" xfId="83" quotePrefix="1" applyFont="1"/>
    <xf numFmtId="0" fontId="2" fillId="43" borderId="0" xfId="83" applyFont="1" applyFill="1" applyAlignment="1">
      <alignment horizontal="left"/>
    </xf>
    <xf numFmtId="0" fontId="8" fillId="45" borderId="0" xfId="0" applyFont="1" applyFill="1"/>
    <xf numFmtId="0" fontId="0" fillId="45" borderId="0" xfId="0" applyFill="1"/>
    <xf numFmtId="172" fontId="0" fillId="45" borderId="0" xfId="12" applyFont="1" applyFill="1"/>
    <xf numFmtId="0" fontId="42" fillId="45" borderId="0" xfId="66" applyFill="1"/>
    <xf numFmtId="2" fontId="0" fillId="45" borderId="0" xfId="0" applyNumberFormat="1" applyFill="1"/>
    <xf numFmtId="1" fontId="41" fillId="33" borderId="8" xfId="58" applyNumberFormat="1"/>
    <xf numFmtId="3" fontId="2" fillId="89" borderId="48" xfId="85" applyNumberFormat="1" applyFill="1" applyBorder="1" applyAlignment="1">
      <alignment horizontal="center" vertical="center"/>
    </xf>
    <xf numFmtId="224" fontId="0" fillId="0" borderId="0" xfId="0" applyNumberFormat="1"/>
    <xf numFmtId="167" fontId="0" fillId="0" borderId="0" xfId="57" applyNumberFormat="1" applyFont="1"/>
    <xf numFmtId="0" fontId="47" fillId="0" borderId="0" xfId="0" applyFont="1" applyAlignment="1">
      <alignment horizontal="center" vertical="center" wrapText="1"/>
    </xf>
    <xf numFmtId="0" fontId="47" fillId="0" borderId="0" xfId="0" applyFont="1" applyAlignment="1">
      <alignment vertical="center" wrapText="1"/>
    </xf>
    <xf numFmtId="0" fontId="8" fillId="0" borderId="0" xfId="0" applyFont="1" applyAlignment="1">
      <alignment vertical="center" wrapText="1"/>
    </xf>
    <xf numFmtId="0" fontId="35" fillId="0" borderId="0" xfId="74" applyFont="1" applyAlignment="1">
      <alignment vertical="center" wrapText="1"/>
    </xf>
    <xf numFmtId="43" fontId="0" fillId="45" borderId="0" xfId="0" applyNumberFormat="1" applyFill="1"/>
    <xf numFmtId="164" fontId="41" fillId="33" borderId="8" xfId="57" applyFont="1" applyFill="1" applyBorder="1"/>
    <xf numFmtId="0" fontId="29" fillId="90" borderId="0" xfId="71" applyFill="1"/>
    <xf numFmtId="0" fontId="49" fillId="90" borderId="0" xfId="69" applyFill="1"/>
    <xf numFmtId="15" fontId="0" fillId="90" borderId="0" xfId="61" applyFont="1" applyFill="1"/>
    <xf numFmtId="169" fontId="10" fillId="91" borderId="19" xfId="3" applyFill="1"/>
    <xf numFmtId="0" fontId="0" fillId="90" borderId="0" xfId="0" applyFill="1"/>
    <xf numFmtId="164" fontId="43" fillId="90" borderId="20" xfId="57" applyFont="1" applyFill="1" applyBorder="1"/>
    <xf numFmtId="224" fontId="0" fillId="90" borderId="0" xfId="0" applyNumberFormat="1" applyFill="1"/>
    <xf numFmtId="0" fontId="32" fillId="43" borderId="0" xfId="4" applyFill="1"/>
    <xf numFmtId="0" fontId="41" fillId="33" borderId="49" xfId="58" applyBorder="1"/>
    <xf numFmtId="167" fontId="0" fillId="0" borderId="0" xfId="0" applyNumberFormat="1"/>
    <xf numFmtId="164" fontId="41" fillId="33" borderId="0" xfId="57" applyFont="1" applyFill="1" applyBorder="1"/>
    <xf numFmtId="167" fontId="41" fillId="33" borderId="0" xfId="57" applyNumberFormat="1" applyFont="1" applyFill="1" applyBorder="1"/>
    <xf numFmtId="172" fontId="41" fillId="33" borderId="50" xfId="12" applyFont="1" applyFill="1" applyBorder="1"/>
    <xf numFmtId="167" fontId="41" fillId="33" borderId="8" xfId="57" applyNumberFormat="1" applyFont="1" applyFill="1" applyBorder="1"/>
    <xf numFmtId="176" fontId="0" fillId="43" borderId="0" xfId="12" applyNumberFormat="1" applyFont="1" applyFill="1"/>
    <xf numFmtId="1" fontId="0" fillId="0" borderId="0" xfId="0" applyNumberFormat="1"/>
    <xf numFmtId="224" fontId="0" fillId="43" borderId="0" xfId="0" applyNumberFormat="1" applyFill="1"/>
    <xf numFmtId="0" fontId="198" fillId="0" borderId="0" xfId="0" applyFont="1"/>
    <xf numFmtId="0" fontId="0" fillId="0" borderId="0" xfId="0" quotePrefix="1"/>
    <xf numFmtId="0" fontId="7" fillId="45" borderId="0" xfId="10" applyFill="1" applyBorder="1"/>
    <xf numFmtId="43" fontId="47" fillId="45" borderId="0" xfId="0" applyNumberFormat="1" applyFont="1" applyFill="1"/>
    <xf numFmtId="0" fontId="79" fillId="0" borderId="0" xfId="0" applyFont="1"/>
    <xf numFmtId="0" fontId="199" fillId="0" borderId="0" xfId="0" applyFont="1"/>
    <xf numFmtId="43" fontId="8" fillId="0" borderId="0" xfId="0" applyNumberFormat="1" applyFont="1"/>
    <xf numFmtId="164" fontId="43" fillId="36" borderId="51" xfId="57" applyFont="1" applyFill="1" applyBorder="1"/>
    <xf numFmtId="164" fontId="0" fillId="0" borderId="0" xfId="0" applyNumberFormat="1"/>
    <xf numFmtId="164" fontId="0" fillId="92" borderId="0" xfId="57" applyFont="1" applyFill="1"/>
    <xf numFmtId="0" fontId="8" fillId="92" borderId="0" xfId="0" applyFont="1" applyFill="1"/>
    <xf numFmtId="0" fontId="200" fillId="93" borderId="52" xfId="0" applyFont="1" applyFill="1" applyBorder="1" applyAlignment="1">
      <alignment horizontal="center" vertical="center" wrapText="1" readingOrder="1"/>
    </xf>
    <xf numFmtId="0" fontId="200" fillId="93" borderId="53" xfId="0" applyFont="1" applyFill="1" applyBorder="1" applyAlignment="1">
      <alignment horizontal="center" vertical="center" wrapText="1" readingOrder="1"/>
    </xf>
    <xf numFmtId="0" fontId="200" fillId="93" borderId="54" xfId="0" applyFont="1" applyFill="1" applyBorder="1" applyAlignment="1">
      <alignment horizontal="center" vertical="center" wrapText="1" readingOrder="1"/>
    </xf>
    <xf numFmtId="0" fontId="200" fillId="93" borderId="55" xfId="0" applyFont="1" applyFill="1" applyBorder="1" applyAlignment="1">
      <alignment horizontal="center" vertical="center" wrapText="1" readingOrder="1"/>
    </xf>
    <xf numFmtId="0" fontId="201" fillId="93" borderId="56" xfId="0" applyFont="1" applyFill="1" applyBorder="1" applyAlignment="1">
      <alignment horizontal="center" vertical="center" wrapText="1" readingOrder="1"/>
    </xf>
    <xf numFmtId="0" fontId="201" fillId="93" borderId="57" xfId="0" applyFont="1" applyFill="1" applyBorder="1" applyAlignment="1">
      <alignment horizontal="center" vertical="center" wrapText="1" readingOrder="1"/>
    </xf>
    <xf numFmtId="9" fontId="201" fillId="93" borderId="57" xfId="0" applyNumberFormat="1" applyFont="1" applyFill="1" applyBorder="1" applyAlignment="1">
      <alignment horizontal="center" vertical="center" wrapText="1" readingOrder="1"/>
    </xf>
    <xf numFmtId="3" fontId="201" fillId="93" borderId="56" xfId="0" applyNumberFormat="1" applyFont="1" applyFill="1" applyBorder="1" applyAlignment="1">
      <alignment horizontal="center" vertical="center" wrapText="1" readingOrder="1"/>
    </xf>
    <xf numFmtId="0" fontId="200" fillId="93" borderId="58" xfId="0" applyFont="1" applyFill="1" applyBorder="1" applyAlignment="1">
      <alignment horizontal="center" vertical="center" wrapText="1" readingOrder="1"/>
    </xf>
    <xf numFmtId="3" fontId="201" fillId="93" borderId="59" xfId="0" applyNumberFormat="1" applyFont="1" applyFill="1" applyBorder="1" applyAlignment="1">
      <alignment horizontal="center" vertical="center" wrapText="1" readingOrder="1"/>
    </xf>
    <xf numFmtId="9" fontId="201" fillId="93" borderId="60" xfId="0" applyNumberFormat="1" applyFont="1" applyFill="1" applyBorder="1" applyAlignment="1">
      <alignment horizontal="center" vertical="center" wrapText="1" readingOrder="1"/>
    </xf>
    <xf numFmtId="2" fontId="0" fillId="43" borderId="0" xfId="0" applyNumberFormat="1" applyFill="1"/>
    <xf numFmtId="0" fontId="31" fillId="43" borderId="17" xfId="54" applyFill="1"/>
    <xf numFmtId="43" fontId="0" fillId="90" borderId="0" xfId="0" applyNumberFormat="1" applyFill="1"/>
    <xf numFmtId="167" fontId="0" fillId="90" borderId="0" xfId="57" applyNumberFormat="1" applyFont="1" applyFill="1"/>
    <xf numFmtId="2" fontId="0" fillId="90" borderId="0" xfId="0" applyNumberFormat="1" applyFill="1"/>
    <xf numFmtId="164" fontId="47" fillId="90" borderId="0" xfId="57" applyFont="1" applyFill="1"/>
    <xf numFmtId="43" fontId="47" fillId="90" borderId="0" xfId="0" applyNumberFormat="1" applyFont="1" applyFill="1"/>
    <xf numFmtId="43" fontId="0" fillId="90" borderId="6" xfId="0" applyNumberFormat="1" applyFill="1" applyBorder="1"/>
    <xf numFmtId="164" fontId="0" fillId="90" borderId="0" xfId="57" applyFont="1" applyFill="1"/>
    <xf numFmtId="172" fontId="0" fillId="90" borderId="0" xfId="12" applyFont="1" applyFill="1"/>
    <xf numFmtId="164" fontId="43" fillId="36" borderId="0" xfId="57" applyFont="1" applyFill="1" applyBorder="1"/>
    <xf numFmtId="164" fontId="43" fillId="90" borderId="0" xfId="57" applyFont="1" applyFill="1" applyBorder="1"/>
    <xf numFmtId="164" fontId="43" fillId="36" borderId="61" xfId="57" applyFont="1" applyFill="1" applyBorder="1"/>
    <xf numFmtId="0" fontId="29" fillId="0" borderId="0" xfId="71" applyFill="1"/>
    <xf numFmtId="15" fontId="0" fillId="0" borderId="0" xfId="61" applyFont="1" applyFill="1"/>
    <xf numFmtId="169" fontId="10" fillId="0" borderId="19" xfId="3" applyFill="1"/>
    <xf numFmtId="167" fontId="0" fillId="0" borderId="0" xfId="57" applyNumberFormat="1" applyFont="1" applyFill="1"/>
    <xf numFmtId="164" fontId="43" fillId="0" borderId="20" xfId="57" applyFont="1" applyFill="1" applyBorder="1"/>
    <xf numFmtId="164" fontId="43" fillId="0" borderId="0" xfId="57" applyFont="1" applyFill="1" applyBorder="1"/>
    <xf numFmtId="164" fontId="47" fillId="0" borderId="0" xfId="57" applyFont="1" applyFill="1"/>
    <xf numFmtId="164" fontId="0" fillId="0" borderId="0" xfId="57" applyFont="1" applyFill="1"/>
    <xf numFmtId="172" fontId="0" fillId="0" borderId="0" xfId="12" applyFont="1" applyFill="1"/>
    <xf numFmtId="1" fontId="0" fillId="90" borderId="0" xfId="0" applyNumberFormat="1" applyFill="1"/>
    <xf numFmtId="167" fontId="0" fillId="90" borderId="0" xfId="0" applyNumberFormat="1" applyFill="1"/>
    <xf numFmtId="2" fontId="0" fillId="0" borderId="0" xfId="12" applyNumberFormat="1" applyFont="1"/>
    <xf numFmtId="0" fontId="199" fillId="94" borderId="0" xfId="0" applyFont="1" applyFill="1"/>
    <xf numFmtId="167" fontId="0" fillId="95" borderId="0" xfId="0" applyNumberFormat="1" applyFill="1"/>
    <xf numFmtId="10" fontId="0" fillId="0" borderId="0" xfId="0" applyNumberFormat="1"/>
    <xf numFmtId="164" fontId="0" fillId="95" borderId="0" xfId="57" applyFont="1" applyFill="1"/>
    <xf numFmtId="43" fontId="0" fillId="95" borderId="0" xfId="0" applyNumberFormat="1" applyFill="1"/>
    <xf numFmtId="43" fontId="47" fillId="95" borderId="0" xfId="0" applyNumberFormat="1" applyFont="1" applyFill="1"/>
    <xf numFmtId="0" fontId="0" fillId="0" borderId="0" xfId="0" applyAlignment="1">
      <alignment horizontal="center"/>
    </xf>
  </cellXfs>
  <cellStyles count="39593">
    <cellStyle name=" 1" xfId="60" xr:uid="{00000000-0005-0000-0000-000000000000}"/>
    <cellStyle name=" 1 2" xfId="166" xr:uid="{AEA782B2-7825-4447-B52E-1B4B22C9164C}"/>
    <cellStyle name="_2.11.2 SKU Sales NZ 2007A 2008A 2009B" xfId="163" xr:uid="{2CF2BDB0-BCA7-4CD2-8627-A655B90C9D58}"/>
    <cellStyle name="_AP_Headcount NMC" xfId="160" xr:uid="{204F2CDB-AE8F-4E91-AEF0-66002DE4E291}"/>
    <cellStyle name="_C225_Japan fcst 060401-2" xfId="174" xr:uid="{E67FDCA0-E25D-4169-AA7C-1F9F93E54B50}"/>
    <cellStyle name="_C225_Japan fcst 060401-2_2.11.2 SKU Sales NZ 2007A 2008A 2009B" xfId="171" xr:uid="{942B7347-919E-4069-82D3-D76F49EAFA7F}"/>
    <cellStyle name="_C225_Japan fcst 060401-2_AP_Headcount NMC" xfId="168" xr:uid="{A0311D25-3C92-4A19-A5AB-98948E9D27D8}"/>
    <cellStyle name="_C225_Japan fcst 060401-2_sept proj &amp; budget mature brandsv6 update to sept proj + 2009 sept 10th" xfId="165" xr:uid="{846F672D-5C5B-4F0F-8065-2423D9BC93B4}"/>
    <cellStyle name="_C225_Japan fcst 060401-2_Sls08P" xfId="162" xr:uid="{26C41ACB-CAD6-422E-A865-4F8EBC4EDE2F}"/>
    <cellStyle name="_C225_Japan fcst 060401-2_summary DPE for budget" xfId="159" xr:uid="{0A7FBEEF-E0B0-416F-A173-73CF1269EC36}"/>
    <cellStyle name="_C225_Japan fcst 061501-price modification" xfId="173" xr:uid="{BFD05680-7660-4359-9C49-D76117F80E69}"/>
    <cellStyle name="_charts" xfId="170" xr:uid="{BB235890-CA14-4BC2-A2E9-F90598DC150C}"/>
    <cellStyle name="_Conso-avg base" xfId="167" xr:uid="{60ACFD02-3299-43C2-AED9-A49CB6F7A54F}"/>
    <cellStyle name="_korea" xfId="164" xr:uid="{CAD12864-6133-4431-B56A-C62724CBE08A}"/>
    <cellStyle name="_SALES key brand summary v3 16th sept" xfId="161" xr:uid="{622DEE6F-4F06-4F94-B2F1-C78746A07D10}"/>
    <cellStyle name="_sept proj &amp; budget mature brandsv6 update to sept proj + 2009 sept 10th" xfId="158" xr:uid="{CABBD553-0BED-4236-94CA-6AE96B8196A7}"/>
    <cellStyle name="_Sheet1" xfId="176" xr:uid="{E3C1FAB0-B5B9-4515-A902-3C0500335CC1}"/>
    <cellStyle name="_Sheet2" xfId="177" xr:uid="{2BA87C2C-3D1B-4878-82E7-498744C050E1}"/>
    <cellStyle name="_Sls08P" xfId="178" xr:uid="{D35E5F96-5097-4C95-93E5-14AFD8319559}"/>
    <cellStyle name="_Sprycel_2009-2011 Budget Collation" xfId="179" xr:uid="{F1DB3CB5-9B63-4DC9-838A-9BC02C4487B8}"/>
    <cellStyle name="_summary DPE for budget" xfId="180" xr:uid="{57FAC217-0DDA-49B0-8D7A-06A096A755BF}"/>
    <cellStyle name="_Taiwan" xfId="181" xr:uid="{463ACF8A-7DE9-436E-8274-CF31B68FA2A3}"/>
    <cellStyle name="_Wave 5 SKU-List-Australia version 3 not approved" xfId="182" xr:uid="{AAC23828-6CCD-43EB-8CC4-72CEACD1B403}"/>
    <cellStyle name="=C:\WINNT\SYSTEM32\COMMAND.COM" xfId="183" xr:uid="{6B4442C9-9A11-4C78-AF0A-DE9CF2B5F5F9}"/>
    <cellStyle name="20% - Accent1" xfId="31" builtinId="30" hidden="1"/>
    <cellStyle name="20% - Accent1" xfId="105" builtinId="30" customBuiltin="1"/>
    <cellStyle name="20% - Accent1 10" xfId="184" xr:uid="{E3E79507-E7AF-4EF2-93CF-2AF45BF9589E}"/>
    <cellStyle name="20% - Accent1 10 2" xfId="185" xr:uid="{346962E5-3B2F-4A23-9D41-B94407B6F999}"/>
    <cellStyle name="20% - Accent1 10 2 2" xfId="186" xr:uid="{4386A7A9-9B5E-4D05-9086-AD3EDC4A82E6}"/>
    <cellStyle name="20% - Accent1 10 2 2 2" xfId="35493" xr:uid="{4AE37DC9-15D5-499D-BD29-41AE1F336CDC}"/>
    <cellStyle name="20% - Accent1 10 2 3" xfId="35494" xr:uid="{3CA82F05-7DBF-4152-A453-4637D922A7B0}"/>
    <cellStyle name="20% - Accent1 10 3" xfId="187" xr:uid="{46DCCDA5-A55D-45E7-A842-9A3D16774C89}"/>
    <cellStyle name="20% - Accent1 10 3 2" xfId="35495" xr:uid="{3ED637B3-F67E-446B-870A-377575F61EB2}"/>
    <cellStyle name="20% - Accent1 10 4" xfId="35496" xr:uid="{7FD486DF-2EF5-44F9-972B-7F4B0B21F441}"/>
    <cellStyle name="20% - Accent1 10 5" xfId="35497" xr:uid="{1BC139E6-3F34-4DFF-AFCB-18F3DC68F572}"/>
    <cellStyle name="20% - Accent1 10 6" xfId="35498" xr:uid="{A0A70470-D9D3-417D-AFEA-FA861E6087CF}"/>
    <cellStyle name="20% - Accent1 100" xfId="188" xr:uid="{9F7D03C6-B7F9-46A3-A88F-6B2785AB494A}"/>
    <cellStyle name="20% - Accent1 100 2" xfId="189" xr:uid="{C52C8F47-A9BC-48D0-A3B4-0ACA7D6881E1}"/>
    <cellStyle name="20% - Accent1 100 3" xfId="35499" xr:uid="{F3B1DA5D-F8B8-4678-B14D-D7BB3174BF3B}"/>
    <cellStyle name="20% - Accent1 101" xfId="190" xr:uid="{764E5E64-AF57-4F71-9CFB-EB150D1CAE8B}"/>
    <cellStyle name="20% - Accent1 102" xfId="191" xr:uid="{22708294-7187-4E81-82BD-F18D198FA7FF}"/>
    <cellStyle name="20% - Accent1 103" xfId="192" xr:uid="{58BB7116-DE5A-4319-9E7B-92A5A2B43553}"/>
    <cellStyle name="20% - Accent1 104" xfId="193" xr:uid="{CFE9542A-424C-46BB-B5AB-9BC32BB3F365}"/>
    <cellStyle name="20% - Accent1 105" xfId="194" xr:uid="{CF857595-61A6-4926-9DE0-D05844B134C9}"/>
    <cellStyle name="20% - Accent1 106" xfId="195" xr:uid="{3028BF68-E440-4805-8398-3E93C7EE71E6}"/>
    <cellStyle name="20% - Accent1 107" xfId="196" xr:uid="{007CF755-603A-41B6-B66E-5C3F2E940657}"/>
    <cellStyle name="20% - Accent1 108" xfId="197" xr:uid="{E2F0CDF1-F6F4-4FAE-B8AB-ED407FD0F434}"/>
    <cellStyle name="20% - Accent1 109" xfId="198" xr:uid="{F80990E9-35D8-4645-916F-38815DDAC756}"/>
    <cellStyle name="20% - Accent1 11" xfId="199" xr:uid="{A49AB284-A0A3-41A2-923C-37181BB6D5D6}"/>
    <cellStyle name="20% - Accent1 11 2" xfId="200" xr:uid="{9900E595-D253-4EDE-8313-76B4EB0C2B8B}"/>
    <cellStyle name="20% - Accent1 11 2 2" xfId="201" xr:uid="{FD26C46C-1134-47CB-A87C-6DAC8FB8C47F}"/>
    <cellStyle name="20% - Accent1 11 2 2 2" xfId="35500" xr:uid="{07DDD0E9-E714-4232-A714-12EB58477327}"/>
    <cellStyle name="20% - Accent1 11 2 3" xfId="35501" xr:uid="{B60FA970-184D-4C38-8055-04413DC70C1E}"/>
    <cellStyle name="20% - Accent1 11 3" xfId="202" xr:uid="{AAB4F7F2-1014-43BE-8D98-8E035BA7FF69}"/>
    <cellStyle name="20% - Accent1 11 3 2" xfId="35502" xr:uid="{5F3452F5-2067-4E2F-A53D-22CCA4A02E29}"/>
    <cellStyle name="20% - Accent1 11 4" xfId="35503" xr:uid="{AD2E20EE-9B85-4864-8B9A-B38E3410561B}"/>
    <cellStyle name="20% - Accent1 11 5" xfId="35504" xr:uid="{43FB1FA8-C6DB-4F3C-9457-2C72D7B8CE1B}"/>
    <cellStyle name="20% - Accent1 11 6" xfId="35505" xr:uid="{A3FEAF01-4B2E-4048-B0E7-D3F6746B3394}"/>
    <cellStyle name="20% - Accent1 110" xfId="203" xr:uid="{D4A5E260-282D-455C-8AF6-ADE1EA2EFE18}"/>
    <cellStyle name="20% - Accent1 111" xfId="204" xr:uid="{1C291E73-B303-4CE4-B6B0-22D8CFCAF2E6}"/>
    <cellStyle name="20% - Accent1 112" xfId="205" xr:uid="{FAE2D2D8-F9F5-4EBD-8BD9-24A838015DF8}"/>
    <cellStyle name="20% - Accent1 113" xfId="206" xr:uid="{E3478B0C-B8BA-4DC2-8C07-DAC6E7FB9871}"/>
    <cellStyle name="20% - Accent1 114" xfId="207" xr:uid="{184C6E18-2E80-46CA-AF58-6BECFE3AA19B}"/>
    <cellStyle name="20% - Accent1 115" xfId="208" xr:uid="{0A0C660E-A669-42BB-988D-F728BBCFFC35}"/>
    <cellStyle name="20% - Accent1 116" xfId="209" xr:uid="{B695EF77-2ACA-4B21-9780-1B3B4E71170E}"/>
    <cellStyle name="20% - Accent1 117" xfId="210" xr:uid="{7356B27D-5F91-455A-8073-F67B522174E9}"/>
    <cellStyle name="20% - Accent1 118" xfId="211" xr:uid="{9506F946-3FCA-46F2-A77B-BAAAED46773B}"/>
    <cellStyle name="20% - Accent1 119" xfId="212" xr:uid="{7B191A8C-7383-437E-A3AB-0A320959C557}"/>
    <cellStyle name="20% - Accent1 12" xfId="213" xr:uid="{BE99C461-8916-420E-ABC1-F1758085A5AF}"/>
    <cellStyle name="20% - Accent1 12 2" xfId="214" xr:uid="{1DDDF686-8CEC-40DF-BE56-640574BB36E2}"/>
    <cellStyle name="20% - Accent1 12 2 2" xfId="215" xr:uid="{D352CBE8-AB87-4AF5-AA95-1CA3B33EDA48}"/>
    <cellStyle name="20% - Accent1 12 2 2 2" xfId="35506" xr:uid="{260A2898-2062-45E2-92C7-4F62E9FEECF7}"/>
    <cellStyle name="20% - Accent1 12 2 3" xfId="35507" xr:uid="{AE024117-2C56-4455-843E-97509941DADF}"/>
    <cellStyle name="20% - Accent1 12 3" xfId="216" xr:uid="{47EF4E08-6F77-497A-9E12-B7A2EADD49AD}"/>
    <cellStyle name="20% - Accent1 12 3 2" xfId="35508" xr:uid="{82CB28A2-83EE-4EE5-A847-89E1C00DFB87}"/>
    <cellStyle name="20% - Accent1 12 4" xfId="35509" xr:uid="{F8807AE1-15F5-4A7D-9F97-3147BE3E1DFB}"/>
    <cellStyle name="20% - Accent1 12 5" xfId="35510" xr:uid="{033F68C5-E86D-4ED8-B7FC-D369323492B0}"/>
    <cellStyle name="20% - Accent1 12 6" xfId="35511" xr:uid="{A7809142-0482-467C-B16B-6D743D6EB670}"/>
    <cellStyle name="20% - Accent1 120" xfId="217" xr:uid="{51A9954B-EC05-458D-9BD1-C1C6F1D53EAF}"/>
    <cellStyle name="20% - Accent1 121" xfId="218" xr:uid="{FE439D33-5CD6-49F3-9E3A-C8964F5A65E3}"/>
    <cellStyle name="20% - Accent1 122" xfId="219" xr:uid="{9DE53D8B-6E45-44F1-8BAE-83926DB6CA62}"/>
    <cellStyle name="20% - Accent1 123" xfId="220" xr:uid="{27EE8483-AD7C-4A07-889A-43622FE105BE}"/>
    <cellStyle name="20% - Accent1 124" xfId="221" xr:uid="{492310FD-BD30-4C31-9696-05A885D5EC5E}"/>
    <cellStyle name="20% - Accent1 125" xfId="222" xr:uid="{2469947B-4625-4D61-811E-18D7C5D834C3}"/>
    <cellStyle name="20% - Accent1 126" xfId="223" xr:uid="{8795F13A-5480-4CB0-A15B-620ED3235D8E}"/>
    <cellStyle name="20% - Accent1 127" xfId="224" xr:uid="{3AF594CB-EA46-49AD-B466-1DAACB0B4146}"/>
    <cellStyle name="20% - Accent1 128" xfId="225" xr:uid="{E4801B06-2C84-4D23-8290-65AAA0D30F28}"/>
    <cellStyle name="20% - Accent1 129" xfId="226" xr:uid="{E6C06AF9-949C-4562-8BE3-8C163E1875D9}"/>
    <cellStyle name="20% - Accent1 13" xfId="227" xr:uid="{D8E6D4D5-E566-49B0-9F0A-9C48AA91E8B7}"/>
    <cellStyle name="20% - Accent1 13 2" xfId="228" xr:uid="{6B85FE01-7F6E-43CF-BD86-B31577F62BC6}"/>
    <cellStyle name="20% - Accent1 13 2 2" xfId="229" xr:uid="{4F96D122-D315-425F-8991-CE4A4483054C}"/>
    <cellStyle name="20% - Accent1 13 2 2 2" xfId="35512" xr:uid="{18024F36-3217-4FC6-A4DA-440C522213D7}"/>
    <cellStyle name="20% - Accent1 13 2 3" xfId="35513" xr:uid="{5CCD2DD3-F158-48BA-AE94-6EEBA4A92CDB}"/>
    <cellStyle name="20% - Accent1 13 3" xfId="230" xr:uid="{C7B746A4-78B0-42F6-8869-057B7C083C8E}"/>
    <cellStyle name="20% - Accent1 13 3 2" xfId="35514" xr:uid="{1F4965F7-2281-41F0-9324-000543097833}"/>
    <cellStyle name="20% - Accent1 13 4" xfId="35515" xr:uid="{387B502F-5E25-4AC2-9B36-BE5A98C0DD75}"/>
    <cellStyle name="20% - Accent1 13 5" xfId="35516" xr:uid="{25A6C914-BE9E-4582-86A8-1884ECA2A8B4}"/>
    <cellStyle name="20% - Accent1 13 6" xfId="35517" xr:uid="{D448AC62-AAD1-4368-AA4B-2659450AD915}"/>
    <cellStyle name="20% - Accent1 130" xfId="231" xr:uid="{C7B6AB6E-4ECE-49EF-9A08-816ABC4B45C6}"/>
    <cellStyle name="20% - Accent1 131" xfId="232" xr:uid="{4D804432-47F8-4E0C-8952-3A0942256CC8}"/>
    <cellStyle name="20% - Accent1 132" xfId="233" xr:uid="{4CA86189-2C37-45B8-AAF7-A717469A8AA3}"/>
    <cellStyle name="20% - Accent1 133" xfId="234" xr:uid="{AD380930-6D9C-4675-8905-4A4024B714BE}"/>
    <cellStyle name="20% - Accent1 134" xfId="235" xr:uid="{F04D80F1-3291-4ACF-9C56-DF95388069CE}"/>
    <cellStyle name="20% - Accent1 135" xfId="236" xr:uid="{419AB479-7F69-4800-87A3-95E2B990BE28}"/>
    <cellStyle name="20% - Accent1 136" xfId="237" xr:uid="{08B08E7D-918C-41AC-9BB8-23CE47D005C2}"/>
    <cellStyle name="20% - Accent1 137" xfId="238" xr:uid="{2E793D25-B46E-4A2E-B519-C7F4E115EDEB}"/>
    <cellStyle name="20% - Accent1 138" xfId="239" xr:uid="{2E3AFF6C-BC6B-4DED-A231-AF754C0928FC}"/>
    <cellStyle name="20% - Accent1 139" xfId="240" xr:uid="{55841BF4-26C6-49BF-BF8B-51F46A55222C}"/>
    <cellStyle name="20% - Accent1 14" xfId="241" xr:uid="{769B8B49-1687-4FB6-860F-64FA2FAF6E92}"/>
    <cellStyle name="20% - Accent1 14 2" xfId="242" xr:uid="{84E8FFEC-F59D-42AF-B3CA-B1E8792E0EA6}"/>
    <cellStyle name="20% - Accent1 14 2 2" xfId="243" xr:uid="{3F0C9471-30C0-4F7C-8CC8-D06F93BAFD8E}"/>
    <cellStyle name="20% - Accent1 14 2 2 2" xfId="35518" xr:uid="{26D9FA9F-920A-436A-8459-87D850EB7E88}"/>
    <cellStyle name="20% - Accent1 14 2 3" xfId="35519" xr:uid="{6FE7E51E-17B4-4F68-8C0A-7C0425F1BE4F}"/>
    <cellStyle name="20% - Accent1 14 3" xfId="244" xr:uid="{589D4417-8F11-495E-9C92-DB24C8710EDE}"/>
    <cellStyle name="20% - Accent1 14 3 2" xfId="35520" xr:uid="{5C13FDB9-31EC-40FC-91BE-B25B49EB6096}"/>
    <cellStyle name="20% - Accent1 14 4" xfId="35521" xr:uid="{44D96ADE-057D-4E3B-8828-B5115E84A30E}"/>
    <cellStyle name="20% - Accent1 14 5" xfId="35522" xr:uid="{38640123-B81E-4302-9E83-7D0F0FEBE1AB}"/>
    <cellStyle name="20% - Accent1 14 6" xfId="35523" xr:uid="{D2877825-B88F-4940-AF67-F24E3875CC91}"/>
    <cellStyle name="20% - Accent1 140" xfId="245" xr:uid="{306FB11E-C147-4BCA-8C30-15B8525BE54F}"/>
    <cellStyle name="20% - Accent1 141" xfId="246" xr:uid="{62B7B86C-8513-4979-9CAA-12274C05CDD7}"/>
    <cellStyle name="20% - Accent1 142" xfId="247" xr:uid="{8D9A96C7-C05E-4361-A409-3B11B292944A}"/>
    <cellStyle name="20% - Accent1 143" xfId="248" xr:uid="{9EA2B050-7994-4D31-B2C9-4B6BCEF34034}"/>
    <cellStyle name="20% - Accent1 144" xfId="249" xr:uid="{FB52BB01-3F84-4185-8A94-C0C0FC66653A}"/>
    <cellStyle name="20% - Accent1 145" xfId="250" xr:uid="{3DDDB3FD-C9AA-46E7-9E92-BC9EA908E0A0}"/>
    <cellStyle name="20% - Accent1 146" xfId="251" xr:uid="{4B38B7DB-643F-4E3C-B97E-A6E9D9DF6D62}"/>
    <cellStyle name="20% - Accent1 147" xfId="252" xr:uid="{009C6038-85AE-482A-B95C-D33B4D5F7E8C}"/>
    <cellStyle name="20% - Accent1 148" xfId="253" xr:uid="{7B999957-B44B-4350-A2C9-C1682C060B88}"/>
    <cellStyle name="20% - Accent1 149" xfId="254" xr:uid="{1675BD4C-81A4-4FEF-BF40-D243DBF7F215}"/>
    <cellStyle name="20% - Accent1 15" xfId="255" xr:uid="{CC65C885-532A-4364-9D8C-BD9CEDE1013F}"/>
    <cellStyle name="20% - Accent1 15 2" xfId="256" xr:uid="{A5739858-52F5-49EB-91DE-DE9EF598D9E5}"/>
    <cellStyle name="20% - Accent1 15 2 2" xfId="257" xr:uid="{3540F66A-217E-43C5-867F-6B7E7CFBA4CA}"/>
    <cellStyle name="20% - Accent1 15 2 2 2" xfId="35524" xr:uid="{2EA7E12D-DF2B-438F-8863-DFF511283D7D}"/>
    <cellStyle name="20% - Accent1 15 2 3" xfId="35525" xr:uid="{FC6A9A2F-0A4A-4BEB-ADD2-544CB39B977C}"/>
    <cellStyle name="20% - Accent1 15 3" xfId="258" xr:uid="{8117164B-8CFE-4ACC-B648-0112E894B1CC}"/>
    <cellStyle name="20% - Accent1 15 3 2" xfId="35526" xr:uid="{B051CC4B-67EC-4F6A-80AA-C60FE2111989}"/>
    <cellStyle name="20% - Accent1 15 4" xfId="35527" xr:uid="{32449196-D154-4EF0-9A44-7A24A00D304C}"/>
    <cellStyle name="20% - Accent1 15 5" xfId="35528" xr:uid="{1EE7021A-4764-4116-901E-16979B506E4D}"/>
    <cellStyle name="20% - Accent1 15 6" xfId="35529" xr:uid="{1E65F6C4-EB33-45C0-AA62-3CC546F990BB}"/>
    <cellStyle name="20% - Accent1 150" xfId="259" xr:uid="{94116336-D588-4F07-AB56-68F917BDDF1C}"/>
    <cellStyle name="20% - Accent1 151" xfId="260" xr:uid="{C3CE6A6A-3C91-4FA1-A4A2-3A892B87693F}"/>
    <cellStyle name="20% - Accent1 152" xfId="261" xr:uid="{82475B31-B245-45C0-B37E-DF7C7D2A32EC}"/>
    <cellStyle name="20% - Accent1 153" xfId="262" xr:uid="{3138518A-8C14-4D62-B44B-64FC83BF186B}"/>
    <cellStyle name="20% - Accent1 154" xfId="263" xr:uid="{D12DE0A9-F5B9-4B69-A50F-1C7349D66527}"/>
    <cellStyle name="20% - Accent1 155" xfId="264" xr:uid="{D105AEF5-C138-4B31-AC7B-410485195710}"/>
    <cellStyle name="20% - Accent1 156" xfId="265" xr:uid="{6171C0E8-6FE9-4C72-912F-3FEEDB0F1591}"/>
    <cellStyle name="20% - Accent1 157" xfId="266" xr:uid="{0C90242B-C22C-41E1-8228-F8822D978109}"/>
    <cellStyle name="20% - Accent1 158" xfId="267" xr:uid="{34B8812D-B13E-426F-91A4-EBDEA6A6BB9A}"/>
    <cellStyle name="20% - Accent1 159" xfId="268" xr:uid="{CA026D63-3505-41F8-8470-C7C4DAD88D63}"/>
    <cellStyle name="20% - Accent1 16" xfId="269" xr:uid="{6F1E2444-A933-46DA-A3FD-D5CE37C0DA84}"/>
    <cellStyle name="20% - Accent1 16 2" xfId="270" xr:uid="{6235AC29-E2EB-4645-8A40-8464D1DD531E}"/>
    <cellStyle name="20% - Accent1 16 2 2" xfId="271" xr:uid="{3E6C1661-1706-432B-A696-FF1F484E2368}"/>
    <cellStyle name="20% - Accent1 16 2 2 2" xfId="35530" xr:uid="{BBF4412A-C2ED-4381-B12B-725A294E14D9}"/>
    <cellStyle name="20% - Accent1 16 2 3" xfId="35531" xr:uid="{2B785C9C-0B1D-4F3F-8EFC-6D8F6C30D000}"/>
    <cellStyle name="20% - Accent1 16 3" xfId="272" xr:uid="{962D592F-86A8-4273-B2C2-29E096280D83}"/>
    <cellStyle name="20% - Accent1 16 3 2" xfId="35532" xr:uid="{6E046AA7-F445-4AF7-9B4D-9904DA58E8C1}"/>
    <cellStyle name="20% - Accent1 16 4" xfId="35533" xr:uid="{D3A4B65B-F838-4CDE-AD46-EF5A771B732B}"/>
    <cellStyle name="20% - Accent1 16 5" xfId="35534" xr:uid="{13CC89B8-E845-40C6-AAEB-415CA415F969}"/>
    <cellStyle name="20% - Accent1 16 6" xfId="35535" xr:uid="{68A3600C-01C2-4CB5-8B91-AEC26A723D30}"/>
    <cellStyle name="20% - Accent1 160" xfId="273" xr:uid="{8B999EBF-36DF-496C-AA37-A7E8FFAEF9D3}"/>
    <cellStyle name="20% - Accent1 17" xfId="274" xr:uid="{F70B04E1-BFB1-4FD1-9947-BA80BFA889B5}"/>
    <cellStyle name="20% - Accent1 17 2" xfId="275" xr:uid="{6E62935C-C102-4EE6-9D25-E4673A4749E6}"/>
    <cellStyle name="20% - Accent1 17 2 2" xfId="276" xr:uid="{ACF1DABF-CC5E-4F93-86A1-9CEB839FD526}"/>
    <cellStyle name="20% - Accent1 17 2 2 2" xfId="35536" xr:uid="{3D8B1094-3AB3-48DD-8B0F-28A70DD443F5}"/>
    <cellStyle name="20% - Accent1 17 2 3" xfId="35537" xr:uid="{B4A41053-A46D-4CC5-81E6-08FA0CCCA1BD}"/>
    <cellStyle name="20% - Accent1 17 3" xfId="277" xr:uid="{CD414B34-1B67-4F92-872E-56613C0D1810}"/>
    <cellStyle name="20% - Accent1 17 3 2" xfId="35538" xr:uid="{CB89E88B-522D-45BE-9044-120A7CFE86A3}"/>
    <cellStyle name="20% - Accent1 17 4" xfId="35539" xr:uid="{856DF240-8BAD-4619-8447-D21B7ED44422}"/>
    <cellStyle name="20% - Accent1 17 5" xfId="35540" xr:uid="{EAB12332-C476-4E91-9D63-3F2A5CABF982}"/>
    <cellStyle name="20% - Accent1 17 6" xfId="35541" xr:uid="{20DBC4E8-C652-4394-995B-5E48A6A9DBA4}"/>
    <cellStyle name="20% - Accent1 18" xfId="278" xr:uid="{3EF8FAA9-6C56-4433-84DC-CB6CEC477067}"/>
    <cellStyle name="20% - Accent1 18 2" xfId="279" xr:uid="{606E5E74-A260-4547-B19C-29C4AD12516E}"/>
    <cellStyle name="20% - Accent1 18 2 2" xfId="280" xr:uid="{C405AD7F-582A-44F1-A668-A5B98957626D}"/>
    <cellStyle name="20% - Accent1 18 2 2 2" xfId="35542" xr:uid="{A6D89976-F1B8-444E-9059-07FAC3B3C758}"/>
    <cellStyle name="20% - Accent1 18 2 3" xfId="35543" xr:uid="{3E136ADE-67E9-42AE-82C1-2CEE138C36E2}"/>
    <cellStyle name="20% - Accent1 18 3" xfId="281" xr:uid="{9EE8FC6F-9078-42A5-9CC5-1640E82FA2E1}"/>
    <cellStyle name="20% - Accent1 18 3 2" xfId="35544" xr:uid="{62C82DA3-FE1C-4D01-A054-839C43905998}"/>
    <cellStyle name="20% - Accent1 18 4" xfId="35545" xr:uid="{27E7401C-58BE-4922-9039-8FAC25DE009D}"/>
    <cellStyle name="20% - Accent1 18 5" xfId="35546" xr:uid="{9808C3CF-7BB7-41AD-9F3D-2E55D1FB1910}"/>
    <cellStyle name="20% - Accent1 18 6" xfId="35547" xr:uid="{26FC0618-A919-4147-8926-FD8DBC611030}"/>
    <cellStyle name="20% - Accent1 19" xfId="282" xr:uid="{9F8D7FEF-6833-425E-93C1-98B77887C71F}"/>
    <cellStyle name="20% - Accent1 19 2" xfId="283" xr:uid="{B9EA6011-A776-41DD-8DC4-1CFEEABA1F73}"/>
    <cellStyle name="20% - Accent1 19 2 2" xfId="35548" xr:uid="{7B7A72DF-7814-4D72-B5C1-289BF316EE62}"/>
    <cellStyle name="20% - Accent1 19 3" xfId="35549" xr:uid="{BD1DD583-0C62-496F-9851-712A3107B0C5}"/>
    <cellStyle name="20% - Accent1 19 4" xfId="35550" xr:uid="{F09A66D8-0F27-4F26-AE13-9DC26A6D09D3}"/>
    <cellStyle name="20% - Accent1 19 5" xfId="35551" xr:uid="{E178AE2F-4ECF-46CA-9E98-9EB8A7171B9B}"/>
    <cellStyle name="20% - Accent1 2" xfId="284" xr:uid="{4B8EB3E2-4AC6-4310-A72C-9455837E8637}"/>
    <cellStyle name="20% - Accent1 2 2" xfId="285" xr:uid="{1035AE60-0A54-40A6-ADA7-8855C5AAD813}"/>
    <cellStyle name="20% - Accent1 2 2 2" xfId="286" xr:uid="{21B4DE3D-545F-4104-94B2-78F044B07E35}"/>
    <cellStyle name="20% - Accent1 2 2 2 2" xfId="35552" xr:uid="{412BFB5A-8AB1-488A-8FFF-EE0756F80640}"/>
    <cellStyle name="20% - Accent1 2 2 3" xfId="35553" xr:uid="{3DFD4CBE-D702-415D-9AC0-E09CDFD7C823}"/>
    <cellStyle name="20% - Accent1 2 2 4" xfId="35554" xr:uid="{73F97C50-3797-4FB8-A79A-A0EC21A0E076}"/>
    <cellStyle name="20% - Accent1 2 3" xfId="287" xr:uid="{2F7B8548-991B-439A-A134-E977DC4F2A80}"/>
    <cellStyle name="20% - Accent1 2 3 2" xfId="35555" xr:uid="{6056C7A6-6D0D-422E-AA42-92D6F47C102A}"/>
    <cellStyle name="20% - Accent1 2 3 3" xfId="35556" xr:uid="{72CCB3BB-750E-4648-9DAD-806E919DB2FF}"/>
    <cellStyle name="20% - Accent1 2 3 4" xfId="35557" xr:uid="{3C6B4F24-8554-46D2-85E4-0275C21D7EF7}"/>
    <cellStyle name="20% - Accent1 2 4" xfId="288" xr:uid="{A99B1412-1B4C-4A29-8443-1D7F6CEDDD10}"/>
    <cellStyle name="20% - Accent1 2 4 2" xfId="35558" xr:uid="{60D91F68-780D-4EE1-9D7C-5614A4BB793A}"/>
    <cellStyle name="20% - Accent1 2 5" xfId="35559" xr:uid="{5DCC6019-1CD7-4DA5-990A-C461B3CC557D}"/>
    <cellStyle name="20% - Accent1 2 6" xfId="35560" xr:uid="{1F1E6010-8F03-42CD-B206-D4F0FDA2F330}"/>
    <cellStyle name="20% - Accent1 2_Jun 11 details" xfId="289" xr:uid="{CD7C9DE5-0FD1-4019-BFAD-F798EDF91272}"/>
    <cellStyle name="20% - Accent1 20" xfId="290" xr:uid="{6F9AE1D9-0F40-4C23-AE92-3C14B7EDEAA1}"/>
    <cellStyle name="20% - Accent1 20 2" xfId="35561" xr:uid="{CC454976-54CC-4442-96C3-455FAFC4590D}"/>
    <cellStyle name="20% - Accent1 20 3" xfId="35562" xr:uid="{5655EA26-CEE5-4F88-AD4A-E6C2061D2775}"/>
    <cellStyle name="20% - Accent1 20 4" xfId="35563" xr:uid="{0B1C6883-AA6F-48C0-A71C-74783C68E9B2}"/>
    <cellStyle name="20% - Accent1 21" xfId="291" xr:uid="{D0C6B919-1952-49C4-ADDE-D39168597371}"/>
    <cellStyle name="20% - Accent1 21 2" xfId="35564" xr:uid="{137AF26A-E663-4848-A1AF-3F04E5E1833F}"/>
    <cellStyle name="20% - Accent1 21 3" xfId="35565" xr:uid="{6F1A8163-AE9B-4893-9734-3A0A66E94714}"/>
    <cellStyle name="20% - Accent1 22" xfId="292" xr:uid="{E75B719B-C097-46D6-8955-47BC92BF14F0}"/>
    <cellStyle name="20% - Accent1 22 2" xfId="35566" xr:uid="{A7AFD1B6-2B3E-476C-B4B5-39C48ACA15C6}"/>
    <cellStyle name="20% - Accent1 22 3" xfId="35567" xr:uid="{74F1C53A-D443-4390-B443-A0C2B64DAF7C}"/>
    <cellStyle name="20% - Accent1 23" xfId="293" xr:uid="{6DE29BAD-D831-40C1-996D-4C584BE74D15}"/>
    <cellStyle name="20% - Accent1 23 2" xfId="35568" xr:uid="{8CEE1665-30F4-4F36-92C4-5C4FA727A287}"/>
    <cellStyle name="20% - Accent1 24" xfId="294" xr:uid="{E680437F-94A4-49CF-A7AA-5A7B6C5DF87D}"/>
    <cellStyle name="20% - Accent1 24 2" xfId="35569" xr:uid="{C4E8301B-1DA0-47A7-BE1F-207C0A240A3C}"/>
    <cellStyle name="20% - Accent1 25" xfId="295" xr:uid="{7B335D8D-5D9D-406A-A75E-9D9EA77FBB32}"/>
    <cellStyle name="20% - Accent1 25 2" xfId="35570" xr:uid="{186403DA-8D2A-4DBC-842F-BADFB30D49EA}"/>
    <cellStyle name="20% - Accent1 26" xfId="296" xr:uid="{CB650D82-9647-4967-92BF-30F3D92D6F35}"/>
    <cellStyle name="20% - Accent1 26 2" xfId="35571" xr:uid="{9555F559-1426-4FD5-A6BF-3355E6AB2C20}"/>
    <cellStyle name="20% - Accent1 27" xfId="297" xr:uid="{0A1358D1-0C93-409E-95D3-4B3025D7544C}"/>
    <cellStyle name="20% - Accent1 27 2" xfId="35572" xr:uid="{B9B3EB0F-9C52-447C-9924-D8F394EF8486}"/>
    <cellStyle name="20% - Accent1 28" xfId="298" xr:uid="{21750938-82DC-4138-B084-4BB40528007B}"/>
    <cellStyle name="20% - Accent1 28 10" xfId="299" xr:uid="{028DB258-13FF-4AE5-9661-EF3A6E9D4792}"/>
    <cellStyle name="20% - Accent1 28 10 2" xfId="300" xr:uid="{1DB347E4-0F46-4288-B23F-0CB30CC94DE8}"/>
    <cellStyle name="20% - Accent1 28 10 2 2" xfId="301" xr:uid="{E26803D3-F0DA-4858-9E45-A96F03C9B8C3}"/>
    <cellStyle name="20% - Accent1 28 10 2 2 2" xfId="302" xr:uid="{5C50B776-BB16-4A59-9FA7-429A806DDA29}"/>
    <cellStyle name="20% - Accent1 28 10 2 2 2 2" xfId="303" xr:uid="{DDDD9FC9-612C-4E57-961A-A4ACB635C17D}"/>
    <cellStyle name="20% - Accent1 28 10 2 2 3" xfId="304" xr:uid="{A2B21A96-1CED-4CE1-8DAD-72FE6F1367D0}"/>
    <cellStyle name="20% - Accent1 28 10 2 3" xfId="305" xr:uid="{F3ABDDEE-125A-48DD-9158-81C687E21960}"/>
    <cellStyle name="20% - Accent1 28 10 2 3 2" xfId="306" xr:uid="{B921869B-C8BB-4FC0-96E6-C89CADB50C58}"/>
    <cellStyle name="20% - Accent1 28 10 2 3 2 2" xfId="307" xr:uid="{F47F7514-9269-4F8E-9B95-2F00C48A7044}"/>
    <cellStyle name="20% - Accent1 28 10 2 3 3" xfId="308" xr:uid="{C9E36A70-312D-4441-AC04-8A3DC8D8CF6C}"/>
    <cellStyle name="20% - Accent1 28 10 2 4" xfId="309" xr:uid="{DA0C1504-786B-4FB0-A727-58FEDEAAEAA4}"/>
    <cellStyle name="20% - Accent1 28 10 2 4 2" xfId="310" xr:uid="{3440CA03-D9A5-4EDC-9AC3-8F24E266EE78}"/>
    <cellStyle name="20% - Accent1 28 10 2 5" xfId="311" xr:uid="{D15E1C51-5049-46A5-9C3E-1780681536C3}"/>
    <cellStyle name="20% - Accent1 28 10 3" xfId="312" xr:uid="{31AA2212-BB9D-4374-877D-FB7DBB5FCAF8}"/>
    <cellStyle name="20% - Accent1 28 10 3 2" xfId="313" xr:uid="{021BA2F2-C9D0-4BC5-88AC-A388453B22B6}"/>
    <cellStyle name="20% - Accent1 28 10 3 2 2" xfId="314" xr:uid="{48A22B2C-46FA-4302-BEF8-80BF8AFEFC4F}"/>
    <cellStyle name="20% - Accent1 28 10 3 3" xfId="315" xr:uid="{039C69D3-BFCD-46BD-99D1-A1A1DBC2733F}"/>
    <cellStyle name="20% - Accent1 28 10 4" xfId="316" xr:uid="{17E707D2-1C18-42AE-A2F7-42A477064A39}"/>
    <cellStyle name="20% - Accent1 28 10 4 2" xfId="317" xr:uid="{D1DB065B-3DF0-4451-BA3D-AE194212C921}"/>
    <cellStyle name="20% - Accent1 28 10 4 2 2" xfId="318" xr:uid="{F796AC03-0B38-4AA4-AA31-B4EF41573841}"/>
    <cellStyle name="20% - Accent1 28 10 4 3" xfId="319" xr:uid="{432E106F-9287-4F16-A107-E97039129630}"/>
    <cellStyle name="20% - Accent1 28 10 5" xfId="320" xr:uid="{D427F2DD-D824-4F99-9CAD-94E0A46114EA}"/>
    <cellStyle name="20% - Accent1 28 10 5 2" xfId="321" xr:uid="{9F3D20DA-3FE3-4A92-8DF6-5B31D595FD83}"/>
    <cellStyle name="20% - Accent1 28 10 6" xfId="322" xr:uid="{73AA59A3-87C3-4E22-AEDB-423D655E9A16}"/>
    <cellStyle name="20% - Accent1 28 11" xfId="323" xr:uid="{14FCF685-342B-46B4-9E00-2E6F4E33E52B}"/>
    <cellStyle name="20% - Accent1 28 11 2" xfId="324" xr:uid="{DBF56894-82E8-4BDC-A4B3-C97DF3AA9167}"/>
    <cellStyle name="20% - Accent1 28 11 2 2" xfId="325" xr:uid="{AFE028C6-2B04-46DB-8B56-2FEBD70F6C6C}"/>
    <cellStyle name="20% - Accent1 28 11 2 2 2" xfId="326" xr:uid="{6475B163-ACAD-401F-8933-DD5A47D14E1B}"/>
    <cellStyle name="20% - Accent1 28 11 2 3" xfId="327" xr:uid="{07FF7C7F-B461-4042-961F-53A12775ADCD}"/>
    <cellStyle name="20% - Accent1 28 11 3" xfId="328" xr:uid="{2B79056D-2FC0-4D60-86A0-6FB7CC3F619C}"/>
    <cellStyle name="20% - Accent1 28 11 3 2" xfId="329" xr:uid="{D3270CD9-EE32-4673-A968-C01DFFAB47B1}"/>
    <cellStyle name="20% - Accent1 28 11 3 2 2" xfId="330" xr:uid="{933719C5-DFF1-4FA5-BDE0-6254FDA33AB7}"/>
    <cellStyle name="20% - Accent1 28 11 3 3" xfId="331" xr:uid="{61C6CF89-B9A0-4213-9887-E0843CCCBA4D}"/>
    <cellStyle name="20% - Accent1 28 11 4" xfId="332" xr:uid="{2B7C903E-5519-4C69-9628-C28946165C27}"/>
    <cellStyle name="20% - Accent1 28 11 4 2" xfId="333" xr:uid="{31518C54-E8D7-4152-BD72-8A3D0000084E}"/>
    <cellStyle name="20% - Accent1 28 11 5" xfId="334" xr:uid="{9458DCF5-C449-461D-BD56-995BF6CF768B}"/>
    <cellStyle name="20% - Accent1 28 12" xfId="335" xr:uid="{67ACE39D-B809-424D-B49B-4C0D37B491A4}"/>
    <cellStyle name="20% - Accent1 28 12 2" xfId="336" xr:uid="{30E7D6DF-C0FE-4CD2-A4C8-12487823E45A}"/>
    <cellStyle name="20% - Accent1 28 12 2 2" xfId="337" xr:uid="{3811FB44-E88B-421A-B4DB-C99322669180}"/>
    <cellStyle name="20% - Accent1 28 12 3" xfId="338" xr:uid="{E58EBDB4-7E56-4C09-88CF-421643C5AF2F}"/>
    <cellStyle name="20% - Accent1 28 13" xfId="339" xr:uid="{23BB727D-F5A4-4DCC-8DA7-F10C08444F3F}"/>
    <cellStyle name="20% - Accent1 28 13 2" xfId="340" xr:uid="{45ECA915-1925-4907-98FB-6CC45DCF1BDE}"/>
    <cellStyle name="20% - Accent1 28 13 2 2" xfId="341" xr:uid="{B9DECBF3-E412-49B1-BAD6-25BA57845280}"/>
    <cellStyle name="20% - Accent1 28 13 3" xfId="342" xr:uid="{5455B2F1-8B2C-4819-9226-6ECC763CDD93}"/>
    <cellStyle name="20% - Accent1 28 14" xfId="343" xr:uid="{BCAD2634-993D-4E1B-A8BD-89FBB2FF8567}"/>
    <cellStyle name="20% - Accent1 28 14 2" xfId="344" xr:uid="{E15077F1-5D7A-4605-BCC3-B64DFE3F92CC}"/>
    <cellStyle name="20% - Accent1 28 15" xfId="345" xr:uid="{C6B12896-1A82-4649-B0C1-32672A876D31}"/>
    <cellStyle name="20% - Accent1 28 16" xfId="35573" xr:uid="{9970D31E-257E-41C9-A36F-1EB37F8ECC15}"/>
    <cellStyle name="20% - Accent1 28 2" xfId="346" xr:uid="{7649C0CB-B579-4EC2-9392-FEFB7180DAB9}"/>
    <cellStyle name="20% - Accent1 28 2 2" xfId="347" xr:uid="{FD44E34E-3A2D-4B67-A7AB-A414BF179FE7}"/>
    <cellStyle name="20% - Accent1 28 2 2 2" xfId="348" xr:uid="{CB9FD4E2-68B9-4641-881D-E0B717FC95BB}"/>
    <cellStyle name="20% - Accent1 28 2 2 2 2" xfId="349" xr:uid="{17A0F2EE-83B2-4B2C-A6CA-B188CA9A660A}"/>
    <cellStyle name="20% - Accent1 28 2 2 2 2 2" xfId="350" xr:uid="{7F40C6EF-D61B-4626-8F69-289E627DC154}"/>
    <cellStyle name="20% - Accent1 28 2 2 2 3" xfId="351" xr:uid="{3D679A35-E75F-44C7-B74B-9F795803E0DE}"/>
    <cellStyle name="20% - Accent1 28 2 2 3" xfId="352" xr:uid="{7E1A9B81-BC5C-42B5-9C08-64B7A9CDCB04}"/>
    <cellStyle name="20% - Accent1 28 2 2 3 2" xfId="353" xr:uid="{151057B5-F755-4B0D-A73D-47AD89298A40}"/>
    <cellStyle name="20% - Accent1 28 2 2 3 2 2" xfId="354" xr:uid="{E1CBBBAF-3F73-41D1-B811-03BD67233EE8}"/>
    <cellStyle name="20% - Accent1 28 2 2 3 3" xfId="355" xr:uid="{EE5DE582-BF28-4264-9DD0-059A15F61C59}"/>
    <cellStyle name="20% - Accent1 28 2 2 4" xfId="356" xr:uid="{19419F0E-5CD6-47D8-8390-56DB32ED5F89}"/>
    <cellStyle name="20% - Accent1 28 2 2 4 2" xfId="357" xr:uid="{E996C69C-9F79-4DEA-95F1-B69B26072411}"/>
    <cellStyle name="20% - Accent1 28 2 2 5" xfId="358" xr:uid="{B1CD9B1B-7101-469B-B4E3-EFB47D6090B1}"/>
    <cellStyle name="20% - Accent1 28 2 3" xfId="359" xr:uid="{FA028C9C-8658-4147-927C-4413F3445CEC}"/>
    <cellStyle name="20% - Accent1 28 2 3 2" xfId="360" xr:uid="{1A514895-1E66-4AE3-8399-D736EF7C0840}"/>
    <cellStyle name="20% - Accent1 28 2 3 2 2" xfId="361" xr:uid="{C5E2D6A8-3C85-4AA2-B730-4B136DB2CDBB}"/>
    <cellStyle name="20% - Accent1 28 2 3 3" xfId="362" xr:uid="{355377CF-6323-4C24-BBFC-5159941C75E5}"/>
    <cellStyle name="20% - Accent1 28 2 4" xfId="363" xr:uid="{1C59E599-C7BD-4B7F-930C-D24ECEA902FB}"/>
    <cellStyle name="20% - Accent1 28 2 4 2" xfId="364" xr:uid="{4946ABD6-C4EF-44EA-A0B2-190BF84B2E0F}"/>
    <cellStyle name="20% - Accent1 28 2 4 2 2" xfId="365" xr:uid="{2AE70F65-AAB4-425D-A29A-20877E4CA64E}"/>
    <cellStyle name="20% - Accent1 28 2 4 3" xfId="366" xr:uid="{E300B6A5-33F5-42ED-A729-28887CBF0330}"/>
    <cellStyle name="20% - Accent1 28 2 5" xfId="367" xr:uid="{95D4830E-BF1B-4598-B58F-636C38FB533D}"/>
    <cellStyle name="20% - Accent1 28 2 5 2" xfId="368" xr:uid="{2CF230FE-9057-427A-A40D-2133526FBA80}"/>
    <cellStyle name="20% - Accent1 28 2 6" xfId="369" xr:uid="{C331C3FA-E96F-4369-A0DF-1BF418A19AE2}"/>
    <cellStyle name="20% - Accent1 28 3" xfId="370" xr:uid="{A588B394-B195-4BF9-9D56-0F6AA070617B}"/>
    <cellStyle name="20% - Accent1 28 3 2" xfId="371" xr:uid="{B5F5FF17-979E-4B86-8612-1674279806E2}"/>
    <cellStyle name="20% - Accent1 28 3 2 2" xfId="372" xr:uid="{340CDA51-401B-43C6-89A4-6603DF5614A3}"/>
    <cellStyle name="20% - Accent1 28 3 2 2 2" xfId="373" xr:uid="{1FA4B845-3E26-4759-81E1-F52063F662E6}"/>
    <cellStyle name="20% - Accent1 28 3 2 2 2 2" xfId="374" xr:uid="{CFA6F0D5-E252-4BF0-B6EF-91A470E06747}"/>
    <cellStyle name="20% - Accent1 28 3 2 2 3" xfId="375" xr:uid="{89CEFB94-B39B-405F-9B98-A199CBE10C17}"/>
    <cellStyle name="20% - Accent1 28 3 2 3" xfId="376" xr:uid="{93B2937A-71E5-43E2-A286-AFE8AFAAA00D}"/>
    <cellStyle name="20% - Accent1 28 3 2 3 2" xfId="377" xr:uid="{04E18846-B678-48C2-A7DC-76C6A662C213}"/>
    <cellStyle name="20% - Accent1 28 3 2 3 2 2" xfId="378" xr:uid="{036DC053-998D-4B18-97F9-B269E947C6FE}"/>
    <cellStyle name="20% - Accent1 28 3 2 3 3" xfId="379" xr:uid="{B2BA50FE-622A-4DD5-B247-620CE3A03078}"/>
    <cellStyle name="20% - Accent1 28 3 2 4" xfId="380" xr:uid="{41B3ABED-062B-4DCE-862F-3C24D7835335}"/>
    <cellStyle name="20% - Accent1 28 3 2 4 2" xfId="381" xr:uid="{82E23076-0BA7-445E-863A-924C4D4A5BDD}"/>
    <cellStyle name="20% - Accent1 28 3 2 5" xfId="382" xr:uid="{E8431258-C950-4D04-BBFD-57E2362656C5}"/>
    <cellStyle name="20% - Accent1 28 3 3" xfId="383" xr:uid="{0D5BD65C-F5C0-4160-B2B5-235FCC795934}"/>
    <cellStyle name="20% - Accent1 28 3 3 2" xfId="384" xr:uid="{A7FA24A8-BFDE-495A-9031-4C0237D60685}"/>
    <cellStyle name="20% - Accent1 28 3 3 2 2" xfId="385" xr:uid="{66C0D401-2D7A-4F1F-B369-723D79FCDC46}"/>
    <cellStyle name="20% - Accent1 28 3 3 3" xfId="386" xr:uid="{8368DB27-D3A8-4B48-87FB-F22888807B8E}"/>
    <cellStyle name="20% - Accent1 28 3 4" xfId="387" xr:uid="{BD0D8F83-135B-4BBD-9DB9-E23DB1C69F94}"/>
    <cellStyle name="20% - Accent1 28 3 4 2" xfId="388" xr:uid="{56F6FFC0-D6E3-41A2-B7C2-4FD81A7C841E}"/>
    <cellStyle name="20% - Accent1 28 3 4 2 2" xfId="389" xr:uid="{2CE599C2-60E5-4961-8778-FDF88E5D788E}"/>
    <cellStyle name="20% - Accent1 28 3 4 3" xfId="390" xr:uid="{C4FC127E-C5A9-4384-AE8F-7BB533557EF6}"/>
    <cellStyle name="20% - Accent1 28 3 5" xfId="391" xr:uid="{E90C0941-1925-4955-BC88-B23CCFD4D61B}"/>
    <cellStyle name="20% - Accent1 28 3 5 2" xfId="392" xr:uid="{CF47BB2F-44A5-4867-8F4B-9E74305CE6D4}"/>
    <cellStyle name="20% - Accent1 28 3 6" xfId="393" xr:uid="{70B342E1-11A1-44CC-94D5-480AFDE702E9}"/>
    <cellStyle name="20% - Accent1 28 4" xfId="394" xr:uid="{471232E2-C051-4B70-8836-FF805C7FC6ED}"/>
    <cellStyle name="20% - Accent1 28 4 2" xfId="395" xr:uid="{19E44D51-8A44-4CE7-8D81-F493EEF76DA6}"/>
    <cellStyle name="20% - Accent1 28 4 2 2" xfId="396" xr:uid="{B74220D0-4FD4-4B19-B112-EF8588994455}"/>
    <cellStyle name="20% - Accent1 28 4 2 2 2" xfId="397" xr:uid="{2EC425E2-E018-4640-AB2C-87734241C1F6}"/>
    <cellStyle name="20% - Accent1 28 4 2 2 2 2" xfId="398" xr:uid="{2977A80D-2183-4B42-A199-7CA5D9A88048}"/>
    <cellStyle name="20% - Accent1 28 4 2 2 3" xfId="399" xr:uid="{F8C84020-960D-41E9-BA97-0007C4FA7DFB}"/>
    <cellStyle name="20% - Accent1 28 4 2 3" xfId="400" xr:uid="{C285B48A-5727-4905-9BC4-9424C7A63379}"/>
    <cellStyle name="20% - Accent1 28 4 2 3 2" xfId="401" xr:uid="{9EFAB2AD-9B4D-40D9-878B-FE3715284B4F}"/>
    <cellStyle name="20% - Accent1 28 4 2 3 2 2" xfId="402" xr:uid="{C9D32A6F-2CDE-4DC1-A554-E69DC27F17EE}"/>
    <cellStyle name="20% - Accent1 28 4 2 3 3" xfId="403" xr:uid="{BF483D4F-D100-4CB1-B3E0-DCFBBA09FBA4}"/>
    <cellStyle name="20% - Accent1 28 4 2 4" xfId="404" xr:uid="{618E962B-C6AE-40C3-8B99-2143FDB9B3CA}"/>
    <cellStyle name="20% - Accent1 28 4 2 4 2" xfId="405" xr:uid="{F76C923E-EF0C-4552-A676-3DA8700D83CF}"/>
    <cellStyle name="20% - Accent1 28 4 2 5" xfId="406" xr:uid="{5A9BB295-BD0A-4FB7-B86F-813EC8F8922A}"/>
    <cellStyle name="20% - Accent1 28 4 3" xfId="407" xr:uid="{77FB8C40-E3F7-4063-AB7E-5E2E12528B31}"/>
    <cellStyle name="20% - Accent1 28 4 3 2" xfId="408" xr:uid="{94BFF43B-9587-4346-AEEE-165777BED4F4}"/>
    <cellStyle name="20% - Accent1 28 4 3 2 2" xfId="409" xr:uid="{30A93CCC-0C0B-487C-A359-C15884A6514C}"/>
    <cellStyle name="20% - Accent1 28 4 3 3" xfId="410" xr:uid="{DCF49987-7657-4EAE-AEC4-A7FB5558D07B}"/>
    <cellStyle name="20% - Accent1 28 4 4" xfId="411" xr:uid="{41E44935-2914-4A9C-A33C-EF70664D99CC}"/>
    <cellStyle name="20% - Accent1 28 4 4 2" xfId="412" xr:uid="{189B159A-7EEB-4AE1-893A-5231153F91E4}"/>
    <cellStyle name="20% - Accent1 28 4 4 2 2" xfId="413" xr:uid="{1A822F5F-7440-4D55-B594-64E0A0558FEA}"/>
    <cellStyle name="20% - Accent1 28 4 4 3" xfId="414" xr:uid="{88378D47-09D3-4C1D-ACD4-D08D7E05EAFA}"/>
    <cellStyle name="20% - Accent1 28 4 5" xfId="415" xr:uid="{C3728B7E-076E-44ED-9F5E-06AF9B2358C1}"/>
    <cellStyle name="20% - Accent1 28 4 5 2" xfId="416" xr:uid="{BBB88119-415D-49E5-9E76-7E4E1DAD62DE}"/>
    <cellStyle name="20% - Accent1 28 4 6" xfId="417" xr:uid="{D09D42F2-0A3C-4BA7-B829-2CF1717B4462}"/>
    <cellStyle name="20% - Accent1 28 5" xfId="418" xr:uid="{33D458E3-385C-4854-A1F4-ADDDE9181B0E}"/>
    <cellStyle name="20% - Accent1 28 5 2" xfId="419" xr:uid="{4F9BCF95-8B02-4E5F-A71C-B19C585C702B}"/>
    <cellStyle name="20% - Accent1 28 5 2 2" xfId="420" xr:uid="{348DE199-C1A0-48C6-813B-6DABD87EBF16}"/>
    <cellStyle name="20% - Accent1 28 5 2 2 2" xfId="421" xr:uid="{96CE4FED-FE65-48E0-A6DE-BEAFCFCE59AE}"/>
    <cellStyle name="20% - Accent1 28 5 2 2 2 2" xfId="422" xr:uid="{ABD0E7C9-F824-40F7-9F28-F01E752F47CB}"/>
    <cellStyle name="20% - Accent1 28 5 2 2 3" xfId="423" xr:uid="{C8DA9363-8CA8-4111-A230-3F75E3FFC928}"/>
    <cellStyle name="20% - Accent1 28 5 2 3" xfId="424" xr:uid="{7EC5F95E-019E-4872-A74D-C23E7DC2FD0D}"/>
    <cellStyle name="20% - Accent1 28 5 2 3 2" xfId="425" xr:uid="{CC88AD85-02EA-4845-BF5F-924FB8879E72}"/>
    <cellStyle name="20% - Accent1 28 5 2 3 2 2" xfId="426" xr:uid="{215F4A81-41C1-41FC-9FDF-97F6566DC02A}"/>
    <cellStyle name="20% - Accent1 28 5 2 3 3" xfId="427" xr:uid="{1D48206E-83FA-4AB9-9CBD-33F6E256E495}"/>
    <cellStyle name="20% - Accent1 28 5 2 4" xfId="428" xr:uid="{261C46B9-DA28-4856-B64D-95C63BF8AAE2}"/>
    <cellStyle name="20% - Accent1 28 5 2 4 2" xfId="429" xr:uid="{A235D2A7-80B0-4D56-B290-14E5C32A8961}"/>
    <cellStyle name="20% - Accent1 28 5 2 5" xfId="430" xr:uid="{BF308573-8733-4AAB-BADC-BFF8E861B2B6}"/>
    <cellStyle name="20% - Accent1 28 5 3" xfId="431" xr:uid="{B1ADB40D-356D-41E5-AAF0-E8FD7EFD4433}"/>
    <cellStyle name="20% - Accent1 28 5 3 2" xfId="432" xr:uid="{2B026E75-2AC5-4396-A2ED-7590C29C6A08}"/>
    <cellStyle name="20% - Accent1 28 5 3 2 2" xfId="433" xr:uid="{DDF0DB43-DC5D-452B-B9ED-B1FE7B5A1754}"/>
    <cellStyle name="20% - Accent1 28 5 3 3" xfId="434" xr:uid="{51168730-342F-4D8D-AD06-3CD902AD4D02}"/>
    <cellStyle name="20% - Accent1 28 5 4" xfId="435" xr:uid="{280501EC-3F77-4006-B9EE-83386AAE8961}"/>
    <cellStyle name="20% - Accent1 28 5 4 2" xfId="436" xr:uid="{BDDC6316-CCB7-4C2A-808C-B9F2832F7F9E}"/>
    <cellStyle name="20% - Accent1 28 5 4 2 2" xfId="437" xr:uid="{18217FCD-D584-4F10-AABC-095D1CBA8A1C}"/>
    <cellStyle name="20% - Accent1 28 5 4 3" xfId="438" xr:uid="{594C036A-614A-439C-8F41-54AEC8A5D542}"/>
    <cellStyle name="20% - Accent1 28 5 5" xfId="439" xr:uid="{9374298C-AD9E-4120-93C8-CF1351F2BA39}"/>
    <cellStyle name="20% - Accent1 28 5 5 2" xfId="440" xr:uid="{58D37614-EF81-4419-986F-CABE3EA29392}"/>
    <cellStyle name="20% - Accent1 28 5 6" xfId="441" xr:uid="{8ADEEF8A-28C5-4F94-BED1-469D1AAFFC00}"/>
    <cellStyle name="20% - Accent1 28 6" xfId="442" xr:uid="{6420F9A0-5358-4269-87CB-BCDB6382DED9}"/>
    <cellStyle name="20% - Accent1 28 6 2" xfId="443" xr:uid="{D1E9AB24-0866-441D-90C4-E8836B64B271}"/>
    <cellStyle name="20% - Accent1 28 6 2 2" xfId="444" xr:uid="{105D9BA7-2C85-4936-838C-542568640EB4}"/>
    <cellStyle name="20% - Accent1 28 6 2 2 2" xfId="445" xr:uid="{F737588B-F22C-4976-9914-CF6D6EFB63ED}"/>
    <cellStyle name="20% - Accent1 28 6 2 2 2 2" xfId="446" xr:uid="{A37DB42E-352F-4559-A6CA-7E25928EC91C}"/>
    <cellStyle name="20% - Accent1 28 6 2 2 3" xfId="447" xr:uid="{E855D088-9C8C-42C8-82DD-31995E790BE2}"/>
    <cellStyle name="20% - Accent1 28 6 2 3" xfId="448" xr:uid="{46ABF63B-3D16-46C8-96D9-5490AF48CC56}"/>
    <cellStyle name="20% - Accent1 28 6 2 3 2" xfId="449" xr:uid="{00814F4C-DD53-4DA9-8252-233C46B267BF}"/>
    <cellStyle name="20% - Accent1 28 6 2 3 2 2" xfId="450" xr:uid="{3AA76013-D8E5-4959-9233-2C4DA2CA4C50}"/>
    <cellStyle name="20% - Accent1 28 6 2 3 3" xfId="451" xr:uid="{FE40EF0C-A63F-4FD5-AA57-EB50B6E2016D}"/>
    <cellStyle name="20% - Accent1 28 6 2 4" xfId="452" xr:uid="{0528B0CE-A3A4-4FC2-812F-045EEA8B7FF9}"/>
    <cellStyle name="20% - Accent1 28 6 2 4 2" xfId="453" xr:uid="{D138EEC9-0C1D-4090-BA9C-B0F5A571B507}"/>
    <cellStyle name="20% - Accent1 28 6 2 5" xfId="454" xr:uid="{7EBCC84E-4905-47EC-9756-453E0EBA9176}"/>
    <cellStyle name="20% - Accent1 28 6 3" xfId="455" xr:uid="{A9EE4E68-D6D4-449A-BDA5-3B9710B72880}"/>
    <cellStyle name="20% - Accent1 28 6 3 2" xfId="456" xr:uid="{2E5508D8-D083-4157-80D0-299758F31263}"/>
    <cellStyle name="20% - Accent1 28 6 3 2 2" xfId="457" xr:uid="{18D50651-5BAD-43C8-B10B-282F20C3D784}"/>
    <cellStyle name="20% - Accent1 28 6 3 3" xfId="458" xr:uid="{88AA7049-26CE-415E-AEB4-B95B660A41DB}"/>
    <cellStyle name="20% - Accent1 28 6 4" xfId="459" xr:uid="{529FE0FA-3952-4D96-BA4A-5E78067FB016}"/>
    <cellStyle name="20% - Accent1 28 6 4 2" xfId="460" xr:uid="{4973F880-3D7A-4193-92A0-B72604CFC3EC}"/>
    <cellStyle name="20% - Accent1 28 6 4 2 2" xfId="461" xr:uid="{D4C61624-DD31-498B-AF09-DFD77ACA1538}"/>
    <cellStyle name="20% - Accent1 28 6 4 3" xfId="462" xr:uid="{7B6DA68B-5ACC-4A29-B75E-BCE23B55455D}"/>
    <cellStyle name="20% - Accent1 28 6 5" xfId="463" xr:uid="{02467F86-928B-48D1-93AF-8ADABED6070B}"/>
    <cellStyle name="20% - Accent1 28 6 5 2" xfId="464" xr:uid="{04D28F45-4BE8-4A1B-B9C4-4DE9BC9DA019}"/>
    <cellStyle name="20% - Accent1 28 6 6" xfId="465" xr:uid="{A4CE8792-7376-4ED0-A383-B800058E7870}"/>
    <cellStyle name="20% - Accent1 28 7" xfId="466" xr:uid="{BFA31BB7-FBE4-45AA-818A-AD097535E022}"/>
    <cellStyle name="20% - Accent1 28 7 2" xfId="467" xr:uid="{9AEDEFAD-18F3-4DB5-B060-6D11BBFA57B4}"/>
    <cellStyle name="20% - Accent1 28 7 2 2" xfId="468" xr:uid="{4C67500F-11E2-4B6E-8DB2-8D2E58908F3C}"/>
    <cellStyle name="20% - Accent1 28 7 2 2 2" xfId="469" xr:uid="{DA6D9A46-05FC-4A65-87AC-139668AC3A0B}"/>
    <cellStyle name="20% - Accent1 28 7 2 2 2 2" xfId="470" xr:uid="{7ABDD240-7E29-4F6B-888B-F6CFD4FEBBAD}"/>
    <cellStyle name="20% - Accent1 28 7 2 2 3" xfId="471" xr:uid="{662FCFF3-BCEF-47CB-86FF-B51F3D6F1A1B}"/>
    <cellStyle name="20% - Accent1 28 7 2 3" xfId="472" xr:uid="{0094493B-CBE9-4AF1-9C49-C4D192373868}"/>
    <cellStyle name="20% - Accent1 28 7 2 3 2" xfId="473" xr:uid="{ADC53D85-F76A-4385-956C-037FC485AE74}"/>
    <cellStyle name="20% - Accent1 28 7 2 3 2 2" xfId="474" xr:uid="{73AB616B-8D0B-4F4D-8F3E-9A9EC293F565}"/>
    <cellStyle name="20% - Accent1 28 7 2 3 3" xfId="475" xr:uid="{8C1713D2-62A8-4A91-B862-BC2E46F39B4D}"/>
    <cellStyle name="20% - Accent1 28 7 2 4" xfId="476" xr:uid="{C717CB4C-871B-4853-81AE-CB85879A0978}"/>
    <cellStyle name="20% - Accent1 28 7 2 4 2" xfId="477" xr:uid="{1C232197-3E79-4241-88BD-83D3EECD6FC0}"/>
    <cellStyle name="20% - Accent1 28 7 2 5" xfId="478" xr:uid="{07BE58AE-BD7E-4922-B518-F52D1AB39FC4}"/>
    <cellStyle name="20% - Accent1 28 7 3" xfId="479" xr:uid="{133BF243-A9F4-4A98-8EA0-AC5F47F0E5A3}"/>
    <cellStyle name="20% - Accent1 28 7 3 2" xfId="480" xr:uid="{C82B9EFB-BF10-4D39-BB33-2D15AEF2902F}"/>
    <cellStyle name="20% - Accent1 28 7 3 2 2" xfId="481" xr:uid="{0DF6C072-5370-4206-8DBC-69AFD130208B}"/>
    <cellStyle name="20% - Accent1 28 7 3 3" xfId="482" xr:uid="{E170ED7C-6FA5-436E-849D-CBB0197449D1}"/>
    <cellStyle name="20% - Accent1 28 7 4" xfId="483" xr:uid="{42F33A5D-4F83-4461-88D0-4AA576A65FFA}"/>
    <cellStyle name="20% - Accent1 28 7 4 2" xfId="484" xr:uid="{1F6F5C1A-3670-4CF8-BA70-E78A316CD071}"/>
    <cellStyle name="20% - Accent1 28 7 4 2 2" xfId="485" xr:uid="{0E694262-B0B8-4408-9FD6-64FD2A408220}"/>
    <cellStyle name="20% - Accent1 28 7 4 3" xfId="486" xr:uid="{C9F9D456-E6EE-4BE9-9563-833460485D78}"/>
    <cellStyle name="20% - Accent1 28 7 5" xfId="487" xr:uid="{5C36926D-381B-44F6-84BC-3A25196E3D53}"/>
    <cellStyle name="20% - Accent1 28 7 5 2" xfId="488" xr:uid="{431EFC95-A290-4D98-A77E-7A447B15EB21}"/>
    <cellStyle name="20% - Accent1 28 7 6" xfId="489" xr:uid="{A4F81D41-7AD4-4E93-B139-1272246809FB}"/>
    <cellStyle name="20% - Accent1 28 8" xfId="490" xr:uid="{80510C0B-5C7B-4F2F-AFFA-23486792C9D9}"/>
    <cellStyle name="20% - Accent1 28 8 2" xfId="491" xr:uid="{39FF1DD1-632A-416B-AC5C-08FF69A406B1}"/>
    <cellStyle name="20% - Accent1 28 8 2 2" xfId="492" xr:uid="{EF168460-BF8B-4E29-9A98-BFE4A83F53C4}"/>
    <cellStyle name="20% - Accent1 28 8 2 2 2" xfId="493" xr:uid="{BD8B8895-9577-470B-8E01-95CD24DF19C8}"/>
    <cellStyle name="20% - Accent1 28 8 2 2 2 2" xfId="494" xr:uid="{127AB0B1-BD55-4F75-B866-13A3FFEC0E63}"/>
    <cellStyle name="20% - Accent1 28 8 2 2 3" xfId="495" xr:uid="{C8836EB0-8B41-4027-AB9E-C3B7DBDE68C3}"/>
    <cellStyle name="20% - Accent1 28 8 2 3" xfId="496" xr:uid="{11AF997D-CEBE-46EA-9510-C748FBDCBFC7}"/>
    <cellStyle name="20% - Accent1 28 8 2 3 2" xfId="497" xr:uid="{1D05B565-E976-4A61-A258-824B8F9A5142}"/>
    <cellStyle name="20% - Accent1 28 8 2 3 2 2" xfId="498" xr:uid="{F5E4B95E-D246-42FB-88CD-C58681BBF7D3}"/>
    <cellStyle name="20% - Accent1 28 8 2 3 3" xfId="499" xr:uid="{9C9DB004-E5B8-4407-9B90-47B22CADE1E0}"/>
    <cellStyle name="20% - Accent1 28 8 2 4" xfId="500" xr:uid="{D3CB7083-77A3-43D0-9F56-3A1A5A5B1081}"/>
    <cellStyle name="20% - Accent1 28 8 2 4 2" xfId="501" xr:uid="{FED3ECB0-C282-43DB-865F-CD6F8C8DBCFD}"/>
    <cellStyle name="20% - Accent1 28 8 2 5" xfId="502" xr:uid="{0C7A4046-D3D6-4D2A-8D41-1456D6608A57}"/>
    <cellStyle name="20% - Accent1 28 8 3" xfId="503" xr:uid="{27CE7623-EAC6-441E-B97A-ABC0781BD9B8}"/>
    <cellStyle name="20% - Accent1 28 8 3 2" xfId="504" xr:uid="{3F52E8A2-98D3-48EF-B761-6354A85EFA70}"/>
    <cellStyle name="20% - Accent1 28 8 3 2 2" xfId="505" xr:uid="{AD106042-7F92-4A65-A4AD-D8B1FFCDF51F}"/>
    <cellStyle name="20% - Accent1 28 8 3 3" xfId="506" xr:uid="{13121F9F-947D-43B5-A89C-668C302FA80B}"/>
    <cellStyle name="20% - Accent1 28 8 4" xfId="507" xr:uid="{5BB2B4DD-3E1A-45E8-A086-86D9396B2424}"/>
    <cellStyle name="20% - Accent1 28 8 4 2" xfId="508" xr:uid="{61ECF092-106E-46B1-8F47-7A67736B74A8}"/>
    <cellStyle name="20% - Accent1 28 8 4 2 2" xfId="509" xr:uid="{9DCDC2EC-F807-4FBB-AF4C-DB7D24B3C8CA}"/>
    <cellStyle name="20% - Accent1 28 8 4 3" xfId="510" xr:uid="{62726400-90CE-4D21-B793-58671BAAD5B0}"/>
    <cellStyle name="20% - Accent1 28 8 5" xfId="511" xr:uid="{71528703-5AF2-4D86-9998-7DC4E9A857F0}"/>
    <cellStyle name="20% - Accent1 28 8 5 2" xfId="512" xr:uid="{81E596F8-EE7C-4C05-B84E-7988CE76EF40}"/>
    <cellStyle name="20% - Accent1 28 8 6" xfId="513" xr:uid="{9320278A-7D5C-4027-A9DC-B48A0FFE09C8}"/>
    <cellStyle name="20% - Accent1 28 9" xfId="514" xr:uid="{DE3E282B-5F16-4C5B-A1A3-28824ED23C1E}"/>
    <cellStyle name="20% - Accent1 28 9 2" xfId="515" xr:uid="{CEE9C60A-5888-4015-9B3A-82D862015135}"/>
    <cellStyle name="20% - Accent1 28 9 2 2" xfId="516" xr:uid="{1F2C7061-E594-445B-8524-CABA51940241}"/>
    <cellStyle name="20% - Accent1 28 9 2 2 2" xfId="517" xr:uid="{DB798CFD-46BF-49B4-B407-C9C0ED711296}"/>
    <cellStyle name="20% - Accent1 28 9 2 2 2 2" xfId="518" xr:uid="{FE6CDC02-D4DC-42B5-B986-23E2963D31C9}"/>
    <cellStyle name="20% - Accent1 28 9 2 2 3" xfId="519" xr:uid="{4EF31054-E115-4E66-BA42-62A3A372D89B}"/>
    <cellStyle name="20% - Accent1 28 9 2 3" xfId="520" xr:uid="{DB9550B6-A8B5-4A25-A7BE-E20575327E42}"/>
    <cellStyle name="20% - Accent1 28 9 2 3 2" xfId="521" xr:uid="{561D1A27-3822-498D-B45D-5C5E747890C0}"/>
    <cellStyle name="20% - Accent1 28 9 2 3 2 2" xfId="522" xr:uid="{79DA6064-1EEE-4E65-8254-1C565B92CCDF}"/>
    <cellStyle name="20% - Accent1 28 9 2 3 3" xfId="523" xr:uid="{D535C1C8-E4CC-422D-9ECE-670C2CF1B3C5}"/>
    <cellStyle name="20% - Accent1 28 9 2 4" xfId="524" xr:uid="{1B91137E-1AF0-4AD0-8CB3-B20F493BA914}"/>
    <cellStyle name="20% - Accent1 28 9 2 4 2" xfId="525" xr:uid="{6162C465-81F0-4EC6-932A-C0B0A27FD5BD}"/>
    <cellStyle name="20% - Accent1 28 9 2 5" xfId="526" xr:uid="{D375A24C-8659-4201-94B8-01B22CAE8040}"/>
    <cellStyle name="20% - Accent1 28 9 3" xfId="527" xr:uid="{7665A180-883F-4ADB-AFF4-EBD7B3C77F55}"/>
    <cellStyle name="20% - Accent1 28 9 3 2" xfId="528" xr:uid="{B04AA1DC-F85F-488F-AB0C-2D948C20C8E3}"/>
    <cellStyle name="20% - Accent1 28 9 3 2 2" xfId="529" xr:uid="{64035D9A-5EDE-464A-8764-F8C5F53C5C90}"/>
    <cellStyle name="20% - Accent1 28 9 3 3" xfId="530" xr:uid="{119366E7-DBAC-4DCF-8B27-8DB1F7828174}"/>
    <cellStyle name="20% - Accent1 28 9 4" xfId="531" xr:uid="{6CC7819F-6285-499F-8A29-70CCA0BE41AA}"/>
    <cellStyle name="20% - Accent1 28 9 4 2" xfId="532" xr:uid="{4D159596-97F1-4BA6-990D-BFABEB2F4CCB}"/>
    <cellStyle name="20% - Accent1 28 9 4 2 2" xfId="533" xr:uid="{17A1BFC9-315D-4C98-96BE-A33727ED3BE4}"/>
    <cellStyle name="20% - Accent1 28 9 4 3" xfId="534" xr:uid="{7F94140F-E29F-443C-81A0-C49B3CB24529}"/>
    <cellStyle name="20% - Accent1 28 9 5" xfId="535" xr:uid="{683234CF-E284-4E0D-8C9E-CDB2DC3A632F}"/>
    <cellStyle name="20% - Accent1 28 9 5 2" xfId="536" xr:uid="{E379E675-C8B9-4679-BBB6-8815D2F3AB24}"/>
    <cellStyle name="20% - Accent1 28 9 6" xfId="537" xr:uid="{E706A9EF-E39C-40CA-85F2-AD3BD44E1EA5}"/>
    <cellStyle name="20% - Accent1 29" xfId="538" xr:uid="{9CBBC130-7682-4619-8442-32B78DDB8DE2}"/>
    <cellStyle name="20% - Accent1 29 10" xfId="539" xr:uid="{7BEBD261-9A78-4F5B-A973-8E802BDB913C}"/>
    <cellStyle name="20% - Accent1 29 10 2" xfId="540" xr:uid="{D334D862-B378-46EA-8AC1-E29C9B3C9AFC}"/>
    <cellStyle name="20% - Accent1 29 10 2 2" xfId="541" xr:uid="{CF67CDF6-A760-4247-900E-4461E072478D}"/>
    <cellStyle name="20% - Accent1 29 10 2 2 2" xfId="542" xr:uid="{63D86E6A-DB52-466A-964C-499AA514EC2A}"/>
    <cellStyle name="20% - Accent1 29 10 2 2 2 2" xfId="543" xr:uid="{4F1E86A1-A965-4B0F-8A00-95197206976B}"/>
    <cellStyle name="20% - Accent1 29 10 2 2 3" xfId="544" xr:uid="{62E8AA25-8FD9-4D29-BB7C-0E29F3699381}"/>
    <cellStyle name="20% - Accent1 29 10 2 3" xfId="545" xr:uid="{877B172F-717E-498D-9F65-42E29AE11295}"/>
    <cellStyle name="20% - Accent1 29 10 2 3 2" xfId="546" xr:uid="{E5504E82-A99D-486A-AB33-5C18F9FE7105}"/>
    <cellStyle name="20% - Accent1 29 10 2 3 2 2" xfId="547" xr:uid="{2DABA873-7277-4F77-88A5-6EEB551835C9}"/>
    <cellStyle name="20% - Accent1 29 10 2 3 3" xfId="548" xr:uid="{C311E2DE-9A96-4320-A5D2-A028AA7B5570}"/>
    <cellStyle name="20% - Accent1 29 10 2 4" xfId="549" xr:uid="{AE990EB8-97FF-49AD-8748-1E82165D6A0F}"/>
    <cellStyle name="20% - Accent1 29 10 2 4 2" xfId="550" xr:uid="{B2C85140-47C0-4775-987A-15A33D5E366F}"/>
    <cellStyle name="20% - Accent1 29 10 2 5" xfId="551" xr:uid="{0E0E8B45-E677-4DA9-8B1B-9495410062B1}"/>
    <cellStyle name="20% - Accent1 29 10 3" xfId="552" xr:uid="{FE4DC3C1-A2BA-41D2-AF90-41698B0973A9}"/>
    <cellStyle name="20% - Accent1 29 10 3 2" xfId="553" xr:uid="{E0D94AF6-BDFB-4AB9-B95A-09D7F98DAA0D}"/>
    <cellStyle name="20% - Accent1 29 10 3 2 2" xfId="554" xr:uid="{58AE0D96-F7B3-48C9-9812-7869FA3F6674}"/>
    <cellStyle name="20% - Accent1 29 10 3 3" xfId="555" xr:uid="{87112C8F-D9DE-4935-9DB1-2BAF6B3B9732}"/>
    <cellStyle name="20% - Accent1 29 10 4" xfId="556" xr:uid="{49235591-984E-4794-B326-937A6F430D8A}"/>
    <cellStyle name="20% - Accent1 29 10 4 2" xfId="557" xr:uid="{F69D216F-D51D-4BBB-B116-197E432431A2}"/>
    <cellStyle name="20% - Accent1 29 10 4 2 2" xfId="558" xr:uid="{33A2E5C3-7178-43B4-B651-B1608DA664A2}"/>
    <cellStyle name="20% - Accent1 29 10 4 3" xfId="559" xr:uid="{E7EC3498-A8A1-45C3-9F5A-364405D99685}"/>
    <cellStyle name="20% - Accent1 29 10 5" xfId="560" xr:uid="{17294B31-757F-400A-9FED-00A579BE920A}"/>
    <cellStyle name="20% - Accent1 29 10 5 2" xfId="561" xr:uid="{76397C56-7E69-4D77-BE38-2E34557FA007}"/>
    <cellStyle name="20% - Accent1 29 10 6" xfId="562" xr:uid="{AA42ABF9-1D94-4758-BD60-2EA1FE08EB49}"/>
    <cellStyle name="20% - Accent1 29 11" xfId="563" xr:uid="{FF033AF0-D00B-42AB-AE2D-D947EE91F98C}"/>
    <cellStyle name="20% - Accent1 29 11 2" xfId="564" xr:uid="{57BA5B2C-27F6-4DD0-A1F9-501A0EC3CA93}"/>
    <cellStyle name="20% - Accent1 29 11 2 2" xfId="565" xr:uid="{F897BF5B-0207-42B1-A711-F8602C61D830}"/>
    <cellStyle name="20% - Accent1 29 11 2 2 2" xfId="566" xr:uid="{46C6F815-6CF0-4003-948F-37BF593B8B17}"/>
    <cellStyle name="20% - Accent1 29 11 2 3" xfId="567" xr:uid="{2B06F828-7FB8-49A0-A421-827546DC3F20}"/>
    <cellStyle name="20% - Accent1 29 11 3" xfId="568" xr:uid="{5EB976EE-EB3B-4D8E-98D9-2BEBD662F2DC}"/>
    <cellStyle name="20% - Accent1 29 11 3 2" xfId="569" xr:uid="{346423C9-A82C-43C8-892A-6212E4A94979}"/>
    <cellStyle name="20% - Accent1 29 11 3 2 2" xfId="570" xr:uid="{34B3A1AF-98E2-4074-890E-0339F4CE35E4}"/>
    <cellStyle name="20% - Accent1 29 11 3 3" xfId="571" xr:uid="{3E4D2E66-7A7B-46FB-B6FC-A643C1524A84}"/>
    <cellStyle name="20% - Accent1 29 11 4" xfId="572" xr:uid="{FC24C245-D251-4437-B028-FE417E478FAD}"/>
    <cellStyle name="20% - Accent1 29 11 4 2" xfId="573" xr:uid="{D5F4DB9A-5BB0-440C-B24D-51ED36767B80}"/>
    <cellStyle name="20% - Accent1 29 11 5" xfId="574" xr:uid="{EED82D22-8546-4133-813D-119D5C5C2C10}"/>
    <cellStyle name="20% - Accent1 29 12" xfId="575" xr:uid="{AE2EE81E-6C2F-457C-8E78-A74A0E3F351D}"/>
    <cellStyle name="20% - Accent1 29 12 2" xfId="576" xr:uid="{A1D27DAC-BCC3-477B-A3A9-9032AE4CEDDC}"/>
    <cellStyle name="20% - Accent1 29 12 2 2" xfId="577" xr:uid="{069E5034-D21E-4CF1-BBBC-3AAF858818B2}"/>
    <cellStyle name="20% - Accent1 29 12 3" xfId="578" xr:uid="{306DC696-7832-445D-A370-ACC51C92E1E0}"/>
    <cellStyle name="20% - Accent1 29 13" xfId="579" xr:uid="{A6874679-0AF4-45F5-876B-B0DBE3BABFB2}"/>
    <cellStyle name="20% - Accent1 29 13 2" xfId="580" xr:uid="{BA5E6CAF-3B08-40F9-93E5-9CAB09E87D5C}"/>
    <cellStyle name="20% - Accent1 29 13 2 2" xfId="581" xr:uid="{CC910A0E-F05D-416F-BF09-892CA4440FB6}"/>
    <cellStyle name="20% - Accent1 29 13 3" xfId="582" xr:uid="{45F251A4-4048-42ED-8BE3-ABCAE2D4B37B}"/>
    <cellStyle name="20% - Accent1 29 14" xfId="583" xr:uid="{072E4AE8-6D7E-4208-8CF0-20407DD98FD3}"/>
    <cellStyle name="20% - Accent1 29 14 2" xfId="584" xr:uid="{AB05590D-B083-483C-9448-088F50D396CE}"/>
    <cellStyle name="20% - Accent1 29 15" xfId="585" xr:uid="{948730A8-6ECA-452B-AD13-08A60EC5F56C}"/>
    <cellStyle name="20% - Accent1 29 16" xfId="35574" xr:uid="{2BC51C5C-9879-44BA-9DF7-F2CEDD410BE2}"/>
    <cellStyle name="20% - Accent1 29 2" xfId="586" xr:uid="{CC0681E4-54B0-431C-9326-57A45C780885}"/>
    <cellStyle name="20% - Accent1 29 2 2" xfId="587" xr:uid="{3228EE3C-5A6D-477C-885F-D7B6470C9FDC}"/>
    <cellStyle name="20% - Accent1 29 2 2 2" xfId="588" xr:uid="{A9AD3851-ED3B-4C21-92B4-71AB4ED6A87D}"/>
    <cellStyle name="20% - Accent1 29 2 2 2 2" xfId="589" xr:uid="{ED5C2C15-02A3-4487-9785-23A08591DFA6}"/>
    <cellStyle name="20% - Accent1 29 2 2 2 2 2" xfId="590" xr:uid="{E30A77D3-4970-47FA-9993-96C7FEEE4E55}"/>
    <cellStyle name="20% - Accent1 29 2 2 2 3" xfId="591" xr:uid="{DAA07DEF-C63B-4781-8291-958C514FCE5B}"/>
    <cellStyle name="20% - Accent1 29 2 2 3" xfId="592" xr:uid="{971209B1-A9AC-4702-8E40-77EB39E458CB}"/>
    <cellStyle name="20% - Accent1 29 2 2 3 2" xfId="593" xr:uid="{ABF0B4CD-A13F-4696-838A-2C1391A09A57}"/>
    <cellStyle name="20% - Accent1 29 2 2 3 2 2" xfId="594" xr:uid="{425D93CC-670A-416E-81E1-22D5F1892B7F}"/>
    <cellStyle name="20% - Accent1 29 2 2 3 3" xfId="595" xr:uid="{C10C131B-C3B9-49E3-A662-CBF7D798D416}"/>
    <cellStyle name="20% - Accent1 29 2 2 4" xfId="596" xr:uid="{FDEC766E-0795-4250-BD2C-8948758F46C7}"/>
    <cellStyle name="20% - Accent1 29 2 2 4 2" xfId="597" xr:uid="{1FCA3976-E8D9-4A6D-9D63-A38DC259B502}"/>
    <cellStyle name="20% - Accent1 29 2 2 5" xfId="598" xr:uid="{4233B2AC-3D68-4590-9647-D808FDEC1806}"/>
    <cellStyle name="20% - Accent1 29 2 3" xfId="599" xr:uid="{90C16CAB-8F59-4ACD-8A1F-317418125C9F}"/>
    <cellStyle name="20% - Accent1 29 2 3 2" xfId="600" xr:uid="{CA5A479B-B121-46D6-8C81-8096C6706250}"/>
    <cellStyle name="20% - Accent1 29 2 3 2 2" xfId="601" xr:uid="{F275C3E0-52C5-452D-8B34-BEDCEE6A6FB0}"/>
    <cellStyle name="20% - Accent1 29 2 3 3" xfId="602" xr:uid="{680EC712-234A-42B1-BEA8-07F09F571637}"/>
    <cellStyle name="20% - Accent1 29 2 4" xfId="603" xr:uid="{C16472B5-A5C2-4A17-B69B-C71082845267}"/>
    <cellStyle name="20% - Accent1 29 2 4 2" xfId="604" xr:uid="{F116F116-A9E7-4B8A-959B-8BAE1324C9AF}"/>
    <cellStyle name="20% - Accent1 29 2 4 2 2" xfId="605" xr:uid="{67E2E30E-C25C-4FC2-ADA5-3B797F7522DD}"/>
    <cellStyle name="20% - Accent1 29 2 4 3" xfId="606" xr:uid="{A0AC378D-E796-4465-9D5F-64FF90145FD5}"/>
    <cellStyle name="20% - Accent1 29 2 5" xfId="607" xr:uid="{89F5C071-A84D-48EA-9929-DC64064FF5E3}"/>
    <cellStyle name="20% - Accent1 29 2 5 2" xfId="608" xr:uid="{7336E1A4-C0A6-4A17-9647-03D26A8FB28A}"/>
    <cellStyle name="20% - Accent1 29 2 6" xfId="609" xr:uid="{9F56B32B-031C-489B-97FB-08A973572AE8}"/>
    <cellStyle name="20% - Accent1 29 3" xfId="610" xr:uid="{A2B5459A-46D4-4136-8E1C-687170C566B3}"/>
    <cellStyle name="20% - Accent1 29 3 2" xfId="611" xr:uid="{43D0035B-25E7-4DC2-8667-8C3029A7AC2B}"/>
    <cellStyle name="20% - Accent1 29 3 2 2" xfId="612" xr:uid="{DC0408F6-71DD-4FC4-B197-51D17193908A}"/>
    <cellStyle name="20% - Accent1 29 3 2 2 2" xfId="613" xr:uid="{89DFA05D-C71F-4364-9A68-CA9A635F41C5}"/>
    <cellStyle name="20% - Accent1 29 3 2 2 2 2" xfId="614" xr:uid="{156E9296-809C-41CA-A79F-AA400CD40D7F}"/>
    <cellStyle name="20% - Accent1 29 3 2 2 3" xfId="615" xr:uid="{E6D4F810-A5CE-42AE-8AFA-8E5D48BFE9E8}"/>
    <cellStyle name="20% - Accent1 29 3 2 3" xfId="616" xr:uid="{E4D415C5-C9AF-4AF5-89F2-84B04C79B130}"/>
    <cellStyle name="20% - Accent1 29 3 2 3 2" xfId="617" xr:uid="{8C388883-4B60-40A0-8634-AD7BAAC763ED}"/>
    <cellStyle name="20% - Accent1 29 3 2 3 2 2" xfId="618" xr:uid="{B9A6C51C-A7D2-41FA-B006-3DB173401C6F}"/>
    <cellStyle name="20% - Accent1 29 3 2 3 3" xfId="619" xr:uid="{7D3DB0EC-6D60-4D6F-A26F-B94B1CFAAD85}"/>
    <cellStyle name="20% - Accent1 29 3 2 4" xfId="620" xr:uid="{08985C42-B596-49C1-82A0-4D6366B1CEFB}"/>
    <cellStyle name="20% - Accent1 29 3 2 4 2" xfId="621" xr:uid="{ACF44362-9CBA-4470-9651-9874788D83B4}"/>
    <cellStyle name="20% - Accent1 29 3 2 5" xfId="622" xr:uid="{4D191C74-7B7D-4F5A-BE72-A1865950FBA4}"/>
    <cellStyle name="20% - Accent1 29 3 3" xfId="623" xr:uid="{74B2FF8A-3BEC-4EE9-B5BE-1D315BFC0275}"/>
    <cellStyle name="20% - Accent1 29 3 3 2" xfId="624" xr:uid="{A3E008A6-4FF3-44CD-950D-8DB0916CBFED}"/>
    <cellStyle name="20% - Accent1 29 3 3 2 2" xfId="625" xr:uid="{67CD7F8C-2B39-43EE-A024-866414B72BD6}"/>
    <cellStyle name="20% - Accent1 29 3 3 3" xfId="626" xr:uid="{E7C1B41B-E68B-4B6C-90A7-78BE22CFD007}"/>
    <cellStyle name="20% - Accent1 29 3 4" xfId="627" xr:uid="{51713584-ACC9-4CA7-880D-0B3A47A257A9}"/>
    <cellStyle name="20% - Accent1 29 3 4 2" xfId="628" xr:uid="{60A29E09-C3FC-4059-8033-6953BA9CDB42}"/>
    <cellStyle name="20% - Accent1 29 3 4 2 2" xfId="629" xr:uid="{E7E261B7-E1CE-4C70-AA4B-440F46486352}"/>
    <cellStyle name="20% - Accent1 29 3 4 3" xfId="630" xr:uid="{03E2E3A8-7C68-4C27-A33E-C0067F9AE6CB}"/>
    <cellStyle name="20% - Accent1 29 3 5" xfId="631" xr:uid="{5D4F7119-6919-4863-90D1-7FFD67194F52}"/>
    <cellStyle name="20% - Accent1 29 3 5 2" xfId="632" xr:uid="{B988118F-D718-499A-9934-AD7DA2126C6F}"/>
    <cellStyle name="20% - Accent1 29 3 6" xfId="633" xr:uid="{DC17C092-2F24-4BC8-BB3B-0351278C427C}"/>
    <cellStyle name="20% - Accent1 29 4" xfId="634" xr:uid="{09B5F557-9CA7-42A1-82A0-CE3E419B287F}"/>
    <cellStyle name="20% - Accent1 29 4 2" xfId="635" xr:uid="{8D6C7B96-78A8-41FD-99B4-619D02878C32}"/>
    <cellStyle name="20% - Accent1 29 4 2 2" xfId="636" xr:uid="{DE47E86D-E8A3-4214-B28F-8C5D3A31F4D0}"/>
    <cellStyle name="20% - Accent1 29 4 2 2 2" xfId="637" xr:uid="{E5229E8B-0A47-4319-AD2C-9E14C8C0E491}"/>
    <cellStyle name="20% - Accent1 29 4 2 2 2 2" xfId="638" xr:uid="{3D386569-8A06-4263-B481-756367215283}"/>
    <cellStyle name="20% - Accent1 29 4 2 2 3" xfId="639" xr:uid="{FCE88BC2-BE7B-4D75-A0A9-C3747ACF178F}"/>
    <cellStyle name="20% - Accent1 29 4 2 3" xfId="640" xr:uid="{A4EED4A1-FC6F-4EA5-8592-8AC13740E0EB}"/>
    <cellStyle name="20% - Accent1 29 4 2 3 2" xfId="641" xr:uid="{8539245F-61C0-4D5B-967B-492CE2A27B9A}"/>
    <cellStyle name="20% - Accent1 29 4 2 3 2 2" xfId="642" xr:uid="{19D9BB87-6E7A-4F1D-A61E-8CB621244765}"/>
    <cellStyle name="20% - Accent1 29 4 2 3 3" xfId="643" xr:uid="{B7AF9745-362F-44E5-A0AF-8396815434BE}"/>
    <cellStyle name="20% - Accent1 29 4 2 4" xfId="644" xr:uid="{047467D9-07EF-47B1-BFFA-3DAB8BE28B53}"/>
    <cellStyle name="20% - Accent1 29 4 2 4 2" xfId="645" xr:uid="{57074BEB-EB97-438C-A29E-2956E55213E4}"/>
    <cellStyle name="20% - Accent1 29 4 2 5" xfId="646" xr:uid="{D731308B-2DE6-42FD-8F38-FA219B028685}"/>
    <cellStyle name="20% - Accent1 29 4 3" xfId="647" xr:uid="{1C8715C7-358E-478A-A559-23D4ED9D7ADF}"/>
    <cellStyle name="20% - Accent1 29 4 3 2" xfId="648" xr:uid="{A45F712D-B42A-42DC-A70F-5025F9F2F5DD}"/>
    <cellStyle name="20% - Accent1 29 4 3 2 2" xfId="649" xr:uid="{A9A2EC81-3D39-4F28-A7C5-E7B5749863AE}"/>
    <cellStyle name="20% - Accent1 29 4 3 3" xfId="650" xr:uid="{F8795D84-75EA-47EC-BBBF-97DE6881DCF5}"/>
    <cellStyle name="20% - Accent1 29 4 4" xfId="651" xr:uid="{69B39C6E-6959-4A8F-8E28-77F1DFF609E9}"/>
    <cellStyle name="20% - Accent1 29 4 4 2" xfId="652" xr:uid="{910B89AA-7276-493D-ADAE-757841901D65}"/>
    <cellStyle name="20% - Accent1 29 4 4 2 2" xfId="653" xr:uid="{9E8B1727-E83D-49DE-B9E2-A20FAF8F1F8A}"/>
    <cellStyle name="20% - Accent1 29 4 4 3" xfId="654" xr:uid="{35B4FB50-04D9-4934-B122-1B7CF7D11045}"/>
    <cellStyle name="20% - Accent1 29 4 5" xfId="655" xr:uid="{9E7787CF-5F7F-48A2-ADCE-F803C7E91AFA}"/>
    <cellStyle name="20% - Accent1 29 4 5 2" xfId="656" xr:uid="{702C49C8-6D84-470C-8747-8A270F732ACD}"/>
    <cellStyle name="20% - Accent1 29 4 6" xfId="657" xr:uid="{9E289765-A8E0-49DA-84A0-1B6F0E42DBBF}"/>
    <cellStyle name="20% - Accent1 29 5" xfId="658" xr:uid="{E3A551EF-16DC-41C1-9B6B-1775CC093C0F}"/>
    <cellStyle name="20% - Accent1 29 5 2" xfId="659" xr:uid="{4EF4AB05-BBB5-46F7-9E2B-C7E4A5252A88}"/>
    <cellStyle name="20% - Accent1 29 5 2 2" xfId="660" xr:uid="{28D31A5B-97E5-4711-A67D-3A4F4F7C121D}"/>
    <cellStyle name="20% - Accent1 29 5 2 2 2" xfId="661" xr:uid="{D4A2B2B1-1AF8-4C05-A833-C07947511D0B}"/>
    <cellStyle name="20% - Accent1 29 5 2 2 2 2" xfId="662" xr:uid="{C5F30D1F-372B-46E8-9E65-FD750AA10771}"/>
    <cellStyle name="20% - Accent1 29 5 2 2 3" xfId="663" xr:uid="{63198AFD-647B-4684-9729-9F5E95732323}"/>
    <cellStyle name="20% - Accent1 29 5 2 3" xfId="664" xr:uid="{3F437675-ACF9-4944-869E-730D3FB76E42}"/>
    <cellStyle name="20% - Accent1 29 5 2 3 2" xfId="665" xr:uid="{58762AE9-DAF2-4DCB-A217-A2F8D8064972}"/>
    <cellStyle name="20% - Accent1 29 5 2 3 2 2" xfId="666" xr:uid="{18F64E4B-F24B-4CA3-ACF6-4EFA05FC8103}"/>
    <cellStyle name="20% - Accent1 29 5 2 3 3" xfId="667" xr:uid="{BB282718-5B5D-4AD2-A87E-134EB9453D6A}"/>
    <cellStyle name="20% - Accent1 29 5 2 4" xfId="668" xr:uid="{8C2005EB-C89C-4C4C-91AD-470A1C140224}"/>
    <cellStyle name="20% - Accent1 29 5 2 4 2" xfId="669" xr:uid="{3272F746-1BAB-4BBF-A7A0-59D2129D4FB9}"/>
    <cellStyle name="20% - Accent1 29 5 2 5" xfId="670" xr:uid="{AD23CD8C-3F8A-4C1D-A498-A1717BB3C0FC}"/>
    <cellStyle name="20% - Accent1 29 5 3" xfId="671" xr:uid="{D4541796-34F8-47D6-8E98-6CC2E8DF61D1}"/>
    <cellStyle name="20% - Accent1 29 5 3 2" xfId="672" xr:uid="{F96380BE-5ED6-4274-A118-9D31AAC712B0}"/>
    <cellStyle name="20% - Accent1 29 5 3 2 2" xfId="673" xr:uid="{D32FA30F-1496-431C-B1D3-8F12D1B8CD04}"/>
    <cellStyle name="20% - Accent1 29 5 3 3" xfId="674" xr:uid="{0F5A000F-E645-4913-9900-D163A31345C4}"/>
    <cellStyle name="20% - Accent1 29 5 4" xfId="675" xr:uid="{9E75523C-6217-4F47-854C-B0DFE0935316}"/>
    <cellStyle name="20% - Accent1 29 5 4 2" xfId="676" xr:uid="{F4E7A05C-76E9-4C69-A8AD-17499CE75343}"/>
    <cellStyle name="20% - Accent1 29 5 4 2 2" xfId="677" xr:uid="{3CAAB97D-6CE1-4B48-AFBD-458159A6D794}"/>
    <cellStyle name="20% - Accent1 29 5 4 3" xfId="678" xr:uid="{54F18156-B5BD-4E1C-9F9C-EC1B2661FE7F}"/>
    <cellStyle name="20% - Accent1 29 5 5" xfId="679" xr:uid="{0C19C06B-5980-4A92-BDC7-3E2CF2B6C6DE}"/>
    <cellStyle name="20% - Accent1 29 5 5 2" xfId="680" xr:uid="{175CA724-9712-4FE7-94A2-28EBECD22956}"/>
    <cellStyle name="20% - Accent1 29 5 6" xfId="681" xr:uid="{67B16113-915B-44C9-8AC6-B3428F1C0E66}"/>
    <cellStyle name="20% - Accent1 29 6" xfId="682" xr:uid="{D195F3C1-6DA1-49CD-BD7D-A85AB259A04A}"/>
    <cellStyle name="20% - Accent1 29 6 2" xfId="683" xr:uid="{2669E74B-5462-4F0B-B882-631F55A88AFC}"/>
    <cellStyle name="20% - Accent1 29 6 2 2" xfId="684" xr:uid="{45F99CA3-1B10-4D83-AFC4-E65C58877422}"/>
    <cellStyle name="20% - Accent1 29 6 2 2 2" xfId="685" xr:uid="{BE86D0B8-7070-4F6B-9B6F-47BF9270058F}"/>
    <cellStyle name="20% - Accent1 29 6 2 2 2 2" xfId="686" xr:uid="{21F3BE66-4E64-4B0E-8466-ED25388C92FB}"/>
    <cellStyle name="20% - Accent1 29 6 2 2 3" xfId="687" xr:uid="{6612AEA4-4CDF-4D30-AE6D-EB5B127D8DDF}"/>
    <cellStyle name="20% - Accent1 29 6 2 3" xfId="688" xr:uid="{85CEA153-219F-424D-A874-0E60B02CBAE0}"/>
    <cellStyle name="20% - Accent1 29 6 2 3 2" xfId="689" xr:uid="{40F83EE3-F458-461E-97EE-1D391BE24C83}"/>
    <cellStyle name="20% - Accent1 29 6 2 3 2 2" xfId="690" xr:uid="{B2EE73DB-D3DD-42A0-9531-F0970C8EF688}"/>
    <cellStyle name="20% - Accent1 29 6 2 3 3" xfId="691" xr:uid="{75008377-319E-4341-A9CB-F0EA769EE4FE}"/>
    <cellStyle name="20% - Accent1 29 6 2 4" xfId="692" xr:uid="{3EF4F0D0-0F1D-4D33-A869-F3116D4BA6E6}"/>
    <cellStyle name="20% - Accent1 29 6 2 4 2" xfId="693" xr:uid="{2AC19E1D-B720-45E6-94B5-4744F1B7CF7D}"/>
    <cellStyle name="20% - Accent1 29 6 2 5" xfId="694" xr:uid="{21BF14D5-2804-4BE8-BB57-E9B6EA3A0416}"/>
    <cellStyle name="20% - Accent1 29 6 3" xfId="695" xr:uid="{B2E697F4-CB4F-4AEF-8284-7F37E7B51A00}"/>
    <cellStyle name="20% - Accent1 29 6 3 2" xfId="696" xr:uid="{64B23503-2985-4D60-936F-E9A8EB343D9A}"/>
    <cellStyle name="20% - Accent1 29 6 3 2 2" xfId="697" xr:uid="{764C8225-6FEB-45D0-A2E9-6475B58046B0}"/>
    <cellStyle name="20% - Accent1 29 6 3 3" xfId="698" xr:uid="{7DB72DF1-EE75-4280-ADFC-E54CF30C0B56}"/>
    <cellStyle name="20% - Accent1 29 6 4" xfId="699" xr:uid="{66CBEAB2-995D-4D2E-A1E4-A07B554A88F9}"/>
    <cellStyle name="20% - Accent1 29 6 4 2" xfId="700" xr:uid="{B06F8712-6D93-4C53-B477-2B7317677C08}"/>
    <cellStyle name="20% - Accent1 29 6 4 2 2" xfId="701" xr:uid="{C3ADA568-B80F-4C6A-B837-5D01519BC5EF}"/>
    <cellStyle name="20% - Accent1 29 6 4 3" xfId="702" xr:uid="{AA610B85-5C31-462F-9D4E-44DF114E333B}"/>
    <cellStyle name="20% - Accent1 29 6 5" xfId="703" xr:uid="{713BEA5F-6E87-4037-B137-D78587F04D15}"/>
    <cellStyle name="20% - Accent1 29 6 5 2" xfId="704" xr:uid="{0FCE54A4-BCC5-497A-95CE-776E85DDBE7D}"/>
    <cellStyle name="20% - Accent1 29 6 6" xfId="705" xr:uid="{17783A92-DA34-43E3-8853-566588990CCC}"/>
    <cellStyle name="20% - Accent1 29 7" xfId="706" xr:uid="{77AC115F-E433-4EC0-9BB3-B47E22CDB481}"/>
    <cellStyle name="20% - Accent1 29 7 2" xfId="707" xr:uid="{AD2EE7BA-4247-47C5-9FB2-669E09A87636}"/>
    <cellStyle name="20% - Accent1 29 7 2 2" xfId="708" xr:uid="{F85C6648-258B-475A-91E1-A1A5F9883922}"/>
    <cellStyle name="20% - Accent1 29 7 2 2 2" xfId="709" xr:uid="{91306595-CF5C-4DD0-A295-7244661789DD}"/>
    <cellStyle name="20% - Accent1 29 7 2 2 2 2" xfId="710" xr:uid="{EEAAFBAC-806D-41D0-9C62-E64972E8422B}"/>
    <cellStyle name="20% - Accent1 29 7 2 2 3" xfId="711" xr:uid="{F009EC0D-68D3-4CE3-B0F9-09CACE2C81C9}"/>
    <cellStyle name="20% - Accent1 29 7 2 3" xfId="712" xr:uid="{5BE18776-B955-473B-B693-9DF9EAC96EA8}"/>
    <cellStyle name="20% - Accent1 29 7 2 3 2" xfId="713" xr:uid="{04687A42-DC29-4DA7-B5DB-FB14D2145C3C}"/>
    <cellStyle name="20% - Accent1 29 7 2 3 2 2" xfId="714" xr:uid="{0F1ACAD8-F64D-4D71-BF15-357194034C8C}"/>
    <cellStyle name="20% - Accent1 29 7 2 3 3" xfId="715" xr:uid="{B01FE368-71E9-4BD4-9DAA-38421C289AA6}"/>
    <cellStyle name="20% - Accent1 29 7 2 4" xfId="716" xr:uid="{618642E6-AF0C-47D4-8B45-D69F95C9B1C9}"/>
    <cellStyle name="20% - Accent1 29 7 2 4 2" xfId="717" xr:uid="{8233DB4C-2433-4EB5-AB5E-0B6E94D8E966}"/>
    <cellStyle name="20% - Accent1 29 7 2 5" xfId="718" xr:uid="{2EFE8ED8-8C57-4956-89A9-E16DAB88B289}"/>
    <cellStyle name="20% - Accent1 29 7 3" xfId="719" xr:uid="{57DF6752-6551-4065-89FA-DE7C94AE1CBB}"/>
    <cellStyle name="20% - Accent1 29 7 3 2" xfId="720" xr:uid="{FF97743B-4323-4CDF-B573-134550E58B86}"/>
    <cellStyle name="20% - Accent1 29 7 3 2 2" xfId="721" xr:uid="{BB4CBDED-3C62-4FE9-9C35-69169BC0F1F1}"/>
    <cellStyle name="20% - Accent1 29 7 3 3" xfId="722" xr:uid="{BB0A300B-F2ED-45C4-9322-9B61DF794E36}"/>
    <cellStyle name="20% - Accent1 29 7 4" xfId="723" xr:uid="{4A8BBE67-BF21-4E0B-AC53-080B55253A35}"/>
    <cellStyle name="20% - Accent1 29 7 4 2" xfId="724" xr:uid="{C09D5D9E-3007-409D-9AFF-E58D70E8F854}"/>
    <cellStyle name="20% - Accent1 29 7 4 2 2" xfId="725" xr:uid="{079D13F5-AD7F-46EE-8B40-E835D5CE2CC3}"/>
    <cellStyle name="20% - Accent1 29 7 4 3" xfId="726" xr:uid="{7E96A0D2-5908-4EE8-877A-91B1A8B286E3}"/>
    <cellStyle name="20% - Accent1 29 7 5" xfId="727" xr:uid="{42380422-ED29-46F7-B865-C1AF9E559669}"/>
    <cellStyle name="20% - Accent1 29 7 5 2" xfId="728" xr:uid="{0D946657-711C-4583-B65F-E46AF102C3AF}"/>
    <cellStyle name="20% - Accent1 29 7 6" xfId="729" xr:uid="{62C770A3-74C9-4119-AAF6-042D8B5602C1}"/>
    <cellStyle name="20% - Accent1 29 8" xfId="730" xr:uid="{D19D847D-786F-439A-A06A-6301D52D8CC2}"/>
    <cellStyle name="20% - Accent1 29 8 2" xfId="731" xr:uid="{12BBA189-78FE-4EDE-9AAA-B36852F25F9D}"/>
    <cellStyle name="20% - Accent1 29 8 2 2" xfId="732" xr:uid="{1E3EB4F9-056D-4736-AFBE-9356494E0EDD}"/>
    <cellStyle name="20% - Accent1 29 8 2 2 2" xfId="733" xr:uid="{728E3C2D-30F9-414E-9C81-CA1657D2EAE2}"/>
    <cellStyle name="20% - Accent1 29 8 2 2 2 2" xfId="734" xr:uid="{94AE75AE-7EC3-46D1-9E98-DB582E6AE5AB}"/>
    <cellStyle name="20% - Accent1 29 8 2 2 3" xfId="735" xr:uid="{76D52687-C9E7-462A-94C0-4F3C5098F6D4}"/>
    <cellStyle name="20% - Accent1 29 8 2 3" xfId="736" xr:uid="{89FA8399-E1FB-4062-829C-1B191A72A0CD}"/>
    <cellStyle name="20% - Accent1 29 8 2 3 2" xfId="737" xr:uid="{5A592C59-F167-4382-9CBE-14EB0807AAED}"/>
    <cellStyle name="20% - Accent1 29 8 2 3 2 2" xfId="738" xr:uid="{805021E5-AF7F-4FE8-81E6-4DD025FBDC67}"/>
    <cellStyle name="20% - Accent1 29 8 2 3 3" xfId="739" xr:uid="{82EA8171-BC21-4501-AFDF-E6F50AE448F1}"/>
    <cellStyle name="20% - Accent1 29 8 2 4" xfId="740" xr:uid="{052BDAFD-88ED-4C60-A074-11F13563BAC1}"/>
    <cellStyle name="20% - Accent1 29 8 2 4 2" xfId="741" xr:uid="{F6F0C724-802F-402D-A80D-98E123A47F3E}"/>
    <cellStyle name="20% - Accent1 29 8 2 5" xfId="742" xr:uid="{2A67FAB8-9AC0-47C5-B530-23AD69E3157B}"/>
    <cellStyle name="20% - Accent1 29 8 3" xfId="743" xr:uid="{8D67E186-A889-4D79-B7C3-A827E8A0E9AB}"/>
    <cellStyle name="20% - Accent1 29 8 3 2" xfId="744" xr:uid="{98C0DBAB-5515-472E-BA37-87287238A3CE}"/>
    <cellStyle name="20% - Accent1 29 8 3 2 2" xfId="745" xr:uid="{B7F7B6FF-4F5C-48F4-A4CA-B5DC21F50DFB}"/>
    <cellStyle name="20% - Accent1 29 8 3 3" xfId="746" xr:uid="{BA85CCB1-34B3-4FFD-B686-38519945F893}"/>
    <cellStyle name="20% - Accent1 29 8 4" xfId="747" xr:uid="{9FEDFAA9-FE40-4552-A6BD-4B961BB47984}"/>
    <cellStyle name="20% - Accent1 29 8 4 2" xfId="748" xr:uid="{F61344F5-BA97-4404-85E6-4EF90327CF7E}"/>
    <cellStyle name="20% - Accent1 29 8 4 2 2" xfId="749" xr:uid="{783E281B-610A-44F9-8F55-1C02CCCEEDDB}"/>
    <cellStyle name="20% - Accent1 29 8 4 3" xfId="750" xr:uid="{A47500A3-926D-41B8-90A6-0CF229CAC0FD}"/>
    <cellStyle name="20% - Accent1 29 8 5" xfId="751" xr:uid="{9B25D62C-4BD0-4856-8308-2F1AC8FB1C24}"/>
    <cellStyle name="20% - Accent1 29 8 5 2" xfId="752" xr:uid="{326EE93D-1355-4460-8872-F922D818A197}"/>
    <cellStyle name="20% - Accent1 29 8 6" xfId="753" xr:uid="{D7FF8750-4342-46B7-9EBC-FDDAA0985F17}"/>
    <cellStyle name="20% - Accent1 29 9" xfId="754" xr:uid="{3BE95BF9-549F-4DA1-9258-42025AA6E8EE}"/>
    <cellStyle name="20% - Accent1 29 9 2" xfId="755" xr:uid="{F8CA5E32-0D41-42E9-8A35-5AC6231A8EBE}"/>
    <cellStyle name="20% - Accent1 29 9 2 2" xfId="756" xr:uid="{4BDEC5CA-DCA9-433C-A955-87CB036BF16A}"/>
    <cellStyle name="20% - Accent1 29 9 2 2 2" xfId="757" xr:uid="{0307A793-3B17-456B-B1AB-FC7EF0EB7471}"/>
    <cellStyle name="20% - Accent1 29 9 2 2 2 2" xfId="758" xr:uid="{8E59E4EB-BA7B-4328-8663-91489165486B}"/>
    <cellStyle name="20% - Accent1 29 9 2 2 3" xfId="759" xr:uid="{B48FCC3A-1595-4E34-8923-F3562901AAD2}"/>
    <cellStyle name="20% - Accent1 29 9 2 3" xfId="760" xr:uid="{ECA13644-24CD-46EF-88E8-AF835FEFADB7}"/>
    <cellStyle name="20% - Accent1 29 9 2 3 2" xfId="761" xr:uid="{AF32811E-C52D-4EF2-9AC0-79A44B0FA885}"/>
    <cellStyle name="20% - Accent1 29 9 2 3 2 2" xfId="762" xr:uid="{91F4C6CA-1B7E-4904-A4DA-0B09D1B6C2CA}"/>
    <cellStyle name="20% - Accent1 29 9 2 3 3" xfId="763" xr:uid="{E75B8AE7-BF9A-482C-AD64-EA1EEE3FA7FF}"/>
    <cellStyle name="20% - Accent1 29 9 2 4" xfId="764" xr:uid="{63EC6F9D-6F0E-44B2-95DD-1D82CBBB017D}"/>
    <cellStyle name="20% - Accent1 29 9 2 4 2" xfId="765" xr:uid="{ED1735F6-1C0C-46E7-9BE3-36C491A88216}"/>
    <cellStyle name="20% - Accent1 29 9 2 5" xfId="766" xr:uid="{2C61D23F-6C25-4E01-8C0D-D5B1A37852BB}"/>
    <cellStyle name="20% - Accent1 29 9 3" xfId="767" xr:uid="{1B05FE94-93EB-4DE5-9DDC-65CA49DECED7}"/>
    <cellStyle name="20% - Accent1 29 9 3 2" xfId="768" xr:uid="{259B699A-3D58-45B0-9EC5-B81FB0AE5316}"/>
    <cellStyle name="20% - Accent1 29 9 3 2 2" xfId="769" xr:uid="{79138A55-1D5D-4D53-8952-1F84B3CDA857}"/>
    <cellStyle name="20% - Accent1 29 9 3 3" xfId="770" xr:uid="{08E11D0B-7A5C-44F8-B124-971FA6D6A7E7}"/>
    <cellStyle name="20% - Accent1 29 9 4" xfId="771" xr:uid="{D58BDEB1-AE0D-4221-A2C0-389F186D7881}"/>
    <cellStyle name="20% - Accent1 29 9 4 2" xfId="772" xr:uid="{EBA7EF9F-27CF-4357-85EA-AF83BD7C9931}"/>
    <cellStyle name="20% - Accent1 29 9 4 2 2" xfId="773" xr:uid="{A0B67888-C048-4CBE-827B-7D56A0FA3A3F}"/>
    <cellStyle name="20% - Accent1 29 9 4 3" xfId="774" xr:uid="{BC32D470-741E-456E-AA10-1B536ABB3026}"/>
    <cellStyle name="20% - Accent1 29 9 5" xfId="775" xr:uid="{86497E10-2348-466B-8F36-F85D2E805523}"/>
    <cellStyle name="20% - Accent1 29 9 5 2" xfId="776" xr:uid="{C1DD2BFB-937F-4468-AC81-E1F953FF770C}"/>
    <cellStyle name="20% - Accent1 29 9 6" xfId="777" xr:uid="{4F37786F-9F89-4541-81A6-526AC07A62D1}"/>
    <cellStyle name="20% - Accent1 3" xfId="778" xr:uid="{879ECBD2-8622-4970-8D2C-C5CC55239858}"/>
    <cellStyle name="20% - Accent1 3 2" xfId="779" xr:uid="{98039072-5488-4231-8E65-0782EA8DA968}"/>
    <cellStyle name="20% - Accent1 3 2 2" xfId="780" xr:uid="{5A509218-2331-49AC-9F6B-082C9750EBA4}"/>
    <cellStyle name="20% - Accent1 3 2 2 2" xfId="35575" xr:uid="{88A450CF-E362-46AF-8E9E-699D605ECC14}"/>
    <cellStyle name="20% - Accent1 3 2 3" xfId="35576" xr:uid="{53F69E14-E4B2-4297-96FA-5165E4E94E07}"/>
    <cellStyle name="20% - Accent1 3 2 4" xfId="35577" xr:uid="{6AEC57B9-6088-41CC-99E2-FA4600F7E63C}"/>
    <cellStyle name="20% - Accent1 3 3" xfId="781" xr:uid="{D1A63B83-8785-45AE-A49A-BB1A771A101F}"/>
    <cellStyle name="20% - Accent1 3 3 2" xfId="35578" xr:uid="{C07C1DA7-7D36-43C7-9528-C048320E1098}"/>
    <cellStyle name="20% - Accent1 3 4" xfId="35579" xr:uid="{9B4BD4BB-5CE5-4073-B153-588B8D06BBEB}"/>
    <cellStyle name="20% - Accent1 3 5" xfId="35580" xr:uid="{7A9030B8-4575-4B73-9048-1E1495F25D9E}"/>
    <cellStyle name="20% - Accent1 3 6" xfId="35581" xr:uid="{573ED03B-DC92-45D9-AD4B-ACC5C45BEA6C}"/>
    <cellStyle name="20% - Accent1 30" xfId="782" xr:uid="{368BA2CF-F45B-452A-9E06-41448EF66BEC}"/>
    <cellStyle name="20% - Accent1 30 10" xfId="783" xr:uid="{764944CE-F147-4AFA-A36A-26AAD4C96676}"/>
    <cellStyle name="20% - Accent1 30 10 2" xfId="784" xr:uid="{4DDE1F9B-889F-435B-B607-888F02EB66DC}"/>
    <cellStyle name="20% - Accent1 30 10 2 2" xfId="785" xr:uid="{FED1D3C0-3A2B-4AE5-89B7-F5E39285660C}"/>
    <cellStyle name="20% - Accent1 30 10 2 2 2" xfId="786" xr:uid="{DA094DB8-3867-42A6-BB45-558091FA2065}"/>
    <cellStyle name="20% - Accent1 30 10 2 2 2 2" xfId="787" xr:uid="{CBFA60F7-12C0-4308-B4D9-6698A1C5AD50}"/>
    <cellStyle name="20% - Accent1 30 10 2 2 3" xfId="788" xr:uid="{9B3C96CA-71E6-4384-BF5D-5ED0C370520C}"/>
    <cellStyle name="20% - Accent1 30 10 2 3" xfId="789" xr:uid="{7BB7C790-ADAC-426A-A17B-183E478F6626}"/>
    <cellStyle name="20% - Accent1 30 10 2 3 2" xfId="790" xr:uid="{1827BC3F-8E1A-4EDC-BE6C-E8A551DB40D4}"/>
    <cellStyle name="20% - Accent1 30 10 2 3 2 2" xfId="791" xr:uid="{280D463E-8B49-4D37-96B3-AC6FE26DC390}"/>
    <cellStyle name="20% - Accent1 30 10 2 3 3" xfId="792" xr:uid="{739D49EE-3B28-4B5A-ADBB-1379C89055C8}"/>
    <cellStyle name="20% - Accent1 30 10 2 4" xfId="793" xr:uid="{83EFCE79-0715-4FA4-84D2-BE6D735CAB85}"/>
    <cellStyle name="20% - Accent1 30 10 2 4 2" xfId="794" xr:uid="{57E41B0E-0DBF-4E59-92DF-51F95924F989}"/>
    <cellStyle name="20% - Accent1 30 10 2 5" xfId="795" xr:uid="{80299DDB-F8DA-488E-A199-F03B14547DAD}"/>
    <cellStyle name="20% - Accent1 30 10 3" xfId="796" xr:uid="{1963A50A-5F1E-4497-87FB-CD7E20F26D02}"/>
    <cellStyle name="20% - Accent1 30 10 3 2" xfId="797" xr:uid="{E22622BE-FFB6-41EC-A67A-9A7D68D83D54}"/>
    <cellStyle name="20% - Accent1 30 10 3 2 2" xfId="798" xr:uid="{1F2F90AC-8C4F-459F-AFC3-DE82D865DC70}"/>
    <cellStyle name="20% - Accent1 30 10 3 3" xfId="799" xr:uid="{E41B3FAC-A440-45D7-9898-E7CDE1800914}"/>
    <cellStyle name="20% - Accent1 30 10 4" xfId="800" xr:uid="{B57B462F-23D1-44C4-BBF4-88635484F094}"/>
    <cellStyle name="20% - Accent1 30 10 4 2" xfId="801" xr:uid="{CFAE52BD-911F-4FFC-91DC-A41C946A0EFA}"/>
    <cellStyle name="20% - Accent1 30 10 4 2 2" xfId="802" xr:uid="{4EBCA8D4-BCDA-40A6-8820-31C6CAF1F07E}"/>
    <cellStyle name="20% - Accent1 30 10 4 3" xfId="803" xr:uid="{36D8E62A-837E-499C-B4DA-A60670737944}"/>
    <cellStyle name="20% - Accent1 30 10 5" xfId="804" xr:uid="{A89E4F2D-B625-4E2A-AE64-2AA84714430E}"/>
    <cellStyle name="20% - Accent1 30 10 5 2" xfId="805" xr:uid="{A621D378-23C3-473E-B2C2-6B8BFA8C0204}"/>
    <cellStyle name="20% - Accent1 30 10 6" xfId="806" xr:uid="{6A839ACF-FCBB-4A1C-86D0-5D1C48F7FE7D}"/>
    <cellStyle name="20% - Accent1 30 11" xfId="807" xr:uid="{8CB1FF44-EE2D-4B66-BF37-90848B0A45B5}"/>
    <cellStyle name="20% - Accent1 30 11 2" xfId="808" xr:uid="{4FAC60F7-7687-4739-932F-F7E9E2954334}"/>
    <cellStyle name="20% - Accent1 30 11 2 2" xfId="809" xr:uid="{3AAA2C36-042C-4070-8340-78F7D5D3DE8F}"/>
    <cellStyle name="20% - Accent1 30 11 2 2 2" xfId="810" xr:uid="{821C245F-4058-4030-B213-C2E46FB1144A}"/>
    <cellStyle name="20% - Accent1 30 11 2 3" xfId="811" xr:uid="{577803DE-0B93-4972-85CB-A0C7346AAE43}"/>
    <cellStyle name="20% - Accent1 30 11 3" xfId="812" xr:uid="{CBB63EB0-508E-4F7F-B717-3634FC02800A}"/>
    <cellStyle name="20% - Accent1 30 11 3 2" xfId="813" xr:uid="{F86950EF-EB0B-4248-AA34-C0B3B9A1B66B}"/>
    <cellStyle name="20% - Accent1 30 11 3 2 2" xfId="814" xr:uid="{BCC64046-6652-413D-83D7-DD327D68AE82}"/>
    <cellStyle name="20% - Accent1 30 11 3 3" xfId="815" xr:uid="{66A54433-A724-4624-BA34-DC1913423246}"/>
    <cellStyle name="20% - Accent1 30 11 4" xfId="816" xr:uid="{81C5D144-E978-4905-A0B8-6080D4DC9C04}"/>
    <cellStyle name="20% - Accent1 30 11 4 2" xfId="817" xr:uid="{6F8A509A-BF8F-445E-B740-201B4916884F}"/>
    <cellStyle name="20% - Accent1 30 11 5" xfId="818" xr:uid="{74853A02-A04D-4CCF-AE67-C9830D57E118}"/>
    <cellStyle name="20% - Accent1 30 12" xfId="819" xr:uid="{78617F0F-74F1-4F1C-A2CC-7526A70DCF35}"/>
    <cellStyle name="20% - Accent1 30 12 2" xfId="820" xr:uid="{1A39A916-1BA7-4445-8435-F089D6E9AC76}"/>
    <cellStyle name="20% - Accent1 30 12 2 2" xfId="821" xr:uid="{E729B03B-5783-4825-8E41-9418EE33E5AE}"/>
    <cellStyle name="20% - Accent1 30 12 3" xfId="822" xr:uid="{2D7A4A88-2034-4F88-A705-C275BB00E97D}"/>
    <cellStyle name="20% - Accent1 30 13" xfId="823" xr:uid="{9C6555D0-50B4-4033-A8EF-359B06CED6B3}"/>
    <cellStyle name="20% - Accent1 30 13 2" xfId="824" xr:uid="{9A9862BD-AAFD-4629-B79A-5D1365BE7316}"/>
    <cellStyle name="20% - Accent1 30 13 2 2" xfId="825" xr:uid="{8AC63019-3709-44B0-9B32-278886CB6AF6}"/>
    <cellStyle name="20% - Accent1 30 13 3" xfId="826" xr:uid="{F28B6CE5-640C-4C09-A6A5-0BD7FB07FDD7}"/>
    <cellStyle name="20% - Accent1 30 14" xfId="827" xr:uid="{448D87D2-A9A2-4725-B45B-56B2B844070E}"/>
    <cellStyle name="20% - Accent1 30 14 2" xfId="828" xr:uid="{33928BFD-2883-476A-84A9-E5746C7CA8A0}"/>
    <cellStyle name="20% - Accent1 30 15" xfId="829" xr:uid="{22709055-616A-4DD8-9B76-73BA99A77A96}"/>
    <cellStyle name="20% - Accent1 30 16" xfId="35582" xr:uid="{2B3F5BAA-FD51-4E41-91DC-BF7DC0A4CA35}"/>
    <cellStyle name="20% - Accent1 30 2" xfId="830" xr:uid="{E29D992B-E84B-4C3D-B000-9CE750213F49}"/>
    <cellStyle name="20% - Accent1 30 2 2" xfId="831" xr:uid="{BA480678-477D-4F56-9CAA-65B615B2845C}"/>
    <cellStyle name="20% - Accent1 30 2 2 2" xfId="832" xr:uid="{4B81F9C9-59B4-46F4-8953-3AC7F38D1514}"/>
    <cellStyle name="20% - Accent1 30 2 2 2 2" xfId="833" xr:uid="{C582D886-ACBC-48BA-9AD5-D58338EFDD1B}"/>
    <cellStyle name="20% - Accent1 30 2 2 2 2 2" xfId="834" xr:uid="{59294373-7369-4CB5-92E4-3641DDA05431}"/>
    <cellStyle name="20% - Accent1 30 2 2 2 3" xfId="835" xr:uid="{98135EF2-085B-438D-B276-BAD1AE1F8983}"/>
    <cellStyle name="20% - Accent1 30 2 2 3" xfId="836" xr:uid="{BFA120D5-A8C3-4529-90BA-18BA8D9A0EDE}"/>
    <cellStyle name="20% - Accent1 30 2 2 3 2" xfId="837" xr:uid="{E535FA69-A40A-4BCF-9CD3-2CD135488A41}"/>
    <cellStyle name="20% - Accent1 30 2 2 3 2 2" xfId="838" xr:uid="{30A60FA2-7B84-4845-9DD8-A4F0D5DCD569}"/>
    <cellStyle name="20% - Accent1 30 2 2 3 3" xfId="839" xr:uid="{86D4CD1C-0488-419E-AA4C-8ED7DD502AA3}"/>
    <cellStyle name="20% - Accent1 30 2 2 4" xfId="840" xr:uid="{EA9CF229-86BC-4CCA-94EB-33EEFEDBA495}"/>
    <cellStyle name="20% - Accent1 30 2 2 4 2" xfId="841" xr:uid="{FE2CA254-4A52-487E-88DB-C4C3ABC5BE3E}"/>
    <cellStyle name="20% - Accent1 30 2 2 5" xfId="842" xr:uid="{63C517F9-3DA4-450F-84DF-F8A32E17720F}"/>
    <cellStyle name="20% - Accent1 30 2 3" xfId="843" xr:uid="{301E6FA4-647A-467F-9562-CE7E7811A1BD}"/>
    <cellStyle name="20% - Accent1 30 2 3 2" xfId="844" xr:uid="{468A17AA-1478-4D46-A11C-98F9C8157615}"/>
    <cellStyle name="20% - Accent1 30 2 3 2 2" xfId="845" xr:uid="{1C89D7B4-6210-4E1F-9578-8D4DA2FFDB3C}"/>
    <cellStyle name="20% - Accent1 30 2 3 3" xfId="846" xr:uid="{D4E4BA5E-D905-465C-8CE8-7BCB15225CDA}"/>
    <cellStyle name="20% - Accent1 30 2 4" xfId="847" xr:uid="{AA008899-CD3F-4F84-8516-BEC70E3E94CC}"/>
    <cellStyle name="20% - Accent1 30 2 4 2" xfId="848" xr:uid="{68DCBF3A-B9F7-405D-9E6F-A2FC608E3C65}"/>
    <cellStyle name="20% - Accent1 30 2 4 2 2" xfId="849" xr:uid="{A7AA0B30-48C4-48A7-86CC-52DE8E57B495}"/>
    <cellStyle name="20% - Accent1 30 2 4 3" xfId="850" xr:uid="{0E746EC6-7FB5-4CF4-8BEA-DA5524D8F861}"/>
    <cellStyle name="20% - Accent1 30 2 5" xfId="851" xr:uid="{A504E071-2EB9-45C4-8239-5594DEB74510}"/>
    <cellStyle name="20% - Accent1 30 2 5 2" xfId="852" xr:uid="{35C9DA99-C75B-4EE1-A006-B6407653DA07}"/>
    <cellStyle name="20% - Accent1 30 2 6" xfId="853" xr:uid="{9620A097-10ED-47E3-9E3C-47A029C2DD84}"/>
    <cellStyle name="20% - Accent1 30 3" xfId="854" xr:uid="{011657F9-A49F-47A8-8004-EB9EF918AD66}"/>
    <cellStyle name="20% - Accent1 30 3 2" xfId="855" xr:uid="{66921E44-AF2C-4DFC-B638-5B83F8DBFD9C}"/>
    <cellStyle name="20% - Accent1 30 3 2 2" xfId="856" xr:uid="{DEB05890-38A3-4B88-88BA-C759088D8EEF}"/>
    <cellStyle name="20% - Accent1 30 3 2 2 2" xfId="857" xr:uid="{B53246FA-2BE8-4AF2-B6CD-108BD3C14DD3}"/>
    <cellStyle name="20% - Accent1 30 3 2 2 2 2" xfId="858" xr:uid="{DC2D4FE9-2FF9-4B82-90B4-3A82134B6C8A}"/>
    <cellStyle name="20% - Accent1 30 3 2 2 3" xfId="859" xr:uid="{56180975-9D7D-4755-8D30-F90885FBBA13}"/>
    <cellStyle name="20% - Accent1 30 3 2 3" xfId="860" xr:uid="{502447BD-5D16-4417-B65A-3885F85AE42E}"/>
    <cellStyle name="20% - Accent1 30 3 2 3 2" xfId="861" xr:uid="{4997A213-1E6F-4A4E-9EE4-319EEDF8F282}"/>
    <cellStyle name="20% - Accent1 30 3 2 3 2 2" xfId="862" xr:uid="{E7CFE72F-2311-4DA1-A230-F981AE3E90F9}"/>
    <cellStyle name="20% - Accent1 30 3 2 3 3" xfId="863" xr:uid="{8ED137AB-6F8E-4F9E-BA2D-A3362005A4D7}"/>
    <cellStyle name="20% - Accent1 30 3 2 4" xfId="864" xr:uid="{F8071091-C05D-4885-A065-406B28E67C62}"/>
    <cellStyle name="20% - Accent1 30 3 2 4 2" xfId="865" xr:uid="{E69C4743-1C3C-464C-BE6D-50945755A7E2}"/>
    <cellStyle name="20% - Accent1 30 3 2 5" xfId="866" xr:uid="{AC5B2800-26F6-46B2-9D6B-E147B37C740A}"/>
    <cellStyle name="20% - Accent1 30 3 3" xfId="867" xr:uid="{7022109D-98AE-4CC5-991E-D33E601AA2BD}"/>
    <cellStyle name="20% - Accent1 30 3 3 2" xfId="868" xr:uid="{CE46B240-B27D-4F91-B87E-C441D3470B5E}"/>
    <cellStyle name="20% - Accent1 30 3 3 2 2" xfId="869" xr:uid="{D6C8220B-DAAF-44BA-A87F-63BAEE65EACA}"/>
    <cellStyle name="20% - Accent1 30 3 3 3" xfId="870" xr:uid="{64910C3D-8A41-48A0-AB0A-FA227E3297CD}"/>
    <cellStyle name="20% - Accent1 30 3 4" xfId="871" xr:uid="{EF82743C-61C2-4110-B672-433A756BF3B5}"/>
    <cellStyle name="20% - Accent1 30 3 4 2" xfId="872" xr:uid="{DED18E80-3C1A-4BCE-86C3-47C1BF4F2A3D}"/>
    <cellStyle name="20% - Accent1 30 3 4 2 2" xfId="873" xr:uid="{2478F85B-D4AC-437B-A344-034CD144290F}"/>
    <cellStyle name="20% - Accent1 30 3 4 3" xfId="874" xr:uid="{C73E67E0-9FD3-4AD2-850C-6D1F00BED6C9}"/>
    <cellStyle name="20% - Accent1 30 3 5" xfId="875" xr:uid="{5B98ACC1-EB26-4CF8-BE48-7CD2BA569216}"/>
    <cellStyle name="20% - Accent1 30 3 5 2" xfId="876" xr:uid="{CD5F7701-EAC4-42C9-A449-80EE16CDF274}"/>
    <cellStyle name="20% - Accent1 30 3 6" xfId="877" xr:uid="{D4273EC6-97C8-482D-83E7-CE218C39DFCA}"/>
    <cellStyle name="20% - Accent1 30 4" xfId="878" xr:uid="{077B1A5E-5E06-45DC-97DF-587F7B953B37}"/>
    <cellStyle name="20% - Accent1 30 4 2" xfId="879" xr:uid="{D388817D-4F7B-4203-9A43-56CE0315E715}"/>
    <cellStyle name="20% - Accent1 30 4 2 2" xfId="880" xr:uid="{52B7F010-7F7D-4322-8299-0055354E5795}"/>
    <cellStyle name="20% - Accent1 30 4 2 2 2" xfId="881" xr:uid="{7F5D5C00-EC75-4359-9D17-34FCCA2B77DD}"/>
    <cellStyle name="20% - Accent1 30 4 2 2 2 2" xfId="882" xr:uid="{8F1FABC2-BF82-40A7-8750-25F8BB6CDD5E}"/>
    <cellStyle name="20% - Accent1 30 4 2 2 3" xfId="883" xr:uid="{6FC26D99-F31B-4CB4-856B-5DA9F6E3B1D6}"/>
    <cellStyle name="20% - Accent1 30 4 2 3" xfId="884" xr:uid="{103B2910-8D7E-4223-A3C4-59061CE34100}"/>
    <cellStyle name="20% - Accent1 30 4 2 3 2" xfId="885" xr:uid="{9C06A077-2F17-465D-9FFE-11240336604F}"/>
    <cellStyle name="20% - Accent1 30 4 2 3 2 2" xfId="886" xr:uid="{C40B4831-71B8-4441-9CEA-9F3BD4A03660}"/>
    <cellStyle name="20% - Accent1 30 4 2 3 3" xfId="887" xr:uid="{5641C503-98A6-431E-88B3-25181F9751CA}"/>
    <cellStyle name="20% - Accent1 30 4 2 4" xfId="888" xr:uid="{8B054036-5360-475B-8734-05A5FA56C30E}"/>
    <cellStyle name="20% - Accent1 30 4 2 4 2" xfId="889" xr:uid="{F3DFCCDA-EED2-4E9D-A002-CF6754567102}"/>
    <cellStyle name="20% - Accent1 30 4 2 5" xfId="890" xr:uid="{D339F668-BC8D-43C0-867C-C951222F60B7}"/>
    <cellStyle name="20% - Accent1 30 4 3" xfId="891" xr:uid="{8311A6B7-32E5-4F4A-B8AA-6EC8E9DEA902}"/>
    <cellStyle name="20% - Accent1 30 4 3 2" xfId="892" xr:uid="{8890BE73-9E62-4E50-80F4-8CC6D9DAAB5E}"/>
    <cellStyle name="20% - Accent1 30 4 3 2 2" xfId="893" xr:uid="{A1D1208B-DB1A-4C4C-B8F2-DE64EC60C3EE}"/>
    <cellStyle name="20% - Accent1 30 4 3 3" xfId="894" xr:uid="{4FABD1C5-8D1A-4A68-9EB2-9CB2605EBE16}"/>
    <cellStyle name="20% - Accent1 30 4 4" xfId="895" xr:uid="{781E7F79-495C-405D-9A52-F88412BFC890}"/>
    <cellStyle name="20% - Accent1 30 4 4 2" xfId="896" xr:uid="{D554BA3C-2614-44C3-A127-4BFC03496F93}"/>
    <cellStyle name="20% - Accent1 30 4 4 2 2" xfId="897" xr:uid="{B969F268-9963-430A-BA5D-3552B63C3770}"/>
    <cellStyle name="20% - Accent1 30 4 4 3" xfId="898" xr:uid="{CACD9518-9066-446A-BFDA-69819DECB3E1}"/>
    <cellStyle name="20% - Accent1 30 4 5" xfId="899" xr:uid="{987C6CDC-722B-483B-8A46-38223BDAF967}"/>
    <cellStyle name="20% - Accent1 30 4 5 2" xfId="900" xr:uid="{8DCFF7C8-BC49-4E89-B130-558395FA45D2}"/>
    <cellStyle name="20% - Accent1 30 4 6" xfId="901" xr:uid="{7804570C-0A7D-4C6C-AB54-D2B99FB10081}"/>
    <cellStyle name="20% - Accent1 30 5" xfId="902" xr:uid="{15E4715A-CC57-46FB-8589-2600C3670B67}"/>
    <cellStyle name="20% - Accent1 30 5 2" xfId="903" xr:uid="{9C003D6E-7321-44A6-8FAB-97DE509A154A}"/>
    <cellStyle name="20% - Accent1 30 5 2 2" xfId="904" xr:uid="{D8331370-FFCC-44C2-BDF8-D94CA37A7D13}"/>
    <cellStyle name="20% - Accent1 30 5 2 2 2" xfId="905" xr:uid="{03EDEB75-84EB-4407-9BBB-45A1E64B7FC1}"/>
    <cellStyle name="20% - Accent1 30 5 2 2 2 2" xfId="906" xr:uid="{C79857B6-6DBA-4581-B741-7354C6305641}"/>
    <cellStyle name="20% - Accent1 30 5 2 2 3" xfId="907" xr:uid="{4E76A2FF-09A5-46AD-983B-ABC12F877065}"/>
    <cellStyle name="20% - Accent1 30 5 2 3" xfId="908" xr:uid="{FF92A655-B8FA-4418-B009-09DCCC6831B5}"/>
    <cellStyle name="20% - Accent1 30 5 2 3 2" xfId="909" xr:uid="{BFCC26EF-2C7C-4AA1-80C7-C2EB347E9F97}"/>
    <cellStyle name="20% - Accent1 30 5 2 3 2 2" xfId="910" xr:uid="{C73FC1C7-ACF4-4D4D-87F1-462E1D7F0FED}"/>
    <cellStyle name="20% - Accent1 30 5 2 3 3" xfId="911" xr:uid="{10CC07CE-157D-4508-A3D2-09EB2EF1C449}"/>
    <cellStyle name="20% - Accent1 30 5 2 4" xfId="912" xr:uid="{DF5CCFD5-553D-44DA-AAF9-B00B2E69788A}"/>
    <cellStyle name="20% - Accent1 30 5 2 4 2" xfId="913" xr:uid="{2230F41F-3F6E-4141-84CC-66642320CE6A}"/>
    <cellStyle name="20% - Accent1 30 5 2 5" xfId="914" xr:uid="{F7C462FD-18AC-4D0B-8D9D-EC5FF23EF5C8}"/>
    <cellStyle name="20% - Accent1 30 5 3" xfId="915" xr:uid="{B2A16B02-6757-46DB-9F8B-A5B93AB1D908}"/>
    <cellStyle name="20% - Accent1 30 5 3 2" xfId="916" xr:uid="{5B146080-77BA-4BE5-9E08-1974A6145F11}"/>
    <cellStyle name="20% - Accent1 30 5 3 2 2" xfId="917" xr:uid="{CF0735DE-F7AF-41C0-B9AA-D55535F8F933}"/>
    <cellStyle name="20% - Accent1 30 5 3 3" xfId="918" xr:uid="{73E853F8-8A6E-49BC-8460-B0BC074199A4}"/>
    <cellStyle name="20% - Accent1 30 5 4" xfId="919" xr:uid="{0DC1359C-6C84-44B9-92A7-3626AF701A95}"/>
    <cellStyle name="20% - Accent1 30 5 4 2" xfId="920" xr:uid="{0C0D9FF8-F4EC-4C6F-9C9C-099D44511E08}"/>
    <cellStyle name="20% - Accent1 30 5 4 2 2" xfId="921" xr:uid="{D22978F4-7BF4-4A06-84DC-437C6C4DDE0E}"/>
    <cellStyle name="20% - Accent1 30 5 4 3" xfId="922" xr:uid="{AA4992CB-A738-480C-B22F-BA412857C254}"/>
    <cellStyle name="20% - Accent1 30 5 5" xfId="923" xr:uid="{9762590E-753B-4FA4-B677-A151C88CFA94}"/>
    <cellStyle name="20% - Accent1 30 5 5 2" xfId="924" xr:uid="{2B873637-821A-4847-81C1-963B64CB4750}"/>
    <cellStyle name="20% - Accent1 30 5 6" xfId="925" xr:uid="{A25DEC2A-300A-4B48-9307-973C39B15662}"/>
    <cellStyle name="20% - Accent1 30 6" xfId="926" xr:uid="{DC76C13F-6174-41B2-8BDD-0E52663A3E47}"/>
    <cellStyle name="20% - Accent1 30 6 2" xfId="927" xr:uid="{DC38DEF2-7B60-46DF-AD87-775CCAD40920}"/>
    <cellStyle name="20% - Accent1 30 6 2 2" xfId="928" xr:uid="{6CC3DBC9-4763-4EAF-8A80-A296B4F425D0}"/>
    <cellStyle name="20% - Accent1 30 6 2 2 2" xfId="929" xr:uid="{CBC2247B-651B-4DE0-B13F-83DA2F26279D}"/>
    <cellStyle name="20% - Accent1 30 6 2 2 2 2" xfId="930" xr:uid="{73723ADD-92EF-4A9C-AD94-B93848996638}"/>
    <cellStyle name="20% - Accent1 30 6 2 2 3" xfId="931" xr:uid="{22A73518-5BBF-45B1-83B4-19874EDBD814}"/>
    <cellStyle name="20% - Accent1 30 6 2 3" xfId="932" xr:uid="{89A9EC01-6F84-4873-BCBB-5154661FB4EE}"/>
    <cellStyle name="20% - Accent1 30 6 2 3 2" xfId="933" xr:uid="{0A390BEB-76DC-425E-BE4E-6D4FD0F008E3}"/>
    <cellStyle name="20% - Accent1 30 6 2 3 2 2" xfId="934" xr:uid="{F3D6E72F-A6FC-4A59-BA26-C388707BFB5F}"/>
    <cellStyle name="20% - Accent1 30 6 2 3 3" xfId="935" xr:uid="{61EFA4A4-9B57-420F-B005-9BDA88490EBF}"/>
    <cellStyle name="20% - Accent1 30 6 2 4" xfId="936" xr:uid="{87885C7D-1561-47CF-90BE-32C884338B7A}"/>
    <cellStyle name="20% - Accent1 30 6 2 4 2" xfId="937" xr:uid="{24D94800-9A94-416E-8392-914C3949A52B}"/>
    <cellStyle name="20% - Accent1 30 6 2 5" xfId="938" xr:uid="{803B8D9B-92B9-4964-8FC3-77CBE22BFED4}"/>
    <cellStyle name="20% - Accent1 30 6 3" xfId="939" xr:uid="{C6AF7589-B745-4DC0-AF30-68B5419F0893}"/>
    <cellStyle name="20% - Accent1 30 6 3 2" xfId="940" xr:uid="{C26A05AC-11CB-4F64-B927-6C02C3AECED1}"/>
    <cellStyle name="20% - Accent1 30 6 3 2 2" xfId="941" xr:uid="{A0304D21-EF7A-4FD2-8856-D85102E14072}"/>
    <cellStyle name="20% - Accent1 30 6 3 3" xfId="942" xr:uid="{DF6E7B62-AC8C-48C1-8C55-72D578E650E5}"/>
    <cellStyle name="20% - Accent1 30 6 4" xfId="943" xr:uid="{16AAA9F2-B0C1-42F8-A069-9AF16FEC41AB}"/>
    <cellStyle name="20% - Accent1 30 6 4 2" xfId="944" xr:uid="{5316C591-C808-449A-A52D-3947EE700926}"/>
    <cellStyle name="20% - Accent1 30 6 4 2 2" xfId="945" xr:uid="{52A8D63A-AFEF-4141-802C-F035519DE14B}"/>
    <cellStyle name="20% - Accent1 30 6 4 3" xfId="946" xr:uid="{0B2D141A-A473-430F-99B6-0AF0048FAB0E}"/>
    <cellStyle name="20% - Accent1 30 6 5" xfId="947" xr:uid="{EED0BC4D-9AAC-41CF-B9B6-A447D6CEE52E}"/>
    <cellStyle name="20% - Accent1 30 6 5 2" xfId="948" xr:uid="{BFCA932A-ED1B-4519-9B62-9AB0DC931FA6}"/>
    <cellStyle name="20% - Accent1 30 6 6" xfId="949" xr:uid="{FE47279A-6875-4201-864F-35CE6DE7F3FB}"/>
    <cellStyle name="20% - Accent1 30 7" xfId="950" xr:uid="{C44647E6-046C-4EFD-AA65-CA2EF311AB3F}"/>
    <cellStyle name="20% - Accent1 30 7 2" xfId="951" xr:uid="{AAB6128C-DCFF-4858-B233-422824727E41}"/>
    <cellStyle name="20% - Accent1 30 7 2 2" xfId="952" xr:uid="{60E724A6-ABB7-4E14-A383-F9C2848BC0A8}"/>
    <cellStyle name="20% - Accent1 30 7 2 2 2" xfId="953" xr:uid="{FA6EF993-A5D1-45CF-AB7A-681894165A2F}"/>
    <cellStyle name="20% - Accent1 30 7 2 2 2 2" xfId="954" xr:uid="{E4C5CA8B-A9FF-43D9-821F-A915FF5111CC}"/>
    <cellStyle name="20% - Accent1 30 7 2 2 3" xfId="955" xr:uid="{186DBF42-BD52-4C51-9FC4-E6817ACCE1EF}"/>
    <cellStyle name="20% - Accent1 30 7 2 3" xfId="956" xr:uid="{E1951DD9-3A0D-4A19-8F75-454D32D590B0}"/>
    <cellStyle name="20% - Accent1 30 7 2 3 2" xfId="957" xr:uid="{3697439B-FEB1-4DAD-8BD1-A296FED8EA68}"/>
    <cellStyle name="20% - Accent1 30 7 2 3 2 2" xfId="958" xr:uid="{A98BB6A4-90BB-4CB3-90FB-785B400BB901}"/>
    <cellStyle name="20% - Accent1 30 7 2 3 3" xfId="959" xr:uid="{955037A4-D9DE-4604-BCFE-1A5B231C54CA}"/>
    <cellStyle name="20% - Accent1 30 7 2 4" xfId="960" xr:uid="{93D98DCA-6F3E-4AE8-9B3C-0089A239FD75}"/>
    <cellStyle name="20% - Accent1 30 7 2 4 2" xfId="961" xr:uid="{C27D0EDB-A7EF-4975-900B-82653F3CF146}"/>
    <cellStyle name="20% - Accent1 30 7 2 5" xfId="962" xr:uid="{2549730F-00DF-46B8-818D-00B032F9FFF4}"/>
    <cellStyle name="20% - Accent1 30 7 3" xfId="963" xr:uid="{D7E834BC-D5B6-4E4E-921C-A29CB368564E}"/>
    <cellStyle name="20% - Accent1 30 7 3 2" xfId="964" xr:uid="{1D2779AC-5D58-4EF4-AB48-23BC18F467B7}"/>
    <cellStyle name="20% - Accent1 30 7 3 2 2" xfId="965" xr:uid="{5DFB2897-442C-4328-B4FA-3C264A75F909}"/>
    <cellStyle name="20% - Accent1 30 7 3 3" xfId="966" xr:uid="{FF50A275-45BB-475A-AC2F-8F22FF36538F}"/>
    <cellStyle name="20% - Accent1 30 7 4" xfId="967" xr:uid="{53B8D653-B1E1-4679-9867-A430451446E3}"/>
    <cellStyle name="20% - Accent1 30 7 4 2" xfId="968" xr:uid="{5B4D5176-F8B3-435D-90D2-5339A320B06A}"/>
    <cellStyle name="20% - Accent1 30 7 4 2 2" xfId="969" xr:uid="{C4E62C06-27C5-44AF-BD19-382E43D7E6D7}"/>
    <cellStyle name="20% - Accent1 30 7 4 3" xfId="970" xr:uid="{4AD84D5C-6E4C-4A3B-B926-22CDF7E78078}"/>
    <cellStyle name="20% - Accent1 30 7 5" xfId="971" xr:uid="{E16E8FFA-B6CF-4EB9-8DE7-DD5B5F2DAE4D}"/>
    <cellStyle name="20% - Accent1 30 7 5 2" xfId="972" xr:uid="{C0825D4E-EC4E-4DB4-B1DE-F1F152F651CD}"/>
    <cellStyle name="20% - Accent1 30 7 6" xfId="973" xr:uid="{3179E884-CC73-4150-A419-405706267CBE}"/>
    <cellStyle name="20% - Accent1 30 8" xfId="974" xr:uid="{D828318D-221F-4192-B1E1-68200EC79CD8}"/>
    <cellStyle name="20% - Accent1 30 8 2" xfId="975" xr:uid="{C49F81B4-15F5-444E-B262-110AB4DF8306}"/>
    <cellStyle name="20% - Accent1 30 8 2 2" xfId="976" xr:uid="{1CBAD4F0-BB01-458D-940B-FEE75C413372}"/>
    <cellStyle name="20% - Accent1 30 8 2 2 2" xfId="977" xr:uid="{2F4A6ACB-81CA-4897-AB7C-EA395EE18B9C}"/>
    <cellStyle name="20% - Accent1 30 8 2 2 2 2" xfId="978" xr:uid="{B04968EF-49E9-4548-9262-3E19956587AF}"/>
    <cellStyle name="20% - Accent1 30 8 2 2 3" xfId="979" xr:uid="{8384CD4D-D827-43AE-B61F-F30C2BD8FBE0}"/>
    <cellStyle name="20% - Accent1 30 8 2 3" xfId="980" xr:uid="{59B4ED26-7AF2-4CED-A248-90783FB516AD}"/>
    <cellStyle name="20% - Accent1 30 8 2 3 2" xfId="981" xr:uid="{BB9B1986-F434-48BD-AEDE-C2A38158817D}"/>
    <cellStyle name="20% - Accent1 30 8 2 3 2 2" xfId="982" xr:uid="{821D6985-8A44-44FA-8485-EF002EBAE794}"/>
    <cellStyle name="20% - Accent1 30 8 2 3 3" xfId="983" xr:uid="{81FE16FA-B69A-4240-8EB7-CD9C226CFB21}"/>
    <cellStyle name="20% - Accent1 30 8 2 4" xfId="984" xr:uid="{A80E6509-E2FF-4A6F-BF58-F3E7FBB83F5B}"/>
    <cellStyle name="20% - Accent1 30 8 2 4 2" xfId="985" xr:uid="{99703DAE-2E37-4F6B-BF43-FF36456FB26E}"/>
    <cellStyle name="20% - Accent1 30 8 2 5" xfId="986" xr:uid="{E0BEF62A-8F6A-4E9A-9027-FD396AACE694}"/>
    <cellStyle name="20% - Accent1 30 8 3" xfId="987" xr:uid="{371A4403-9D53-40CF-9217-FB2FB41FE41B}"/>
    <cellStyle name="20% - Accent1 30 8 3 2" xfId="988" xr:uid="{0B1E65E6-6933-4A9C-8D55-42A32ED80E7D}"/>
    <cellStyle name="20% - Accent1 30 8 3 2 2" xfId="989" xr:uid="{98ECFD8D-D4ED-45E4-AE19-921C4638B1BB}"/>
    <cellStyle name="20% - Accent1 30 8 3 3" xfId="990" xr:uid="{14650B7A-9477-4EB3-A5C3-92CA33DFD97F}"/>
    <cellStyle name="20% - Accent1 30 8 4" xfId="991" xr:uid="{04457496-346E-4A2A-9FA9-AA58D78E3225}"/>
    <cellStyle name="20% - Accent1 30 8 4 2" xfId="992" xr:uid="{075F5923-ACAE-4D07-A749-F4F6E6801959}"/>
    <cellStyle name="20% - Accent1 30 8 4 2 2" xfId="993" xr:uid="{56780CD0-3FCB-45E0-BE80-BEDF3806CE5E}"/>
    <cellStyle name="20% - Accent1 30 8 4 3" xfId="994" xr:uid="{87763FD7-E01F-4AB9-920D-BF01EBA88045}"/>
    <cellStyle name="20% - Accent1 30 8 5" xfId="995" xr:uid="{23AA5E66-B8E1-46B2-B226-709980F7BCCE}"/>
    <cellStyle name="20% - Accent1 30 8 5 2" xfId="996" xr:uid="{81E4DB6F-7633-47AE-98A9-B57391F84777}"/>
    <cellStyle name="20% - Accent1 30 8 6" xfId="997" xr:uid="{1467EB3C-49B2-4778-B9F3-873A2619ECB5}"/>
    <cellStyle name="20% - Accent1 30 9" xfId="998" xr:uid="{42039C77-B11E-4255-B3FA-9D23E76F7F03}"/>
    <cellStyle name="20% - Accent1 30 9 2" xfId="999" xr:uid="{A041DFF2-6D17-4ECE-849F-74C245D020BE}"/>
    <cellStyle name="20% - Accent1 30 9 2 2" xfId="1000" xr:uid="{8C45BD48-6F70-4F0A-A315-C9CA2A0CF917}"/>
    <cellStyle name="20% - Accent1 30 9 2 2 2" xfId="1001" xr:uid="{7AAB6283-C156-4396-8DFE-C9E0E0434FC9}"/>
    <cellStyle name="20% - Accent1 30 9 2 2 2 2" xfId="1002" xr:uid="{9470296B-DDB5-40D8-BB92-58CC15F3D44A}"/>
    <cellStyle name="20% - Accent1 30 9 2 2 3" xfId="1003" xr:uid="{A30AF512-4539-4041-9EA8-1E3B33F41713}"/>
    <cellStyle name="20% - Accent1 30 9 2 3" xfId="1004" xr:uid="{EA573F31-A588-40D8-8260-AA4FE6C6F337}"/>
    <cellStyle name="20% - Accent1 30 9 2 3 2" xfId="1005" xr:uid="{FCB63FD2-D207-4B67-8308-89C94C5716C8}"/>
    <cellStyle name="20% - Accent1 30 9 2 3 2 2" xfId="1006" xr:uid="{952079AB-4405-40CF-9DC5-D7893DD0A8F0}"/>
    <cellStyle name="20% - Accent1 30 9 2 3 3" xfId="1007" xr:uid="{2580447E-107F-4671-854F-38BFD901BDE4}"/>
    <cellStyle name="20% - Accent1 30 9 2 4" xfId="1008" xr:uid="{D3D5B7FB-1A24-490C-9DF9-FD5563ECABF6}"/>
    <cellStyle name="20% - Accent1 30 9 2 4 2" xfId="1009" xr:uid="{089201F4-5640-4714-BD59-2372CBA52FB1}"/>
    <cellStyle name="20% - Accent1 30 9 2 5" xfId="1010" xr:uid="{ACA332B8-6EE4-4A97-8A02-F6D382B9C5DF}"/>
    <cellStyle name="20% - Accent1 30 9 3" xfId="1011" xr:uid="{2049D521-8F2B-43EA-A1F6-8AA3D11E9CEB}"/>
    <cellStyle name="20% - Accent1 30 9 3 2" xfId="1012" xr:uid="{43CBD9BB-3591-420E-8796-D786B587B12B}"/>
    <cellStyle name="20% - Accent1 30 9 3 2 2" xfId="1013" xr:uid="{997C2B23-145E-492B-8585-DE3AA2C783B6}"/>
    <cellStyle name="20% - Accent1 30 9 3 3" xfId="1014" xr:uid="{5EC4961B-0E13-4723-BC93-4EC8F6AC69E9}"/>
    <cellStyle name="20% - Accent1 30 9 4" xfId="1015" xr:uid="{D6282B94-6540-4B0A-97C1-6086C4A215AE}"/>
    <cellStyle name="20% - Accent1 30 9 4 2" xfId="1016" xr:uid="{06FEBBA4-6B9A-4163-B17C-8699727E4C04}"/>
    <cellStyle name="20% - Accent1 30 9 4 2 2" xfId="1017" xr:uid="{155E9497-5C9A-4720-AE1B-83FE1F3359DE}"/>
    <cellStyle name="20% - Accent1 30 9 4 3" xfId="1018" xr:uid="{D5EF8DB7-0619-4563-AE56-67CF588E4A39}"/>
    <cellStyle name="20% - Accent1 30 9 5" xfId="1019" xr:uid="{ACDD0C41-9B29-41EC-9EED-9EB6E91E86E2}"/>
    <cellStyle name="20% - Accent1 30 9 5 2" xfId="1020" xr:uid="{0E9C60C9-E89A-45CB-9D5A-7A387430A833}"/>
    <cellStyle name="20% - Accent1 30 9 6" xfId="1021" xr:uid="{6277D94E-FB8E-41D1-AB4A-3A8CBF02D3EB}"/>
    <cellStyle name="20% - Accent1 31" xfId="1022" xr:uid="{B9E80EB8-E7FB-4D8C-8FEF-C5F28E37223E}"/>
    <cellStyle name="20% - Accent1 31 10" xfId="1023" xr:uid="{B9595451-521C-4D8D-9D3B-4E477C8F42CF}"/>
    <cellStyle name="20% - Accent1 31 10 2" xfId="1024" xr:uid="{32A07F48-4509-491D-BD5F-0204FBB49CB0}"/>
    <cellStyle name="20% - Accent1 31 10 2 2" xfId="1025" xr:uid="{F2716D4C-F3FA-4EBE-B663-224D8537EA41}"/>
    <cellStyle name="20% - Accent1 31 10 2 2 2" xfId="1026" xr:uid="{386E2722-B351-4796-B382-2DE4F601E1E2}"/>
    <cellStyle name="20% - Accent1 31 10 2 2 2 2" xfId="1027" xr:uid="{80D6F83C-5846-4DEA-ACDC-1AF91A2954FA}"/>
    <cellStyle name="20% - Accent1 31 10 2 2 3" xfId="1028" xr:uid="{3B05649B-3826-4B7B-B996-8275D3B88195}"/>
    <cellStyle name="20% - Accent1 31 10 2 3" xfId="1029" xr:uid="{15CBDDCF-95AA-485A-9913-B23689612A57}"/>
    <cellStyle name="20% - Accent1 31 10 2 3 2" xfId="1030" xr:uid="{019F2370-8E7A-43DF-B80B-6E758FDD56D7}"/>
    <cellStyle name="20% - Accent1 31 10 2 3 2 2" xfId="1031" xr:uid="{8E030DF1-9BD4-4005-8593-704BC9257E10}"/>
    <cellStyle name="20% - Accent1 31 10 2 3 3" xfId="1032" xr:uid="{AEC4E511-179D-4C9A-845F-2E5319BE94D6}"/>
    <cellStyle name="20% - Accent1 31 10 2 4" xfId="1033" xr:uid="{74F04B65-03A4-476C-BC25-81CD33E685B2}"/>
    <cellStyle name="20% - Accent1 31 10 2 4 2" xfId="1034" xr:uid="{84D297C3-8C09-4CF5-8B9D-7A29740871BB}"/>
    <cellStyle name="20% - Accent1 31 10 2 5" xfId="1035" xr:uid="{880DC504-C2EC-4994-88B3-FBC16FF509C9}"/>
    <cellStyle name="20% - Accent1 31 10 3" xfId="1036" xr:uid="{EEEB6616-D030-46A2-9AD7-E326D76C9910}"/>
    <cellStyle name="20% - Accent1 31 10 3 2" xfId="1037" xr:uid="{F0B6A72D-64CD-4706-91F7-3CF58196B310}"/>
    <cellStyle name="20% - Accent1 31 10 3 2 2" xfId="1038" xr:uid="{DC0DAA68-97B9-4015-88B3-22A1A2EE8E16}"/>
    <cellStyle name="20% - Accent1 31 10 3 3" xfId="1039" xr:uid="{955306E4-8DCE-492B-BBD3-BA501876D3A8}"/>
    <cellStyle name="20% - Accent1 31 10 4" xfId="1040" xr:uid="{2B5DA85A-CAFC-427F-AB26-F4029BDF5B87}"/>
    <cellStyle name="20% - Accent1 31 10 4 2" xfId="1041" xr:uid="{E9214AAB-8045-4FE8-981B-B3C6900DF148}"/>
    <cellStyle name="20% - Accent1 31 10 4 2 2" xfId="1042" xr:uid="{95A60D37-3170-4575-B718-A14EAF222280}"/>
    <cellStyle name="20% - Accent1 31 10 4 3" xfId="1043" xr:uid="{56FEA3F4-DFE9-4D69-A70B-AB58281CCC6E}"/>
    <cellStyle name="20% - Accent1 31 10 5" xfId="1044" xr:uid="{E51BED95-A938-4DBE-8DEB-6E69C3ADE862}"/>
    <cellStyle name="20% - Accent1 31 10 5 2" xfId="1045" xr:uid="{B66313DC-DA9C-435F-8E61-FC5B3765ABA9}"/>
    <cellStyle name="20% - Accent1 31 10 6" xfId="1046" xr:uid="{B7B44B74-60B9-4DBF-B5FC-B875097B965A}"/>
    <cellStyle name="20% - Accent1 31 11" xfId="1047" xr:uid="{DF3DF6A9-793C-4259-A201-5C0F2921F9C8}"/>
    <cellStyle name="20% - Accent1 31 11 2" xfId="1048" xr:uid="{06AF2968-EC30-4059-90A6-36B631B27C3C}"/>
    <cellStyle name="20% - Accent1 31 11 2 2" xfId="1049" xr:uid="{A55EFE84-9DB5-433B-A4BE-508776916933}"/>
    <cellStyle name="20% - Accent1 31 11 2 2 2" xfId="1050" xr:uid="{66325409-2087-4523-AA98-7B6FE24A2070}"/>
    <cellStyle name="20% - Accent1 31 11 2 3" xfId="1051" xr:uid="{4458ECFE-692A-42C1-9ADB-7373C0E274C4}"/>
    <cellStyle name="20% - Accent1 31 11 3" xfId="1052" xr:uid="{F51CA9A4-8D80-414C-9FA0-E7B9BFAA084B}"/>
    <cellStyle name="20% - Accent1 31 11 3 2" xfId="1053" xr:uid="{88196383-ED4A-45D8-819B-749E07B22695}"/>
    <cellStyle name="20% - Accent1 31 11 3 2 2" xfId="1054" xr:uid="{CE3396EC-F1DB-4391-94D7-AA5BC17BE770}"/>
    <cellStyle name="20% - Accent1 31 11 3 3" xfId="1055" xr:uid="{2067325F-5E4A-4B81-8089-1EF59DA87395}"/>
    <cellStyle name="20% - Accent1 31 11 4" xfId="1056" xr:uid="{4844543A-9CDE-426D-9CEA-E85BBE07B4A0}"/>
    <cellStyle name="20% - Accent1 31 11 4 2" xfId="1057" xr:uid="{D99A5D4A-A1A5-46A4-A1F7-B8FCA7700241}"/>
    <cellStyle name="20% - Accent1 31 11 5" xfId="1058" xr:uid="{92F1DEDB-23A5-42E3-B600-673F0A97B6D9}"/>
    <cellStyle name="20% - Accent1 31 12" xfId="1059" xr:uid="{41F451CC-FD88-462C-98D1-2F51F3821A8F}"/>
    <cellStyle name="20% - Accent1 31 12 2" xfId="1060" xr:uid="{86A32D7C-4636-4F69-B533-967591BC5F08}"/>
    <cellStyle name="20% - Accent1 31 12 2 2" xfId="1061" xr:uid="{217BA847-76ED-43E5-9D71-FB163CEE818E}"/>
    <cellStyle name="20% - Accent1 31 12 3" xfId="1062" xr:uid="{68164C58-05FF-4BB6-8F15-7AF38551306B}"/>
    <cellStyle name="20% - Accent1 31 13" xfId="1063" xr:uid="{227A8B58-B9AA-46A0-817E-6D612B2BA470}"/>
    <cellStyle name="20% - Accent1 31 13 2" xfId="1064" xr:uid="{569FC17D-D4F1-4234-B02E-45186BED6EA6}"/>
    <cellStyle name="20% - Accent1 31 13 2 2" xfId="1065" xr:uid="{F9A1D359-EA89-4530-907A-4A8C967833B3}"/>
    <cellStyle name="20% - Accent1 31 13 3" xfId="1066" xr:uid="{CEF542CE-1402-4EAA-A69F-F55008B2B28F}"/>
    <cellStyle name="20% - Accent1 31 14" xfId="1067" xr:uid="{0891DB46-C6BC-4670-A573-10965877140D}"/>
    <cellStyle name="20% - Accent1 31 14 2" xfId="1068" xr:uid="{7D39E2B7-09D4-4567-9DC0-D182ADCE5B6B}"/>
    <cellStyle name="20% - Accent1 31 15" xfId="1069" xr:uid="{D6B536B6-CB0C-41CE-B938-B5C975B71F24}"/>
    <cellStyle name="20% - Accent1 31 16" xfId="35583" xr:uid="{92F80AA5-CE62-4BBD-A55D-B36E5EC4D64D}"/>
    <cellStyle name="20% - Accent1 31 2" xfId="1070" xr:uid="{695ED6A5-6F86-4FEC-B6AE-87218A232317}"/>
    <cellStyle name="20% - Accent1 31 2 2" xfId="1071" xr:uid="{B2ACF0BC-4D6F-4061-A60A-13D4A2D1F0E4}"/>
    <cellStyle name="20% - Accent1 31 2 2 2" xfId="1072" xr:uid="{739C308E-8709-45C1-ACC0-7C5CB886AE07}"/>
    <cellStyle name="20% - Accent1 31 2 2 2 2" xfId="1073" xr:uid="{E0715A56-5EF1-4118-9B3B-88B605628C32}"/>
    <cellStyle name="20% - Accent1 31 2 2 2 2 2" xfId="1074" xr:uid="{9077C90A-E3F5-4DE0-A62E-6D542A6EA0C1}"/>
    <cellStyle name="20% - Accent1 31 2 2 2 3" xfId="1075" xr:uid="{C4B50314-142E-403B-B007-4AA8D90A3C79}"/>
    <cellStyle name="20% - Accent1 31 2 2 3" xfId="1076" xr:uid="{7C3690F1-34B2-44AD-9C3D-0B006138BEEF}"/>
    <cellStyle name="20% - Accent1 31 2 2 3 2" xfId="1077" xr:uid="{090AA790-E091-4A8D-B50C-C6C28BCDA18D}"/>
    <cellStyle name="20% - Accent1 31 2 2 3 2 2" xfId="1078" xr:uid="{6E61AC12-C243-4A6E-8880-692605FA916B}"/>
    <cellStyle name="20% - Accent1 31 2 2 3 3" xfId="1079" xr:uid="{EFA8FC55-0E5E-4575-AC39-F0C7EA8A937A}"/>
    <cellStyle name="20% - Accent1 31 2 2 4" xfId="1080" xr:uid="{589669FC-B7ED-49C5-8898-FFE3CF3B53A8}"/>
    <cellStyle name="20% - Accent1 31 2 2 4 2" xfId="1081" xr:uid="{8C62FECA-F70E-4EE5-BC46-D9273F59D2A1}"/>
    <cellStyle name="20% - Accent1 31 2 2 5" xfId="1082" xr:uid="{0DD82DFB-334A-440A-8FD0-DBE724E2CBFD}"/>
    <cellStyle name="20% - Accent1 31 2 3" xfId="1083" xr:uid="{CBB06BEE-52E9-4499-A76E-CB7C3B63AC38}"/>
    <cellStyle name="20% - Accent1 31 2 3 2" xfId="1084" xr:uid="{A08A5A3F-712D-48F9-A7C7-43EE0D0CF9DA}"/>
    <cellStyle name="20% - Accent1 31 2 3 2 2" xfId="1085" xr:uid="{2B646500-8FB3-4153-AB80-9A331837C013}"/>
    <cellStyle name="20% - Accent1 31 2 3 3" xfId="1086" xr:uid="{2E66568F-1F6A-434F-BDCF-5B1DE9960F54}"/>
    <cellStyle name="20% - Accent1 31 2 4" xfId="1087" xr:uid="{D12818C2-69CC-4E7C-9F95-4800F7F69AAD}"/>
    <cellStyle name="20% - Accent1 31 2 4 2" xfId="1088" xr:uid="{3271883B-C0C8-4BAA-A0DC-FD7C89FFC333}"/>
    <cellStyle name="20% - Accent1 31 2 4 2 2" xfId="1089" xr:uid="{18BCFBD3-0E41-4F9F-9023-E21EFC372032}"/>
    <cellStyle name="20% - Accent1 31 2 4 3" xfId="1090" xr:uid="{65D5ED74-C0A8-4BD9-ACBD-ED257B968AF7}"/>
    <cellStyle name="20% - Accent1 31 2 5" xfId="1091" xr:uid="{53B04D71-6F76-4CEE-92E2-DCC600CF1CD1}"/>
    <cellStyle name="20% - Accent1 31 2 5 2" xfId="1092" xr:uid="{235F7E5E-EA27-4221-8016-D3DBC599EE47}"/>
    <cellStyle name="20% - Accent1 31 2 6" xfId="1093" xr:uid="{F63A316E-40E5-4821-83F3-07934B2D8256}"/>
    <cellStyle name="20% - Accent1 31 3" xfId="1094" xr:uid="{8556761E-5958-4430-97DA-B93827CC227E}"/>
    <cellStyle name="20% - Accent1 31 3 2" xfId="1095" xr:uid="{C715EC43-6B57-4B9D-9EDE-44B700D470D1}"/>
    <cellStyle name="20% - Accent1 31 3 2 2" xfId="1096" xr:uid="{00F6ECFB-3D1F-4444-87D4-E1F4D714E1A8}"/>
    <cellStyle name="20% - Accent1 31 3 2 2 2" xfId="1097" xr:uid="{80813D8D-4851-4CA3-8B5F-EB714DF2128B}"/>
    <cellStyle name="20% - Accent1 31 3 2 2 2 2" xfId="1098" xr:uid="{BB11ECCD-3049-44B1-BD11-B91ADCE57838}"/>
    <cellStyle name="20% - Accent1 31 3 2 2 3" xfId="1099" xr:uid="{3809EF29-1A9F-4FB7-AF07-278A57B8788B}"/>
    <cellStyle name="20% - Accent1 31 3 2 3" xfId="1100" xr:uid="{E2EF646B-5621-4D9C-B053-7E23597605EA}"/>
    <cellStyle name="20% - Accent1 31 3 2 3 2" xfId="1101" xr:uid="{28B31B4D-58EC-4485-B9C3-627350EC6B51}"/>
    <cellStyle name="20% - Accent1 31 3 2 3 2 2" xfId="1102" xr:uid="{5ABA2618-A00C-4711-B0FD-C04031B31A47}"/>
    <cellStyle name="20% - Accent1 31 3 2 3 3" xfId="1103" xr:uid="{9E340A17-3CB6-4432-9CAB-3338EF8944BC}"/>
    <cellStyle name="20% - Accent1 31 3 2 4" xfId="1104" xr:uid="{0601ECD4-8D94-4E61-838F-25485597890D}"/>
    <cellStyle name="20% - Accent1 31 3 2 4 2" xfId="1105" xr:uid="{B58DCD21-8E19-4F58-BDF8-58F707B8223A}"/>
    <cellStyle name="20% - Accent1 31 3 2 5" xfId="1106" xr:uid="{B1DDB94D-8790-4E86-B07F-5D98699ED28F}"/>
    <cellStyle name="20% - Accent1 31 3 3" xfId="1107" xr:uid="{D3E77BB2-F50B-4E0E-A823-A91523B0149C}"/>
    <cellStyle name="20% - Accent1 31 3 3 2" xfId="1108" xr:uid="{72D7677D-CBCA-4D9D-A723-3871DD59F4C8}"/>
    <cellStyle name="20% - Accent1 31 3 3 2 2" xfId="1109" xr:uid="{3BBCE88D-4341-46F5-9DE8-0E7EFB789503}"/>
    <cellStyle name="20% - Accent1 31 3 3 3" xfId="1110" xr:uid="{11AD994D-0205-4DF9-9CC1-2E25547745DA}"/>
    <cellStyle name="20% - Accent1 31 3 4" xfId="1111" xr:uid="{63ED17F6-1EAC-4ED1-8791-DF58FC7C8CAE}"/>
    <cellStyle name="20% - Accent1 31 3 4 2" xfId="1112" xr:uid="{F5D5D11B-0E07-4C2F-83F9-647A36E1EE42}"/>
    <cellStyle name="20% - Accent1 31 3 4 2 2" xfId="1113" xr:uid="{280EDF43-5A89-4A66-8702-1DAADD282610}"/>
    <cellStyle name="20% - Accent1 31 3 4 3" xfId="1114" xr:uid="{2A54EAAD-1195-4AD6-B9BB-46FCA848A7DB}"/>
    <cellStyle name="20% - Accent1 31 3 5" xfId="1115" xr:uid="{A79B4A1C-79E6-4BCE-9D66-0149278C3599}"/>
    <cellStyle name="20% - Accent1 31 3 5 2" xfId="1116" xr:uid="{7D407146-C917-4E62-B839-B1F01892EB2B}"/>
    <cellStyle name="20% - Accent1 31 3 6" xfId="1117" xr:uid="{FC56951C-095F-471E-B2A3-0410FC266624}"/>
    <cellStyle name="20% - Accent1 31 4" xfId="1118" xr:uid="{00F3D03D-B737-4C71-B6B7-0582A8E76C4B}"/>
    <cellStyle name="20% - Accent1 31 4 2" xfId="1119" xr:uid="{1F3E5658-71BF-4301-AF35-66616B51AE45}"/>
    <cellStyle name="20% - Accent1 31 4 2 2" xfId="1120" xr:uid="{BD3209B5-9C52-410B-B0C7-0935E94E0A8F}"/>
    <cellStyle name="20% - Accent1 31 4 2 2 2" xfId="1121" xr:uid="{4FD3EA8E-2A89-44A4-88ED-2CBEEAF8D215}"/>
    <cellStyle name="20% - Accent1 31 4 2 2 2 2" xfId="1122" xr:uid="{EB8F5FD6-4622-47BC-9404-1FCBF0CF1123}"/>
    <cellStyle name="20% - Accent1 31 4 2 2 3" xfId="1123" xr:uid="{C4A7371D-6D56-4AAE-B95D-19DFFFF4A1A1}"/>
    <cellStyle name="20% - Accent1 31 4 2 3" xfId="1124" xr:uid="{B779F158-ED2A-47B5-8889-C2945850A241}"/>
    <cellStyle name="20% - Accent1 31 4 2 3 2" xfId="1125" xr:uid="{AE45F8FE-0612-46E2-8295-E59E39284148}"/>
    <cellStyle name="20% - Accent1 31 4 2 3 2 2" xfId="1126" xr:uid="{65ED1A02-5F1D-44D2-88A7-5A996B858DDF}"/>
    <cellStyle name="20% - Accent1 31 4 2 3 3" xfId="1127" xr:uid="{1CB02147-2D5A-4BF3-8F74-E9F1CE502AA9}"/>
    <cellStyle name="20% - Accent1 31 4 2 4" xfId="1128" xr:uid="{2E325357-0A10-44AE-B0B3-D79F8B7770E3}"/>
    <cellStyle name="20% - Accent1 31 4 2 4 2" xfId="1129" xr:uid="{F58ED7F9-4753-45F7-894D-63D88AE04063}"/>
    <cellStyle name="20% - Accent1 31 4 2 5" xfId="1130" xr:uid="{D13D68DE-C0F0-4497-988F-3CD144334996}"/>
    <cellStyle name="20% - Accent1 31 4 3" xfId="1131" xr:uid="{6B55882D-C773-404C-A8E9-C01FCDC4B728}"/>
    <cellStyle name="20% - Accent1 31 4 3 2" xfId="1132" xr:uid="{314D73D4-E661-47FF-889C-2847373889E6}"/>
    <cellStyle name="20% - Accent1 31 4 3 2 2" xfId="1133" xr:uid="{D54C6A18-37C2-498F-A918-438EB2C69081}"/>
    <cellStyle name="20% - Accent1 31 4 3 3" xfId="1134" xr:uid="{8211D374-5FA3-47AA-9CEC-60EB21466C4F}"/>
    <cellStyle name="20% - Accent1 31 4 4" xfId="1135" xr:uid="{79E81CD0-FA4A-43D8-8A13-B525C128CE9E}"/>
    <cellStyle name="20% - Accent1 31 4 4 2" xfId="1136" xr:uid="{40C905D6-762B-4C3D-83E0-A21AE0082214}"/>
    <cellStyle name="20% - Accent1 31 4 4 2 2" xfId="1137" xr:uid="{8914C0A9-CE4D-4302-AF66-516469F46B05}"/>
    <cellStyle name="20% - Accent1 31 4 4 3" xfId="1138" xr:uid="{D4FD9F7C-AC34-460D-8FF1-644E5C8B8B80}"/>
    <cellStyle name="20% - Accent1 31 4 5" xfId="1139" xr:uid="{05679A6D-20DD-4681-A021-B5B00C1ECF8A}"/>
    <cellStyle name="20% - Accent1 31 4 5 2" xfId="1140" xr:uid="{BBBF4246-334B-4BD6-8E8C-92620C0890A9}"/>
    <cellStyle name="20% - Accent1 31 4 6" xfId="1141" xr:uid="{DF195D55-0ADA-4303-82E5-0CC024F51DA0}"/>
    <cellStyle name="20% - Accent1 31 5" xfId="1142" xr:uid="{0E4793F8-86D1-4FB7-82B6-31D013A3AABB}"/>
    <cellStyle name="20% - Accent1 31 5 2" xfId="1143" xr:uid="{3EF3CC38-3C95-4E30-AC6E-D8D9BFC6A081}"/>
    <cellStyle name="20% - Accent1 31 5 2 2" xfId="1144" xr:uid="{C8324000-C2C5-42A9-9E62-427E2946204B}"/>
    <cellStyle name="20% - Accent1 31 5 2 2 2" xfId="1145" xr:uid="{1E75F36E-35C6-426F-9E1D-67F66B92C00F}"/>
    <cellStyle name="20% - Accent1 31 5 2 2 2 2" xfId="1146" xr:uid="{BDC8F374-3598-4ECA-9139-3AF693836CC8}"/>
    <cellStyle name="20% - Accent1 31 5 2 2 3" xfId="1147" xr:uid="{01645ED9-C1B1-48C3-A98E-8B35AC60D5A1}"/>
    <cellStyle name="20% - Accent1 31 5 2 3" xfId="1148" xr:uid="{5850C5FF-51E5-4B42-A0F5-0C89E3FA3DDE}"/>
    <cellStyle name="20% - Accent1 31 5 2 3 2" xfId="1149" xr:uid="{5AD76BD2-CD99-4C54-A7D4-6DFF6ABBC234}"/>
    <cellStyle name="20% - Accent1 31 5 2 3 2 2" xfId="1150" xr:uid="{E04BEB7F-2DDF-44D1-9967-4DAE33DD3BCB}"/>
    <cellStyle name="20% - Accent1 31 5 2 3 3" xfId="1151" xr:uid="{E0BAE468-AB7E-432E-A269-6BE5120DE869}"/>
    <cellStyle name="20% - Accent1 31 5 2 4" xfId="1152" xr:uid="{1D730A0F-5A9E-4A33-AD3D-E835E9042199}"/>
    <cellStyle name="20% - Accent1 31 5 2 4 2" xfId="1153" xr:uid="{37A20905-BD8F-4713-BFA7-56F1EEAD6926}"/>
    <cellStyle name="20% - Accent1 31 5 2 5" xfId="1154" xr:uid="{2A627D8A-F99B-43F1-BC6C-8384681838A7}"/>
    <cellStyle name="20% - Accent1 31 5 3" xfId="1155" xr:uid="{80BDE265-677D-4361-B18B-0FDDBA4100EE}"/>
    <cellStyle name="20% - Accent1 31 5 3 2" xfId="1156" xr:uid="{8FEA2649-969C-409D-96AC-EEEB039B8BD9}"/>
    <cellStyle name="20% - Accent1 31 5 3 2 2" xfId="1157" xr:uid="{37FBFD60-CFCE-4A84-95B4-DC9CAE56E07F}"/>
    <cellStyle name="20% - Accent1 31 5 3 3" xfId="1158" xr:uid="{6202D9AD-B4E3-4A8E-BD76-149C129865CF}"/>
    <cellStyle name="20% - Accent1 31 5 4" xfId="1159" xr:uid="{3A86DC38-99CE-4B64-BB49-1BD5B5D880D9}"/>
    <cellStyle name="20% - Accent1 31 5 4 2" xfId="1160" xr:uid="{E38B57C7-BAE4-4CA8-93A3-7465C466D7CE}"/>
    <cellStyle name="20% - Accent1 31 5 4 2 2" xfId="1161" xr:uid="{9133EEC3-A652-4E5A-9815-F83E4FBF8606}"/>
    <cellStyle name="20% - Accent1 31 5 4 3" xfId="1162" xr:uid="{9F791A90-A61C-4768-8C3E-71034B9ACF65}"/>
    <cellStyle name="20% - Accent1 31 5 5" xfId="1163" xr:uid="{9509CE1F-4DDF-4EE9-A583-C322F6A5E4B8}"/>
    <cellStyle name="20% - Accent1 31 5 5 2" xfId="1164" xr:uid="{4FF89223-8DD2-4382-8BCE-BE9178B03CF4}"/>
    <cellStyle name="20% - Accent1 31 5 6" xfId="1165" xr:uid="{901C42B8-04B6-498D-ACFB-CB4EC0F2DCD7}"/>
    <cellStyle name="20% - Accent1 31 6" xfId="1166" xr:uid="{63375B38-0B8A-4E79-ABC2-CE05CA312E9F}"/>
    <cellStyle name="20% - Accent1 31 6 2" xfId="1167" xr:uid="{B80FD270-426E-45BC-82B8-2D59DC43E9F0}"/>
    <cellStyle name="20% - Accent1 31 6 2 2" xfId="1168" xr:uid="{6B94F9B5-606E-4BFA-9C23-453A9D5EA9DB}"/>
    <cellStyle name="20% - Accent1 31 6 2 2 2" xfId="1169" xr:uid="{4F990791-1FEF-4902-B847-1E3D2A360068}"/>
    <cellStyle name="20% - Accent1 31 6 2 2 2 2" xfId="1170" xr:uid="{8AFE1DF2-03B5-4666-801A-A294F16ACA4E}"/>
    <cellStyle name="20% - Accent1 31 6 2 2 3" xfId="1171" xr:uid="{BA5E8AFF-0E71-4EF9-93E1-30726A7B5C17}"/>
    <cellStyle name="20% - Accent1 31 6 2 3" xfId="1172" xr:uid="{67BD5520-CF39-4C03-9D92-09304431A387}"/>
    <cellStyle name="20% - Accent1 31 6 2 3 2" xfId="1173" xr:uid="{869697B2-3E9E-4AAE-8481-E1236A0FA67B}"/>
    <cellStyle name="20% - Accent1 31 6 2 3 2 2" xfId="1174" xr:uid="{A9B7893C-8209-44C4-9027-BE5C8DB09797}"/>
    <cellStyle name="20% - Accent1 31 6 2 3 3" xfId="1175" xr:uid="{73870D4D-0CE4-43FA-99BA-33F835CB3DEB}"/>
    <cellStyle name="20% - Accent1 31 6 2 4" xfId="1176" xr:uid="{92B5593D-14CF-4334-A2BF-ABF7E3896747}"/>
    <cellStyle name="20% - Accent1 31 6 2 4 2" xfId="1177" xr:uid="{DADCF0F6-F40E-422B-8D47-A6E778226F59}"/>
    <cellStyle name="20% - Accent1 31 6 2 5" xfId="1178" xr:uid="{2712B889-F312-4592-A9A5-E58F42CB5F76}"/>
    <cellStyle name="20% - Accent1 31 6 3" xfId="1179" xr:uid="{320BDDC4-B4A2-4689-A354-FAE3654BC24C}"/>
    <cellStyle name="20% - Accent1 31 6 3 2" xfId="1180" xr:uid="{F0891D28-D108-4B93-B239-852917E686C8}"/>
    <cellStyle name="20% - Accent1 31 6 3 2 2" xfId="1181" xr:uid="{657901AC-D9B6-420A-A854-16A7F92C8AF1}"/>
    <cellStyle name="20% - Accent1 31 6 3 3" xfId="1182" xr:uid="{3C711C85-E562-4DEA-BD5A-39BF71FB4D51}"/>
    <cellStyle name="20% - Accent1 31 6 4" xfId="1183" xr:uid="{2F6E7584-FCD6-4F02-A7F8-E8F4189EE551}"/>
    <cellStyle name="20% - Accent1 31 6 4 2" xfId="1184" xr:uid="{5ADCE0C1-114B-4BCD-8F54-9DFE113A8F6D}"/>
    <cellStyle name="20% - Accent1 31 6 4 2 2" xfId="1185" xr:uid="{EEB691DE-3BF2-4281-B99B-BD0E96F93D37}"/>
    <cellStyle name="20% - Accent1 31 6 4 3" xfId="1186" xr:uid="{D551AD65-C149-4593-B55C-99F0B5A24CB6}"/>
    <cellStyle name="20% - Accent1 31 6 5" xfId="1187" xr:uid="{4DEB9F1B-F3CE-403B-B3EB-047D5581B879}"/>
    <cellStyle name="20% - Accent1 31 6 5 2" xfId="1188" xr:uid="{8EB0586C-AD40-423A-BF50-2C4D6DB64A56}"/>
    <cellStyle name="20% - Accent1 31 6 6" xfId="1189" xr:uid="{88F1B639-F0CE-4C07-828E-329097120130}"/>
    <cellStyle name="20% - Accent1 31 7" xfId="1190" xr:uid="{17FBE396-0794-444D-9A5F-7C0B86648BAB}"/>
    <cellStyle name="20% - Accent1 31 7 2" xfId="1191" xr:uid="{745F6E7F-CD0B-4757-B868-1BBAA5E97050}"/>
    <cellStyle name="20% - Accent1 31 7 2 2" xfId="1192" xr:uid="{DEB7F5EB-D700-46FD-BBCE-FB167767DDC3}"/>
    <cellStyle name="20% - Accent1 31 7 2 2 2" xfId="1193" xr:uid="{157A3677-9564-40AF-94B4-3D7148F8F788}"/>
    <cellStyle name="20% - Accent1 31 7 2 2 2 2" xfId="1194" xr:uid="{5721FF22-1020-4F42-90E5-3060E0E313DA}"/>
    <cellStyle name="20% - Accent1 31 7 2 2 3" xfId="1195" xr:uid="{5A0030E0-A344-4B29-B80F-8AA43F2F630C}"/>
    <cellStyle name="20% - Accent1 31 7 2 3" xfId="1196" xr:uid="{586F476C-E07A-4716-A1A7-2FD379851510}"/>
    <cellStyle name="20% - Accent1 31 7 2 3 2" xfId="1197" xr:uid="{F583C99E-66C7-42E1-912B-5986E262EBBF}"/>
    <cellStyle name="20% - Accent1 31 7 2 3 2 2" xfId="1198" xr:uid="{376EE7B7-0272-43E7-A775-9ADD93D6B445}"/>
    <cellStyle name="20% - Accent1 31 7 2 3 3" xfId="1199" xr:uid="{192BC188-194E-402D-B270-31D3BCF43D93}"/>
    <cellStyle name="20% - Accent1 31 7 2 4" xfId="1200" xr:uid="{12AAAE56-A589-4321-B723-D9B2EFFBA907}"/>
    <cellStyle name="20% - Accent1 31 7 2 4 2" xfId="1201" xr:uid="{F1491AA0-44E8-4E10-812F-2DA990E9C1F9}"/>
    <cellStyle name="20% - Accent1 31 7 2 5" xfId="1202" xr:uid="{C55B5389-4C42-4E8B-8A71-BBD0FAA0FB04}"/>
    <cellStyle name="20% - Accent1 31 7 3" xfId="1203" xr:uid="{39626AFA-CB0A-4009-A9A5-95FF1FC89471}"/>
    <cellStyle name="20% - Accent1 31 7 3 2" xfId="1204" xr:uid="{00925A65-882B-4306-81C6-C1381C373DB9}"/>
    <cellStyle name="20% - Accent1 31 7 3 2 2" xfId="1205" xr:uid="{30DF6A89-9815-4417-8ECB-A4570DF301B7}"/>
    <cellStyle name="20% - Accent1 31 7 3 3" xfId="1206" xr:uid="{D09C2EE9-8409-4492-8040-75EB48024E0C}"/>
    <cellStyle name="20% - Accent1 31 7 4" xfId="1207" xr:uid="{37BFC4F6-C33E-426B-A08D-56E7BC841963}"/>
    <cellStyle name="20% - Accent1 31 7 4 2" xfId="1208" xr:uid="{AAD9CB92-484F-4CC0-89EF-6CCFD82F9CFB}"/>
    <cellStyle name="20% - Accent1 31 7 4 2 2" xfId="1209" xr:uid="{D803701D-3CFE-4D84-BD05-F28FB1168275}"/>
    <cellStyle name="20% - Accent1 31 7 4 3" xfId="1210" xr:uid="{E8833BFC-A58F-4F1D-A0B2-5DE0A8DC20E4}"/>
    <cellStyle name="20% - Accent1 31 7 5" xfId="1211" xr:uid="{1670B442-F429-46AB-B312-CA4AB896C4DF}"/>
    <cellStyle name="20% - Accent1 31 7 5 2" xfId="1212" xr:uid="{E62530CD-BF8E-43DB-8E66-122F47433DC1}"/>
    <cellStyle name="20% - Accent1 31 7 6" xfId="1213" xr:uid="{B0AF3074-82B3-4513-8EDE-1CE37AA4D006}"/>
    <cellStyle name="20% - Accent1 31 8" xfId="1214" xr:uid="{EF7A63B8-2AA1-4F8A-A604-EC95D01EF00F}"/>
    <cellStyle name="20% - Accent1 31 8 2" xfId="1215" xr:uid="{976B0976-6C86-45D5-B2AE-7D7C58C4E108}"/>
    <cellStyle name="20% - Accent1 31 8 2 2" xfId="1216" xr:uid="{6A032096-6663-4F00-A7A2-E29BD94C4640}"/>
    <cellStyle name="20% - Accent1 31 8 2 2 2" xfId="1217" xr:uid="{0F5F4D2A-EBDF-47A8-9C7E-CBA15976E220}"/>
    <cellStyle name="20% - Accent1 31 8 2 2 2 2" xfId="1218" xr:uid="{006EBC30-4EE0-4429-9EC6-7BC5B67F8E9D}"/>
    <cellStyle name="20% - Accent1 31 8 2 2 3" xfId="1219" xr:uid="{ECC110DB-C2AA-4A34-9B16-4A5EC7DB3779}"/>
    <cellStyle name="20% - Accent1 31 8 2 3" xfId="1220" xr:uid="{CC674EC1-567A-42EF-BDD2-4C1A001CFB26}"/>
    <cellStyle name="20% - Accent1 31 8 2 3 2" xfId="1221" xr:uid="{21FADCCB-E513-4ADD-BD5E-8D3F29B03CA7}"/>
    <cellStyle name="20% - Accent1 31 8 2 3 2 2" xfId="1222" xr:uid="{C3C1BFE5-926C-4120-BD56-E0EEAB10C109}"/>
    <cellStyle name="20% - Accent1 31 8 2 3 3" xfId="1223" xr:uid="{86F9ECC8-48B0-4B13-A6EB-E6776AA6939F}"/>
    <cellStyle name="20% - Accent1 31 8 2 4" xfId="1224" xr:uid="{BAD27645-701E-47FA-BB69-C9ADF2447D0A}"/>
    <cellStyle name="20% - Accent1 31 8 2 4 2" xfId="1225" xr:uid="{4DD18D6E-43F0-4E49-8FD5-3119D15FFF6D}"/>
    <cellStyle name="20% - Accent1 31 8 2 5" xfId="1226" xr:uid="{FB0299B2-74C1-4857-91D2-00A90A827641}"/>
    <cellStyle name="20% - Accent1 31 8 3" xfId="1227" xr:uid="{673E7FBE-0FFB-4D20-BBC6-1ECCE060E7B6}"/>
    <cellStyle name="20% - Accent1 31 8 3 2" xfId="1228" xr:uid="{6A93E9B8-AA1C-477F-A33D-F9DF2D2073F9}"/>
    <cellStyle name="20% - Accent1 31 8 3 2 2" xfId="1229" xr:uid="{79676349-678A-42B8-ABCE-9E057C285FF4}"/>
    <cellStyle name="20% - Accent1 31 8 3 3" xfId="1230" xr:uid="{93E003E9-19A3-4B16-BAEA-81B55442C2B0}"/>
    <cellStyle name="20% - Accent1 31 8 4" xfId="1231" xr:uid="{C139220D-2CE1-4948-9A22-246D7E1F2B4F}"/>
    <cellStyle name="20% - Accent1 31 8 4 2" xfId="1232" xr:uid="{DAAE0EFA-2A33-4F2F-A1A5-3BEDB5185B0A}"/>
    <cellStyle name="20% - Accent1 31 8 4 2 2" xfId="1233" xr:uid="{66FD5075-1A8E-488C-849F-8F1A9BEB5863}"/>
    <cellStyle name="20% - Accent1 31 8 4 3" xfId="1234" xr:uid="{DA6714C9-FCD1-4AD0-8540-B19B88E6B60C}"/>
    <cellStyle name="20% - Accent1 31 8 5" xfId="1235" xr:uid="{E042F73D-DFF2-4AAE-89F6-06B8A1E0961C}"/>
    <cellStyle name="20% - Accent1 31 8 5 2" xfId="1236" xr:uid="{BF15944C-493E-42F5-8CAF-9FE47119975C}"/>
    <cellStyle name="20% - Accent1 31 8 6" xfId="1237" xr:uid="{BF088DD9-2676-4DB2-9B8A-1EE73E239F72}"/>
    <cellStyle name="20% - Accent1 31 9" xfId="1238" xr:uid="{FFF78B29-1EF8-43E1-9455-5176D8E3DC62}"/>
    <cellStyle name="20% - Accent1 31 9 2" xfId="1239" xr:uid="{03893EE8-5297-4D4F-B000-99FE10E5D00E}"/>
    <cellStyle name="20% - Accent1 31 9 2 2" xfId="1240" xr:uid="{71FE7196-B52A-4276-AA12-1DF1F7FADC26}"/>
    <cellStyle name="20% - Accent1 31 9 2 2 2" xfId="1241" xr:uid="{705A2027-25F1-4471-BE56-0B8E225CB378}"/>
    <cellStyle name="20% - Accent1 31 9 2 2 2 2" xfId="1242" xr:uid="{6F557CF7-884E-443A-8AE6-3F9501B30A00}"/>
    <cellStyle name="20% - Accent1 31 9 2 2 3" xfId="1243" xr:uid="{A93A89C2-D7C0-4AC7-899D-AD5D4A809474}"/>
    <cellStyle name="20% - Accent1 31 9 2 3" xfId="1244" xr:uid="{107093C6-9A6D-43FD-86ED-2E1F3DEAE196}"/>
    <cellStyle name="20% - Accent1 31 9 2 3 2" xfId="1245" xr:uid="{501E7E6B-ED67-4350-905D-8F3E16AEA3B4}"/>
    <cellStyle name="20% - Accent1 31 9 2 3 2 2" xfId="1246" xr:uid="{0FE9EC87-2482-4152-90EA-72970995B69A}"/>
    <cellStyle name="20% - Accent1 31 9 2 3 3" xfId="1247" xr:uid="{922621B1-50C6-4162-9DAC-6FE3FADED6E8}"/>
    <cellStyle name="20% - Accent1 31 9 2 4" xfId="1248" xr:uid="{6DC4DCCA-A7B2-4F8B-BCEE-7E2E8C356789}"/>
    <cellStyle name="20% - Accent1 31 9 2 4 2" xfId="1249" xr:uid="{A09F9987-8DAB-4EC5-A6B9-47389D977F38}"/>
    <cellStyle name="20% - Accent1 31 9 2 5" xfId="1250" xr:uid="{6199C9B4-3031-434C-A525-D3EF70744A35}"/>
    <cellStyle name="20% - Accent1 31 9 3" xfId="1251" xr:uid="{8CF4AAD1-0273-4E5D-A2F0-E8584FBD7888}"/>
    <cellStyle name="20% - Accent1 31 9 3 2" xfId="1252" xr:uid="{E268CC1C-BCA6-4DAC-8B5C-F0A5EBAC3393}"/>
    <cellStyle name="20% - Accent1 31 9 3 2 2" xfId="1253" xr:uid="{D3491CBE-BC99-403D-88B0-ECB8D6C7E953}"/>
    <cellStyle name="20% - Accent1 31 9 3 3" xfId="1254" xr:uid="{8A490100-7705-4F6B-87C4-FFE8D4628F13}"/>
    <cellStyle name="20% - Accent1 31 9 4" xfId="1255" xr:uid="{55D4215F-FE00-428F-B44E-784A6948DAE7}"/>
    <cellStyle name="20% - Accent1 31 9 4 2" xfId="1256" xr:uid="{941B2A02-ED8E-44A1-9C4E-78EB3DAA8498}"/>
    <cellStyle name="20% - Accent1 31 9 4 2 2" xfId="1257" xr:uid="{D82CDDF9-6662-4C7D-8081-71622149E109}"/>
    <cellStyle name="20% - Accent1 31 9 4 3" xfId="1258" xr:uid="{39B58F3F-2AB9-4997-949B-C4F7FD49DA0C}"/>
    <cellStyle name="20% - Accent1 31 9 5" xfId="1259" xr:uid="{F7844134-82CD-4358-9396-7A1577D69F4F}"/>
    <cellStyle name="20% - Accent1 31 9 5 2" xfId="1260" xr:uid="{46AEAB48-2F62-4347-BFDD-3E917F636CE3}"/>
    <cellStyle name="20% - Accent1 31 9 6" xfId="1261" xr:uid="{13B245E2-07F2-41F0-82CD-9BED09CBD4E3}"/>
    <cellStyle name="20% - Accent1 32" xfId="1262" xr:uid="{665AF663-ABEE-43BB-927F-1C014DAFABFE}"/>
    <cellStyle name="20% - Accent1 32 2" xfId="1263" xr:uid="{073415F2-202D-4192-8E35-F5E64E69F2E5}"/>
    <cellStyle name="20% - Accent1 32 2 2" xfId="1264" xr:uid="{7D20CCC6-8684-4B8A-A5EF-23A9F70EE182}"/>
    <cellStyle name="20% - Accent1 32 2 2 2" xfId="1265" xr:uid="{099D0AB8-3A66-4D9F-A66F-6B65DA5DACA1}"/>
    <cellStyle name="20% - Accent1 32 2 2 2 2" xfId="1266" xr:uid="{42AE1D58-2509-4500-AFCC-CE13C50CF597}"/>
    <cellStyle name="20% - Accent1 32 2 2 3" xfId="1267" xr:uid="{F8840E5F-6709-401C-B379-EF606C369AE1}"/>
    <cellStyle name="20% - Accent1 32 2 3" xfId="1268" xr:uid="{F9A562FC-84B8-439D-BDA9-8414A2645499}"/>
    <cellStyle name="20% - Accent1 32 2 3 2" xfId="1269" xr:uid="{858D7520-1F1E-47E0-AD0C-64A9850B0AFD}"/>
    <cellStyle name="20% - Accent1 32 2 3 2 2" xfId="1270" xr:uid="{52C8A8D0-AF83-42BF-9D0F-CA337A174E08}"/>
    <cellStyle name="20% - Accent1 32 2 3 3" xfId="1271" xr:uid="{DB3270E2-6B83-4259-ADFB-833B0EE3A59E}"/>
    <cellStyle name="20% - Accent1 32 2 4" xfId="1272" xr:uid="{64465039-BD99-4A2E-AEA9-E195D62847CB}"/>
    <cellStyle name="20% - Accent1 32 2 4 2" xfId="1273" xr:uid="{7D7CD8DF-13F9-4C58-9656-41D119C8626B}"/>
    <cellStyle name="20% - Accent1 32 2 5" xfId="1274" xr:uid="{231D7253-9BD3-4F34-BA48-9CFEF7688430}"/>
    <cellStyle name="20% - Accent1 32 3" xfId="1275" xr:uid="{ACABFD87-53B7-4C8D-95D7-5102AB0290E7}"/>
    <cellStyle name="20% - Accent1 32 3 2" xfId="1276" xr:uid="{ACA01C93-9250-42C7-A40A-CC908609262E}"/>
    <cellStyle name="20% - Accent1 32 3 2 2" xfId="1277" xr:uid="{C13511BC-6689-4BA6-B75B-69F67A5CC55D}"/>
    <cellStyle name="20% - Accent1 32 3 3" xfId="1278" xr:uid="{A6EF5CF8-B1AA-4B64-A7B1-AC8FDDA60424}"/>
    <cellStyle name="20% - Accent1 32 4" xfId="1279" xr:uid="{CB248BF1-084D-4A43-BF7A-544D9EAD508E}"/>
    <cellStyle name="20% - Accent1 32 4 2" xfId="1280" xr:uid="{5AA74456-E24E-469D-B6BF-61BAA2C387E8}"/>
    <cellStyle name="20% - Accent1 32 4 2 2" xfId="1281" xr:uid="{958E188A-BEE6-4B62-BA8A-F25C796A4A03}"/>
    <cellStyle name="20% - Accent1 32 4 3" xfId="1282" xr:uid="{A7E2945B-44BD-44B7-8CB9-A01BE1012D03}"/>
    <cellStyle name="20% - Accent1 32 5" xfId="1283" xr:uid="{05443045-B7DA-4548-A77E-79B719BCB148}"/>
    <cellStyle name="20% - Accent1 32 5 2" xfId="1284" xr:uid="{EF222679-FCEB-47BB-83F0-967C04794A04}"/>
    <cellStyle name="20% - Accent1 32 6" xfId="1285" xr:uid="{3F670462-6541-4F8E-B22B-ECDD2BA027EB}"/>
    <cellStyle name="20% - Accent1 32 7" xfId="35584" xr:uid="{AD7BDB5A-AF1C-4530-BF49-62ABC236BF55}"/>
    <cellStyle name="20% - Accent1 33" xfId="1286" xr:uid="{41AD6028-7736-4F4B-B808-D7AAAD78E96F}"/>
    <cellStyle name="20% - Accent1 33 2" xfId="1287" xr:uid="{CE917375-D791-457A-AD78-24EB7B3B078E}"/>
    <cellStyle name="20% - Accent1 33 2 2" xfId="1288" xr:uid="{DF357CDC-B1C5-4AF3-83BD-617B85A60D76}"/>
    <cellStyle name="20% - Accent1 33 2 2 2" xfId="1289" xr:uid="{DB36249F-F14B-44C1-AACC-31CC47E8AB05}"/>
    <cellStyle name="20% - Accent1 33 2 2 2 2" xfId="1290" xr:uid="{6BD98A0C-D924-4BCA-9946-853036101C4E}"/>
    <cellStyle name="20% - Accent1 33 2 2 3" xfId="1291" xr:uid="{75D2052A-F165-4C1B-B366-775977757CA4}"/>
    <cellStyle name="20% - Accent1 33 2 3" xfId="1292" xr:uid="{21C52248-1C17-4D4F-9004-74698550C950}"/>
    <cellStyle name="20% - Accent1 33 2 3 2" xfId="1293" xr:uid="{BA508A82-9324-4665-AE17-89E0794D8C23}"/>
    <cellStyle name="20% - Accent1 33 2 3 2 2" xfId="1294" xr:uid="{F456DB82-4ED7-4C39-B2D6-FC005BFE67C1}"/>
    <cellStyle name="20% - Accent1 33 2 3 3" xfId="1295" xr:uid="{A77F64FD-2351-4DC1-9E7D-9558B0650ADC}"/>
    <cellStyle name="20% - Accent1 33 2 4" xfId="1296" xr:uid="{50953359-CFFC-4ADC-AB2E-FEAD675EEFBB}"/>
    <cellStyle name="20% - Accent1 33 2 4 2" xfId="1297" xr:uid="{11C20EC9-73C7-4A0D-8ADF-233EAC6B8BDB}"/>
    <cellStyle name="20% - Accent1 33 2 5" xfId="1298" xr:uid="{C59915AE-9891-4F76-AD91-E0FD9A48E8EF}"/>
    <cellStyle name="20% - Accent1 33 3" xfId="1299" xr:uid="{DA8D5D3E-E3A0-4E95-B80F-C7FB37A8AACC}"/>
    <cellStyle name="20% - Accent1 33 3 2" xfId="1300" xr:uid="{2D414114-0CAE-41D6-B772-85A53B175FD3}"/>
    <cellStyle name="20% - Accent1 33 3 2 2" xfId="1301" xr:uid="{5F8FB38C-6948-42BF-9D6E-CCBDA819B65E}"/>
    <cellStyle name="20% - Accent1 33 3 3" xfId="1302" xr:uid="{D52DEFD3-E0ED-4414-9800-E2D6C7F49A1E}"/>
    <cellStyle name="20% - Accent1 33 4" xfId="1303" xr:uid="{1FA5F07B-1937-4C1C-86A1-39A307FC13F9}"/>
    <cellStyle name="20% - Accent1 33 4 2" xfId="1304" xr:uid="{8E2A9EBA-2294-4466-8854-96569225E479}"/>
    <cellStyle name="20% - Accent1 33 4 2 2" xfId="1305" xr:uid="{97FB880E-EAB8-48A9-8AC4-419270308F97}"/>
    <cellStyle name="20% - Accent1 33 4 3" xfId="1306" xr:uid="{6DD25AC7-6C63-4191-9DA9-5C563CEBB70A}"/>
    <cellStyle name="20% - Accent1 33 5" xfId="1307" xr:uid="{6371DEFB-9CFF-4C97-8DEE-1D3A5D7714F2}"/>
    <cellStyle name="20% - Accent1 33 5 2" xfId="1308" xr:uid="{2E1A9301-5DA2-4315-9552-4A6947B36A14}"/>
    <cellStyle name="20% - Accent1 33 6" xfId="35585" xr:uid="{93DA8FA9-30C1-435F-89A8-9E30F0ECB2DB}"/>
    <cellStyle name="20% - Accent1 34" xfId="1309" xr:uid="{991242B4-296D-4E15-A139-8D0FAFC20994}"/>
    <cellStyle name="20% - Accent1 34 2" xfId="1310" xr:uid="{17BC0E26-7C1F-4510-8DE9-98D1233FD90B}"/>
    <cellStyle name="20% - Accent1 34 2 2" xfId="1311" xr:uid="{199CADBF-F336-4DEB-A8AE-6632F8B3143B}"/>
    <cellStyle name="20% - Accent1 34 2 2 2" xfId="1312" xr:uid="{B7FE0DB0-DAAC-4E7F-92E9-AB87B1BC4D59}"/>
    <cellStyle name="20% - Accent1 34 2 2 2 2" xfId="1313" xr:uid="{08E41861-00E8-4FDA-A2B5-B40BD1D84ADC}"/>
    <cellStyle name="20% - Accent1 34 2 2 3" xfId="1314" xr:uid="{37AC79E8-6C1F-4760-B790-B903A2BD667D}"/>
    <cellStyle name="20% - Accent1 34 2 3" xfId="1315" xr:uid="{87CE6CE8-B60E-4388-8AB5-EF7C59CFF29F}"/>
    <cellStyle name="20% - Accent1 34 2 3 2" xfId="1316" xr:uid="{BC1FF968-8DD1-4C92-99AC-09F351B26807}"/>
    <cellStyle name="20% - Accent1 34 2 3 2 2" xfId="1317" xr:uid="{8C2EEC7D-0EB6-4055-BDBC-CBF1DE8469DF}"/>
    <cellStyle name="20% - Accent1 34 2 3 3" xfId="1318" xr:uid="{226A5638-7893-4E8A-9B1E-44A96D792BC0}"/>
    <cellStyle name="20% - Accent1 34 2 4" xfId="1319" xr:uid="{D0361B4E-121D-4158-A712-50E917C2376C}"/>
    <cellStyle name="20% - Accent1 34 2 4 2" xfId="1320" xr:uid="{F2F3A3E4-EE12-4706-89D4-6C58D050DE79}"/>
    <cellStyle name="20% - Accent1 34 2 5" xfId="1321" xr:uid="{FEED34E7-F0BD-4ADC-9147-7D675A771205}"/>
    <cellStyle name="20% - Accent1 34 3" xfId="1322" xr:uid="{A141D591-07E3-4190-8A8A-9C5C0E408D36}"/>
    <cellStyle name="20% - Accent1 34 3 2" xfId="1323" xr:uid="{053B6435-D270-4EFA-8454-E808C6BF4D77}"/>
    <cellStyle name="20% - Accent1 34 3 2 2" xfId="1324" xr:uid="{53806A8A-948A-415C-A65B-2C7F12949CBB}"/>
    <cellStyle name="20% - Accent1 34 3 3" xfId="1325" xr:uid="{EE75E252-4DC2-47CC-9123-85DEB11B1746}"/>
    <cellStyle name="20% - Accent1 34 4" xfId="1326" xr:uid="{5A61C6F6-9B96-4AA5-97B8-533833C56A0D}"/>
    <cellStyle name="20% - Accent1 34 4 2" xfId="1327" xr:uid="{199B6D82-6212-4893-921C-739E6A14EC21}"/>
    <cellStyle name="20% - Accent1 34 4 2 2" xfId="1328" xr:uid="{8A5A49C8-D775-4A3A-B0F0-581C6709A696}"/>
    <cellStyle name="20% - Accent1 34 4 3" xfId="1329" xr:uid="{829DE163-5C87-4BFB-812A-C4AF6792FF94}"/>
    <cellStyle name="20% - Accent1 34 5" xfId="1330" xr:uid="{828AEF4D-D0E9-4BDC-ABB9-FB1A25C172B0}"/>
    <cellStyle name="20% - Accent1 34 5 2" xfId="1331" xr:uid="{C1D00C24-488A-46DA-A4D0-A2707C06589B}"/>
    <cellStyle name="20% - Accent1 34 6" xfId="35586" xr:uid="{1E774C6C-B9AB-4487-AEAF-A4722E84D1D1}"/>
    <cellStyle name="20% - Accent1 35" xfId="1332" xr:uid="{ECA6F737-26E6-46C5-97CF-CB4ECB62A59C}"/>
    <cellStyle name="20% - Accent1 35 2" xfId="1333" xr:uid="{86A7CF1D-6145-45D8-81A2-F2206D211468}"/>
    <cellStyle name="20% - Accent1 35 2 2" xfId="1334" xr:uid="{E5E8A8E1-1C69-4DEA-99F1-9BD08DBF7B37}"/>
    <cellStyle name="20% - Accent1 35 2 2 2" xfId="1335" xr:uid="{AA2BAEC7-5AB6-440F-8E3C-0F61BEEA2A5E}"/>
    <cellStyle name="20% - Accent1 35 2 2 2 2" xfId="1336" xr:uid="{DEC67B73-E32A-49CB-A3B6-609455F54325}"/>
    <cellStyle name="20% - Accent1 35 2 2 3" xfId="1337" xr:uid="{7D898453-F0C3-4DEF-81CC-0456B05B047E}"/>
    <cellStyle name="20% - Accent1 35 2 3" xfId="1338" xr:uid="{2D177E31-3AC6-4374-BAC7-4676D20AC09C}"/>
    <cellStyle name="20% - Accent1 35 2 3 2" xfId="1339" xr:uid="{1DCC00FF-725C-4856-990D-3162355908A7}"/>
    <cellStyle name="20% - Accent1 35 2 3 2 2" xfId="1340" xr:uid="{0C204559-1183-4F4C-8A4D-E2A0D95ABCFA}"/>
    <cellStyle name="20% - Accent1 35 2 3 3" xfId="1341" xr:uid="{E7C29B92-78B1-44B1-8FBC-A0664246CCD9}"/>
    <cellStyle name="20% - Accent1 35 2 4" xfId="1342" xr:uid="{A4A53904-7413-458E-BA15-A6A2D290C6AF}"/>
    <cellStyle name="20% - Accent1 35 2 4 2" xfId="1343" xr:uid="{3A3C0CEF-D80D-4C9B-8A3C-FB6043B75760}"/>
    <cellStyle name="20% - Accent1 35 2 5" xfId="1344" xr:uid="{D47574B7-0A04-457C-BA26-27EACE5CD8B2}"/>
    <cellStyle name="20% - Accent1 35 3" xfId="1345" xr:uid="{D17980A2-7246-4382-871A-9EF7AF78F630}"/>
    <cellStyle name="20% - Accent1 35 3 2" xfId="1346" xr:uid="{BE94E878-44F6-440B-A511-255ABB6E8149}"/>
    <cellStyle name="20% - Accent1 35 3 2 2" xfId="1347" xr:uid="{2A3D8FB9-3673-4680-B7B9-82623A2609E6}"/>
    <cellStyle name="20% - Accent1 35 3 3" xfId="1348" xr:uid="{8AFB38DC-BD62-4504-80BE-2AD2CC4F2BA3}"/>
    <cellStyle name="20% - Accent1 35 4" xfId="1349" xr:uid="{18BB64C6-605B-4883-A03A-135801A97539}"/>
    <cellStyle name="20% - Accent1 35 4 2" xfId="1350" xr:uid="{769DEC6B-CB55-4C74-BB18-EEEAFF8AC77C}"/>
    <cellStyle name="20% - Accent1 35 4 2 2" xfId="1351" xr:uid="{375A22CA-3014-40B4-82C0-E87B55DA234F}"/>
    <cellStyle name="20% - Accent1 35 4 3" xfId="1352" xr:uid="{DCDA7642-EB7C-40BA-8354-B9E3A7551CAC}"/>
    <cellStyle name="20% - Accent1 35 5" xfId="1353" xr:uid="{A21A9336-1789-4EA6-9B27-545D38AB3338}"/>
    <cellStyle name="20% - Accent1 35 5 2" xfId="1354" xr:uid="{89058027-554A-4102-937C-54EB3BA30CB1}"/>
    <cellStyle name="20% - Accent1 35 6" xfId="35587" xr:uid="{A5D0360C-6045-4232-BE18-70EAC7738476}"/>
    <cellStyle name="20% - Accent1 36" xfId="1355" xr:uid="{D7DF763B-6519-4198-93D8-5CCEF7FA2A9A}"/>
    <cellStyle name="20% - Accent1 36 2" xfId="1356" xr:uid="{41889BD1-B6F4-4B65-912C-55D564A9C677}"/>
    <cellStyle name="20% - Accent1 36 2 2" xfId="1357" xr:uid="{5DF2B7E3-635E-43C1-BB1A-3D80F28C5304}"/>
    <cellStyle name="20% - Accent1 36 2 2 2" xfId="1358" xr:uid="{7AF7DFBB-3E99-4825-810F-47AC4C89382B}"/>
    <cellStyle name="20% - Accent1 36 2 2 2 2" xfId="1359" xr:uid="{3922736B-957E-4DDD-8733-0D96873D8146}"/>
    <cellStyle name="20% - Accent1 36 2 2 3" xfId="1360" xr:uid="{F3A06353-4D08-4295-BE7F-2E548E266DB5}"/>
    <cellStyle name="20% - Accent1 36 2 3" xfId="1361" xr:uid="{FBDAAC1F-9EDD-4208-B281-17F7A917490E}"/>
    <cellStyle name="20% - Accent1 36 2 3 2" xfId="1362" xr:uid="{D81ABAEA-74C5-46BF-90AD-C215D856AC20}"/>
    <cellStyle name="20% - Accent1 36 2 3 2 2" xfId="1363" xr:uid="{52192B36-7863-4E8A-8042-D0BC8922CEF7}"/>
    <cellStyle name="20% - Accent1 36 2 3 3" xfId="1364" xr:uid="{E9148A0A-A53F-43CE-B511-24107ABB6805}"/>
    <cellStyle name="20% - Accent1 36 2 4" xfId="1365" xr:uid="{445297CA-D6AE-4B98-833D-2AD3BAC029AD}"/>
    <cellStyle name="20% - Accent1 36 2 4 2" xfId="1366" xr:uid="{94C0953D-B365-417D-8008-18DE11FFBFAE}"/>
    <cellStyle name="20% - Accent1 36 2 5" xfId="1367" xr:uid="{80888FC0-BFE4-46EF-BCE2-BD9C7EF25D9C}"/>
    <cellStyle name="20% - Accent1 36 3" xfId="1368" xr:uid="{58BBE356-B435-4450-A01B-97CF4B79F205}"/>
    <cellStyle name="20% - Accent1 36 3 2" xfId="1369" xr:uid="{CB2D567D-5D94-4706-8FB9-D7E2813CC7B1}"/>
    <cellStyle name="20% - Accent1 36 3 2 2" xfId="1370" xr:uid="{340B4EF6-FFD5-4CBE-808E-038FEF45B82B}"/>
    <cellStyle name="20% - Accent1 36 3 3" xfId="1371" xr:uid="{793E29F7-66E0-4E48-A344-E6A251EAD5B6}"/>
    <cellStyle name="20% - Accent1 36 4" xfId="1372" xr:uid="{4D34435C-A185-4921-AF67-BC29EFDF6A8C}"/>
    <cellStyle name="20% - Accent1 36 4 2" xfId="1373" xr:uid="{09C80FC4-BD0E-42A1-8001-30D4FB140A4D}"/>
    <cellStyle name="20% - Accent1 36 4 2 2" xfId="1374" xr:uid="{5C369CE2-A345-46D2-BE4C-FBD1B3BA929F}"/>
    <cellStyle name="20% - Accent1 36 4 3" xfId="1375" xr:uid="{1DCE3712-96AB-4FDA-BBCE-C37D73B37328}"/>
    <cellStyle name="20% - Accent1 36 5" xfId="1376" xr:uid="{ECAAFA78-470B-4481-8EEF-9ECDBCD8802F}"/>
    <cellStyle name="20% - Accent1 36 5 2" xfId="1377" xr:uid="{BFE7A116-70FB-4C15-A225-E166E3B2A719}"/>
    <cellStyle name="20% - Accent1 36 6" xfId="35588" xr:uid="{51333BF5-29F6-4FA4-962F-8C621926679B}"/>
    <cellStyle name="20% - Accent1 37" xfId="1378" xr:uid="{488279FC-F88B-4613-AC76-68412EB36A42}"/>
    <cellStyle name="20% - Accent1 37 2" xfId="1379" xr:uid="{A863D47A-A073-47DA-8414-DB858C9C43BE}"/>
    <cellStyle name="20% - Accent1 37 2 2" xfId="1380" xr:uid="{0E3D0946-2F81-48C6-AADB-7383FF85AC9E}"/>
    <cellStyle name="20% - Accent1 37 2 2 2" xfId="1381" xr:uid="{03EDA981-F5B1-474E-8338-5AD5E7EEC96B}"/>
    <cellStyle name="20% - Accent1 37 2 2 2 2" xfId="1382" xr:uid="{44185928-3EA7-4463-9592-F6DE16B240F5}"/>
    <cellStyle name="20% - Accent1 37 2 2 3" xfId="1383" xr:uid="{1E7306C4-0E0E-4D1C-8262-EE4CCA300CAA}"/>
    <cellStyle name="20% - Accent1 37 2 3" xfId="1384" xr:uid="{A0607A9E-884A-400B-9E6D-0F1FC82CB9A7}"/>
    <cellStyle name="20% - Accent1 37 2 3 2" xfId="1385" xr:uid="{78352F92-79CB-4FCB-872D-1AE4F5547DE1}"/>
    <cellStyle name="20% - Accent1 37 2 3 2 2" xfId="1386" xr:uid="{1AD2D4B5-20FF-4525-8974-FE9F051ABCF7}"/>
    <cellStyle name="20% - Accent1 37 2 3 3" xfId="1387" xr:uid="{B8FE14F1-1623-491F-8924-4A722986DE21}"/>
    <cellStyle name="20% - Accent1 37 2 4" xfId="1388" xr:uid="{49491B52-DE7B-4418-ABF2-46D4F69A3E54}"/>
    <cellStyle name="20% - Accent1 37 2 4 2" xfId="1389" xr:uid="{418D824F-9FEB-441D-B05B-FC4A39EBD142}"/>
    <cellStyle name="20% - Accent1 37 2 5" xfId="1390" xr:uid="{46E08A15-A3DC-4653-BDF9-16AEF853A19F}"/>
    <cellStyle name="20% - Accent1 37 3" xfId="1391" xr:uid="{3757FE35-F8A3-4185-AAF9-C93C993E1135}"/>
    <cellStyle name="20% - Accent1 37 3 2" xfId="1392" xr:uid="{8C5D053D-94FE-4783-8715-B9CE2DBF7DA0}"/>
    <cellStyle name="20% - Accent1 37 3 2 2" xfId="1393" xr:uid="{ED5ECB99-AC72-46F6-AF40-9A88A83338A2}"/>
    <cellStyle name="20% - Accent1 37 3 3" xfId="1394" xr:uid="{A2D0AFA4-C8E1-4CEF-B566-5901DBA742E1}"/>
    <cellStyle name="20% - Accent1 37 4" xfId="1395" xr:uid="{D585DE5A-B276-4518-8526-D3FFF51EFBE5}"/>
    <cellStyle name="20% - Accent1 37 4 2" xfId="1396" xr:uid="{41A31C29-B7EE-4D70-9AD5-E53F96777F32}"/>
    <cellStyle name="20% - Accent1 37 4 2 2" xfId="1397" xr:uid="{CD210270-F9F0-479B-9228-BB4CB381247A}"/>
    <cellStyle name="20% - Accent1 37 4 3" xfId="1398" xr:uid="{CFA631B4-D819-4184-8226-45D3D1820869}"/>
    <cellStyle name="20% - Accent1 37 5" xfId="1399" xr:uid="{48850C2E-3F87-4E85-A478-9673F8067486}"/>
    <cellStyle name="20% - Accent1 37 5 2" xfId="1400" xr:uid="{3DE38614-AF6D-43EA-BBBE-19C200B6E94E}"/>
    <cellStyle name="20% - Accent1 37 6" xfId="35589" xr:uid="{FAE914AC-7980-4967-AE21-74920B0AA73B}"/>
    <cellStyle name="20% - Accent1 38" xfId="1401" xr:uid="{BDD45497-AEA9-4776-AE10-DD41838FCD73}"/>
    <cellStyle name="20% - Accent1 38 2" xfId="1402" xr:uid="{B8F2B0BC-29E8-419D-A417-226E57847FD3}"/>
    <cellStyle name="20% - Accent1 38 2 2" xfId="1403" xr:uid="{DB36031E-09F3-4096-AF4D-C86ECE95A461}"/>
    <cellStyle name="20% - Accent1 38 2 2 2" xfId="1404" xr:uid="{D5778CA1-3399-469D-BC19-FF0EFA2F890D}"/>
    <cellStyle name="20% - Accent1 38 2 2 2 2" xfId="1405" xr:uid="{FE2A2870-9E5A-48D8-BE2C-B95BFDDE1B5D}"/>
    <cellStyle name="20% - Accent1 38 2 2 3" xfId="1406" xr:uid="{97A51E11-DABE-49C0-9233-7FBB8181988D}"/>
    <cellStyle name="20% - Accent1 38 2 3" xfId="1407" xr:uid="{5F5B365B-6B53-4E01-A0B4-6815750A26DD}"/>
    <cellStyle name="20% - Accent1 38 2 3 2" xfId="1408" xr:uid="{B6704B4D-DCEC-4710-B788-E89E73EFFFF9}"/>
    <cellStyle name="20% - Accent1 38 2 3 2 2" xfId="1409" xr:uid="{4B35A8A6-F9DB-4D43-B307-73E46F6F6E1F}"/>
    <cellStyle name="20% - Accent1 38 2 3 3" xfId="1410" xr:uid="{3E79DAB7-C692-4B7E-B067-4C7A23F3B8C5}"/>
    <cellStyle name="20% - Accent1 38 2 4" xfId="1411" xr:uid="{139542CB-AF20-48E4-8C82-D3010E6588EF}"/>
    <cellStyle name="20% - Accent1 38 2 4 2" xfId="1412" xr:uid="{6003C980-C821-437A-B590-E1F744AD146F}"/>
    <cellStyle name="20% - Accent1 38 2 5" xfId="1413" xr:uid="{0E76DAD4-33B2-47B7-B4E6-57B4631BBF47}"/>
    <cellStyle name="20% - Accent1 38 3" xfId="1414" xr:uid="{162A219D-3131-4F5C-BE9F-315E033AF967}"/>
    <cellStyle name="20% - Accent1 38 3 2" xfId="1415" xr:uid="{BED4E8FB-3F7C-473D-B54D-0685A2607F6F}"/>
    <cellStyle name="20% - Accent1 38 3 2 2" xfId="1416" xr:uid="{870EBDC1-7B9E-4B90-97B1-554F83F616A5}"/>
    <cellStyle name="20% - Accent1 38 3 3" xfId="1417" xr:uid="{4669E0F3-FE47-422D-AC3E-B51FE03230C5}"/>
    <cellStyle name="20% - Accent1 38 4" xfId="1418" xr:uid="{D95A10C5-C5E9-4EED-AC11-FF61322DBF7E}"/>
    <cellStyle name="20% - Accent1 38 4 2" xfId="1419" xr:uid="{98459498-ADF1-4FAF-ADFC-5028E708BEE7}"/>
    <cellStyle name="20% - Accent1 38 4 2 2" xfId="1420" xr:uid="{A9D9CFCB-909F-451C-9B94-E56AF88C2EAD}"/>
    <cellStyle name="20% - Accent1 38 4 3" xfId="1421" xr:uid="{5A87519A-193F-46B2-AC89-D8D909667781}"/>
    <cellStyle name="20% - Accent1 38 5" xfId="1422" xr:uid="{52758A50-9388-48FB-B8F4-A06F68A76379}"/>
    <cellStyle name="20% - Accent1 38 5 2" xfId="1423" xr:uid="{11410036-F817-41B0-876A-461F1E52C30F}"/>
    <cellStyle name="20% - Accent1 38 6" xfId="35590" xr:uid="{12668372-9614-40AA-9277-69EF59621D7B}"/>
    <cellStyle name="20% - Accent1 39" xfId="1424" xr:uid="{369BF95A-13BE-4F1C-A14A-5DA0C09EF093}"/>
    <cellStyle name="20% - Accent1 39 2" xfId="1425" xr:uid="{3AFD551B-7ABA-46CD-8A4C-94EFC43ACF6C}"/>
    <cellStyle name="20% - Accent1 39 2 2" xfId="1426" xr:uid="{1F3EE656-1A5C-40ED-B3C9-92F5D3321547}"/>
    <cellStyle name="20% - Accent1 39 2 2 2" xfId="1427" xr:uid="{71E57D91-6446-4BF6-AAF4-842D4CBD2E61}"/>
    <cellStyle name="20% - Accent1 39 2 2 2 2" xfId="1428" xr:uid="{CA3A9460-9259-4B01-89F1-F860FFAAAD78}"/>
    <cellStyle name="20% - Accent1 39 2 2 3" xfId="1429" xr:uid="{4CCB1AA5-1098-44F9-AA0A-035440F67736}"/>
    <cellStyle name="20% - Accent1 39 2 3" xfId="1430" xr:uid="{8D6D355E-8CFA-4938-932B-9A637F50CDCC}"/>
    <cellStyle name="20% - Accent1 39 2 3 2" xfId="1431" xr:uid="{26DAD85A-DBCD-47A4-A757-CB152502E6EA}"/>
    <cellStyle name="20% - Accent1 39 2 3 2 2" xfId="1432" xr:uid="{44E48877-7A00-4F5D-9B12-522C66F4F722}"/>
    <cellStyle name="20% - Accent1 39 2 3 3" xfId="1433" xr:uid="{5213E46B-A704-48E1-8648-8ACD7783B8F4}"/>
    <cellStyle name="20% - Accent1 39 2 4" xfId="1434" xr:uid="{84C514A0-0C2B-46A8-9997-12F433933FE6}"/>
    <cellStyle name="20% - Accent1 39 2 4 2" xfId="1435" xr:uid="{88F285B5-6745-4341-818C-9EADB7BF99AF}"/>
    <cellStyle name="20% - Accent1 39 2 5" xfId="1436" xr:uid="{41E825DC-B356-4B67-810D-2C8BFD9AF3FD}"/>
    <cellStyle name="20% - Accent1 39 3" xfId="1437" xr:uid="{ACB976DD-5633-48DF-A9E1-E4C29B214EB9}"/>
    <cellStyle name="20% - Accent1 39 3 2" xfId="1438" xr:uid="{62BABECA-8EE0-4809-8BCC-AFE68874FE7F}"/>
    <cellStyle name="20% - Accent1 39 3 2 2" xfId="1439" xr:uid="{41C9F3C7-A776-4816-944D-ABFC07E35256}"/>
    <cellStyle name="20% - Accent1 39 3 3" xfId="1440" xr:uid="{2E073332-B6B1-447B-B192-4E4578FED1B5}"/>
    <cellStyle name="20% - Accent1 39 4" xfId="1441" xr:uid="{078F8DF2-8846-4215-8CF2-B20788EF0AD0}"/>
    <cellStyle name="20% - Accent1 39 4 2" xfId="1442" xr:uid="{E99F67DD-DB07-4BBB-94A4-799DFAA1090F}"/>
    <cellStyle name="20% - Accent1 39 4 2 2" xfId="1443" xr:uid="{6159D9C0-67AB-4B93-BF26-BB1F7CE75527}"/>
    <cellStyle name="20% - Accent1 39 4 3" xfId="1444" xr:uid="{37A7E23C-77D2-41B3-917B-72DD81760A62}"/>
    <cellStyle name="20% - Accent1 39 5" xfId="1445" xr:uid="{A7D9F982-1B9F-430F-9950-8D77A723DBC9}"/>
    <cellStyle name="20% - Accent1 39 5 2" xfId="1446" xr:uid="{2FEE6847-58BB-41B5-A67E-9B7B84796BC3}"/>
    <cellStyle name="20% - Accent1 39 6" xfId="35591" xr:uid="{0C7D9218-76E8-49A7-9D38-AFF2F07A7FAC}"/>
    <cellStyle name="20% - Accent1 4" xfId="1447" xr:uid="{69685F60-AD8E-402D-B5BB-E4D61A22D3BE}"/>
    <cellStyle name="20% - Accent1 4 2" xfId="1448" xr:uid="{3DF36DC1-30FF-4B42-B502-FBA486B23F0B}"/>
    <cellStyle name="20% - Accent1 4 2 2" xfId="1449" xr:uid="{49787978-E578-4D14-98E5-0CC6FA7EE2FC}"/>
    <cellStyle name="20% - Accent1 4 2 2 2" xfId="35592" xr:uid="{3193D6FC-773D-4CE4-8A30-3DCA6867D087}"/>
    <cellStyle name="20% - Accent1 4 2 3" xfId="35593" xr:uid="{83FEBFA8-AFC1-4119-8ED8-4F625B3231CE}"/>
    <cellStyle name="20% - Accent1 4 2 4" xfId="35594" xr:uid="{219DC889-E62C-4B45-9084-200843BBCD8B}"/>
    <cellStyle name="20% - Accent1 4 3" xfId="1450" xr:uid="{0B798F6F-EEC6-4B77-BC24-7A90C8C5E7F4}"/>
    <cellStyle name="20% - Accent1 4 3 2" xfId="35595" xr:uid="{7C9EAA8C-05F0-445D-9FAD-E13EAF9A7EA2}"/>
    <cellStyle name="20% - Accent1 4 4" xfId="35596" xr:uid="{198AB0C8-60E7-4F42-A03F-E597D691C853}"/>
    <cellStyle name="20% - Accent1 4 5" xfId="35597" xr:uid="{1BBF2A71-3797-4A9A-992C-D9E4F330953C}"/>
    <cellStyle name="20% - Accent1 40" xfId="1451" xr:uid="{92965524-2C80-4380-B277-25A5B5312B28}"/>
    <cellStyle name="20% - Accent1 40 2" xfId="1452" xr:uid="{89D1E742-FA47-49BA-9CAA-F2D077C5E180}"/>
    <cellStyle name="20% - Accent1 40 2 2" xfId="1453" xr:uid="{D097FDAC-271F-41F2-BFC7-4BB4E1940C50}"/>
    <cellStyle name="20% - Accent1 40 2 2 2" xfId="1454" xr:uid="{0567D7B4-D781-4DEF-8973-A73B9D167045}"/>
    <cellStyle name="20% - Accent1 40 2 2 2 2" xfId="1455" xr:uid="{25B69A8F-3741-4E19-BFDD-92E007930950}"/>
    <cellStyle name="20% - Accent1 40 2 2 3" xfId="1456" xr:uid="{5F40ED9C-EA7C-40EF-98A5-8E39BF2D06F0}"/>
    <cellStyle name="20% - Accent1 40 2 3" xfId="1457" xr:uid="{433F1A5F-6E6D-4C61-88E3-955F03CC4282}"/>
    <cellStyle name="20% - Accent1 40 2 3 2" xfId="1458" xr:uid="{A90C426B-5461-40DA-A91F-A5B1C655E52A}"/>
    <cellStyle name="20% - Accent1 40 2 3 2 2" xfId="1459" xr:uid="{8B15121E-0666-47B7-BCBF-B9C13C1A751C}"/>
    <cellStyle name="20% - Accent1 40 2 3 3" xfId="1460" xr:uid="{C40572C1-3164-49C0-9ECA-3A4C74F86020}"/>
    <cellStyle name="20% - Accent1 40 2 4" xfId="1461" xr:uid="{173DF6AE-A9C9-40A8-85BB-6779CED97CEC}"/>
    <cellStyle name="20% - Accent1 40 2 4 2" xfId="1462" xr:uid="{24DC0166-9CBF-4291-A47B-DED0C38673C1}"/>
    <cellStyle name="20% - Accent1 40 2 5" xfId="1463" xr:uid="{5D99FE92-A2DD-411B-B17B-4C7F1529DD1B}"/>
    <cellStyle name="20% - Accent1 40 3" xfId="1464" xr:uid="{90614259-9AF4-41D2-8685-BF22B882031A}"/>
    <cellStyle name="20% - Accent1 40 3 2" xfId="1465" xr:uid="{F810246C-BFC7-48C3-939B-6B8BFA3C74EA}"/>
    <cellStyle name="20% - Accent1 40 3 2 2" xfId="1466" xr:uid="{D9034C7E-1464-4B21-8ADA-D3A3FC6FCF30}"/>
    <cellStyle name="20% - Accent1 40 3 3" xfId="1467" xr:uid="{58C696A6-E22B-4DF6-B05F-220473920E8F}"/>
    <cellStyle name="20% - Accent1 40 4" xfId="1468" xr:uid="{FF4608BD-317C-431C-8A75-46AA33EACCD7}"/>
    <cellStyle name="20% - Accent1 40 4 2" xfId="1469" xr:uid="{57EFA587-F32D-4EE1-809A-C03723B87F2F}"/>
    <cellStyle name="20% - Accent1 40 4 2 2" xfId="1470" xr:uid="{0193361C-BD04-410F-A110-844AC741239A}"/>
    <cellStyle name="20% - Accent1 40 4 3" xfId="1471" xr:uid="{9318FFA2-61E7-442C-8FD1-B006CB5A462F}"/>
    <cellStyle name="20% - Accent1 40 5" xfId="1472" xr:uid="{D624E8E6-B4CD-4D7D-8C17-6D27DE1BE647}"/>
    <cellStyle name="20% - Accent1 40 5 2" xfId="1473" xr:uid="{56E6C8FF-1A58-4EBC-8818-833B1A0CFDD3}"/>
    <cellStyle name="20% - Accent1 40 6" xfId="35598" xr:uid="{1217F3B8-17A6-478E-9166-BA6C6494EAE5}"/>
    <cellStyle name="20% - Accent1 41" xfId="1474" xr:uid="{0783B375-321B-49F0-B3E6-F9D46EF53E0E}"/>
    <cellStyle name="20% - Accent1 41 2" xfId="1475" xr:uid="{9863E155-C918-4BE2-9349-01C6DC796385}"/>
    <cellStyle name="20% - Accent1 41 2 2" xfId="1476" xr:uid="{F19C6C4A-3E65-4A39-ABAA-89893AE00F23}"/>
    <cellStyle name="20% - Accent1 41 2 2 2" xfId="1477" xr:uid="{47C0F968-9450-4EEC-BC5A-AB73E9CF2B31}"/>
    <cellStyle name="20% - Accent1 41 2 2 2 2" xfId="1478" xr:uid="{9B498B7A-7CE2-4E65-8BE5-8790F713D153}"/>
    <cellStyle name="20% - Accent1 41 2 2 3" xfId="1479" xr:uid="{FAB0B0B9-FC01-4454-946C-E25DB5119770}"/>
    <cellStyle name="20% - Accent1 41 2 3" xfId="1480" xr:uid="{1D790DC7-F7D3-4789-B356-36670488492F}"/>
    <cellStyle name="20% - Accent1 41 2 3 2" xfId="1481" xr:uid="{DDF60422-522D-4BB1-8323-D4AF3D8AF712}"/>
    <cellStyle name="20% - Accent1 41 2 3 2 2" xfId="1482" xr:uid="{23A168A0-9D84-4766-A880-5EEBD1DD11F9}"/>
    <cellStyle name="20% - Accent1 41 2 3 3" xfId="1483" xr:uid="{8BA05115-5C03-4298-9BF9-D8EE0B367D72}"/>
    <cellStyle name="20% - Accent1 41 2 4" xfId="1484" xr:uid="{EABD706A-9329-428A-B5FB-8E9F08184FA8}"/>
    <cellStyle name="20% - Accent1 41 2 4 2" xfId="1485" xr:uid="{B93D8CF5-534C-44CC-84F3-67CC33A533CA}"/>
    <cellStyle name="20% - Accent1 41 2 5" xfId="1486" xr:uid="{6821249F-235A-4881-A3B0-12C0D37DC229}"/>
    <cellStyle name="20% - Accent1 41 3" xfId="1487" xr:uid="{2520B22E-3193-4534-9D06-EFE6004F712A}"/>
    <cellStyle name="20% - Accent1 41 3 2" xfId="1488" xr:uid="{7A614DA7-7479-44B1-855F-0CF578928141}"/>
    <cellStyle name="20% - Accent1 41 3 2 2" xfId="1489" xr:uid="{1B9F8672-A906-4386-9E00-80FA31FE7151}"/>
    <cellStyle name="20% - Accent1 41 3 3" xfId="1490" xr:uid="{D762695A-EEF3-4DAD-886B-AD7865FF64E9}"/>
    <cellStyle name="20% - Accent1 41 4" xfId="1491" xr:uid="{66CD4242-8CF2-4541-8B5B-0A59CEC712A5}"/>
    <cellStyle name="20% - Accent1 41 4 2" xfId="1492" xr:uid="{EF2E11D4-2B74-4190-BA4E-7F30CD7372AF}"/>
    <cellStyle name="20% - Accent1 41 4 2 2" xfId="1493" xr:uid="{A67092B7-9522-42AE-9E28-BA73383F846B}"/>
    <cellStyle name="20% - Accent1 41 4 3" xfId="1494" xr:uid="{88258754-978E-4ECA-A329-F666C4014C8F}"/>
    <cellStyle name="20% - Accent1 41 5" xfId="1495" xr:uid="{5F7B6656-0751-475E-8BBB-36D12BAD4D22}"/>
    <cellStyle name="20% - Accent1 41 5 2" xfId="1496" xr:uid="{F2CA41D1-ABD6-4094-A138-E62F6AD220DF}"/>
    <cellStyle name="20% - Accent1 41 6" xfId="35599" xr:uid="{83A4510D-3628-4D92-AE41-A90FE2D088A1}"/>
    <cellStyle name="20% - Accent1 42" xfId="1497" xr:uid="{4AD8B246-13F6-4583-940D-2A0E530B6985}"/>
    <cellStyle name="20% - Accent1 42 2" xfId="1498" xr:uid="{21276269-0108-49AB-82AE-80AC5DC7D987}"/>
    <cellStyle name="20% - Accent1 42 2 2" xfId="1499" xr:uid="{5F5D71F8-A11A-4BFF-84DA-9C0D058BCA9B}"/>
    <cellStyle name="20% - Accent1 42 2 2 2" xfId="1500" xr:uid="{5E6304E3-EDD1-4557-B32D-50C4689AF8F4}"/>
    <cellStyle name="20% - Accent1 42 2 2 2 2" xfId="1501" xr:uid="{2DCE40A4-A25F-441F-86FC-5F4359B3541A}"/>
    <cellStyle name="20% - Accent1 42 2 2 3" xfId="1502" xr:uid="{0A95524C-7C9D-41C2-9C7A-ED021B27EDA9}"/>
    <cellStyle name="20% - Accent1 42 2 3" xfId="1503" xr:uid="{65E5C17C-7218-4611-A320-3542142FA050}"/>
    <cellStyle name="20% - Accent1 42 2 3 2" xfId="1504" xr:uid="{7BF55D97-17E9-472E-A002-82E9949E30FA}"/>
    <cellStyle name="20% - Accent1 42 2 3 2 2" xfId="1505" xr:uid="{F96DE505-3066-4E3E-BEF2-A46D7E778400}"/>
    <cellStyle name="20% - Accent1 42 2 3 3" xfId="1506" xr:uid="{792711D2-D98C-4CB0-88DA-15C721FCE0E0}"/>
    <cellStyle name="20% - Accent1 42 2 4" xfId="1507" xr:uid="{8E92EE7F-6EDC-4549-8C66-832B8C152D7B}"/>
    <cellStyle name="20% - Accent1 42 2 4 2" xfId="1508" xr:uid="{45C4B1D8-39C9-4A4E-BED8-0331EE240566}"/>
    <cellStyle name="20% - Accent1 42 2 5" xfId="1509" xr:uid="{7706243A-C6CE-47EA-BB8B-1695BF65939D}"/>
    <cellStyle name="20% - Accent1 42 3" xfId="1510" xr:uid="{0DA6026F-5B6E-4752-894F-A146BF982359}"/>
    <cellStyle name="20% - Accent1 42 3 2" xfId="1511" xr:uid="{AAE48819-94BB-4B10-9A2F-49EDEAD23ABF}"/>
    <cellStyle name="20% - Accent1 42 3 2 2" xfId="1512" xr:uid="{92F16F77-1C3F-40AB-BD77-C50199ED9E9D}"/>
    <cellStyle name="20% - Accent1 42 3 3" xfId="1513" xr:uid="{4E29D937-A8EA-475A-B4C0-AAB51E721143}"/>
    <cellStyle name="20% - Accent1 42 4" xfId="1514" xr:uid="{654D9BF9-A36E-45A6-AE3C-3A632E6455CD}"/>
    <cellStyle name="20% - Accent1 42 4 2" xfId="1515" xr:uid="{FDEAE56C-DF21-4F71-AB8B-EAFCD2395266}"/>
    <cellStyle name="20% - Accent1 42 4 2 2" xfId="1516" xr:uid="{7B8D3D57-CE9F-4CAA-8F02-0A23CE46800B}"/>
    <cellStyle name="20% - Accent1 42 4 3" xfId="1517" xr:uid="{A2F600E9-67E9-4697-87A5-B24017286A3E}"/>
    <cellStyle name="20% - Accent1 42 5" xfId="1518" xr:uid="{CB932D7F-E6E5-4090-83DD-8661CDDC781D}"/>
    <cellStyle name="20% - Accent1 42 5 2" xfId="1519" xr:uid="{110BDB6D-7276-4705-8BF1-007CF67AA4F7}"/>
    <cellStyle name="20% - Accent1 42 6" xfId="35600" xr:uid="{3AAB4F74-7293-4736-B15D-30885A66C6E7}"/>
    <cellStyle name="20% - Accent1 43" xfId="1520" xr:uid="{6D374BDE-BEE8-449D-B250-DB02EE0F013C}"/>
    <cellStyle name="20% - Accent1 43 2" xfId="1521" xr:uid="{B0EDB265-CACC-401C-92A0-81D2D3EC0D08}"/>
    <cellStyle name="20% - Accent1 43 3" xfId="35601" xr:uid="{1C37F7AF-3B99-4B12-8A16-B047878A813A}"/>
    <cellStyle name="20% - Accent1 44" xfId="1522" xr:uid="{924FDCBB-1864-4B5B-9FF4-C2AB7231CA08}"/>
    <cellStyle name="20% - Accent1 44 2" xfId="1523" xr:uid="{A7267E1C-2B56-471E-B78A-C16FB42F6427}"/>
    <cellStyle name="20% - Accent1 44 3" xfId="35602" xr:uid="{B3F093A9-49F5-47E0-8C99-921EC08867F6}"/>
    <cellStyle name="20% - Accent1 45" xfId="1524" xr:uid="{9AFAA406-8F5D-4037-BC80-097CAA8E4497}"/>
    <cellStyle name="20% - Accent1 45 2" xfId="1525" xr:uid="{5587975D-59A9-4D01-9F9C-25620BD8F62B}"/>
    <cellStyle name="20% - Accent1 45 3" xfId="35603" xr:uid="{951B5C1D-E378-4F69-AD60-A3C56D9FEBF2}"/>
    <cellStyle name="20% - Accent1 46" xfId="1526" xr:uid="{BDB80A45-1341-4E0D-BE44-D69CE307BD65}"/>
    <cellStyle name="20% - Accent1 46 2" xfId="1527" xr:uid="{122123C6-80A7-4D28-A8F1-A142B6152A1B}"/>
    <cellStyle name="20% - Accent1 46 3" xfId="35604" xr:uid="{4F525424-278C-4F2E-806F-8F1EBF3406E6}"/>
    <cellStyle name="20% - Accent1 47" xfId="1528" xr:uid="{42A95BFE-E857-4479-A3D9-57E6BB80FC0A}"/>
    <cellStyle name="20% - Accent1 47 2" xfId="1529" xr:uid="{5CEE07CB-702B-424E-A90B-80BBA43F3B82}"/>
    <cellStyle name="20% - Accent1 47 3" xfId="35605" xr:uid="{A7275BE7-20CD-4DE0-94C5-0956F7C1590E}"/>
    <cellStyle name="20% - Accent1 48" xfId="1530" xr:uid="{E8F778D5-7BE8-4D1A-8AA6-DA47FD3EEC78}"/>
    <cellStyle name="20% - Accent1 48 2" xfId="1531" xr:uid="{90912C4A-A4F4-4C56-9D10-7998BEE1FC42}"/>
    <cellStyle name="20% - Accent1 48 3" xfId="35606" xr:uid="{182A56AD-555F-4BE4-9D5E-45092BD09E44}"/>
    <cellStyle name="20% - Accent1 49" xfId="1532" xr:uid="{EC822009-A98F-487E-9B69-956C07156929}"/>
    <cellStyle name="20% - Accent1 49 2" xfId="1533" xr:uid="{1FDBD49B-0182-412D-9DE2-59C6ED1CA9EE}"/>
    <cellStyle name="20% - Accent1 49 3" xfId="35607" xr:uid="{EA984643-4B51-4B74-8B43-E9022D9DA296}"/>
    <cellStyle name="20% - Accent1 5" xfId="1534" xr:uid="{A701AF82-CF19-46ED-9D92-26FD3D9CA2CA}"/>
    <cellStyle name="20% - Accent1 5 2" xfId="1535" xr:uid="{2C9474AC-9936-4BC9-84C6-54A584EF2437}"/>
    <cellStyle name="20% - Accent1 5 2 2" xfId="1536" xr:uid="{D4B6FCC4-13D3-43F7-A769-76CC4C9E98FD}"/>
    <cellStyle name="20% - Accent1 5 2 2 2" xfId="35608" xr:uid="{65A1F8D5-CAEC-4659-A452-BF8A2A665A1E}"/>
    <cellStyle name="20% - Accent1 5 2 3" xfId="35609" xr:uid="{0E93E1DA-32A8-4BE5-8565-9EBBBE5A889D}"/>
    <cellStyle name="20% - Accent1 5 2 4" xfId="35610" xr:uid="{9014F38F-ECCD-4D82-915D-1F316F3DE98C}"/>
    <cellStyle name="20% - Accent1 5 3" xfId="1537" xr:uid="{7451EE98-ABAB-4713-91C9-12F163862CD6}"/>
    <cellStyle name="20% - Accent1 5 3 2" xfId="35611" xr:uid="{771C3908-B911-4539-9A13-E911F99F99C9}"/>
    <cellStyle name="20% - Accent1 5 4" xfId="35612" xr:uid="{F15C86A0-8125-4CA8-B85A-84CAFFDA4C70}"/>
    <cellStyle name="20% - Accent1 5 5" xfId="35613" xr:uid="{6B008C41-DE8B-49CD-81B0-87F30EF5712F}"/>
    <cellStyle name="20% - Accent1 50" xfId="1538" xr:uid="{840E8B3F-F9A4-43A2-9D4F-036D6896E81D}"/>
    <cellStyle name="20% - Accent1 50 2" xfId="1539" xr:uid="{201AB3C0-4DC5-4EB5-A51F-4BF6FC8ADECA}"/>
    <cellStyle name="20% - Accent1 50 3" xfId="35614" xr:uid="{599FB956-3355-4330-9904-8EE7170E61CE}"/>
    <cellStyle name="20% - Accent1 51" xfId="1540" xr:uid="{C57F4CE8-8BE0-4A4A-BB5E-D6C0CD499B5B}"/>
    <cellStyle name="20% - Accent1 51 2" xfId="35615" xr:uid="{82547DF3-6A29-4A5C-84A9-D79127084E48}"/>
    <cellStyle name="20% - Accent1 52" xfId="1541" xr:uid="{6A64F3E1-DAEB-41BC-A923-1E8776C01670}"/>
    <cellStyle name="20% - Accent1 52 2" xfId="35616" xr:uid="{DD62A3DA-DE8D-4ECE-B06F-21F9DC5A54AD}"/>
    <cellStyle name="20% - Accent1 53" xfId="1542" xr:uid="{87568A9F-8A75-44F7-88A1-1C020D7680A3}"/>
    <cellStyle name="20% - Accent1 53 2" xfId="35617" xr:uid="{EBD3858F-413F-41C6-867A-6509CEB19E55}"/>
    <cellStyle name="20% - Accent1 54" xfId="1543" xr:uid="{4FF09C92-78AE-417B-93EB-836FD7BD46D6}"/>
    <cellStyle name="20% - Accent1 54 2" xfId="35618" xr:uid="{ED9A3CFE-41AA-430D-B4C0-1B68E7CA6C0A}"/>
    <cellStyle name="20% - Accent1 55" xfId="1544" xr:uid="{F7689038-70C5-4EEF-8180-0EE939958159}"/>
    <cellStyle name="20% - Accent1 55 2" xfId="35619" xr:uid="{6D92D047-0298-472B-9C95-A1471ABB5B2D}"/>
    <cellStyle name="20% - Accent1 56" xfId="1545" xr:uid="{06FEFA12-D5BD-4585-A215-59055CAA0B70}"/>
    <cellStyle name="20% - Accent1 56 2" xfId="35620" xr:uid="{B3BD479B-C61A-498A-A483-F802D0D78B81}"/>
    <cellStyle name="20% - Accent1 57" xfId="1546" xr:uid="{1C97A822-B45B-4C38-8A46-41FE4B6BB67E}"/>
    <cellStyle name="20% - Accent1 57 2" xfId="35621" xr:uid="{6D337903-698F-4534-A441-EA6BC76FE0C7}"/>
    <cellStyle name="20% - Accent1 58" xfId="1547" xr:uid="{89A81D2B-CDA9-4561-A238-141D86FB4621}"/>
    <cellStyle name="20% - Accent1 58 2" xfId="35622" xr:uid="{B584B7E3-BC3D-4F6F-B4EC-C7855B31D922}"/>
    <cellStyle name="20% - Accent1 59" xfId="1548" xr:uid="{0246D3F0-B49F-46C6-B761-078FC25E6C51}"/>
    <cellStyle name="20% - Accent1 59 2" xfId="35623" xr:uid="{6051CF4D-EC74-4971-8527-8E59152ED083}"/>
    <cellStyle name="20% - Accent1 6" xfId="1549" xr:uid="{2B26796F-738D-436A-BA44-4F8CDFA10ADA}"/>
    <cellStyle name="20% - Accent1 6 2" xfId="1550" xr:uid="{B38DB9E3-9646-4992-ADB4-738B51382CC5}"/>
    <cellStyle name="20% - Accent1 6 2 2" xfId="1551" xr:uid="{007C4895-484A-437C-A803-197D4BFB7782}"/>
    <cellStyle name="20% - Accent1 6 2 2 2" xfId="35624" xr:uid="{F38B8FB6-E659-4401-B568-DF609A04D451}"/>
    <cellStyle name="20% - Accent1 6 2 3" xfId="35625" xr:uid="{A149EF3A-F7E4-4212-90F2-762A11513FC8}"/>
    <cellStyle name="20% - Accent1 6 2 4" xfId="35626" xr:uid="{201B0F53-BC9C-46F9-82F4-77C0D2C29F68}"/>
    <cellStyle name="20% - Accent1 6 3" xfId="1552" xr:uid="{CD698E6A-17EA-43AD-A8B3-18965533503C}"/>
    <cellStyle name="20% - Accent1 6 3 2" xfId="35627" xr:uid="{B0554A3C-8B85-46CD-A7FD-DAC51BE83DDC}"/>
    <cellStyle name="20% - Accent1 6 4" xfId="35628" xr:uid="{7D638E8D-D0A5-4430-9C75-1ABB0A2FF869}"/>
    <cellStyle name="20% - Accent1 6 5" xfId="35629" xr:uid="{818E3EE2-C060-40BB-A1C5-2B00583E6EE3}"/>
    <cellStyle name="20% - Accent1 60" xfId="1553" xr:uid="{D7DD67AA-E202-4139-9921-B128696CC1DD}"/>
    <cellStyle name="20% - Accent1 60 2" xfId="35630" xr:uid="{5A9C1E41-9063-48AE-9A4B-CE7BDADF54E5}"/>
    <cellStyle name="20% - Accent1 61" xfId="1554" xr:uid="{3563739E-71B5-4D21-8915-7F102FF6A9D4}"/>
    <cellStyle name="20% - Accent1 61 2" xfId="35631" xr:uid="{F4C18779-551B-403D-818B-7EFA176DF138}"/>
    <cellStyle name="20% - Accent1 62" xfId="1555" xr:uid="{E864FBC6-26D4-4557-9E98-6BB81F7A1AF8}"/>
    <cellStyle name="20% - Accent1 62 2" xfId="35632" xr:uid="{7E8381BF-A264-4F5C-9318-46132E469553}"/>
    <cellStyle name="20% - Accent1 63" xfId="1556" xr:uid="{89EF413C-C213-4252-8B13-C04A2495A59D}"/>
    <cellStyle name="20% - Accent1 63 2" xfId="35633" xr:uid="{B917F77E-D46D-4E63-B442-8D470F63B8EB}"/>
    <cellStyle name="20% - Accent1 64" xfId="1557" xr:uid="{CB56E146-BCA4-4288-A0CC-6A9EB83C4744}"/>
    <cellStyle name="20% - Accent1 64 2" xfId="35634" xr:uid="{42AC0202-03C1-4AFB-BD1F-E5ABCA36B9F8}"/>
    <cellStyle name="20% - Accent1 65" xfId="1558" xr:uid="{9950773F-5C9E-478E-8065-DFF2DE09BA6F}"/>
    <cellStyle name="20% - Accent1 65 2" xfId="35635" xr:uid="{713E2D00-4E87-4735-9E0F-D215068357EB}"/>
    <cellStyle name="20% - Accent1 66" xfId="1559" xr:uid="{CE7101EB-C231-476B-BB45-4C6EAFDECD85}"/>
    <cellStyle name="20% - Accent1 66 2" xfId="1560" xr:uid="{DDAFC31F-6D75-43F4-9073-4E08C42DA52A}"/>
    <cellStyle name="20% - Accent1 66 2 2" xfId="1561" xr:uid="{149CBBBD-E5D7-4FB3-AA33-8EE07A46790B}"/>
    <cellStyle name="20% - Accent1 66 3" xfId="1562" xr:uid="{B05C6831-C80B-4568-B317-A8B4BAB792A2}"/>
    <cellStyle name="20% - Accent1 66 3 2" xfId="1563" xr:uid="{AB54CE15-EBB3-4E3F-A716-035170EADB06}"/>
    <cellStyle name="20% - Accent1 66 4" xfId="1564" xr:uid="{248A3419-E364-4699-B353-7AC78C806741}"/>
    <cellStyle name="20% - Accent1 66 5" xfId="35636" xr:uid="{18C8DF22-CF31-4B33-A168-1C287743A0BA}"/>
    <cellStyle name="20% - Accent1 67" xfId="1565" xr:uid="{22BFB27C-E3C6-4A3B-94E9-EFBAD40CCE80}"/>
    <cellStyle name="20% - Accent1 67 2" xfId="1566" xr:uid="{1EEEF763-2FD4-4D91-835F-B6A510EE4D90}"/>
    <cellStyle name="20% - Accent1 67 2 2" xfId="1567" xr:uid="{FAAF7C49-87DA-451A-A5AC-C2F9B7B9A7A8}"/>
    <cellStyle name="20% - Accent1 67 3" xfId="1568" xr:uid="{AE34CBCA-D2C1-459F-8B1E-20559D7C58D7}"/>
    <cellStyle name="20% - Accent1 67 3 2" xfId="1569" xr:uid="{F0A7380D-EB4B-4A12-A8AD-0C6ABC9B1723}"/>
    <cellStyle name="20% - Accent1 67 4" xfId="1570" xr:uid="{7F88668C-7B23-4FC6-8192-98E1A381906A}"/>
    <cellStyle name="20% - Accent1 67 5" xfId="35637" xr:uid="{EB73565C-AD6E-4CB6-939D-8CE66D0AF3B8}"/>
    <cellStyle name="20% - Accent1 68" xfId="1571" xr:uid="{CB5B620C-E6FC-4583-840B-199CD80CCC2F}"/>
    <cellStyle name="20% - Accent1 68 2" xfId="1572" xr:uid="{F02910A3-50F2-417A-BAB6-54D8BE0CCE56}"/>
    <cellStyle name="20% - Accent1 68 2 2" xfId="1573" xr:uid="{B9875A9A-F8E2-4985-9300-8B0E30C3618D}"/>
    <cellStyle name="20% - Accent1 68 3" xfId="1574" xr:uid="{A4E1610D-0DBF-4033-A629-5752E8548AE9}"/>
    <cellStyle name="20% - Accent1 68 3 2" xfId="1575" xr:uid="{63CEB620-3C28-4970-8324-7B53FC47C43B}"/>
    <cellStyle name="20% - Accent1 68 4" xfId="1576" xr:uid="{5695730F-115B-48F9-9420-3B9D0B48AEB7}"/>
    <cellStyle name="20% - Accent1 68 5" xfId="35638" xr:uid="{8388AE93-4533-4AD0-9567-020793FA15E3}"/>
    <cellStyle name="20% - Accent1 69" xfId="1577" xr:uid="{405C2BE2-8541-4F79-BCA2-C06C12ED6C86}"/>
    <cellStyle name="20% - Accent1 69 2" xfId="1578" xr:uid="{7B7DB9DF-8E56-4609-BD9B-201FD5051FA6}"/>
    <cellStyle name="20% - Accent1 69 2 2" xfId="1579" xr:uid="{117BC3F3-5EC4-4279-80EF-87C025CC790D}"/>
    <cellStyle name="20% - Accent1 69 3" xfId="1580" xr:uid="{821EF802-9DB2-4D1A-8E9B-668B4F8C468D}"/>
    <cellStyle name="20% - Accent1 69 4" xfId="35639" xr:uid="{47FB1897-06DF-494D-8D4C-EEDD8000BA64}"/>
    <cellStyle name="20% - Accent1 7" xfId="1581" xr:uid="{2FC1A028-B7B9-4456-9C00-3D40D1FBA744}"/>
    <cellStyle name="20% - Accent1 7 2" xfId="1582" xr:uid="{E5B10DC3-F497-4423-82BF-509BF25F49C7}"/>
    <cellStyle name="20% - Accent1 7 2 2" xfId="1583" xr:uid="{5BDCBC53-90F9-4101-A085-FC7632F9207C}"/>
    <cellStyle name="20% - Accent1 7 2 2 2" xfId="35640" xr:uid="{F0D5676D-2FBA-488C-AD19-8F67F914EBF6}"/>
    <cellStyle name="20% - Accent1 7 2 3" xfId="35641" xr:uid="{94C9068F-DC69-4D30-96CF-535548725021}"/>
    <cellStyle name="20% - Accent1 7 2 4" xfId="35642" xr:uid="{16B8D2B3-8432-4B0A-9980-C6ADD5F6CE84}"/>
    <cellStyle name="20% - Accent1 7 3" xfId="1584" xr:uid="{51D530EA-FAA2-419B-83CE-C44C8466C2F4}"/>
    <cellStyle name="20% - Accent1 7 3 2" xfId="35643" xr:uid="{73200891-32BE-4249-B88B-0C8AD7BDCE7D}"/>
    <cellStyle name="20% - Accent1 7 4" xfId="35644" xr:uid="{9CBB0C11-EFD3-4E6E-B001-648E1FB9001C}"/>
    <cellStyle name="20% - Accent1 7 5" xfId="35645" xr:uid="{449E9E17-6498-487C-ACE9-31950665DB0C}"/>
    <cellStyle name="20% - Accent1 70" xfId="1585" xr:uid="{10DCC180-65E4-436F-9E4D-6F847D26B604}"/>
    <cellStyle name="20% - Accent1 70 2" xfId="1586" xr:uid="{495BE50E-C564-4273-A7F5-90B5B3A31C69}"/>
    <cellStyle name="20% - Accent1 70 2 2" xfId="1587" xr:uid="{1A861683-A30D-4430-9B65-29530112AA9D}"/>
    <cellStyle name="20% - Accent1 70 3" xfId="1588" xr:uid="{31A1DE5C-CD55-4EE3-B8A7-C5339C2C04FD}"/>
    <cellStyle name="20% - Accent1 70 4" xfId="35646" xr:uid="{CB46AB2F-D33B-4648-8751-CAF3C1615745}"/>
    <cellStyle name="20% - Accent1 71" xfId="1589" xr:uid="{6CA4ABCA-16EB-4D71-92A7-AA0B588D932E}"/>
    <cellStyle name="20% - Accent1 71 2" xfId="1590" xr:uid="{0C0FBF8B-87A7-4DC0-92E8-68E1BD1E089D}"/>
    <cellStyle name="20% - Accent1 71 2 2" xfId="1591" xr:uid="{CC4BA2E1-AD3D-4330-9853-812724288F51}"/>
    <cellStyle name="20% - Accent1 71 3" xfId="1592" xr:uid="{3DDF960A-CF35-40C2-9273-8A9C23063958}"/>
    <cellStyle name="20% - Accent1 71 4" xfId="35647" xr:uid="{FE307C1B-E2BF-48EB-82D5-035B76D3E885}"/>
    <cellStyle name="20% - Accent1 72" xfId="1593" xr:uid="{73D047F7-231B-49A7-B235-E1AF915BCE52}"/>
    <cellStyle name="20% - Accent1 72 2" xfId="1594" xr:uid="{702362FE-F546-480B-8205-918A06D4262B}"/>
    <cellStyle name="20% - Accent1 72 2 2" xfId="1595" xr:uid="{88D7F961-68FB-496F-8C61-8276A178966F}"/>
    <cellStyle name="20% - Accent1 72 3" xfId="1596" xr:uid="{7F21AC17-F897-43EC-BDF2-EA10C2CAF053}"/>
    <cellStyle name="20% - Accent1 72 4" xfId="35648" xr:uid="{321D0C01-A6C0-4993-94F0-E7733767A2AC}"/>
    <cellStyle name="20% - Accent1 73" xfId="1597" xr:uid="{2F660CF7-B695-440E-90E3-B80A3F5723BB}"/>
    <cellStyle name="20% - Accent1 73 2" xfId="1598" xr:uid="{D3456411-B962-40E1-8D83-6251422F5195}"/>
    <cellStyle name="20% - Accent1 73 2 2" xfId="1599" xr:uid="{A692D28B-1AF2-464E-953B-7A9528346BDD}"/>
    <cellStyle name="20% - Accent1 73 3" xfId="1600" xr:uid="{A3AF0D4F-D210-4F98-8CAE-8096B79BB56D}"/>
    <cellStyle name="20% - Accent1 73 4" xfId="35649" xr:uid="{7E3E117B-F206-4C71-A183-676C4D520054}"/>
    <cellStyle name="20% - Accent1 74" xfId="1601" xr:uid="{F26A2339-20AB-4A42-96D5-08082F128F2E}"/>
    <cellStyle name="20% - Accent1 74 2" xfId="1602" xr:uid="{96BC8B66-6A73-4E42-B51C-D600B92C43EA}"/>
    <cellStyle name="20% - Accent1 74 2 2" xfId="1603" xr:uid="{EE9B5F70-3235-4397-BB59-41B5F8404439}"/>
    <cellStyle name="20% - Accent1 74 3" xfId="1604" xr:uid="{639CCFAC-14DF-4D77-9FA5-A27C671C9A94}"/>
    <cellStyle name="20% - Accent1 74 4" xfId="35650" xr:uid="{63140A93-7B98-4500-8E32-287A02881938}"/>
    <cellStyle name="20% - Accent1 75" xfId="1605" xr:uid="{35C36546-055C-49C2-9A75-8FF9310F7523}"/>
    <cellStyle name="20% - Accent1 75 2" xfId="1606" xr:uid="{EE579DC4-B3E1-4FD0-8CD7-C6747E9EAE2E}"/>
    <cellStyle name="20% - Accent1 75 2 2" xfId="1607" xr:uid="{BC9A7E04-46A2-4130-8951-D24DAFABA7DF}"/>
    <cellStyle name="20% - Accent1 75 3" xfId="1608" xr:uid="{A7628011-92A9-4022-8BE1-6D59F4AC46DB}"/>
    <cellStyle name="20% - Accent1 75 4" xfId="35651" xr:uid="{7D40B53D-7F69-4CC3-BDC3-72B19FA27848}"/>
    <cellStyle name="20% - Accent1 76" xfId="1609" xr:uid="{C535AB45-6132-45DF-95D9-1D6BB5F0FAEA}"/>
    <cellStyle name="20% - Accent1 76 2" xfId="1610" xr:uid="{A5EF8E00-9CB2-46D8-81FF-7823F07B1774}"/>
    <cellStyle name="20% - Accent1 76 2 2" xfId="1611" xr:uid="{91778ADF-BF69-43F3-9AC1-A8193ABF0ACC}"/>
    <cellStyle name="20% - Accent1 76 3" xfId="1612" xr:uid="{9417263E-BE52-4DAC-A2B0-DD04982E4FA0}"/>
    <cellStyle name="20% - Accent1 76 4" xfId="35652" xr:uid="{AC8B5E63-363E-4517-B6B4-9C6C1EBA1443}"/>
    <cellStyle name="20% - Accent1 77" xfId="1613" xr:uid="{F58A6C9E-6225-4680-9E65-D5FF984697D9}"/>
    <cellStyle name="20% - Accent1 77 2" xfId="1614" xr:uid="{C5318DA0-5D59-4D36-90FB-94FF1C11E0B7}"/>
    <cellStyle name="20% - Accent1 77 2 2" xfId="1615" xr:uid="{FD10F3CA-D51F-44AD-8CFC-0C5746BD66F4}"/>
    <cellStyle name="20% - Accent1 77 3" xfId="1616" xr:uid="{D2973F65-249B-4634-8E21-E2B8D9545C02}"/>
    <cellStyle name="20% - Accent1 77 4" xfId="35653" xr:uid="{3FBB40C5-BAE4-41A9-B126-EC0AD3D90E0E}"/>
    <cellStyle name="20% - Accent1 78" xfId="1617" xr:uid="{054CA526-FE27-4F97-B62D-10BD4F1A0371}"/>
    <cellStyle name="20% - Accent1 78 2" xfId="1618" xr:uid="{4A1F105D-05D2-4524-A3CD-13AED43F5723}"/>
    <cellStyle name="20% - Accent1 78 2 2" xfId="1619" xr:uid="{289128D6-AB66-4A5C-A3D8-9EA933FAD05B}"/>
    <cellStyle name="20% - Accent1 78 3" xfId="1620" xr:uid="{53FA75B6-5EDD-406E-A4B9-6DE79CE5EABA}"/>
    <cellStyle name="20% - Accent1 78 4" xfId="35654" xr:uid="{D3895ECF-0E2D-48DB-AC3F-6CEEBD6608AD}"/>
    <cellStyle name="20% - Accent1 79" xfId="1621" xr:uid="{91B465F0-FFC4-43B1-A74C-6E72835B4CAB}"/>
    <cellStyle name="20% - Accent1 79 2" xfId="1622" xr:uid="{AB61589F-EFB3-4779-8C7B-6D4B9F208397}"/>
    <cellStyle name="20% - Accent1 79 3" xfId="35655" xr:uid="{DC4D097B-25AE-4DCF-8243-E39530698CD4}"/>
    <cellStyle name="20% - Accent1 8" xfId="1623" xr:uid="{C8474851-6C43-4156-9D00-3A54DF180313}"/>
    <cellStyle name="20% - Accent1 8 2" xfId="1624" xr:uid="{0FDE48D8-17F6-4AD2-9CC8-79A12C7138C3}"/>
    <cellStyle name="20% - Accent1 8 2 2" xfId="1625" xr:uid="{B72A283E-5839-45C7-A7D2-06309B433AC6}"/>
    <cellStyle name="20% - Accent1 8 2 2 2" xfId="35656" xr:uid="{C239F98E-519C-426D-B481-38A057550127}"/>
    <cellStyle name="20% - Accent1 8 2 3" xfId="35657" xr:uid="{01B8D3B7-D0A3-418C-BDD5-104656609C3C}"/>
    <cellStyle name="20% - Accent1 8 3" xfId="1626" xr:uid="{8ABE099B-8695-4F71-8963-575E7F100719}"/>
    <cellStyle name="20% - Accent1 8 3 2" xfId="35658" xr:uid="{5E1A70EC-EF88-4B66-B709-4A7568227924}"/>
    <cellStyle name="20% - Accent1 8 4" xfId="35659" xr:uid="{39FE4BB3-597D-4A6B-A575-3AD278594A2E}"/>
    <cellStyle name="20% - Accent1 8 5" xfId="35660" xr:uid="{6334E215-DAB0-4DE5-9AE7-43933974DF6E}"/>
    <cellStyle name="20% - Accent1 8 6" xfId="35661" xr:uid="{8DB883AF-267B-4833-B4F6-0075F5CCE9A9}"/>
    <cellStyle name="20% - Accent1 8 7" xfId="35662" xr:uid="{856999A0-4242-4380-9FD3-997C4D73F264}"/>
    <cellStyle name="20% - Accent1 80" xfId="1627" xr:uid="{CA820F7C-A4A9-458C-BB2E-61562296275E}"/>
    <cellStyle name="20% - Accent1 80 2" xfId="1628" xr:uid="{F68EC2D7-5772-4CC1-8678-0DDB24E40FA1}"/>
    <cellStyle name="20% - Accent1 80 3" xfId="35663" xr:uid="{E5A5E416-4AA3-4B52-8982-5ED089975CA3}"/>
    <cellStyle name="20% - Accent1 81" xfId="1629" xr:uid="{F2D5EF0C-4B58-49E1-9544-514FDFD7C0E4}"/>
    <cellStyle name="20% - Accent1 81 2" xfId="1630" xr:uid="{B01AE9B6-6208-462D-971F-691B5B276D3A}"/>
    <cellStyle name="20% - Accent1 81 3" xfId="35664" xr:uid="{74434030-C046-44D8-B571-3EB710B390E3}"/>
    <cellStyle name="20% - Accent1 82" xfId="1631" xr:uid="{035657E9-17D6-4841-9EE7-112D16DF4777}"/>
    <cellStyle name="20% - Accent1 82 2" xfId="1632" xr:uid="{D61A595A-4662-4653-9A60-955671D443A8}"/>
    <cellStyle name="20% - Accent1 82 3" xfId="35665" xr:uid="{8A2B6099-5AFF-48EE-86AD-1846DD961524}"/>
    <cellStyle name="20% - Accent1 83" xfId="1633" xr:uid="{78BE964F-0E97-427C-89F3-9BDD60B88187}"/>
    <cellStyle name="20% - Accent1 83 2" xfId="1634" xr:uid="{0580896D-3954-4871-A504-FC106BFA8D92}"/>
    <cellStyle name="20% - Accent1 83 3" xfId="35666" xr:uid="{464A890F-0FD1-4BA3-8850-6D28B68C72AD}"/>
    <cellStyle name="20% - Accent1 84" xfId="1635" xr:uid="{0B1EA5A6-A7AB-4728-BF9C-D11067522287}"/>
    <cellStyle name="20% - Accent1 84 2" xfId="1636" xr:uid="{A53B66B5-C5BD-4ACD-A94D-65B541A5B3B2}"/>
    <cellStyle name="20% - Accent1 84 3" xfId="35667" xr:uid="{A39FE57E-68CA-4F01-9F60-22560FDDEAF8}"/>
    <cellStyle name="20% - Accent1 85" xfId="1637" xr:uid="{968F7771-A066-4CF7-9FCC-996956F93837}"/>
    <cellStyle name="20% - Accent1 85 2" xfId="1638" xr:uid="{C09F1C56-E6D1-4383-92FD-39CC895A68E8}"/>
    <cellStyle name="20% - Accent1 85 3" xfId="35668" xr:uid="{8E489639-CFE0-4481-BAB2-05A3C9F5B592}"/>
    <cellStyle name="20% - Accent1 86" xfId="1639" xr:uid="{5EF6A2AC-3556-4044-B9A4-7E838F73D943}"/>
    <cellStyle name="20% - Accent1 86 2" xfId="1640" xr:uid="{1F8688C4-0D1D-4D6A-B10A-0B20CCB438FE}"/>
    <cellStyle name="20% - Accent1 86 3" xfId="35669" xr:uid="{DB4F00C1-E9D6-4EB2-9E32-15A658C7DCF8}"/>
    <cellStyle name="20% - Accent1 87" xfId="1641" xr:uid="{D2578320-B450-49FE-BF46-23481C9B74A4}"/>
    <cellStyle name="20% - Accent1 87 2" xfId="1642" xr:uid="{F778D4F5-B02E-46D8-99BE-A7F6295F669E}"/>
    <cellStyle name="20% - Accent1 87 3" xfId="35670" xr:uid="{BB6C4996-F821-4436-9AE3-DF72BEE26697}"/>
    <cellStyle name="20% - Accent1 88" xfId="1643" xr:uid="{CE3D4457-7D30-4B84-B562-B7A344617EC3}"/>
    <cellStyle name="20% - Accent1 88 2" xfId="1644" xr:uid="{9BC1F806-423E-4D40-9DFC-655A2A49AF1E}"/>
    <cellStyle name="20% - Accent1 88 3" xfId="35671" xr:uid="{67CF3462-D36C-449C-B50D-A470671A89E7}"/>
    <cellStyle name="20% - Accent1 89" xfId="1645" xr:uid="{9D264B8C-CCC9-46C9-8845-0EF42E4C92AF}"/>
    <cellStyle name="20% - Accent1 89 2" xfId="1646" xr:uid="{9D8A941C-6887-415A-96E3-5FA316C626B7}"/>
    <cellStyle name="20% - Accent1 89 3" xfId="35672" xr:uid="{843289A1-10DF-4E10-A9C5-80BF61CB8927}"/>
    <cellStyle name="20% - Accent1 9" xfId="1647" xr:uid="{6C25E510-BE4B-427B-AA1F-11CC48297C68}"/>
    <cellStyle name="20% - Accent1 9 2" xfId="1648" xr:uid="{AECC6CF1-3610-4B01-B1D9-6D77AB6B63D6}"/>
    <cellStyle name="20% - Accent1 9 2 2" xfId="1649" xr:uid="{4C57C1C5-FFD3-418F-817E-E7721ED15E5F}"/>
    <cellStyle name="20% - Accent1 9 2 2 2" xfId="35673" xr:uid="{595691E1-EFF1-4880-B0FC-888B5E6A6EF5}"/>
    <cellStyle name="20% - Accent1 9 2 3" xfId="35674" xr:uid="{57121B3D-B3C9-4170-B558-6148766C068F}"/>
    <cellStyle name="20% - Accent1 9 3" xfId="1650" xr:uid="{6E0A1E3F-3446-4D95-A728-45C708E9196B}"/>
    <cellStyle name="20% - Accent1 9 3 2" xfId="35675" xr:uid="{BB0E934A-96A7-4635-8E01-99B0EC55EA15}"/>
    <cellStyle name="20% - Accent1 9 4" xfId="35676" xr:uid="{67A3D03B-BAA6-4F67-842D-7B4BC90768C8}"/>
    <cellStyle name="20% - Accent1 9 5" xfId="35677" xr:uid="{8D3F3F8E-6827-419D-96F5-6E10FDD5010F}"/>
    <cellStyle name="20% - Accent1 9 6" xfId="35678" xr:uid="{1AA89B29-009C-49E4-87E2-7572C220EAD4}"/>
    <cellStyle name="20% - Accent1 90" xfId="1651" xr:uid="{3A59B491-2728-41BA-A6E5-7D6233C79713}"/>
    <cellStyle name="20% - Accent1 90 2" xfId="1652" xr:uid="{39FF1A45-B4DE-4F9F-942C-37A7D0E063F4}"/>
    <cellStyle name="20% - Accent1 90 3" xfId="35679" xr:uid="{EE30C863-C876-470F-8C4A-987D14BB366A}"/>
    <cellStyle name="20% - Accent1 91" xfId="1653" xr:uid="{E844CC12-3939-4863-84DD-067CC4E408B4}"/>
    <cellStyle name="20% - Accent1 91 2" xfId="1654" xr:uid="{1E05CF08-17E6-4148-9DC1-80C61F121762}"/>
    <cellStyle name="20% - Accent1 91 3" xfId="35680" xr:uid="{724E0003-2702-4325-864D-4F9D17EFC565}"/>
    <cellStyle name="20% - Accent1 92" xfId="1655" xr:uid="{526AB2A6-E4AE-4C3C-A69F-1C6BD73EB824}"/>
    <cellStyle name="20% - Accent1 92 2" xfId="1656" xr:uid="{FEA9B936-DB4B-4126-98F6-3C564C7B3AA2}"/>
    <cellStyle name="20% - Accent1 92 3" xfId="35681" xr:uid="{6D396B13-ED81-4324-9316-EAF7E6EB9C6B}"/>
    <cellStyle name="20% - Accent1 93" xfId="1657" xr:uid="{185D3E1D-7BFC-49C7-9553-F41A8EC4FCC9}"/>
    <cellStyle name="20% - Accent1 93 2" xfId="1658" xr:uid="{842B1479-85B2-4A7A-B560-E9E11AE80F26}"/>
    <cellStyle name="20% - Accent1 93 3" xfId="35682" xr:uid="{2B9434A0-EB9C-4DB2-A5A5-897B7B3119A3}"/>
    <cellStyle name="20% - Accent1 94" xfId="1659" xr:uid="{A504A580-FB00-41A0-8724-0D55F3F063A5}"/>
    <cellStyle name="20% - Accent1 94 2" xfId="1660" xr:uid="{84124FC4-5065-4FEC-93C2-F3A083F6A6C4}"/>
    <cellStyle name="20% - Accent1 94 3" xfId="35683" xr:uid="{17734EA5-84F1-46A8-A5CA-4D9F04BC62EC}"/>
    <cellStyle name="20% - Accent1 95" xfId="1661" xr:uid="{0CFA483F-E78B-4A56-832E-83C00A0E262A}"/>
    <cellStyle name="20% - Accent1 95 2" xfId="1662" xr:uid="{9DBF13BE-9486-48E2-94CB-9B999ABDF070}"/>
    <cellStyle name="20% - Accent1 95 3" xfId="35684" xr:uid="{DDEAF6DF-2E89-488B-88FC-9AA041981356}"/>
    <cellStyle name="20% - Accent1 96" xfId="1663" xr:uid="{83460375-DCB1-4396-A3E7-A91F5696C336}"/>
    <cellStyle name="20% - Accent1 96 2" xfId="1664" xr:uid="{77B37047-090B-48EC-809A-DD708B399493}"/>
    <cellStyle name="20% - Accent1 96 3" xfId="35685" xr:uid="{C1935747-C564-4CA3-A3DA-1A22816BC48B}"/>
    <cellStyle name="20% - Accent1 97" xfId="1665" xr:uid="{669EEA66-FB39-49ED-93FC-BB49A33F5946}"/>
    <cellStyle name="20% - Accent1 97 2" xfId="1666" xr:uid="{948ADBF5-C438-413E-AFBD-3887A3230E3E}"/>
    <cellStyle name="20% - Accent1 97 3" xfId="35686" xr:uid="{04388257-6808-432A-B5A0-AEF8F65BCACF}"/>
    <cellStyle name="20% - Accent1 98" xfId="1667" xr:uid="{7242B6FF-0A81-445F-AE46-6CE4DD2C65B0}"/>
    <cellStyle name="20% - Accent1 98 2" xfId="1668" xr:uid="{9293094D-9D70-4831-8572-0BA2BB6A9D86}"/>
    <cellStyle name="20% - Accent1 98 3" xfId="35687" xr:uid="{A0DA55C7-55FB-497A-9982-85EEC6FC18D0}"/>
    <cellStyle name="20% - Accent1 99" xfId="1669" xr:uid="{4508D5E8-6644-4338-BA8F-59000CB8B523}"/>
    <cellStyle name="20% - Accent1 99 2" xfId="1670" xr:uid="{B677843A-E775-4BB5-94F4-527243405F65}"/>
    <cellStyle name="20% - Accent1 99 3" xfId="35688" xr:uid="{78BBE5C9-9106-4EA2-AF6A-7666C031150D}"/>
    <cellStyle name="20% - Accent2" xfId="35" builtinId="34" hidden="1"/>
    <cellStyle name="20% - Accent2" xfId="109" builtinId="34" customBuiltin="1"/>
    <cellStyle name="20% - Accent2 10" xfId="1671" xr:uid="{E2955635-4999-4454-BDD5-E94F32FAED2A}"/>
    <cellStyle name="20% - Accent2 10 2" xfId="1672" xr:uid="{90B9E023-7C91-4C16-8D2F-A4A058AE6E4D}"/>
    <cellStyle name="20% - Accent2 10 2 2" xfId="1673" xr:uid="{D9B34850-E58A-4160-8763-1E2E9D758E92}"/>
    <cellStyle name="20% - Accent2 10 2 2 2" xfId="35689" xr:uid="{97A3B5CA-FFD8-4FEC-B3A5-4A6637CA20D9}"/>
    <cellStyle name="20% - Accent2 10 2 3" xfId="35690" xr:uid="{89D7C1AB-198B-499C-82A3-C7BCC23289BF}"/>
    <cellStyle name="20% - Accent2 10 3" xfId="1674" xr:uid="{0B149BF2-EA97-4EF2-9D79-A7184FCE3A21}"/>
    <cellStyle name="20% - Accent2 10 3 2" xfId="35691" xr:uid="{3CC5E6E6-DC48-450D-B52F-261FC34AA27F}"/>
    <cellStyle name="20% - Accent2 10 4" xfId="35692" xr:uid="{A984F6B6-F5D7-4EE1-99D7-F1855C2BC543}"/>
    <cellStyle name="20% - Accent2 10 5" xfId="35693" xr:uid="{54F42A72-9CA0-44F5-829C-B2ADD749CC27}"/>
    <cellStyle name="20% - Accent2 10 6" xfId="35694" xr:uid="{F38FDFFE-E6C9-43D3-BDCF-228AC16A78CB}"/>
    <cellStyle name="20% - Accent2 100" xfId="1675" xr:uid="{9EAB2D06-5484-4712-B06B-3DAD8FB415A2}"/>
    <cellStyle name="20% - Accent2 100 2" xfId="1676" xr:uid="{DB719598-CA8F-48B2-A667-FBD7CB9813BC}"/>
    <cellStyle name="20% - Accent2 100 3" xfId="35695" xr:uid="{FFD2B671-451F-4737-A2D3-D21CBD9E47EF}"/>
    <cellStyle name="20% - Accent2 101" xfId="1677" xr:uid="{7CFBF6F9-A6E9-4750-822E-923D1497F955}"/>
    <cellStyle name="20% - Accent2 102" xfId="1678" xr:uid="{F050D134-9A46-439D-96DE-10CF31C14772}"/>
    <cellStyle name="20% - Accent2 103" xfId="1679" xr:uid="{3CCDA693-92FD-4212-ABF1-D6FEC7096A3E}"/>
    <cellStyle name="20% - Accent2 104" xfId="1680" xr:uid="{157A3FAD-81A0-4843-B59D-5204EC8C81D6}"/>
    <cellStyle name="20% - Accent2 105" xfId="1681" xr:uid="{63181DDC-A5B8-400A-BE87-CC04F0441375}"/>
    <cellStyle name="20% - Accent2 106" xfId="1682" xr:uid="{D358189B-89AA-4465-87A2-44ACBBA208E1}"/>
    <cellStyle name="20% - Accent2 107" xfId="1683" xr:uid="{82E5C2FD-74B9-4BD3-AFBC-726D20AA0E1F}"/>
    <cellStyle name="20% - Accent2 108" xfId="1684" xr:uid="{88F7E3C1-AAB5-4AFB-AAB8-664B5146B227}"/>
    <cellStyle name="20% - Accent2 109" xfId="1685" xr:uid="{7D239FF6-1B12-437D-840D-939EF6439184}"/>
    <cellStyle name="20% - Accent2 11" xfId="1686" xr:uid="{B6D816C5-6C9B-4E13-AEB8-C34AB07DFE98}"/>
    <cellStyle name="20% - Accent2 11 2" xfId="1687" xr:uid="{BCCAA797-DD29-4BEF-80DF-5B2D6EE57FA1}"/>
    <cellStyle name="20% - Accent2 11 2 2" xfId="1688" xr:uid="{CB677D89-DAD6-463B-ADB8-E88717C74440}"/>
    <cellStyle name="20% - Accent2 11 2 2 2" xfId="35696" xr:uid="{8F6CB1FA-CD1F-4FDF-825D-2699B1796A9A}"/>
    <cellStyle name="20% - Accent2 11 2 3" xfId="35697" xr:uid="{FDD37890-CD85-4340-BB0F-EA8F0B093ED7}"/>
    <cellStyle name="20% - Accent2 11 3" xfId="1689" xr:uid="{B4607488-2738-4047-89CA-0FA68D99DA0E}"/>
    <cellStyle name="20% - Accent2 11 3 2" xfId="35698" xr:uid="{0978A2D1-5E4E-4E90-B0D4-A365FE6AAF3D}"/>
    <cellStyle name="20% - Accent2 11 4" xfId="35699" xr:uid="{9B9F92C7-89F2-4221-80D2-3C6A415812AC}"/>
    <cellStyle name="20% - Accent2 11 5" xfId="35700" xr:uid="{686B622D-10AF-4F4A-B08C-AA7F4CC134BF}"/>
    <cellStyle name="20% - Accent2 11 6" xfId="35701" xr:uid="{D2897C95-2CCA-4B46-A17D-282A010663A8}"/>
    <cellStyle name="20% - Accent2 110" xfId="1690" xr:uid="{AAB28878-3D4B-42AF-8A3E-6E130E558879}"/>
    <cellStyle name="20% - Accent2 111" xfId="1691" xr:uid="{AA1AD6CD-60B8-432E-8456-E789DE8DF93E}"/>
    <cellStyle name="20% - Accent2 112" xfId="1692" xr:uid="{84E46BDE-7DDE-4975-8B54-749CF11519D2}"/>
    <cellStyle name="20% - Accent2 113" xfId="1693" xr:uid="{D15F84E5-2B1E-4EE5-999C-A56423827040}"/>
    <cellStyle name="20% - Accent2 114" xfId="1694" xr:uid="{905DFF27-8022-4624-80F8-0147CDB3A5B6}"/>
    <cellStyle name="20% - Accent2 115" xfId="1695" xr:uid="{BDEB7F5F-E211-4A22-9C8A-00973E30700F}"/>
    <cellStyle name="20% - Accent2 116" xfId="1696" xr:uid="{88BA0E0D-716D-4708-B437-42C6630EE6F0}"/>
    <cellStyle name="20% - Accent2 117" xfId="1697" xr:uid="{10E9F89F-51EA-4B85-A767-09D8D913FEC3}"/>
    <cellStyle name="20% - Accent2 118" xfId="1698" xr:uid="{8F3C66AF-4DC5-44DF-B57A-4047295AF8D5}"/>
    <cellStyle name="20% - Accent2 119" xfId="1699" xr:uid="{675EEE20-1236-4B0E-BEE1-70DECA4BFB96}"/>
    <cellStyle name="20% - Accent2 12" xfId="1700" xr:uid="{54FA7798-B0F7-4279-94BA-94FF4311EBA6}"/>
    <cellStyle name="20% - Accent2 12 2" xfId="1701" xr:uid="{289DE39E-D27F-427C-BAAF-D77E9F6B04C1}"/>
    <cellStyle name="20% - Accent2 12 2 2" xfId="1702" xr:uid="{1FE3F34D-2EDE-45D8-BB7D-0A0DA8583A30}"/>
    <cellStyle name="20% - Accent2 12 2 2 2" xfId="35702" xr:uid="{727246A8-1F2B-4115-8807-52D19149CFF0}"/>
    <cellStyle name="20% - Accent2 12 2 3" xfId="35703" xr:uid="{01BC699D-7ABA-4390-94E6-BA4164081B99}"/>
    <cellStyle name="20% - Accent2 12 3" xfId="1703" xr:uid="{2B9016D7-DAE3-422A-AEF3-44B8912A7A24}"/>
    <cellStyle name="20% - Accent2 12 3 2" xfId="35704" xr:uid="{2B503523-FC69-40DB-ADA5-D65567BF8FD8}"/>
    <cellStyle name="20% - Accent2 12 4" xfId="35705" xr:uid="{EFB36686-A1A0-4D65-8664-43F6402B7FAF}"/>
    <cellStyle name="20% - Accent2 12 5" xfId="35706" xr:uid="{7F44A201-EF5A-40A6-9658-FC8521FBFE6B}"/>
    <cellStyle name="20% - Accent2 12 6" xfId="35707" xr:uid="{E52A7D98-AAB6-446A-9861-4C81323D0A6F}"/>
    <cellStyle name="20% - Accent2 120" xfId="1704" xr:uid="{F1F3F120-C1F4-4014-A6EA-FD5C0DC43E27}"/>
    <cellStyle name="20% - Accent2 121" xfId="1705" xr:uid="{816061D7-7266-4406-9381-7FBDA114A3A1}"/>
    <cellStyle name="20% - Accent2 122" xfId="1706" xr:uid="{3E13FE26-CA98-48CA-9ECA-D7F058223FD2}"/>
    <cellStyle name="20% - Accent2 123" xfId="1707" xr:uid="{2E179AD2-23D4-4E74-9857-132C72B982C9}"/>
    <cellStyle name="20% - Accent2 124" xfId="1708" xr:uid="{4166FCEE-CA5A-4FA5-A8D1-87C8C34C45DF}"/>
    <cellStyle name="20% - Accent2 125" xfId="1709" xr:uid="{45D85E67-14F8-4C3E-83E1-069483AF9EB3}"/>
    <cellStyle name="20% - Accent2 126" xfId="1710" xr:uid="{B90CCD54-0AC3-4D2D-AB69-8B804F07FB96}"/>
    <cellStyle name="20% - Accent2 127" xfId="1711" xr:uid="{97C78FD2-831D-43C6-AACD-D7C4163A6EED}"/>
    <cellStyle name="20% - Accent2 128" xfId="1712" xr:uid="{E370C1DD-E7BD-467A-9178-1B7D333B10BB}"/>
    <cellStyle name="20% - Accent2 129" xfId="1713" xr:uid="{E255AC9C-C12A-45EF-8CC2-0B842E48A01E}"/>
    <cellStyle name="20% - Accent2 13" xfId="1714" xr:uid="{E296CFBE-A7A0-4D00-9CFD-BABC78B76E4D}"/>
    <cellStyle name="20% - Accent2 13 2" xfId="1715" xr:uid="{57327982-294F-4415-A822-53517D1BA845}"/>
    <cellStyle name="20% - Accent2 13 2 2" xfId="1716" xr:uid="{39D55F22-14C2-47D7-82E2-0E40D4D6ABA9}"/>
    <cellStyle name="20% - Accent2 13 2 2 2" xfId="35708" xr:uid="{334538CE-21EB-4675-8517-1589721B99B4}"/>
    <cellStyle name="20% - Accent2 13 2 3" xfId="35709" xr:uid="{44C548E4-EB51-48FC-A826-51E260DDCCC8}"/>
    <cellStyle name="20% - Accent2 13 3" xfId="1717" xr:uid="{58F4CA78-9158-483E-9809-6824265FB5D1}"/>
    <cellStyle name="20% - Accent2 13 3 2" xfId="35710" xr:uid="{3CB490AF-AA6F-4313-8D62-A3888248CAD9}"/>
    <cellStyle name="20% - Accent2 13 4" xfId="35711" xr:uid="{3BA7809F-D03F-4931-8CE8-EAE345670E67}"/>
    <cellStyle name="20% - Accent2 13 5" xfId="35712" xr:uid="{B8AFF207-7754-4E76-981E-91F7B13D806C}"/>
    <cellStyle name="20% - Accent2 13 6" xfId="35713" xr:uid="{979E5362-DE1B-43AD-AD81-DA733B042DE1}"/>
    <cellStyle name="20% - Accent2 130" xfId="1718" xr:uid="{90B9DA22-F077-430F-BC04-19C56585E267}"/>
    <cellStyle name="20% - Accent2 131" xfId="1719" xr:uid="{8A27EA2E-8718-4FC3-A080-DC7F725EBBA9}"/>
    <cellStyle name="20% - Accent2 132" xfId="1720" xr:uid="{44C1569B-A66B-44DE-865F-C1ABD75C0953}"/>
    <cellStyle name="20% - Accent2 133" xfId="1721" xr:uid="{4DCE7738-D810-4132-98CC-ED3EC79BD413}"/>
    <cellStyle name="20% - Accent2 134" xfId="1722" xr:uid="{B21487BD-E340-4AEE-A5D1-533E64098942}"/>
    <cellStyle name="20% - Accent2 135" xfId="1723" xr:uid="{7BD88DF1-2271-4C38-92D5-CF0C936AAC73}"/>
    <cellStyle name="20% - Accent2 136" xfId="1724" xr:uid="{F401BF7D-D380-438F-9416-21B0DCB432B3}"/>
    <cellStyle name="20% - Accent2 137" xfId="1725" xr:uid="{83DB9FDD-0930-436E-9829-8145558D7CB0}"/>
    <cellStyle name="20% - Accent2 138" xfId="1726" xr:uid="{BB772ED5-202A-4A73-A1CF-4EC22BCD8419}"/>
    <cellStyle name="20% - Accent2 139" xfId="1727" xr:uid="{68D207EA-F799-45C0-ACEF-0B5B4B7CDE67}"/>
    <cellStyle name="20% - Accent2 14" xfId="1728" xr:uid="{E7A92E7C-2C1F-4D78-8D7D-5A8BB901DAAE}"/>
    <cellStyle name="20% - Accent2 14 2" xfId="1729" xr:uid="{33C979BF-B44D-4E76-82F5-1214E8AB92BC}"/>
    <cellStyle name="20% - Accent2 14 2 2" xfId="1730" xr:uid="{FA3EBC9A-3084-454A-BD65-5CDBB3259BD6}"/>
    <cellStyle name="20% - Accent2 14 2 2 2" xfId="35714" xr:uid="{A15C01EB-99C7-4D1D-BF89-1E9BF75633C5}"/>
    <cellStyle name="20% - Accent2 14 2 3" xfId="35715" xr:uid="{C36781AA-3733-41B5-9D4D-6233F1F683DF}"/>
    <cellStyle name="20% - Accent2 14 3" xfId="1731" xr:uid="{707D4AA3-3322-4964-B2E7-E6E68E00A3C6}"/>
    <cellStyle name="20% - Accent2 14 3 2" xfId="35716" xr:uid="{500F89E0-6A89-4384-B9E5-DD9D3E4CBCA5}"/>
    <cellStyle name="20% - Accent2 14 4" xfId="35717" xr:uid="{4B5210C3-A2B6-4BE0-B2D3-9E456013E2D3}"/>
    <cellStyle name="20% - Accent2 14 5" xfId="35718" xr:uid="{9622C4B5-7527-4F05-8A81-AE5CD3BD47C2}"/>
    <cellStyle name="20% - Accent2 14 6" xfId="35719" xr:uid="{EB8E623C-405F-4831-B5EF-B8FB6A9DF261}"/>
    <cellStyle name="20% - Accent2 140" xfId="1732" xr:uid="{AD677099-1181-4EAE-B096-3F28FFD9C54C}"/>
    <cellStyle name="20% - Accent2 141" xfId="1733" xr:uid="{DC5F3109-FD8A-4C8B-B6C6-4289E9AB0538}"/>
    <cellStyle name="20% - Accent2 142" xfId="1734" xr:uid="{D5ED419C-293B-4282-A583-907027ED6974}"/>
    <cellStyle name="20% - Accent2 143" xfId="1735" xr:uid="{27EB26BB-4833-4527-84FD-AEBB9572C0FE}"/>
    <cellStyle name="20% - Accent2 144" xfId="1736" xr:uid="{3C23DB35-A90F-466D-BD3F-463C8F325314}"/>
    <cellStyle name="20% - Accent2 145" xfId="1737" xr:uid="{2DCB8EEB-E2FB-48AD-91F7-E8E64A1E08F8}"/>
    <cellStyle name="20% - Accent2 146" xfId="1738" xr:uid="{BDC0D6C9-B9DA-48E3-BB3E-12A7DB78C352}"/>
    <cellStyle name="20% - Accent2 147" xfId="1739" xr:uid="{9B9F92A7-46A9-4D46-AD01-457652245DA8}"/>
    <cellStyle name="20% - Accent2 148" xfId="1740" xr:uid="{57F5206A-FA19-4C15-BBDA-3CC42473C0A2}"/>
    <cellStyle name="20% - Accent2 149" xfId="1741" xr:uid="{389B63A7-09BF-4A71-952D-E6491E044233}"/>
    <cellStyle name="20% - Accent2 15" xfId="1742" xr:uid="{7656C4FE-981A-4F8F-A1D1-24DA774AAB75}"/>
    <cellStyle name="20% - Accent2 15 2" xfId="1743" xr:uid="{D32AF01E-3C89-4AEA-9A31-F8F02DE42E36}"/>
    <cellStyle name="20% - Accent2 15 2 2" xfId="1744" xr:uid="{292ED980-08D2-426C-BE10-679B95699DF9}"/>
    <cellStyle name="20% - Accent2 15 2 2 2" xfId="35720" xr:uid="{006DFAB3-04CE-43A5-AB38-47DDBB0177F5}"/>
    <cellStyle name="20% - Accent2 15 2 3" xfId="35721" xr:uid="{1486C7F2-A49C-401B-9F72-395181E207DD}"/>
    <cellStyle name="20% - Accent2 15 3" xfId="1745" xr:uid="{A05E94EE-9EBA-49E6-AD3D-3E480693DD66}"/>
    <cellStyle name="20% - Accent2 15 3 2" xfId="35722" xr:uid="{D93DDA69-726A-4AAC-9040-790309F72BC0}"/>
    <cellStyle name="20% - Accent2 15 4" xfId="35723" xr:uid="{5C132C1D-A9FE-41E0-A1F1-B23199496D30}"/>
    <cellStyle name="20% - Accent2 15 5" xfId="35724" xr:uid="{8937E5CE-586D-4D48-9025-993F60A434ED}"/>
    <cellStyle name="20% - Accent2 15 6" xfId="35725" xr:uid="{E0458BF2-ECE1-4B79-884A-5691A944385F}"/>
    <cellStyle name="20% - Accent2 150" xfId="1746" xr:uid="{8EBE3291-27B8-4B67-8884-824331B6FC5B}"/>
    <cellStyle name="20% - Accent2 151" xfId="1747" xr:uid="{6CF1F7C6-B979-49D3-AE51-DF8D911281C4}"/>
    <cellStyle name="20% - Accent2 152" xfId="1748" xr:uid="{D589C2A4-C5D7-4924-97F5-6ED465D8BCB3}"/>
    <cellStyle name="20% - Accent2 153" xfId="1749" xr:uid="{9268442B-AA59-499D-BA87-BF3B2EC322AA}"/>
    <cellStyle name="20% - Accent2 154" xfId="1750" xr:uid="{FAA6154F-8E65-45F8-AE8B-20A9B82510F2}"/>
    <cellStyle name="20% - Accent2 155" xfId="1751" xr:uid="{AB4A0AE4-CECB-4D2D-ABFC-FBE36531F6ED}"/>
    <cellStyle name="20% - Accent2 156" xfId="1752" xr:uid="{FE64D3C5-BAF7-4D80-9D3E-7A6E1DFD920B}"/>
    <cellStyle name="20% - Accent2 157" xfId="1753" xr:uid="{9C720B1D-05D8-4F6F-A586-231DBA3A6661}"/>
    <cellStyle name="20% - Accent2 158" xfId="1754" xr:uid="{CA656A67-2FE2-4691-BD6B-E5A0AC3F59E8}"/>
    <cellStyle name="20% - Accent2 159" xfId="1755" xr:uid="{4B0D9BF2-7450-4603-AC3C-DE7C55C221EE}"/>
    <cellStyle name="20% - Accent2 16" xfId="1756" xr:uid="{447FE3D0-50FE-4D11-9580-A487D0B674A6}"/>
    <cellStyle name="20% - Accent2 16 2" xfId="1757" xr:uid="{7A770022-08B7-4217-9111-944EE7F8CB54}"/>
    <cellStyle name="20% - Accent2 16 2 2" xfId="1758" xr:uid="{5560C5BB-14A3-434A-807C-6D2DACB9D0E8}"/>
    <cellStyle name="20% - Accent2 16 2 2 2" xfId="35726" xr:uid="{FDF7C74D-D4CE-41AD-9940-B644E1BB44E3}"/>
    <cellStyle name="20% - Accent2 16 2 3" xfId="35727" xr:uid="{211B7B9A-23DD-432E-B338-1A3DEB8DE84C}"/>
    <cellStyle name="20% - Accent2 16 3" xfId="1759" xr:uid="{FD0D18AA-79A4-46F8-B5FD-1F47948F0B03}"/>
    <cellStyle name="20% - Accent2 16 3 2" xfId="35728" xr:uid="{B3F530A4-F887-44AA-A9C1-B47296E9DE49}"/>
    <cellStyle name="20% - Accent2 16 4" xfId="35729" xr:uid="{4FCC1AA0-5E16-438F-969E-64B3F6BA6BEA}"/>
    <cellStyle name="20% - Accent2 16 5" xfId="35730" xr:uid="{379B7B33-290C-47B5-B3EC-8C32A6E813A0}"/>
    <cellStyle name="20% - Accent2 16 6" xfId="35731" xr:uid="{48027125-B8D3-4CD9-8A51-1189243320A4}"/>
    <cellStyle name="20% - Accent2 160" xfId="1760" xr:uid="{D60AA5B6-E580-411C-A657-E75A9DB7EC18}"/>
    <cellStyle name="20% - Accent2 17" xfId="1761" xr:uid="{B3135B93-7C29-4F18-8DA5-00B012EBC051}"/>
    <cellStyle name="20% - Accent2 17 2" xfId="1762" xr:uid="{9382507C-D116-447A-AEE3-31BC81986540}"/>
    <cellStyle name="20% - Accent2 17 2 2" xfId="1763" xr:uid="{50F1920B-D918-4434-A9E3-DB8C19774523}"/>
    <cellStyle name="20% - Accent2 17 2 2 2" xfId="35732" xr:uid="{89361170-5D31-4F31-9B51-F02AA3669F5D}"/>
    <cellStyle name="20% - Accent2 17 2 3" xfId="35733" xr:uid="{55A2B49B-EEF9-4C46-A87A-E6E7A2E38584}"/>
    <cellStyle name="20% - Accent2 17 3" xfId="1764" xr:uid="{85612D97-1E39-4C1F-B908-BE9899BE02C9}"/>
    <cellStyle name="20% - Accent2 17 3 2" xfId="35734" xr:uid="{E2F4C33B-B70D-4254-97AB-48462156981D}"/>
    <cellStyle name="20% - Accent2 17 4" xfId="35735" xr:uid="{1E480F78-12E1-4CA5-8E92-BA5CB8510F61}"/>
    <cellStyle name="20% - Accent2 17 5" xfId="35736" xr:uid="{4A3076D5-B9FB-4D14-B691-1F985842E0CA}"/>
    <cellStyle name="20% - Accent2 17 6" xfId="35737" xr:uid="{F13B386E-B1C2-496D-90B4-E8BCBE4327A3}"/>
    <cellStyle name="20% - Accent2 18" xfId="1765" xr:uid="{5C42F126-2143-4A70-9B42-35D4CB27AE1D}"/>
    <cellStyle name="20% - Accent2 18 2" xfId="1766" xr:uid="{3B0DA0D5-D9CA-4267-A06B-8D82BED220DD}"/>
    <cellStyle name="20% - Accent2 18 2 2" xfId="1767" xr:uid="{3B3099DB-0F61-4BDF-9F31-FAB44CF2C7E6}"/>
    <cellStyle name="20% - Accent2 18 2 2 2" xfId="35738" xr:uid="{D88DCD91-2765-44D9-AE30-5E01AA72A1DD}"/>
    <cellStyle name="20% - Accent2 18 2 3" xfId="35739" xr:uid="{E957C6E2-43C9-4C7C-92DB-D3060C59E121}"/>
    <cellStyle name="20% - Accent2 18 3" xfId="1768" xr:uid="{D26D097C-1C94-48A1-8E95-5D351BF8442C}"/>
    <cellStyle name="20% - Accent2 18 3 2" xfId="35740" xr:uid="{B2D9CCB6-6EA0-4D9A-9347-48CF0686769A}"/>
    <cellStyle name="20% - Accent2 18 4" xfId="35741" xr:uid="{B8E4C813-8F52-4F08-A3B3-68E668B5ECC9}"/>
    <cellStyle name="20% - Accent2 18 5" xfId="35742" xr:uid="{6216563F-DAEA-44BA-8284-FE73541D1143}"/>
    <cellStyle name="20% - Accent2 18 6" xfId="35743" xr:uid="{86E089C8-5734-4D37-B833-F950AF576F21}"/>
    <cellStyle name="20% - Accent2 19" xfId="1769" xr:uid="{47BB9E6C-B337-4931-B921-1386E2AE1236}"/>
    <cellStyle name="20% - Accent2 19 2" xfId="1770" xr:uid="{F7FA9D30-EC6B-4A1C-B48A-0450540BB367}"/>
    <cellStyle name="20% - Accent2 19 2 2" xfId="35744" xr:uid="{5C431285-9200-4875-90FD-5370E6455D4E}"/>
    <cellStyle name="20% - Accent2 19 3" xfId="35745" xr:uid="{13883E63-8556-469C-BA3B-636400A40851}"/>
    <cellStyle name="20% - Accent2 19 4" xfId="35746" xr:uid="{5CC051E8-6FC3-4AFD-B2C9-9DA12E02EE3D}"/>
    <cellStyle name="20% - Accent2 19 5" xfId="35747" xr:uid="{62C0D026-FEAD-4D90-9449-BF62FAD25AD2}"/>
    <cellStyle name="20% - Accent2 2" xfId="1771" xr:uid="{9BB25BC1-1040-469D-86E0-7846EC39372D}"/>
    <cellStyle name="20% - Accent2 2 2" xfId="1772" xr:uid="{822E79CC-D035-4645-9AC8-E508373DBF22}"/>
    <cellStyle name="20% - Accent2 2 2 2" xfId="1773" xr:uid="{C0A28CA3-0C7D-4610-BB61-D404DFB428C6}"/>
    <cellStyle name="20% - Accent2 2 2 2 2" xfId="35748" xr:uid="{4A9D7434-A45C-4400-8778-DC00084D9F80}"/>
    <cellStyle name="20% - Accent2 2 2 3" xfId="35749" xr:uid="{0C4889C9-1C20-4C8C-8AED-9A0DDE762A49}"/>
    <cellStyle name="20% - Accent2 2 2 4" xfId="35750" xr:uid="{1BF519D3-A31D-4ABF-9ADF-5982547F117B}"/>
    <cellStyle name="20% - Accent2 2 3" xfId="1774" xr:uid="{13DA66CC-C4F8-4D58-BA9F-20A8BF18208E}"/>
    <cellStyle name="20% - Accent2 2 3 2" xfId="35751" xr:uid="{D3907F88-2F34-490C-BDD4-D89D9CF6AA4E}"/>
    <cellStyle name="20% - Accent2 2 3 3" xfId="35752" xr:uid="{E6A79D09-D160-4B17-B6E1-088B483EBC36}"/>
    <cellStyle name="20% - Accent2 2 3 4" xfId="35753" xr:uid="{1FD8B01D-AAA3-42D5-90DE-B7CFB11FF461}"/>
    <cellStyle name="20% - Accent2 2 4" xfId="1775" xr:uid="{28358219-7AED-46C8-9C01-1A24EEBB4942}"/>
    <cellStyle name="20% - Accent2 2 4 2" xfId="35754" xr:uid="{50E4ABCD-76C2-472B-9F1A-AB4EADA14F39}"/>
    <cellStyle name="20% - Accent2 2 5" xfId="35755" xr:uid="{4D938931-C646-4BC9-B3DD-23DED69DEA08}"/>
    <cellStyle name="20% - Accent2 2 6" xfId="35756" xr:uid="{7390EC3D-00D3-4D94-A57C-B99E510A6EA7}"/>
    <cellStyle name="20% - Accent2 2_Jun 11 details" xfId="1776" xr:uid="{14CA7EC9-D303-42E7-A1E3-25E4AAD610FA}"/>
    <cellStyle name="20% - Accent2 20" xfId="1777" xr:uid="{6DC005D4-0BD7-4365-8373-D08E17208395}"/>
    <cellStyle name="20% - Accent2 20 2" xfId="35757" xr:uid="{9A16C2D4-2D50-4B45-BAF5-036E0AE8CE36}"/>
    <cellStyle name="20% - Accent2 20 3" xfId="35758" xr:uid="{BA19132D-67E9-4669-827B-5D5F9A33ECEF}"/>
    <cellStyle name="20% - Accent2 20 4" xfId="35759" xr:uid="{37E584AB-F095-46A8-B1D7-FDD55C9D3F5D}"/>
    <cellStyle name="20% - Accent2 21" xfId="1778" xr:uid="{D8B19499-33C4-4FBF-B05E-3DCBC380D023}"/>
    <cellStyle name="20% - Accent2 21 2" xfId="35760" xr:uid="{456635A2-3FB8-4B08-8C84-9A39D73D3946}"/>
    <cellStyle name="20% - Accent2 21 3" xfId="35761" xr:uid="{D1062365-7607-4703-BC96-259112BCFC57}"/>
    <cellStyle name="20% - Accent2 22" xfId="1779" xr:uid="{50685037-5BDD-48DD-B9EC-3CD55D678D37}"/>
    <cellStyle name="20% - Accent2 22 2" xfId="35762" xr:uid="{8A6C5E5B-9423-4A6D-B90B-AB3890336DE3}"/>
    <cellStyle name="20% - Accent2 22 3" xfId="35763" xr:uid="{C533DFE6-9BC6-4846-8649-FBE9CA9E8D5F}"/>
    <cellStyle name="20% - Accent2 23" xfId="1780" xr:uid="{E5355F35-ED90-4AF3-A11D-28A4BFC598BD}"/>
    <cellStyle name="20% - Accent2 23 2" xfId="35764" xr:uid="{0EE95442-9BA6-46B2-9E16-4987887CA657}"/>
    <cellStyle name="20% - Accent2 24" xfId="1781" xr:uid="{AE2342E7-DF77-42C8-BEFC-2E93DABAD963}"/>
    <cellStyle name="20% - Accent2 24 2" xfId="35765" xr:uid="{398F752F-63D9-4075-BBF8-195D1D77CB47}"/>
    <cellStyle name="20% - Accent2 25" xfId="1782" xr:uid="{0F936F21-B061-458E-9B36-7EF0E85F4CDB}"/>
    <cellStyle name="20% - Accent2 25 2" xfId="35766" xr:uid="{8E0AB32F-7D26-4F92-8DAC-05CEF377884F}"/>
    <cellStyle name="20% - Accent2 26" xfId="1783" xr:uid="{C1493FC9-32F6-4EE0-82F4-C434DAFE06AF}"/>
    <cellStyle name="20% - Accent2 26 2" xfId="35767" xr:uid="{357969FB-6F4D-4155-984D-B05531CA004E}"/>
    <cellStyle name="20% - Accent2 27" xfId="1784" xr:uid="{8B4F4E02-538D-44B2-BDDC-F0591A8B3B05}"/>
    <cellStyle name="20% - Accent2 27 2" xfId="35768" xr:uid="{BA1F8F88-F0C6-4990-8AA7-EAB43470B8D6}"/>
    <cellStyle name="20% - Accent2 28" xfId="1785" xr:uid="{51207095-13C4-4F71-8346-90B21A2F5E72}"/>
    <cellStyle name="20% - Accent2 28 10" xfId="1786" xr:uid="{8FC6CFE5-9B8F-4DC5-8460-13F9E2C29C58}"/>
    <cellStyle name="20% - Accent2 28 10 2" xfId="1787" xr:uid="{C5D332B5-7FDA-446B-84C2-6BC50BFE05EE}"/>
    <cellStyle name="20% - Accent2 28 10 2 2" xfId="1788" xr:uid="{03D4C373-64E6-44BA-BB8D-4201C084E6B3}"/>
    <cellStyle name="20% - Accent2 28 10 2 2 2" xfId="1789" xr:uid="{260E842F-B92D-419F-84E3-0EFD76619F4B}"/>
    <cellStyle name="20% - Accent2 28 10 2 2 2 2" xfId="1790" xr:uid="{3368CD33-06CA-41B8-A99F-3EF4A3977640}"/>
    <cellStyle name="20% - Accent2 28 10 2 2 3" xfId="1791" xr:uid="{C4D00E72-0699-4B0A-8D46-0A243C34328C}"/>
    <cellStyle name="20% - Accent2 28 10 2 3" xfId="1792" xr:uid="{C33E5BA1-694E-4E82-A9FA-896C1F7CBFFA}"/>
    <cellStyle name="20% - Accent2 28 10 2 3 2" xfId="1793" xr:uid="{70245308-F017-4D9C-AD2A-133AE96E4EAB}"/>
    <cellStyle name="20% - Accent2 28 10 2 3 2 2" xfId="1794" xr:uid="{2A623927-04D0-4DAF-A109-855546FD3997}"/>
    <cellStyle name="20% - Accent2 28 10 2 3 3" xfId="1795" xr:uid="{2ECEF623-D50C-436A-B015-A89C650B976A}"/>
    <cellStyle name="20% - Accent2 28 10 2 4" xfId="1796" xr:uid="{66639C2A-8CFF-498F-9E02-95BAD5EE0033}"/>
    <cellStyle name="20% - Accent2 28 10 2 4 2" xfId="1797" xr:uid="{228DBBCA-6D4F-4954-B733-A22487C9C15A}"/>
    <cellStyle name="20% - Accent2 28 10 2 5" xfId="1798" xr:uid="{E1DBEA12-309B-4C8B-B869-5AFFFE4D8A92}"/>
    <cellStyle name="20% - Accent2 28 10 3" xfId="1799" xr:uid="{04C126EB-225D-4223-95FC-A90B5EA3D446}"/>
    <cellStyle name="20% - Accent2 28 10 3 2" xfId="1800" xr:uid="{BC16E74E-2481-4D3C-8492-A586A7B26832}"/>
    <cellStyle name="20% - Accent2 28 10 3 2 2" xfId="1801" xr:uid="{308BA77C-5172-4D16-9203-E40561EDBECF}"/>
    <cellStyle name="20% - Accent2 28 10 3 3" xfId="1802" xr:uid="{B457C816-EC7D-404D-9353-87CCE53A4527}"/>
    <cellStyle name="20% - Accent2 28 10 4" xfId="1803" xr:uid="{97E994E8-3454-4FF5-B23E-3AFE8C727E97}"/>
    <cellStyle name="20% - Accent2 28 10 4 2" xfId="1804" xr:uid="{2BA485A7-E598-420B-BB70-94337036EC6A}"/>
    <cellStyle name="20% - Accent2 28 10 4 2 2" xfId="1805" xr:uid="{A4960A60-3B56-4E04-A140-7F04E2E7E250}"/>
    <cellStyle name="20% - Accent2 28 10 4 3" xfId="1806" xr:uid="{072B29B9-1FE7-4CE6-90C5-8ED0F8AB20F1}"/>
    <cellStyle name="20% - Accent2 28 10 5" xfId="1807" xr:uid="{80BC3B72-737D-4BE9-A64F-BEFF30B117C8}"/>
    <cellStyle name="20% - Accent2 28 10 5 2" xfId="1808" xr:uid="{692DC8FD-DD54-491C-A681-20BFAD6607CF}"/>
    <cellStyle name="20% - Accent2 28 10 6" xfId="1809" xr:uid="{BF175E93-EF9B-4D3C-9938-A87889399D32}"/>
    <cellStyle name="20% - Accent2 28 11" xfId="1810" xr:uid="{54C9FF45-268C-4833-B0B1-6F77DEDE1AC4}"/>
    <cellStyle name="20% - Accent2 28 11 2" xfId="1811" xr:uid="{4203483D-BFD8-4F31-9098-5C7251A2EB74}"/>
    <cellStyle name="20% - Accent2 28 11 2 2" xfId="1812" xr:uid="{41C72582-8A05-425A-B435-6734214EF753}"/>
    <cellStyle name="20% - Accent2 28 11 2 2 2" xfId="1813" xr:uid="{4EBB981C-AB71-455F-90CA-D558B76E3668}"/>
    <cellStyle name="20% - Accent2 28 11 2 3" xfId="1814" xr:uid="{643A5F45-FDF1-4B6C-B295-CD23E7490576}"/>
    <cellStyle name="20% - Accent2 28 11 3" xfId="1815" xr:uid="{CCA97EBF-A52B-4402-B0A8-AC59AA1B8FDE}"/>
    <cellStyle name="20% - Accent2 28 11 3 2" xfId="1816" xr:uid="{342A66A3-8A82-4BC8-84CE-356B6F526AA2}"/>
    <cellStyle name="20% - Accent2 28 11 3 2 2" xfId="1817" xr:uid="{A27C50CC-1D2D-4368-8998-4D6F88A991B2}"/>
    <cellStyle name="20% - Accent2 28 11 3 3" xfId="1818" xr:uid="{88B4E52D-D524-469A-A55B-2FA56E3EE008}"/>
    <cellStyle name="20% - Accent2 28 11 4" xfId="1819" xr:uid="{98753A84-BD04-4BAF-A985-1ED55883207C}"/>
    <cellStyle name="20% - Accent2 28 11 4 2" xfId="1820" xr:uid="{DBCBC6F6-8A10-4871-9BAD-4913D53AEA3A}"/>
    <cellStyle name="20% - Accent2 28 11 5" xfId="1821" xr:uid="{F29A7FA9-E121-41A8-A913-69C61F990658}"/>
    <cellStyle name="20% - Accent2 28 12" xfId="1822" xr:uid="{17340B3C-1FDC-42B3-B3E8-F690963E53C8}"/>
    <cellStyle name="20% - Accent2 28 12 2" xfId="1823" xr:uid="{FAEDCB5B-C384-43F2-9EA2-6E5C4FF6262B}"/>
    <cellStyle name="20% - Accent2 28 12 2 2" xfId="1824" xr:uid="{F5F29DC1-DDB8-4F06-AB22-36CBF25AEFB4}"/>
    <cellStyle name="20% - Accent2 28 12 3" xfId="1825" xr:uid="{7C135D7E-C730-4EAD-842C-5A694E480EF0}"/>
    <cellStyle name="20% - Accent2 28 13" xfId="1826" xr:uid="{253F75B3-E194-4992-BB26-B132EF2FDF71}"/>
    <cellStyle name="20% - Accent2 28 13 2" xfId="1827" xr:uid="{53CE1522-D542-49A1-9573-26FF2BA4CE7E}"/>
    <cellStyle name="20% - Accent2 28 13 2 2" xfId="1828" xr:uid="{864F2121-8A33-4702-B4ED-A67E0BC707FE}"/>
    <cellStyle name="20% - Accent2 28 13 3" xfId="1829" xr:uid="{2914C6F6-DBE7-4BB7-93E9-E2C00AAB892E}"/>
    <cellStyle name="20% - Accent2 28 14" xfId="1830" xr:uid="{8B471814-363E-4980-A1FC-61591391A841}"/>
    <cellStyle name="20% - Accent2 28 14 2" xfId="1831" xr:uid="{4C68E6B3-4926-4E23-888C-A55A29160779}"/>
    <cellStyle name="20% - Accent2 28 15" xfId="1832" xr:uid="{9423AEAF-3B1C-4C1A-A3F4-73410A35DD7E}"/>
    <cellStyle name="20% - Accent2 28 16" xfId="35769" xr:uid="{2EF42CAE-53DD-4EB6-8534-DBFBE0D46054}"/>
    <cellStyle name="20% - Accent2 28 2" xfId="1833" xr:uid="{6FD0A5E4-87BF-498E-9439-70BFB6CA5092}"/>
    <cellStyle name="20% - Accent2 28 2 2" xfId="1834" xr:uid="{F716B29B-FED8-4CB1-9C22-BCE7A4086750}"/>
    <cellStyle name="20% - Accent2 28 2 2 2" xfId="1835" xr:uid="{AD26FA96-7A21-40CF-BF73-42D18FECA4B9}"/>
    <cellStyle name="20% - Accent2 28 2 2 2 2" xfId="1836" xr:uid="{8011750E-6EC8-4964-BF5E-8E1A848DF37F}"/>
    <cellStyle name="20% - Accent2 28 2 2 2 2 2" xfId="1837" xr:uid="{C213A3C3-DB30-445F-9F7F-B92797DBCC6A}"/>
    <cellStyle name="20% - Accent2 28 2 2 2 3" xfId="1838" xr:uid="{046975B5-21E4-43D6-810B-52E3039EA7C3}"/>
    <cellStyle name="20% - Accent2 28 2 2 3" xfId="1839" xr:uid="{BFC2D15F-5AF6-4067-AF6C-69A1947CEFC2}"/>
    <cellStyle name="20% - Accent2 28 2 2 3 2" xfId="1840" xr:uid="{6590F509-ACD5-4301-BAF5-43B6EF5450CF}"/>
    <cellStyle name="20% - Accent2 28 2 2 3 2 2" xfId="1841" xr:uid="{B42C8732-5DAF-40FC-8E53-A83B3B35AF5C}"/>
    <cellStyle name="20% - Accent2 28 2 2 3 3" xfId="1842" xr:uid="{00969523-BDBE-4749-BA34-4E4798D222E2}"/>
    <cellStyle name="20% - Accent2 28 2 2 4" xfId="1843" xr:uid="{3CF30CBC-D128-44CA-91B4-BAEA2F9BBC67}"/>
    <cellStyle name="20% - Accent2 28 2 2 4 2" xfId="1844" xr:uid="{1EC9FEEE-5E0E-4952-9ED1-AF86FA6F5F76}"/>
    <cellStyle name="20% - Accent2 28 2 2 5" xfId="1845" xr:uid="{1F8BC2CE-5906-40F5-A496-2897D0FCAB96}"/>
    <cellStyle name="20% - Accent2 28 2 3" xfId="1846" xr:uid="{81AFA560-E7EB-43D5-A2D9-70865393ADAB}"/>
    <cellStyle name="20% - Accent2 28 2 3 2" xfId="1847" xr:uid="{BB4A5D79-F342-4D69-9A59-DF881631CEDC}"/>
    <cellStyle name="20% - Accent2 28 2 3 2 2" xfId="1848" xr:uid="{0A241F3C-1EF6-47F4-B33C-B64EE46075D4}"/>
    <cellStyle name="20% - Accent2 28 2 3 3" xfId="1849" xr:uid="{1A643D14-E3D4-46B6-968C-83FDD6224531}"/>
    <cellStyle name="20% - Accent2 28 2 4" xfId="1850" xr:uid="{0B05B4EA-F06D-4E04-9075-3E2916A4464E}"/>
    <cellStyle name="20% - Accent2 28 2 4 2" xfId="1851" xr:uid="{9C05E430-FFA2-4DF3-A16D-087BEAFF1E4E}"/>
    <cellStyle name="20% - Accent2 28 2 4 2 2" xfId="1852" xr:uid="{62EB34AC-F9E0-43BD-9008-1CFA79A51C86}"/>
    <cellStyle name="20% - Accent2 28 2 4 3" xfId="1853" xr:uid="{2093512D-3ED8-4B13-BADE-EB20291180C8}"/>
    <cellStyle name="20% - Accent2 28 2 5" xfId="1854" xr:uid="{21A4BCA5-B999-47C2-B18C-92F38E9B1E2C}"/>
    <cellStyle name="20% - Accent2 28 2 5 2" xfId="1855" xr:uid="{CAC3EE79-DAD3-40FE-8EAF-23C51CE2687E}"/>
    <cellStyle name="20% - Accent2 28 2 6" xfId="1856" xr:uid="{0CDBE1EB-5C5C-4DD1-95D1-CFA027AA6999}"/>
    <cellStyle name="20% - Accent2 28 3" xfId="1857" xr:uid="{AF3FBECE-2F94-4719-A1AD-2E4F47F4C100}"/>
    <cellStyle name="20% - Accent2 28 3 2" xfId="1858" xr:uid="{F64A5E51-1C55-4A8D-8681-733DE84669D3}"/>
    <cellStyle name="20% - Accent2 28 3 2 2" xfId="1859" xr:uid="{4188E385-351C-48C0-BC21-1F9DCBEF0D6B}"/>
    <cellStyle name="20% - Accent2 28 3 2 2 2" xfId="1860" xr:uid="{7A52AF2B-C5E9-493F-B600-EE003E14FCB1}"/>
    <cellStyle name="20% - Accent2 28 3 2 2 2 2" xfId="1861" xr:uid="{F8482FBB-352E-4EBF-9893-11483BBFA661}"/>
    <cellStyle name="20% - Accent2 28 3 2 2 3" xfId="1862" xr:uid="{74CF6DEF-E70C-42CB-A085-BD8A9A353A4B}"/>
    <cellStyle name="20% - Accent2 28 3 2 3" xfId="1863" xr:uid="{68FE1E39-12C9-4D9F-9BEF-4C379BA304B9}"/>
    <cellStyle name="20% - Accent2 28 3 2 3 2" xfId="1864" xr:uid="{555D9AE2-348C-40F5-B6D8-1211840C40DC}"/>
    <cellStyle name="20% - Accent2 28 3 2 3 2 2" xfId="1865" xr:uid="{6A96A0D5-0AB1-46C6-913C-DB25A01B0BB2}"/>
    <cellStyle name="20% - Accent2 28 3 2 3 3" xfId="1866" xr:uid="{AAC961AC-01CF-4143-897A-3F9235B2A4CA}"/>
    <cellStyle name="20% - Accent2 28 3 2 4" xfId="1867" xr:uid="{07C1000C-4B3E-4840-92C3-B8713ED5A712}"/>
    <cellStyle name="20% - Accent2 28 3 2 4 2" xfId="1868" xr:uid="{4D88D2E7-B6DB-46F5-9814-21D4C736EACA}"/>
    <cellStyle name="20% - Accent2 28 3 2 5" xfId="1869" xr:uid="{3BB7431B-3F1F-4BAA-8B0A-CF410AA35AB6}"/>
    <cellStyle name="20% - Accent2 28 3 3" xfId="1870" xr:uid="{619F4E3C-088F-4EB5-8CD2-FE0461D8F810}"/>
    <cellStyle name="20% - Accent2 28 3 3 2" xfId="1871" xr:uid="{14D2D6A1-08BB-40FD-B0DC-C61EE5461141}"/>
    <cellStyle name="20% - Accent2 28 3 3 2 2" xfId="1872" xr:uid="{BFF98998-A713-4D9F-843F-F193344BD1EE}"/>
    <cellStyle name="20% - Accent2 28 3 3 3" xfId="1873" xr:uid="{23DEAB2D-E3EC-4380-9F20-2D0494BB3230}"/>
    <cellStyle name="20% - Accent2 28 3 4" xfId="1874" xr:uid="{135F8A81-ADB0-4834-9BAF-FD9C1958678E}"/>
    <cellStyle name="20% - Accent2 28 3 4 2" xfId="1875" xr:uid="{DEA8850F-CFE5-405C-B0BF-E5A60B708DF9}"/>
    <cellStyle name="20% - Accent2 28 3 4 2 2" xfId="1876" xr:uid="{3A2F43F1-29B7-4F2D-BFED-3A4AEA2E2669}"/>
    <cellStyle name="20% - Accent2 28 3 4 3" xfId="1877" xr:uid="{BDDA9619-16D7-4407-99AE-063FAD3BC5D8}"/>
    <cellStyle name="20% - Accent2 28 3 5" xfId="1878" xr:uid="{EDA65340-972E-4ECD-8098-EECCDB472728}"/>
    <cellStyle name="20% - Accent2 28 3 5 2" xfId="1879" xr:uid="{C3033594-53B4-42E0-B0FC-12758C0B7426}"/>
    <cellStyle name="20% - Accent2 28 3 6" xfId="1880" xr:uid="{3C91E6B7-C8C2-4816-BD8F-3939C6466C5C}"/>
    <cellStyle name="20% - Accent2 28 4" xfId="1881" xr:uid="{B1CCCA65-64FD-4B74-A725-C82E14647F3C}"/>
    <cellStyle name="20% - Accent2 28 4 2" xfId="1882" xr:uid="{1516428B-F514-4BC6-AA2D-13D7668F2A77}"/>
    <cellStyle name="20% - Accent2 28 4 2 2" xfId="1883" xr:uid="{B7281B8B-D758-4A22-9108-167AD2FB12C4}"/>
    <cellStyle name="20% - Accent2 28 4 2 2 2" xfId="1884" xr:uid="{768F504A-B4AC-4C56-B8DF-D0A9FC790785}"/>
    <cellStyle name="20% - Accent2 28 4 2 2 2 2" xfId="1885" xr:uid="{A5982C83-10E8-488D-8EFC-AAEEBAC120A1}"/>
    <cellStyle name="20% - Accent2 28 4 2 2 3" xfId="1886" xr:uid="{673F5B23-2405-4DA4-AE33-4C7528140792}"/>
    <cellStyle name="20% - Accent2 28 4 2 3" xfId="1887" xr:uid="{20169CB1-7D4B-4CC0-9D94-C3F01B694A55}"/>
    <cellStyle name="20% - Accent2 28 4 2 3 2" xfId="1888" xr:uid="{D00A0229-4EE6-4F23-AF03-076B756BA40E}"/>
    <cellStyle name="20% - Accent2 28 4 2 3 2 2" xfId="1889" xr:uid="{3AE77648-B460-4E94-B488-2D2DB2B46B46}"/>
    <cellStyle name="20% - Accent2 28 4 2 3 3" xfId="1890" xr:uid="{AC0DE157-0F98-4DB6-B592-A98CED98A42F}"/>
    <cellStyle name="20% - Accent2 28 4 2 4" xfId="1891" xr:uid="{59C6A461-D4B8-436F-A9EC-2BECABA94D01}"/>
    <cellStyle name="20% - Accent2 28 4 2 4 2" xfId="1892" xr:uid="{F7AD31CD-A115-4C8B-BC1F-665F8E8B44A1}"/>
    <cellStyle name="20% - Accent2 28 4 2 5" xfId="1893" xr:uid="{2DF95268-355D-4B5D-AC99-AA6ACAF42F77}"/>
    <cellStyle name="20% - Accent2 28 4 3" xfId="1894" xr:uid="{DD22CF55-EC38-441F-932F-8DB1ECA82B74}"/>
    <cellStyle name="20% - Accent2 28 4 3 2" xfId="1895" xr:uid="{DB30585C-40CB-4DB4-A567-26D61A86F970}"/>
    <cellStyle name="20% - Accent2 28 4 3 2 2" xfId="1896" xr:uid="{27C62020-C191-4D83-A15A-4D036DCFB0CC}"/>
    <cellStyle name="20% - Accent2 28 4 3 3" xfId="1897" xr:uid="{CCAEA226-D0C4-4C39-84B5-389A764410B3}"/>
    <cellStyle name="20% - Accent2 28 4 4" xfId="1898" xr:uid="{E415EB73-5BAD-45E6-862A-FE6C98F42593}"/>
    <cellStyle name="20% - Accent2 28 4 4 2" xfId="1899" xr:uid="{24AFB6D1-77F5-4431-97E7-0AD4AFBB983D}"/>
    <cellStyle name="20% - Accent2 28 4 4 2 2" xfId="1900" xr:uid="{8167DD7E-087D-4B9D-AC93-254A4E310734}"/>
    <cellStyle name="20% - Accent2 28 4 4 3" xfId="1901" xr:uid="{6E33FFDF-0011-45AD-8201-988279F5D8DD}"/>
    <cellStyle name="20% - Accent2 28 4 5" xfId="1902" xr:uid="{673EAC9E-8557-4BCE-A8FC-607813F7599E}"/>
    <cellStyle name="20% - Accent2 28 4 5 2" xfId="1903" xr:uid="{83623F4E-B1A4-4EDF-945D-26B3AB277A4F}"/>
    <cellStyle name="20% - Accent2 28 4 6" xfId="1904" xr:uid="{6108A8B9-52A0-4353-96CB-3BD53DE7ED5E}"/>
    <cellStyle name="20% - Accent2 28 5" xfId="1905" xr:uid="{26DA972F-4239-4121-9A13-74B67FB59798}"/>
    <cellStyle name="20% - Accent2 28 5 2" xfId="1906" xr:uid="{7EA8F2EF-1EF1-4DCB-870F-B01A18E1668C}"/>
    <cellStyle name="20% - Accent2 28 5 2 2" xfId="1907" xr:uid="{F59F8634-AE5B-4C86-9661-F6C0B88F75D3}"/>
    <cellStyle name="20% - Accent2 28 5 2 2 2" xfId="1908" xr:uid="{1AB3651A-BA0A-4285-9445-121DF1FCCFE7}"/>
    <cellStyle name="20% - Accent2 28 5 2 2 2 2" xfId="1909" xr:uid="{CAD302AA-86F6-4B8C-9F88-D7F01ABBF60C}"/>
    <cellStyle name="20% - Accent2 28 5 2 2 3" xfId="1910" xr:uid="{E4006058-0867-44E9-83DE-9E0BF40B85FC}"/>
    <cellStyle name="20% - Accent2 28 5 2 3" xfId="1911" xr:uid="{26D70A56-EC5D-4980-8EB9-B81F452B6FFB}"/>
    <cellStyle name="20% - Accent2 28 5 2 3 2" xfId="1912" xr:uid="{9B480AB9-A43E-426B-85DF-D0C1978436C4}"/>
    <cellStyle name="20% - Accent2 28 5 2 3 2 2" xfId="1913" xr:uid="{9ACE5254-CBB4-4C42-B968-ED2461738BD7}"/>
    <cellStyle name="20% - Accent2 28 5 2 3 3" xfId="1914" xr:uid="{A053975A-B439-4A2F-8720-DF0BB367A07A}"/>
    <cellStyle name="20% - Accent2 28 5 2 4" xfId="1915" xr:uid="{4A432701-148A-4883-A1E3-333C9F4951B6}"/>
    <cellStyle name="20% - Accent2 28 5 2 4 2" xfId="1916" xr:uid="{7C0D389C-A933-46AA-AAD8-0E0972821422}"/>
    <cellStyle name="20% - Accent2 28 5 2 5" xfId="1917" xr:uid="{4B9DBC00-B59A-4C45-9837-07BD1A7B5C3B}"/>
    <cellStyle name="20% - Accent2 28 5 3" xfId="1918" xr:uid="{C46BA0CD-F709-4E86-9AA6-BD2E58652C95}"/>
    <cellStyle name="20% - Accent2 28 5 3 2" xfId="1919" xr:uid="{8BBDDEC0-7742-4065-9E76-A904A234D84C}"/>
    <cellStyle name="20% - Accent2 28 5 3 2 2" xfId="1920" xr:uid="{8387C86A-A79D-45A6-B15B-E9E66433E572}"/>
    <cellStyle name="20% - Accent2 28 5 3 3" xfId="1921" xr:uid="{ABD5FC7F-B078-44DE-99E8-4D2F7B4B14B9}"/>
    <cellStyle name="20% - Accent2 28 5 4" xfId="1922" xr:uid="{321A4245-E049-4864-948B-A4ADE57EFC0E}"/>
    <cellStyle name="20% - Accent2 28 5 4 2" xfId="1923" xr:uid="{22F3EC72-B908-443D-932F-E28A96411FEC}"/>
    <cellStyle name="20% - Accent2 28 5 4 2 2" xfId="1924" xr:uid="{9C6B03A5-1D3F-436D-B3F4-CAF1DEAB8DE2}"/>
    <cellStyle name="20% - Accent2 28 5 4 3" xfId="1925" xr:uid="{AE7348F6-693D-4BF6-94BD-F2BB4DC71D91}"/>
    <cellStyle name="20% - Accent2 28 5 5" xfId="1926" xr:uid="{68D43515-81E7-411D-82F7-88C51BA028A0}"/>
    <cellStyle name="20% - Accent2 28 5 5 2" xfId="1927" xr:uid="{4652A12B-30E5-45AF-AD55-BA68A7D1B297}"/>
    <cellStyle name="20% - Accent2 28 5 6" xfId="1928" xr:uid="{C3228FA6-E6D6-471F-8AB4-5C163A307C64}"/>
    <cellStyle name="20% - Accent2 28 6" xfId="1929" xr:uid="{BD26C2AD-33F2-4F49-8C2D-9C7A4328BE09}"/>
    <cellStyle name="20% - Accent2 28 6 2" xfId="1930" xr:uid="{B77BD0BE-2C29-40BA-AA73-C015880A9F24}"/>
    <cellStyle name="20% - Accent2 28 6 2 2" xfId="1931" xr:uid="{BBE683F2-C9D7-4251-98C4-BF8C289CF4E7}"/>
    <cellStyle name="20% - Accent2 28 6 2 2 2" xfId="1932" xr:uid="{A39FE900-B91B-475E-AEBC-E3BC3C665295}"/>
    <cellStyle name="20% - Accent2 28 6 2 2 2 2" xfId="1933" xr:uid="{8AA84C2C-11E9-499C-B762-10FE812AF10B}"/>
    <cellStyle name="20% - Accent2 28 6 2 2 3" xfId="1934" xr:uid="{F90CCC61-7F17-410D-80E7-35BF470D4759}"/>
    <cellStyle name="20% - Accent2 28 6 2 3" xfId="1935" xr:uid="{C468E504-E18A-4DFB-A46D-B8EA61C5F4A4}"/>
    <cellStyle name="20% - Accent2 28 6 2 3 2" xfId="1936" xr:uid="{6E81C59F-E677-4030-A1CE-2C531CF58963}"/>
    <cellStyle name="20% - Accent2 28 6 2 3 2 2" xfId="1937" xr:uid="{D3A1EDF4-0C14-4D39-B8AB-CC9FE864CC30}"/>
    <cellStyle name="20% - Accent2 28 6 2 3 3" xfId="1938" xr:uid="{A2695BE4-29C3-4677-96D9-3E2C8F09270A}"/>
    <cellStyle name="20% - Accent2 28 6 2 4" xfId="1939" xr:uid="{8395D130-F332-4C40-8A95-11BF00081231}"/>
    <cellStyle name="20% - Accent2 28 6 2 4 2" xfId="1940" xr:uid="{3DA0C911-033A-49FE-95B9-58FF00777FF0}"/>
    <cellStyle name="20% - Accent2 28 6 2 5" xfId="1941" xr:uid="{2916CD5A-6E5E-4DF6-AFBD-B8F58CC4BE1D}"/>
    <cellStyle name="20% - Accent2 28 6 3" xfId="1942" xr:uid="{B9E27414-3106-4B82-9E8B-A1B10BC249D6}"/>
    <cellStyle name="20% - Accent2 28 6 3 2" xfId="1943" xr:uid="{BC29D035-090E-43A8-A09B-81657B91C28D}"/>
    <cellStyle name="20% - Accent2 28 6 3 2 2" xfId="1944" xr:uid="{79B21296-1E6E-4AA2-809D-63E529AA73B3}"/>
    <cellStyle name="20% - Accent2 28 6 3 3" xfId="1945" xr:uid="{0BCDCB1D-057B-4301-9D14-FB679F1C89CD}"/>
    <cellStyle name="20% - Accent2 28 6 4" xfId="1946" xr:uid="{6C491016-416B-4A90-A6D9-64D748CC0ED1}"/>
    <cellStyle name="20% - Accent2 28 6 4 2" xfId="1947" xr:uid="{B0FDC296-DDCD-4BAA-8C1A-CE3E9CC1877D}"/>
    <cellStyle name="20% - Accent2 28 6 4 2 2" xfId="1948" xr:uid="{B21EA193-5C3A-4D29-B661-03A2E2D3FF93}"/>
    <cellStyle name="20% - Accent2 28 6 4 3" xfId="1949" xr:uid="{397A47F8-E8F3-4A4E-855B-FEDBA203A362}"/>
    <cellStyle name="20% - Accent2 28 6 5" xfId="1950" xr:uid="{6BC4506A-2FE2-43DB-97B4-DDC1C6413998}"/>
    <cellStyle name="20% - Accent2 28 6 5 2" xfId="1951" xr:uid="{3884E36C-82F0-4568-8BEA-CB9E086F3A0F}"/>
    <cellStyle name="20% - Accent2 28 6 6" xfId="1952" xr:uid="{0E766D56-7173-4D7B-B092-90EEACAF95B2}"/>
    <cellStyle name="20% - Accent2 28 7" xfId="1953" xr:uid="{91163CCC-AFB6-43D2-8355-9D02E29EA924}"/>
    <cellStyle name="20% - Accent2 28 7 2" xfId="1954" xr:uid="{E9E3F561-73EA-4D24-A24D-180712CA917B}"/>
    <cellStyle name="20% - Accent2 28 7 2 2" xfId="1955" xr:uid="{41A44B70-4A7E-4F55-8B9C-AA10A4809AE5}"/>
    <cellStyle name="20% - Accent2 28 7 2 2 2" xfId="1956" xr:uid="{482EC0E5-F616-4D2D-924D-C7D9520CE019}"/>
    <cellStyle name="20% - Accent2 28 7 2 2 2 2" xfId="1957" xr:uid="{5BFEF9B2-8E45-4B08-A194-8819F29255C8}"/>
    <cellStyle name="20% - Accent2 28 7 2 2 3" xfId="1958" xr:uid="{07B36993-A15C-45A0-8899-6CA11BB0CA5B}"/>
    <cellStyle name="20% - Accent2 28 7 2 3" xfId="1959" xr:uid="{56B5D416-CE17-4DA1-8E2E-A91E58B0AC1F}"/>
    <cellStyle name="20% - Accent2 28 7 2 3 2" xfId="1960" xr:uid="{82821399-33E9-4312-A847-8E3CC9098A40}"/>
    <cellStyle name="20% - Accent2 28 7 2 3 2 2" xfId="1961" xr:uid="{3F1E6EB2-C49D-47A5-80C4-791CAB7F7D5B}"/>
    <cellStyle name="20% - Accent2 28 7 2 3 3" xfId="1962" xr:uid="{84B58F0A-0DF4-43CD-9D5A-3B4F4CE0A0A1}"/>
    <cellStyle name="20% - Accent2 28 7 2 4" xfId="1963" xr:uid="{2557EE38-F80C-46F0-8B41-359FE49D75CE}"/>
    <cellStyle name="20% - Accent2 28 7 2 4 2" xfId="1964" xr:uid="{0B681D9B-EC42-483E-AEFE-F2CEDAD99AF6}"/>
    <cellStyle name="20% - Accent2 28 7 2 5" xfId="1965" xr:uid="{5B596637-FA86-484E-A6E6-77A94BDFDEB3}"/>
    <cellStyle name="20% - Accent2 28 7 3" xfId="1966" xr:uid="{A42C42C3-6654-43D7-AC72-75817CE74430}"/>
    <cellStyle name="20% - Accent2 28 7 3 2" xfId="1967" xr:uid="{12F54C29-9721-4738-BA27-4BB5B497B837}"/>
    <cellStyle name="20% - Accent2 28 7 3 2 2" xfId="1968" xr:uid="{55B531F2-4E74-4E36-83AE-9F8BB722A7C1}"/>
    <cellStyle name="20% - Accent2 28 7 3 3" xfId="1969" xr:uid="{9C1E9A36-EE46-4C71-B4E6-375AFE235328}"/>
    <cellStyle name="20% - Accent2 28 7 4" xfId="1970" xr:uid="{24F76C18-902A-4705-BE67-7F6B59919A25}"/>
    <cellStyle name="20% - Accent2 28 7 4 2" xfId="1971" xr:uid="{91A6F483-C93B-42F4-9B9D-F04318750FC2}"/>
    <cellStyle name="20% - Accent2 28 7 4 2 2" xfId="1972" xr:uid="{F2B40ADC-7046-4576-9F2C-667EB9DD4BCA}"/>
    <cellStyle name="20% - Accent2 28 7 4 3" xfId="1973" xr:uid="{0907E597-072E-4386-8E38-00E92CC61A1B}"/>
    <cellStyle name="20% - Accent2 28 7 5" xfId="1974" xr:uid="{007EF9EE-DFF1-4BAE-90D2-3FDFE34A22A4}"/>
    <cellStyle name="20% - Accent2 28 7 5 2" xfId="1975" xr:uid="{2B84522F-5CF4-44F4-9DA5-6A8DCC9CAC67}"/>
    <cellStyle name="20% - Accent2 28 7 6" xfId="1976" xr:uid="{C6FC3CDC-E1CE-454B-9A6C-F1031092718A}"/>
    <cellStyle name="20% - Accent2 28 8" xfId="1977" xr:uid="{FC8AF204-E5C6-4B70-99F4-082815C320B4}"/>
    <cellStyle name="20% - Accent2 28 8 2" xfId="1978" xr:uid="{CE8A4804-2C86-432E-B5FB-50A0D7E380F9}"/>
    <cellStyle name="20% - Accent2 28 8 2 2" xfId="1979" xr:uid="{60C9B331-1DC6-4A8A-83F2-53925013BF37}"/>
    <cellStyle name="20% - Accent2 28 8 2 2 2" xfId="1980" xr:uid="{1EBA6F35-5C9E-4B06-8988-0E4FA2D209F1}"/>
    <cellStyle name="20% - Accent2 28 8 2 2 2 2" xfId="1981" xr:uid="{5E5F3F87-CE69-4F38-8BC1-F32AC11B4C7F}"/>
    <cellStyle name="20% - Accent2 28 8 2 2 3" xfId="1982" xr:uid="{AAA5D159-F408-49B3-A1A1-ADE31252D07B}"/>
    <cellStyle name="20% - Accent2 28 8 2 3" xfId="1983" xr:uid="{F490EFB6-A6EB-42F1-AE44-0CE59156C617}"/>
    <cellStyle name="20% - Accent2 28 8 2 3 2" xfId="1984" xr:uid="{34387859-6CDE-40E8-8AC3-83A82600454D}"/>
    <cellStyle name="20% - Accent2 28 8 2 3 2 2" xfId="1985" xr:uid="{5C45A44E-C4B4-4D86-8E1B-24424A8C6F33}"/>
    <cellStyle name="20% - Accent2 28 8 2 3 3" xfId="1986" xr:uid="{EFFA3E39-D183-4824-981D-628677ACB0EF}"/>
    <cellStyle name="20% - Accent2 28 8 2 4" xfId="1987" xr:uid="{357AA2FC-E1FB-4E36-A8FE-05C9B831DB7D}"/>
    <cellStyle name="20% - Accent2 28 8 2 4 2" xfId="1988" xr:uid="{57E1CA47-C993-4180-94D3-1F609079B205}"/>
    <cellStyle name="20% - Accent2 28 8 2 5" xfId="1989" xr:uid="{D47B9DAF-3BBF-4C49-BD9F-F4D5C02F7F29}"/>
    <cellStyle name="20% - Accent2 28 8 3" xfId="1990" xr:uid="{B62223B7-FA0A-473A-865E-00D19EF6DD12}"/>
    <cellStyle name="20% - Accent2 28 8 3 2" xfId="1991" xr:uid="{CA32B6A9-35C3-4EC3-8243-1C9C06147F45}"/>
    <cellStyle name="20% - Accent2 28 8 3 2 2" xfId="1992" xr:uid="{DABBF9CC-D09F-4533-905F-172AC16D7C65}"/>
    <cellStyle name="20% - Accent2 28 8 3 3" xfId="1993" xr:uid="{0BA85505-10F8-4323-9C1B-50532E2292C9}"/>
    <cellStyle name="20% - Accent2 28 8 4" xfId="1994" xr:uid="{86E39476-5CF2-4F3E-A605-BC36FC2BEFCB}"/>
    <cellStyle name="20% - Accent2 28 8 4 2" xfId="1995" xr:uid="{6F884FF6-CCA3-4F92-8716-233188A6E868}"/>
    <cellStyle name="20% - Accent2 28 8 4 2 2" xfId="1996" xr:uid="{9CFA7347-EBA6-4FB7-B0E6-A83BAEA453A6}"/>
    <cellStyle name="20% - Accent2 28 8 4 3" xfId="1997" xr:uid="{868C6F11-3F8E-46A0-99B6-AD1C11525C11}"/>
    <cellStyle name="20% - Accent2 28 8 5" xfId="1998" xr:uid="{3CBBC2F7-E95E-43DE-8C36-1AFED14860B7}"/>
    <cellStyle name="20% - Accent2 28 8 5 2" xfId="1999" xr:uid="{087A3FD4-5302-421F-9296-9D6A21A002EC}"/>
    <cellStyle name="20% - Accent2 28 8 6" xfId="2000" xr:uid="{B0FCA263-6773-421E-96EA-8D36EF53456D}"/>
    <cellStyle name="20% - Accent2 28 9" xfId="2001" xr:uid="{9193449F-9CBE-469C-8374-90FD85B19785}"/>
    <cellStyle name="20% - Accent2 28 9 2" xfId="2002" xr:uid="{46E533AA-E85B-4BC2-8C1B-136C78A64D17}"/>
    <cellStyle name="20% - Accent2 28 9 2 2" xfId="2003" xr:uid="{04DBFF75-2276-4A81-B569-07BF57773A7C}"/>
    <cellStyle name="20% - Accent2 28 9 2 2 2" xfId="2004" xr:uid="{3810A9E9-0803-47E0-AF5C-32C432E1AFB9}"/>
    <cellStyle name="20% - Accent2 28 9 2 2 2 2" xfId="2005" xr:uid="{02EC657C-1092-4C0E-B64A-1284AEB671D3}"/>
    <cellStyle name="20% - Accent2 28 9 2 2 3" xfId="2006" xr:uid="{BF96E038-4B40-46D7-ABEA-EA43A7CF37AA}"/>
    <cellStyle name="20% - Accent2 28 9 2 3" xfId="2007" xr:uid="{F7121E4C-092F-4058-838E-66D0E1183710}"/>
    <cellStyle name="20% - Accent2 28 9 2 3 2" xfId="2008" xr:uid="{DA4BB2AC-026F-450A-9D19-9D2E67D7D43A}"/>
    <cellStyle name="20% - Accent2 28 9 2 3 2 2" xfId="2009" xr:uid="{205CC7D9-C0DF-4CD3-B6E6-FBA43B69BB3C}"/>
    <cellStyle name="20% - Accent2 28 9 2 3 3" xfId="2010" xr:uid="{9472F497-2332-4A5B-A7C4-08E9561E82BA}"/>
    <cellStyle name="20% - Accent2 28 9 2 4" xfId="2011" xr:uid="{18333FCE-3110-4BB0-A473-66403BBC589E}"/>
    <cellStyle name="20% - Accent2 28 9 2 4 2" xfId="2012" xr:uid="{2E87BF8C-7A3D-4F07-8B30-C853379746BC}"/>
    <cellStyle name="20% - Accent2 28 9 2 5" xfId="2013" xr:uid="{6C0E3828-FA82-49CD-ADA0-14FD5A3355A5}"/>
    <cellStyle name="20% - Accent2 28 9 3" xfId="2014" xr:uid="{DF7F841E-5648-4412-9DF0-12B6D68DD19D}"/>
    <cellStyle name="20% - Accent2 28 9 3 2" xfId="2015" xr:uid="{04720526-6DBA-468B-8917-17B60D1552D4}"/>
    <cellStyle name="20% - Accent2 28 9 3 2 2" xfId="2016" xr:uid="{9A5F2346-2BA6-45AE-BAE3-2382DCE4E5B0}"/>
    <cellStyle name="20% - Accent2 28 9 3 3" xfId="2017" xr:uid="{D65E661F-71FD-4174-A76E-1EF904AD1AF9}"/>
    <cellStyle name="20% - Accent2 28 9 4" xfId="2018" xr:uid="{CE642CBE-5063-4DCB-8114-04720AF21069}"/>
    <cellStyle name="20% - Accent2 28 9 4 2" xfId="2019" xr:uid="{FA27A88E-38CA-47F2-A682-48FFF0ED52AB}"/>
    <cellStyle name="20% - Accent2 28 9 4 2 2" xfId="2020" xr:uid="{E77BAABD-5B81-4281-83B3-0E1994751E2D}"/>
    <cellStyle name="20% - Accent2 28 9 4 3" xfId="2021" xr:uid="{5F9570F8-3ED8-4F30-9456-AECCACC25F08}"/>
    <cellStyle name="20% - Accent2 28 9 5" xfId="2022" xr:uid="{B1A2E7B9-AAD1-4F08-8297-7075D6945F84}"/>
    <cellStyle name="20% - Accent2 28 9 5 2" xfId="2023" xr:uid="{0EEEC3C8-09B8-4593-A9B9-35F82F88EC26}"/>
    <cellStyle name="20% - Accent2 28 9 6" xfId="2024" xr:uid="{FB6FAA31-E417-4EEE-819C-FF576BCABDAF}"/>
    <cellStyle name="20% - Accent2 29" xfId="2025" xr:uid="{6BF7648B-B081-4AD2-A3E5-09BB5DB8BD7D}"/>
    <cellStyle name="20% - Accent2 29 10" xfId="2026" xr:uid="{3E65CF95-F632-444C-861E-FF2745263E04}"/>
    <cellStyle name="20% - Accent2 29 10 2" xfId="2027" xr:uid="{18580923-4E05-4437-A273-C05348988FEA}"/>
    <cellStyle name="20% - Accent2 29 10 2 2" xfId="2028" xr:uid="{ABB0DBB7-47B5-4A86-ABB2-A9615C3FEBE0}"/>
    <cellStyle name="20% - Accent2 29 10 2 2 2" xfId="2029" xr:uid="{EE8AB4AA-91F2-4BA0-8863-CF16F35407D4}"/>
    <cellStyle name="20% - Accent2 29 10 2 2 2 2" xfId="2030" xr:uid="{90B73FB1-8E70-4A77-BB42-F6BA1EB14776}"/>
    <cellStyle name="20% - Accent2 29 10 2 2 3" xfId="2031" xr:uid="{3C62ABDA-DF13-433A-8083-071FFD31B1E7}"/>
    <cellStyle name="20% - Accent2 29 10 2 3" xfId="2032" xr:uid="{C99FB864-BA28-4611-ACC4-262F3524C206}"/>
    <cellStyle name="20% - Accent2 29 10 2 3 2" xfId="2033" xr:uid="{8DC20862-ECC0-4AD6-94C5-F23B52852B60}"/>
    <cellStyle name="20% - Accent2 29 10 2 3 2 2" xfId="2034" xr:uid="{18ED8954-70ED-41A9-811D-285496796CCB}"/>
    <cellStyle name="20% - Accent2 29 10 2 3 3" xfId="2035" xr:uid="{DF16BC75-3009-4B78-A88B-1419AE116B1D}"/>
    <cellStyle name="20% - Accent2 29 10 2 4" xfId="2036" xr:uid="{84EB6446-4C4C-433F-8BE4-4660B70AC34D}"/>
    <cellStyle name="20% - Accent2 29 10 2 4 2" xfId="2037" xr:uid="{C3C473E3-BE5F-431D-BAE0-35182874AFDE}"/>
    <cellStyle name="20% - Accent2 29 10 2 5" xfId="2038" xr:uid="{8147156E-477B-4871-890A-F697B5808663}"/>
    <cellStyle name="20% - Accent2 29 10 3" xfId="2039" xr:uid="{961FC7D8-A026-47FB-8717-CB3D470B03A9}"/>
    <cellStyle name="20% - Accent2 29 10 3 2" xfId="2040" xr:uid="{F806E288-6066-446A-AE2E-7CFE66D6467E}"/>
    <cellStyle name="20% - Accent2 29 10 3 2 2" xfId="2041" xr:uid="{8602CDF9-CDC3-4806-B85D-8F30F20AC888}"/>
    <cellStyle name="20% - Accent2 29 10 3 3" xfId="2042" xr:uid="{ED34204C-1186-458D-AEA6-0F7C221BF165}"/>
    <cellStyle name="20% - Accent2 29 10 4" xfId="2043" xr:uid="{936C7007-BB2C-442A-A7F5-65A982240F53}"/>
    <cellStyle name="20% - Accent2 29 10 4 2" xfId="2044" xr:uid="{0A46DC8E-1D8F-4397-9423-12BBAE9A628D}"/>
    <cellStyle name="20% - Accent2 29 10 4 2 2" xfId="2045" xr:uid="{15CAC8B6-C2D6-453E-9CDC-78BB343A5994}"/>
    <cellStyle name="20% - Accent2 29 10 4 3" xfId="2046" xr:uid="{E41EC720-44AB-4180-988D-82E0B76DDD53}"/>
    <cellStyle name="20% - Accent2 29 10 5" xfId="2047" xr:uid="{FC9D3F16-5A37-4BAC-AF41-FDA64E4084DB}"/>
    <cellStyle name="20% - Accent2 29 10 5 2" xfId="2048" xr:uid="{13FA6E37-B077-4EBF-8A6E-502081E0AEF6}"/>
    <cellStyle name="20% - Accent2 29 10 6" xfId="2049" xr:uid="{15E1DB04-6B88-4651-9CEA-7D92886F647B}"/>
    <cellStyle name="20% - Accent2 29 11" xfId="2050" xr:uid="{E6F0BF69-C892-47CF-9DD0-01F898DB931B}"/>
    <cellStyle name="20% - Accent2 29 11 2" xfId="2051" xr:uid="{F569D734-B22C-4542-AF06-8F679133EFE5}"/>
    <cellStyle name="20% - Accent2 29 11 2 2" xfId="2052" xr:uid="{A45BBBE1-3653-483E-A989-346C811A0320}"/>
    <cellStyle name="20% - Accent2 29 11 2 2 2" xfId="2053" xr:uid="{B08B1032-A307-47B9-8927-9A4462B160CA}"/>
    <cellStyle name="20% - Accent2 29 11 2 3" xfId="2054" xr:uid="{A836DB13-1F91-4497-BC9F-1A2DCE4CAB6F}"/>
    <cellStyle name="20% - Accent2 29 11 3" xfId="2055" xr:uid="{0135D03A-6313-47AB-97D0-3362A50AE571}"/>
    <cellStyle name="20% - Accent2 29 11 3 2" xfId="2056" xr:uid="{981D1689-E9B9-4F9F-98BE-621ACEA6FDF7}"/>
    <cellStyle name="20% - Accent2 29 11 3 2 2" xfId="2057" xr:uid="{B5DE4F26-EDB1-4F23-A361-716D723AAA1B}"/>
    <cellStyle name="20% - Accent2 29 11 3 3" xfId="2058" xr:uid="{96F37B19-B6DE-4562-B768-69377CD08BE2}"/>
    <cellStyle name="20% - Accent2 29 11 4" xfId="2059" xr:uid="{34160637-F46B-477D-A946-3A6855E62019}"/>
    <cellStyle name="20% - Accent2 29 11 4 2" xfId="2060" xr:uid="{F45CB02A-D49F-4426-9235-D9124C5F5FDA}"/>
    <cellStyle name="20% - Accent2 29 11 5" xfId="2061" xr:uid="{C83B3741-5C9B-49EE-A615-64B373D8C48B}"/>
    <cellStyle name="20% - Accent2 29 12" xfId="2062" xr:uid="{32A0E507-4F74-4260-99B0-2AB6277203FA}"/>
    <cellStyle name="20% - Accent2 29 12 2" xfId="2063" xr:uid="{F914FD62-038B-4288-BA0A-33815968D19F}"/>
    <cellStyle name="20% - Accent2 29 12 2 2" xfId="2064" xr:uid="{955B5F88-0DEC-4F8E-8120-0F06457B6713}"/>
    <cellStyle name="20% - Accent2 29 12 3" xfId="2065" xr:uid="{B8D69D4A-28F0-4A91-B779-1CA5730370B6}"/>
    <cellStyle name="20% - Accent2 29 13" xfId="2066" xr:uid="{A98F3BB4-DAE6-4BD7-AFD4-3DA979590EDF}"/>
    <cellStyle name="20% - Accent2 29 13 2" xfId="2067" xr:uid="{57A8E86F-83C9-4E64-AB51-D1209F793D1B}"/>
    <cellStyle name="20% - Accent2 29 13 2 2" xfId="2068" xr:uid="{3DD36D89-F479-4880-9720-F6F992E7EF0A}"/>
    <cellStyle name="20% - Accent2 29 13 3" xfId="2069" xr:uid="{844B5EF2-6286-4394-962B-5178C13A9A10}"/>
    <cellStyle name="20% - Accent2 29 14" xfId="2070" xr:uid="{A5B2420E-4152-49FF-AB90-30F0BB28894B}"/>
    <cellStyle name="20% - Accent2 29 14 2" xfId="2071" xr:uid="{4D79CF54-16D6-4A1C-88C2-A8BDE55AE5C6}"/>
    <cellStyle name="20% - Accent2 29 15" xfId="2072" xr:uid="{BB784A66-2677-45C0-A7A0-32FC86C3A5F6}"/>
    <cellStyle name="20% - Accent2 29 16" xfId="35770" xr:uid="{7260D647-232F-41A2-9B75-DA89903676CC}"/>
    <cellStyle name="20% - Accent2 29 2" xfId="2073" xr:uid="{04F7BCA5-9EFE-4DAD-8481-58972171574D}"/>
    <cellStyle name="20% - Accent2 29 2 2" xfId="2074" xr:uid="{6A63C1E9-6349-4091-AE1B-CDC212708949}"/>
    <cellStyle name="20% - Accent2 29 2 2 2" xfId="2075" xr:uid="{08C7A08A-0A26-42BF-8354-0691440198B2}"/>
    <cellStyle name="20% - Accent2 29 2 2 2 2" xfId="2076" xr:uid="{6476471D-38E9-4E33-92FF-82D62C2A07CE}"/>
    <cellStyle name="20% - Accent2 29 2 2 2 2 2" xfId="2077" xr:uid="{EFCCC451-90C6-423A-BFD7-9310E052B873}"/>
    <cellStyle name="20% - Accent2 29 2 2 2 3" xfId="2078" xr:uid="{451739B5-E56E-41A9-A848-684AA38F0C52}"/>
    <cellStyle name="20% - Accent2 29 2 2 3" xfId="2079" xr:uid="{F8BAF1F5-251E-4149-9AF5-6EEE46707E49}"/>
    <cellStyle name="20% - Accent2 29 2 2 3 2" xfId="2080" xr:uid="{6BAABF5B-2357-4CD2-86BE-A993E08E9C8E}"/>
    <cellStyle name="20% - Accent2 29 2 2 3 2 2" xfId="2081" xr:uid="{F1A18980-65EC-4F8E-8AFE-F671CE227DCA}"/>
    <cellStyle name="20% - Accent2 29 2 2 3 3" xfId="2082" xr:uid="{3488860A-5CA7-41FD-8071-86CCC7B97545}"/>
    <cellStyle name="20% - Accent2 29 2 2 4" xfId="2083" xr:uid="{34BE5D2C-9210-479E-9663-B523A58C450D}"/>
    <cellStyle name="20% - Accent2 29 2 2 4 2" xfId="2084" xr:uid="{CB6C9BC3-9B86-44A3-B28A-B6E0DAA269D8}"/>
    <cellStyle name="20% - Accent2 29 2 2 5" xfId="2085" xr:uid="{F69116E5-F991-4D38-B26B-1B36A0BD2542}"/>
    <cellStyle name="20% - Accent2 29 2 3" xfId="2086" xr:uid="{36343367-E598-482D-8803-B589132B29D0}"/>
    <cellStyle name="20% - Accent2 29 2 3 2" xfId="2087" xr:uid="{ADAA7299-0B21-4CE9-AF2D-CD43EE872DEC}"/>
    <cellStyle name="20% - Accent2 29 2 3 2 2" xfId="2088" xr:uid="{1BA0C715-9C49-481C-AC55-DEDE094990F5}"/>
    <cellStyle name="20% - Accent2 29 2 3 3" xfId="2089" xr:uid="{B34E5410-B677-4D7D-AF2D-1B0096AE6E54}"/>
    <cellStyle name="20% - Accent2 29 2 4" xfId="2090" xr:uid="{A68F3722-A5E2-4233-AD14-89FB5EA38DB0}"/>
    <cellStyle name="20% - Accent2 29 2 4 2" xfId="2091" xr:uid="{9D49F9BB-AB7F-4E06-9EB8-EA29641EF695}"/>
    <cellStyle name="20% - Accent2 29 2 4 2 2" xfId="2092" xr:uid="{6F76110B-D5EB-4B44-B21F-B18DCBDF681F}"/>
    <cellStyle name="20% - Accent2 29 2 4 3" xfId="2093" xr:uid="{516A69B8-FED5-4039-BB78-9390E810A914}"/>
    <cellStyle name="20% - Accent2 29 2 5" xfId="2094" xr:uid="{21967810-5C2B-4D03-A923-887AE19F0CC2}"/>
    <cellStyle name="20% - Accent2 29 2 5 2" xfId="2095" xr:uid="{6497396D-42E8-4A5F-AC01-57E33FA9A098}"/>
    <cellStyle name="20% - Accent2 29 2 6" xfId="2096" xr:uid="{4D01E176-0849-4902-82F8-90D91B897652}"/>
    <cellStyle name="20% - Accent2 29 3" xfId="2097" xr:uid="{6AEB3484-9F7A-4EDD-949F-339058D6DF86}"/>
    <cellStyle name="20% - Accent2 29 3 2" xfId="2098" xr:uid="{C0F90021-5437-41B8-89EB-AC9FCFFF75FA}"/>
    <cellStyle name="20% - Accent2 29 3 2 2" xfId="2099" xr:uid="{EA01D45D-E4F9-41F9-9D87-FD3A5897362F}"/>
    <cellStyle name="20% - Accent2 29 3 2 2 2" xfId="2100" xr:uid="{F50D3A4C-B864-4E39-A2FE-D3777FB8412B}"/>
    <cellStyle name="20% - Accent2 29 3 2 2 2 2" xfId="2101" xr:uid="{52FFBF17-5B6A-4FEC-BA56-A18401366F19}"/>
    <cellStyle name="20% - Accent2 29 3 2 2 3" xfId="2102" xr:uid="{C98AAD75-1ABC-4093-A913-185D0602421F}"/>
    <cellStyle name="20% - Accent2 29 3 2 3" xfId="2103" xr:uid="{1D0884D6-B6FB-457E-B5F3-8E265493E197}"/>
    <cellStyle name="20% - Accent2 29 3 2 3 2" xfId="2104" xr:uid="{580C3B30-732B-4B6E-BAD5-9BBF101997CD}"/>
    <cellStyle name="20% - Accent2 29 3 2 3 2 2" xfId="2105" xr:uid="{4F12E0CA-5FA9-43B9-A00D-B1E155411156}"/>
    <cellStyle name="20% - Accent2 29 3 2 3 3" xfId="2106" xr:uid="{6EBC87F7-1C6B-48C4-9AAE-8C710BC69EDA}"/>
    <cellStyle name="20% - Accent2 29 3 2 4" xfId="2107" xr:uid="{91CCEE29-4441-42DD-97DF-C6E41B7E427E}"/>
    <cellStyle name="20% - Accent2 29 3 2 4 2" xfId="2108" xr:uid="{A4C6F42D-EC62-4682-A88E-160E7170C434}"/>
    <cellStyle name="20% - Accent2 29 3 2 5" xfId="2109" xr:uid="{046C5EB6-D2B3-434B-86D5-C0E7C27FEF52}"/>
    <cellStyle name="20% - Accent2 29 3 3" xfId="2110" xr:uid="{51D27C89-4748-4FE8-865D-9EDF73675E8C}"/>
    <cellStyle name="20% - Accent2 29 3 3 2" xfId="2111" xr:uid="{743847CA-4B28-4C7C-921F-60E12427C710}"/>
    <cellStyle name="20% - Accent2 29 3 3 2 2" xfId="2112" xr:uid="{5951F333-21F0-41E4-A0B7-29C6A9B727CF}"/>
    <cellStyle name="20% - Accent2 29 3 3 3" xfId="2113" xr:uid="{D003C3B3-9E03-4D88-8AAD-96B946C433F7}"/>
    <cellStyle name="20% - Accent2 29 3 4" xfId="2114" xr:uid="{91AE7F54-CE42-40F4-A7BF-8372C2DC3A31}"/>
    <cellStyle name="20% - Accent2 29 3 4 2" xfId="2115" xr:uid="{1BDBBE59-9786-49FB-BE71-9A74CF0D5AFE}"/>
    <cellStyle name="20% - Accent2 29 3 4 2 2" xfId="2116" xr:uid="{4E974085-DE3A-4E6E-A7E6-10993B21F5D5}"/>
    <cellStyle name="20% - Accent2 29 3 4 3" xfId="2117" xr:uid="{411584B9-8CE4-41BE-B8D9-EE2A66B5E8AF}"/>
    <cellStyle name="20% - Accent2 29 3 5" xfId="2118" xr:uid="{51CD50E0-60CA-48DB-AE77-E44C49707A87}"/>
    <cellStyle name="20% - Accent2 29 3 5 2" xfId="2119" xr:uid="{EA5E90E1-5A5F-4AE7-81CD-2AA5E05785A9}"/>
    <cellStyle name="20% - Accent2 29 3 6" xfId="2120" xr:uid="{70E00580-CA87-4092-972D-67BFE6F27E01}"/>
    <cellStyle name="20% - Accent2 29 4" xfId="2121" xr:uid="{26D1ED93-030A-4E56-BB6F-ECF2D6CDE36B}"/>
    <cellStyle name="20% - Accent2 29 4 2" xfId="2122" xr:uid="{A85B3BEF-FCC4-44D4-99DA-1ACFBBAA42B6}"/>
    <cellStyle name="20% - Accent2 29 4 2 2" xfId="2123" xr:uid="{C01E863F-83ED-4F2D-84BA-5C3C025170D1}"/>
    <cellStyle name="20% - Accent2 29 4 2 2 2" xfId="2124" xr:uid="{0281AAF6-B5D6-47B0-9A32-6A447292DD6C}"/>
    <cellStyle name="20% - Accent2 29 4 2 2 2 2" xfId="2125" xr:uid="{0AF94AF8-5A61-44E8-93C8-ED0F7DA6D889}"/>
    <cellStyle name="20% - Accent2 29 4 2 2 3" xfId="2126" xr:uid="{9FC9EA33-C27D-46D9-B45A-1FB2111A2799}"/>
    <cellStyle name="20% - Accent2 29 4 2 3" xfId="2127" xr:uid="{83CDFE19-081B-4DE7-93C2-CD3F1B71058C}"/>
    <cellStyle name="20% - Accent2 29 4 2 3 2" xfId="2128" xr:uid="{8C14DD20-7597-4EF0-8CB2-4467193E210E}"/>
    <cellStyle name="20% - Accent2 29 4 2 3 2 2" xfId="2129" xr:uid="{31ADD192-00D2-45C0-BBCE-BCA525B2A853}"/>
    <cellStyle name="20% - Accent2 29 4 2 3 3" xfId="2130" xr:uid="{27827D07-A03A-4A3D-8B36-D14854D38E54}"/>
    <cellStyle name="20% - Accent2 29 4 2 4" xfId="2131" xr:uid="{8DB67829-2755-459A-A1D2-8906AA1DA40C}"/>
    <cellStyle name="20% - Accent2 29 4 2 4 2" xfId="2132" xr:uid="{7891661A-B02D-450E-B087-A92625745DD0}"/>
    <cellStyle name="20% - Accent2 29 4 2 5" xfId="2133" xr:uid="{C96BC8C3-DFB2-4C7A-BB35-AD9900DE51C5}"/>
    <cellStyle name="20% - Accent2 29 4 3" xfId="2134" xr:uid="{7DC6F1A8-861C-47E7-B241-F7FE93958C99}"/>
    <cellStyle name="20% - Accent2 29 4 3 2" xfId="2135" xr:uid="{34963513-19C8-43AE-A563-0FED3DFD095C}"/>
    <cellStyle name="20% - Accent2 29 4 3 2 2" xfId="2136" xr:uid="{91CD298E-CC80-4EE5-A069-B725771E8672}"/>
    <cellStyle name="20% - Accent2 29 4 3 3" xfId="2137" xr:uid="{1571B665-8E0E-4CC8-9AC7-8B9D0C64B52F}"/>
    <cellStyle name="20% - Accent2 29 4 4" xfId="2138" xr:uid="{EB4406DC-B724-4561-92AF-408BDEA26A44}"/>
    <cellStyle name="20% - Accent2 29 4 4 2" xfId="2139" xr:uid="{8ABF588E-364B-456A-9058-10EBAF144573}"/>
    <cellStyle name="20% - Accent2 29 4 4 2 2" xfId="2140" xr:uid="{DC78DBC4-2101-4CC8-9D38-85B9A3EAF307}"/>
    <cellStyle name="20% - Accent2 29 4 4 3" xfId="2141" xr:uid="{BFE98025-F153-448A-8920-02A8D4785AF1}"/>
    <cellStyle name="20% - Accent2 29 4 5" xfId="2142" xr:uid="{E4F3D015-89D6-46A8-90AA-25554C1019F9}"/>
    <cellStyle name="20% - Accent2 29 4 5 2" xfId="2143" xr:uid="{AD31EA5C-C46C-4040-9E7A-38ACEFAC63D7}"/>
    <cellStyle name="20% - Accent2 29 4 6" xfId="2144" xr:uid="{1F758F93-C112-4488-924C-382DCC64173C}"/>
    <cellStyle name="20% - Accent2 29 5" xfId="2145" xr:uid="{BF7EA01A-E75B-43EA-8CB0-74C2EEEC7EFB}"/>
    <cellStyle name="20% - Accent2 29 5 2" xfId="2146" xr:uid="{1F4089E5-134F-4968-91D3-91CE7D74E53F}"/>
    <cellStyle name="20% - Accent2 29 5 2 2" xfId="2147" xr:uid="{3C2BDE25-0271-4EC8-A981-C1165CDB7358}"/>
    <cellStyle name="20% - Accent2 29 5 2 2 2" xfId="2148" xr:uid="{6CA7E7DD-F3DB-43C3-877B-4847711E48BB}"/>
    <cellStyle name="20% - Accent2 29 5 2 2 2 2" xfId="2149" xr:uid="{4CD2960E-0C50-49C1-A677-20FD5BB86E39}"/>
    <cellStyle name="20% - Accent2 29 5 2 2 3" xfId="2150" xr:uid="{50435268-AA79-46E8-9352-97270DE9A106}"/>
    <cellStyle name="20% - Accent2 29 5 2 3" xfId="2151" xr:uid="{418A1D98-8A8D-4F75-8E81-4E4568D46489}"/>
    <cellStyle name="20% - Accent2 29 5 2 3 2" xfId="2152" xr:uid="{2B6E4BAA-63A3-4C83-9E64-201D8D6CE115}"/>
    <cellStyle name="20% - Accent2 29 5 2 3 2 2" xfId="2153" xr:uid="{A60664F5-0840-4E29-A690-C6FFC95205D2}"/>
    <cellStyle name="20% - Accent2 29 5 2 3 3" xfId="2154" xr:uid="{05E7CAC0-9C06-4C81-B8DC-6B443F401DF4}"/>
    <cellStyle name="20% - Accent2 29 5 2 4" xfId="2155" xr:uid="{FA7A33C8-245B-43F8-A2BE-3C271C041224}"/>
    <cellStyle name="20% - Accent2 29 5 2 4 2" xfId="2156" xr:uid="{466F5D86-8AF6-4641-A948-5BD6D6D47C32}"/>
    <cellStyle name="20% - Accent2 29 5 2 5" xfId="2157" xr:uid="{08156192-017B-49C1-9DC2-3689B22A33D5}"/>
    <cellStyle name="20% - Accent2 29 5 3" xfId="2158" xr:uid="{FFE76C0D-B6A7-4DB3-BBD5-656B3A17E317}"/>
    <cellStyle name="20% - Accent2 29 5 3 2" xfId="2159" xr:uid="{E4BB35B3-A08A-4F32-BB41-31D79FF95288}"/>
    <cellStyle name="20% - Accent2 29 5 3 2 2" xfId="2160" xr:uid="{2B9A4941-0A81-4963-9BFC-FD9363A3C0F4}"/>
    <cellStyle name="20% - Accent2 29 5 3 3" xfId="2161" xr:uid="{72B6B7E7-24B2-4234-9C43-E8682F7D84ED}"/>
    <cellStyle name="20% - Accent2 29 5 4" xfId="2162" xr:uid="{2DA6A60D-CB87-4D93-8A57-DE923D807BC6}"/>
    <cellStyle name="20% - Accent2 29 5 4 2" xfId="2163" xr:uid="{7A248184-7531-40BE-80EF-3A6DF8D8A66C}"/>
    <cellStyle name="20% - Accent2 29 5 4 2 2" xfId="2164" xr:uid="{B4CC6AF3-80BC-4000-B60A-54557CDCD3D7}"/>
    <cellStyle name="20% - Accent2 29 5 4 3" xfId="2165" xr:uid="{925A6B6E-5019-4FAC-9B58-6EE1B0564872}"/>
    <cellStyle name="20% - Accent2 29 5 5" xfId="2166" xr:uid="{818E8A89-685B-4F07-9EB8-190BC081BBE5}"/>
    <cellStyle name="20% - Accent2 29 5 5 2" xfId="2167" xr:uid="{3AD716BA-7AB5-46EA-AF61-E2B3A0CCF8E4}"/>
    <cellStyle name="20% - Accent2 29 5 6" xfId="2168" xr:uid="{41AE1C38-F776-4D6B-B7DD-1FFCB8D6EFF1}"/>
    <cellStyle name="20% - Accent2 29 6" xfId="2169" xr:uid="{10E71696-78EE-4794-84A2-8062D4A2C823}"/>
    <cellStyle name="20% - Accent2 29 6 2" xfId="2170" xr:uid="{006F0B1A-6166-47BF-84D8-D80EFA5D76C6}"/>
    <cellStyle name="20% - Accent2 29 6 2 2" xfId="2171" xr:uid="{029E5EEE-B643-4891-8287-EA958747FDC4}"/>
    <cellStyle name="20% - Accent2 29 6 2 2 2" xfId="2172" xr:uid="{6CA9873A-5966-4212-A48A-4F7618BF5E7B}"/>
    <cellStyle name="20% - Accent2 29 6 2 2 2 2" xfId="2173" xr:uid="{143D8587-7729-4314-9B2B-F49EFC21C823}"/>
    <cellStyle name="20% - Accent2 29 6 2 2 3" xfId="2174" xr:uid="{3AF8051E-F282-4FB4-8AF9-E37BF21CD91A}"/>
    <cellStyle name="20% - Accent2 29 6 2 3" xfId="2175" xr:uid="{7F6B05EA-9B70-4D17-8F9B-A237A0FE1512}"/>
    <cellStyle name="20% - Accent2 29 6 2 3 2" xfId="2176" xr:uid="{7DEB5970-AF01-4814-8AED-D504B6CBB38F}"/>
    <cellStyle name="20% - Accent2 29 6 2 3 2 2" xfId="2177" xr:uid="{92E33564-E8CC-421B-B68F-265F7ED157D7}"/>
    <cellStyle name="20% - Accent2 29 6 2 3 3" xfId="2178" xr:uid="{8246A9B3-E27A-44BD-86D8-9826C0FC95ED}"/>
    <cellStyle name="20% - Accent2 29 6 2 4" xfId="2179" xr:uid="{E8B6CE8C-F766-4A8D-BAEE-D49DA1C73738}"/>
    <cellStyle name="20% - Accent2 29 6 2 4 2" xfId="2180" xr:uid="{792E5CF4-34C7-4CF3-A60C-DDF7EE60241B}"/>
    <cellStyle name="20% - Accent2 29 6 2 5" xfId="2181" xr:uid="{1551DFD3-5EE8-4787-88E7-AA5CD6320C29}"/>
    <cellStyle name="20% - Accent2 29 6 3" xfId="2182" xr:uid="{4B4C3D12-C095-4A42-ACC9-9E32DF875B1D}"/>
    <cellStyle name="20% - Accent2 29 6 3 2" xfId="2183" xr:uid="{CE6A792A-482F-4794-B7A4-E57191FFC22F}"/>
    <cellStyle name="20% - Accent2 29 6 3 2 2" xfId="2184" xr:uid="{8B550D2D-657C-4589-8CD1-C66E0B1F187E}"/>
    <cellStyle name="20% - Accent2 29 6 3 3" xfId="2185" xr:uid="{2D367C18-31A1-490E-84F0-4FCB588B6810}"/>
    <cellStyle name="20% - Accent2 29 6 4" xfId="2186" xr:uid="{69001195-23BA-41F1-A6E1-7B1FADE54B42}"/>
    <cellStyle name="20% - Accent2 29 6 4 2" xfId="2187" xr:uid="{F775D598-464B-4961-A308-91508500CE82}"/>
    <cellStyle name="20% - Accent2 29 6 4 2 2" xfId="2188" xr:uid="{09547A11-A4CD-4FCE-9991-1AED10A2D544}"/>
    <cellStyle name="20% - Accent2 29 6 4 3" xfId="2189" xr:uid="{D20D7952-4658-45CB-8F07-555502F6DAE3}"/>
    <cellStyle name="20% - Accent2 29 6 5" xfId="2190" xr:uid="{B5B51A6C-90C0-4199-BF53-B4489953EF16}"/>
    <cellStyle name="20% - Accent2 29 6 5 2" xfId="2191" xr:uid="{1E5BA894-C0D9-4BB2-88A1-771E40D97829}"/>
    <cellStyle name="20% - Accent2 29 6 6" xfId="2192" xr:uid="{E673FDBB-C920-440C-A32A-10D48894C929}"/>
    <cellStyle name="20% - Accent2 29 7" xfId="2193" xr:uid="{4F74706D-0F0E-4377-BC2A-6EF09189B453}"/>
    <cellStyle name="20% - Accent2 29 7 2" xfId="2194" xr:uid="{94343CC9-75CF-424A-98FD-1E06667BA1D5}"/>
    <cellStyle name="20% - Accent2 29 7 2 2" xfId="2195" xr:uid="{D88B6191-576E-467A-A33A-6FEF1969F0FC}"/>
    <cellStyle name="20% - Accent2 29 7 2 2 2" xfId="2196" xr:uid="{6ADAF1DE-B809-44C6-86A9-F616457F94FC}"/>
    <cellStyle name="20% - Accent2 29 7 2 2 2 2" xfId="2197" xr:uid="{F5803201-C5FB-452C-A1A3-6271B107F001}"/>
    <cellStyle name="20% - Accent2 29 7 2 2 3" xfId="2198" xr:uid="{BA33CB6D-8ACE-4C66-95BC-5EA175B79665}"/>
    <cellStyle name="20% - Accent2 29 7 2 3" xfId="2199" xr:uid="{D1F2F308-77D1-4F39-9F50-AEA6DE83341B}"/>
    <cellStyle name="20% - Accent2 29 7 2 3 2" xfId="2200" xr:uid="{AEBE82BB-3E17-4AEF-B221-853779209BB0}"/>
    <cellStyle name="20% - Accent2 29 7 2 3 2 2" xfId="2201" xr:uid="{94F5E392-4241-4DCF-8344-0E93626835E2}"/>
    <cellStyle name="20% - Accent2 29 7 2 3 3" xfId="2202" xr:uid="{2F0C234A-B48B-4965-8FEA-95DBB74A888D}"/>
    <cellStyle name="20% - Accent2 29 7 2 4" xfId="2203" xr:uid="{DFE69E83-4732-4506-B6E6-5974602E2D4A}"/>
    <cellStyle name="20% - Accent2 29 7 2 4 2" xfId="2204" xr:uid="{6136A1C4-BD67-499B-892A-3695A0FD57B7}"/>
    <cellStyle name="20% - Accent2 29 7 2 5" xfId="2205" xr:uid="{49EAD694-6E13-4FFC-9AAC-6308AE71FD12}"/>
    <cellStyle name="20% - Accent2 29 7 3" xfId="2206" xr:uid="{65D9A3B7-6F0F-421B-911B-3B023FA111E0}"/>
    <cellStyle name="20% - Accent2 29 7 3 2" xfId="2207" xr:uid="{BE8E774D-8D02-4888-B1C4-67B87D067D41}"/>
    <cellStyle name="20% - Accent2 29 7 3 2 2" xfId="2208" xr:uid="{C0574D83-FB06-41DB-AB0C-96E213ED6D7F}"/>
    <cellStyle name="20% - Accent2 29 7 3 3" xfId="2209" xr:uid="{C26D8D68-86F5-4CB3-BC33-03CC993A9A4B}"/>
    <cellStyle name="20% - Accent2 29 7 4" xfId="2210" xr:uid="{3B61A97D-B4E8-4183-98B6-6FB895448399}"/>
    <cellStyle name="20% - Accent2 29 7 4 2" xfId="2211" xr:uid="{2B0840E1-0C4E-4F44-B2A1-86F7CBA8321D}"/>
    <cellStyle name="20% - Accent2 29 7 4 2 2" xfId="2212" xr:uid="{4062FF57-4211-42E3-940B-127B057510B4}"/>
    <cellStyle name="20% - Accent2 29 7 4 3" xfId="2213" xr:uid="{ECCAB72D-D7D5-4EB4-A434-841EFCFF69F7}"/>
    <cellStyle name="20% - Accent2 29 7 5" xfId="2214" xr:uid="{2776A972-03DA-4A44-9F6D-E3250C0BEC9E}"/>
    <cellStyle name="20% - Accent2 29 7 5 2" xfId="2215" xr:uid="{7FFD7A2C-1B38-4FFA-9D21-98EA247EEB3A}"/>
    <cellStyle name="20% - Accent2 29 7 6" xfId="2216" xr:uid="{63938BEF-F471-4852-88F5-8AEF481A5411}"/>
    <cellStyle name="20% - Accent2 29 8" xfId="2217" xr:uid="{048AFD41-E073-4149-B01C-84DDA9D574BB}"/>
    <cellStyle name="20% - Accent2 29 8 2" xfId="2218" xr:uid="{D3059093-B423-4DE1-A0C8-02034DEB3BC8}"/>
    <cellStyle name="20% - Accent2 29 8 2 2" xfId="2219" xr:uid="{B4936F12-DCD1-43BC-A227-F2763E2FE50A}"/>
    <cellStyle name="20% - Accent2 29 8 2 2 2" xfId="2220" xr:uid="{B600C73A-9B25-4F3A-9C18-49EFD136214C}"/>
    <cellStyle name="20% - Accent2 29 8 2 2 2 2" xfId="2221" xr:uid="{1C46443A-6E64-460D-8769-AA51A72B3771}"/>
    <cellStyle name="20% - Accent2 29 8 2 2 3" xfId="2222" xr:uid="{587B5A92-303A-4E44-9D28-0D20A3EF8A0F}"/>
    <cellStyle name="20% - Accent2 29 8 2 3" xfId="2223" xr:uid="{69A98424-F4AE-4E05-8335-9EDEFDC8A304}"/>
    <cellStyle name="20% - Accent2 29 8 2 3 2" xfId="2224" xr:uid="{056A57DD-6287-4C19-AB4D-9D6FBB203E2D}"/>
    <cellStyle name="20% - Accent2 29 8 2 3 2 2" xfId="2225" xr:uid="{FE7CB575-89FF-4D51-BD4D-AC1542679B01}"/>
    <cellStyle name="20% - Accent2 29 8 2 3 3" xfId="2226" xr:uid="{34CC72AA-99F4-4D58-82DB-208B2F2BFCCB}"/>
    <cellStyle name="20% - Accent2 29 8 2 4" xfId="2227" xr:uid="{C4F71A22-8691-47EE-B806-484105C0986F}"/>
    <cellStyle name="20% - Accent2 29 8 2 4 2" xfId="2228" xr:uid="{6243B369-8052-4CBE-A6A5-A110E22211C4}"/>
    <cellStyle name="20% - Accent2 29 8 2 5" xfId="2229" xr:uid="{5208A8FB-5F7A-4AEF-9C58-F977060F2B62}"/>
    <cellStyle name="20% - Accent2 29 8 3" xfId="2230" xr:uid="{2A0C5180-1C48-492E-ADC2-97B23746B704}"/>
    <cellStyle name="20% - Accent2 29 8 3 2" xfId="2231" xr:uid="{A474DFF8-CA7B-4A82-A4B2-D1864F7550AB}"/>
    <cellStyle name="20% - Accent2 29 8 3 2 2" xfId="2232" xr:uid="{A34CDB52-75F1-4B9C-8EAC-4B5C8646B82F}"/>
    <cellStyle name="20% - Accent2 29 8 3 3" xfId="2233" xr:uid="{BCF50D93-D792-4461-809D-E9AA1E88ECBB}"/>
    <cellStyle name="20% - Accent2 29 8 4" xfId="2234" xr:uid="{19FDA526-EC03-4CB3-BF21-B98C115A418B}"/>
    <cellStyle name="20% - Accent2 29 8 4 2" xfId="2235" xr:uid="{5B9A3ED7-7602-4355-BC66-65D1BC1888DD}"/>
    <cellStyle name="20% - Accent2 29 8 4 2 2" xfId="2236" xr:uid="{12983CF5-6783-4729-817E-A074074A63B5}"/>
    <cellStyle name="20% - Accent2 29 8 4 3" xfId="2237" xr:uid="{A15AB7C7-CB4E-4E71-8491-5969A30C3C05}"/>
    <cellStyle name="20% - Accent2 29 8 5" xfId="2238" xr:uid="{C8F67E42-1413-4C1E-8073-3A45A72570BF}"/>
    <cellStyle name="20% - Accent2 29 8 5 2" xfId="2239" xr:uid="{FCAF5D4C-9A56-4686-948D-71310600E0EB}"/>
    <cellStyle name="20% - Accent2 29 8 6" xfId="2240" xr:uid="{93ABA2AB-A578-4DAD-B654-D6B4E2621BBC}"/>
    <cellStyle name="20% - Accent2 29 9" xfId="2241" xr:uid="{8CFBDB01-AF22-4928-9C8E-AD8F8418BC95}"/>
    <cellStyle name="20% - Accent2 29 9 2" xfId="2242" xr:uid="{7398318B-C9C6-47FB-84F3-1FA251098E20}"/>
    <cellStyle name="20% - Accent2 29 9 2 2" xfId="2243" xr:uid="{535EEA9D-CB97-4633-A0BF-3541CB583E3F}"/>
    <cellStyle name="20% - Accent2 29 9 2 2 2" xfId="2244" xr:uid="{7F530422-2F0F-4492-A526-FB9E4D3BF702}"/>
    <cellStyle name="20% - Accent2 29 9 2 2 2 2" xfId="2245" xr:uid="{3D575D74-668F-437B-BE53-63F186829003}"/>
    <cellStyle name="20% - Accent2 29 9 2 2 3" xfId="2246" xr:uid="{89B30DA5-3A17-40FC-AD15-8C4C9DE655CA}"/>
    <cellStyle name="20% - Accent2 29 9 2 3" xfId="2247" xr:uid="{9F660DA1-729D-47CA-97B0-A1494BADF05E}"/>
    <cellStyle name="20% - Accent2 29 9 2 3 2" xfId="2248" xr:uid="{3593A66A-C18D-4FF6-8DDC-831866CC0424}"/>
    <cellStyle name="20% - Accent2 29 9 2 3 2 2" xfId="2249" xr:uid="{6E6B0C9D-23C2-4ABB-AA37-0DBD0E6C42F3}"/>
    <cellStyle name="20% - Accent2 29 9 2 3 3" xfId="2250" xr:uid="{219EFDD5-70CF-451F-A4DC-6D9A9FCC4BBF}"/>
    <cellStyle name="20% - Accent2 29 9 2 4" xfId="2251" xr:uid="{561E7D66-EC1C-49FF-B80F-CE97DCD0EF44}"/>
    <cellStyle name="20% - Accent2 29 9 2 4 2" xfId="2252" xr:uid="{F56309B2-DD8B-4EDD-92AF-1A8F89C8EB85}"/>
    <cellStyle name="20% - Accent2 29 9 2 5" xfId="2253" xr:uid="{CF868295-BF7A-497B-B706-8F878894C68A}"/>
    <cellStyle name="20% - Accent2 29 9 3" xfId="2254" xr:uid="{BBD68825-1D92-4ED0-BA6A-33331F920410}"/>
    <cellStyle name="20% - Accent2 29 9 3 2" xfId="2255" xr:uid="{4996E0C0-24F6-4777-9E86-DE71E317C505}"/>
    <cellStyle name="20% - Accent2 29 9 3 2 2" xfId="2256" xr:uid="{BD6FB121-1C7C-4939-ADC9-D993A5696B4A}"/>
    <cellStyle name="20% - Accent2 29 9 3 3" xfId="2257" xr:uid="{61A9467F-0C6C-4ED9-9E05-A203C1EF26C7}"/>
    <cellStyle name="20% - Accent2 29 9 4" xfId="2258" xr:uid="{2CB91810-0867-44D3-9926-BF200E3638F3}"/>
    <cellStyle name="20% - Accent2 29 9 4 2" xfId="2259" xr:uid="{9946D25C-D187-4554-9EA3-C5E74F65385A}"/>
    <cellStyle name="20% - Accent2 29 9 4 2 2" xfId="2260" xr:uid="{7C9869AB-73DB-4E9A-A84F-0A7E919B8805}"/>
    <cellStyle name="20% - Accent2 29 9 4 3" xfId="2261" xr:uid="{BDADDA27-F1E1-4201-B93F-B688B71108CC}"/>
    <cellStyle name="20% - Accent2 29 9 5" xfId="2262" xr:uid="{7626D17B-0256-44D6-9DC2-229B157FFC90}"/>
    <cellStyle name="20% - Accent2 29 9 5 2" xfId="2263" xr:uid="{FF4EB25D-A0D5-4A00-B032-621015884E09}"/>
    <cellStyle name="20% - Accent2 29 9 6" xfId="2264" xr:uid="{33606536-869C-4868-BA26-871FCAB1A002}"/>
    <cellStyle name="20% - Accent2 3" xfId="2265" xr:uid="{4F3EE11E-22E0-4F5E-BFE6-3B9093E8FF31}"/>
    <cellStyle name="20% - Accent2 3 2" xfId="2266" xr:uid="{1FEE951B-ADB9-4EB3-BDEF-80A12B9F3F18}"/>
    <cellStyle name="20% - Accent2 3 2 2" xfId="2267" xr:uid="{9DD34259-7871-4C68-A92A-B95E18EC38D1}"/>
    <cellStyle name="20% - Accent2 3 2 2 2" xfId="35771" xr:uid="{5F6989C7-799B-482C-9F9A-C7CF930396EA}"/>
    <cellStyle name="20% - Accent2 3 2 3" xfId="35772" xr:uid="{85277821-1094-4536-A319-9D0CA337F8CC}"/>
    <cellStyle name="20% - Accent2 3 2 4" xfId="35773" xr:uid="{943C82B7-502E-45E9-AA33-57886307FD7A}"/>
    <cellStyle name="20% - Accent2 3 3" xfId="2268" xr:uid="{A1FA587C-14AE-4561-9BA9-D04F8FDA3007}"/>
    <cellStyle name="20% - Accent2 3 3 2" xfId="35774" xr:uid="{16A97CA8-BE7D-493E-9CB6-9068315FCA85}"/>
    <cellStyle name="20% - Accent2 3 4" xfId="35775" xr:uid="{13077359-7B03-4B1F-B505-0CEBF95CC3A4}"/>
    <cellStyle name="20% - Accent2 3 5" xfId="35776" xr:uid="{3E370B4B-AC1D-41F2-BD26-14122FCBDC76}"/>
    <cellStyle name="20% - Accent2 3 6" xfId="35777" xr:uid="{E203D8E1-E8D5-4142-B31D-E6201BAF10E6}"/>
    <cellStyle name="20% - Accent2 30" xfId="2269" xr:uid="{3A2829FA-9BFD-4A94-8CE4-491D5A6F8080}"/>
    <cellStyle name="20% - Accent2 30 10" xfId="2270" xr:uid="{7E4BDB6A-E3C0-4DE5-8921-64793BCAD5EE}"/>
    <cellStyle name="20% - Accent2 30 10 2" xfId="2271" xr:uid="{C958ECCE-A923-4A0E-B48E-DF7EC74DDB84}"/>
    <cellStyle name="20% - Accent2 30 10 2 2" xfId="2272" xr:uid="{9B838793-7999-443E-B8E8-98FE93FC9FC0}"/>
    <cellStyle name="20% - Accent2 30 10 2 2 2" xfId="2273" xr:uid="{C49B846D-33A9-4E33-8750-5F07A81247F0}"/>
    <cellStyle name="20% - Accent2 30 10 2 2 2 2" xfId="2274" xr:uid="{46D47196-A853-4547-8391-13B53A2DBB43}"/>
    <cellStyle name="20% - Accent2 30 10 2 2 3" xfId="2275" xr:uid="{71C83097-6F7E-4458-BD49-A3D7E8642785}"/>
    <cellStyle name="20% - Accent2 30 10 2 3" xfId="2276" xr:uid="{EC9BE43C-663E-426C-B964-9F8634CB2888}"/>
    <cellStyle name="20% - Accent2 30 10 2 3 2" xfId="2277" xr:uid="{35ADE65F-4D7C-420E-930E-0F71755076C8}"/>
    <cellStyle name="20% - Accent2 30 10 2 3 2 2" xfId="2278" xr:uid="{8F0B850E-20A8-4765-A9DD-11ECE696E65B}"/>
    <cellStyle name="20% - Accent2 30 10 2 3 3" xfId="2279" xr:uid="{19BF5BB0-A048-4743-B1B5-91F39AA1CAB0}"/>
    <cellStyle name="20% - Accent2 30 10 2 4" xfId="2280" xr:uid="{BF38BB44-3994-4A9A-AE78-DD348A015648}"/>
    <cellStyle name="20% - Accent2 30 10 2 4 2" xfId="2281" xr:uid="{9BE699FD-EE74-483A-ADE2-6C53075C26EB}"/>
    <cellStyle name="20% - Accent2 30 10 2 5" xfId="2282" xr:uid="{1A8ED3CF-EC31-41B5-809F-6E9E3B6C959F}"/>
    <cellStyle name="20% - Accent2 30 10 3" xfId="2283" xr:uid="{5884A0F1-CED9-4BDD-90EC-FA8F75D1081B}"/>
    <cellStyle name="20% - Accent2 30 10 3 2" xfId="2284" xr:uid="{A86E3D55-7208-446D-B46B-A9699BC43E08}"/>
    <cellStyle name="20% - Accent2 30 10 3 2 2" xfId="2285" xr:uid="{9959AC50-FCB6-4B20-9A93-C6E8909ECAEE}"/>
    <cellStyle name="20% - Accent2 30 10 3 3" xfId="2286" xr:uid="{BA1C7D25-07D7-47B7-BAE3-6B91F6E93E56}"/>
    <cellStyle name="20% - Accent2 30 10 4" xfId="2287" xr:uid="{6ADB8AE0-0822-4466-A3AC-6E4B92E4A7B7}"/>
    <cellStyle name="20% - Accent2 30 10 4 2" xfId="2288" xr:uid="{1555503F-32E4-401D-BEED-8B00C43945CF}"/>
    <cellStyle name="20% - Accent2 30 10 4 2 2" xfId="2289" xr:uid="{AEEEB865-F27E-47D2-A346-514FF2C4F581}"/>
    <cellStyle name="20% - Accent2 30 10 4 3" xfId="2290" xr:uid="{A02103CE-4F4C-4142-9EC3-C28D44BCD5BD}"/>
    <cellStyle name="20% - Accent2 30 10 5" xfId="2291" xr:uid="{0435FD69-DF9B-4263-9F05-8CDF62556B2F}"/>
    <cellStyle name="20% - Accent2 30 10 5 2" xfId="2292" xr:uid="{32B7F07E-EEC0-43DA-A7E8-B2BA9D515C4D}"/>
    <cellStyle name="20% - Accent2 30 10 6" xfId="2293" xr:uid="{F7BC2920-C309-43F0-AF68-F7593F6A1592}"/>
    <cellStyle name="20% - Accent2 30 11" xfId="2294" xr:uid="{F48CFE38-EC8C-47BC-BC38-6988FF848304}"/>
    <cellStyle name="20% - Accent2 30 11 2" xfId="2295" xr:uid="{F8331F11-8481-4457-BE4A-F986B13EAE39}"/>
    <cellStyle name="20% - Accent2 30 11 2 2" xfId="2296" xr:uid="{C2644927-B259-4EC0-8E72-E1046C788A71}"/>
    <cellStyle name="20% - Accent2 30 11 2 2 2" xfId="2297" xr:uid="{AC990AB1-1332-4FAF-8F96-387C27A25B21}"/>
    <cellStyle name="20% - Accent2 30 11 2 3" xfId="2298" xr:uid="{94C6FBA0-D08E-450E-99E1-C85D022F6D11}"/>
    <cellStyle name="20% - Accent2 30 11 3" xfId="2299" xr:uid="{AE144A6A-000D-4372-8D73-06DDA5EC63E9}"/>
    <cellStyle name="20% - Accent2 30 11 3 2" xfId="2300" xr:uid="{8AB7A76D-EA53-45E7-813F-C7C6016AA2CE}"/>
    <cellStyle name="20% - Accent2 30 11 3 2 2" xfId="2301" xr:uid="{593FAF70-198F-43F0-83AE-F2349304B528}"/>
    <cellStyle name="20% - Accent2 30 11 3 3" xfId="2302" xr:uid="{880FDDF2-FA3E-4197-B914-E372D0589620}"/>
    <cellStyle name="20% - Accent2 30 11 4" xfId="2303" xr:uid="{A366AB82-B641-44E3-BABB-78EE9F691E74}"/>
    <cellStyle name="20% - Accent2 30 11 4 2" xfId="2304" xr:uid="{A7768E19-DDA1-41C9-AE07-58AD65E2201A}"/>
    <cellStyle name="20% - Accent2 30 11 5" xfId="2305" xr:uid="{682A2B11-27F6-460B-9B8B-1F729DA7D8AE}"/>
    <cellStyle name="20% - Accent2 30 12" xfId="2306" xr:uid="{DB5C15CF-A0B5-4302-9BCF-9E5F5AEB921E}"/>
    <cellStyle name="20% - Accent2 30 12 2" xfId="2307" xr:uid="{671E603D-9E94-446E-89E0-5DEADE14E11B}"/>
    <cellStyle name="20% - Accent2 30 12 2 2" xfId="2308" xr:uid="{366A13C9-FA51-4D1B-B882-9FDC94E77170}"/>
    <cellStyle name="20% - Accent2 30 12 3" xfId="2309" xr:uid="{C3B00316-79B8-414B-9F4E-DF5263621DCE}"/>
    <cellStyle name="20% - Accent2 30 13" xfId="2310" xr:uid="{9CA9EB6F-B034-46B6-BC4E-69B20CA8B259}"/>
    <cellStyle name="20% - Accent2 30 13 2" xfId="2311" xr:uid="{27DDC5DA-6A98-4997-B47C-1CAAB8554920}"/>
    <cellStyle name="20% - Accent2 30 13 2 2" xfId="2312" xr:uid="{6DD418F5-A792-4DED-B55D-1828473022B5}"/>
    <cellStyle name="20% - Accent2 30 13 3" xfId="2313" xr:uid="{5D5AF8F7-CC34-45C6-8131-820057CDF6C5}"/>
    <cellStyle name="20% - Accent2 30 14" xfId="2314" xr:uid="{117DDA76-2728-4EA2-A427-56C09A8235FD}"/>
    <cellStyle name="20% - Accent2 30 14 2" xfId="2315" xr:uid="{A9A8FD7B-BAB5-4530-91F9-B4BDF52866D0}"/>
    <cellStyle name="20% - Accent2 30 15" xfId="2316" xr:uid="{96334C16-DAFB-424B-84C3-F514C6427DBC}"/>
    <cellStyle name="20% - Accent2 30 16" xfId="35778" xr:uid="{A55DB444-964F-41B7-AF1B-AE9CC67F2517}"/>
    <cellStyle name="20% - Accent2 30 2" xfId="2317" xr:uid="{4991ADBC-9F26-4E29-85A4-520F58B7A065}"/>
    <cellStyle name="20% - Accent2 30 2 2" xfId="2318" xr:uid="{A4CA549A-4B99-4EA2-B460-6D80BE2416B9}"/>
    <cellStyle name="20% - Accent2 30 2 2 2" xfId="2319" xr:uid="{2DC0F3A8-83BE-4730-8741-5E751B88D22D}"/>
    <cellStyle name="20% - Accent2 30 2 2 2 2" xfId="2320" xr:uid="{845CE835-D9F9-42F8-B15D-11F39B5C3089}"/>
    <cellStyle name="20% - Accent2 30 2 2 2 2 2" xfId="2321" xr:uid="{3340BA19-5E6C-4ACF-A8BA-A179739A3837}"/>
    <cellStyle name="20% - Accent2 30 2 2 2 3" xfId="2322" xr:uid="{2E642FE4-1192-41F6-9B10-0BFCF20D743C}"/>
    <cellStyle name="20% - Accent2 30 2 2 3" xfId="2323" xr:uid="{5EA1F45D-C7A6-4B86-8441-BE0A7E7A9409}"/>
    <cellStyle name="20% - Accent2 30 2 2 3 2" xfId="2324" xr:uid="{C38558B4-C7FB-492A-A3BF-828C570FCAA8}"/>
    <cellStyle name="20% - Accent2 30 2 2 3 2 2" xfId="2325" xr:uid="{3F409D68-2995-460B-BDD6-C9126243AFB3}"/>
    <cellStyle name="20% - Accent2 30 2 2 3 3" xfId="2326" xr:uid="{D08F28C8-AD3A-4F24-8EEA-CD41FA0CF65A}"/>
    <cellStyle name="20% - Accent2 30 2 2 4" xfId="2327" xr:uid="{2258C597-65E5-4C75-AD49-08CE3D0C468F}"/>
    <cellStyle name="20% - Accent2 30 2 2 4 2" xfId="2328" xr:uid="{8B51D30E-69AD-467F-9E56-DB0CB3A49CDD}"/>
    <cellStyle name="20% - Accent2 30 2 2 5" xfId="2329" xr:uid="{49021E5C-3DAB-4D0C-8B8D-05449F0F2CB7}"/>
    <cellStyle name="20% - Accent2 30 2 3" xfId="2330" xr:uid="{97060F18-69DF-4B53-93CF-1D31B1476396}"/>
    <cellStyle name="20% - Accent2 30 2 3 2" xfId="2331" xr:uid="{1C78A2DC-0AC6-4517-B568-1080E1F30846}"/>
    <cellStyle name="20% - Accent2 30 2 3 2 2" xfId="2332" xr:uid="{CD300C0A-0B0A-43D7-93A0-ACFB7C10F01C}"/>
    <cellStyle name="20% - Accent2 30 2 3 3" xfId="2333" xr:uid="{76D0F95F-6A36-43F3-A403-ABC68F64420A}"/>
    <cellStyle name="20% - Accent2 30 2 4" xfId="2334" xr:uid="{25D4BF15-7615-4574-97D6-4367F76A5F5E}"/>
    <cellStyle name="20% - Accent2 30 2 4 2" xfId="2335" xr:uid="{330DECBD-B21D-4CBC-8F65-57AE999437B5}"/>
    <cellStyle name="20% - Accent2 30 2 4 2 2" xfId="2336" xr:uid="{31DFEC10-91C7-4AB5-A8FD-A7E27D7636FC}"/>
    <cellStyle name="20% - Accent2 30 2 4 3" xfId="2337" xr:uid="{AC612FCC-E97A-49EB-AACE-F18E9B82594A}"/>
    <cellStyle name="20% - Accent2 30 2 5" xfId="2338" xr:uid="{7CA21BCE-E6C3-497F-B891-2AA17A71ABB1}"/>
    <cellStyle name="20% - Accent2 30 2 5 2" xfId="2339" xr:uid="{FF35C78A-6A59-493A-8410-69B63EDEF97C}"/>
    <cellStyle name="20% - Accent2 30 2 6" xfId="2340" xr:uid="{42827551-1D2C-4BAA-BA59-2A90AE1AE139}"/>
    <cellStyle name="20% - Accent2 30 3" xfId="2341" xr:uid="{A5397179-3927-4ED7-969B-9D13990E3A5E}"/>
    <cellStyle name="20% - Accent2 30 3 2" xfId="2342" xr:uid="{789DF040-D034-4D28-B2E6-D8A03F17B383}"/>
    <cellStyle name="20% - Accent2 30 3 2 2" xfId="2343" xr:uid="{BEB79E8E-1F3E-4A57-87A1-7CD91A9D075D}"/>
    <cellStyle name="20% - Accent2 30 3 2 2 2" xfId="2344" xr:uid="{2C0F2B0D-762F-4929-ADE2-5389BFDAD410}"/>
    <cellStyle name="20% - Accent2 30 3 2 2 2 2" xfId="2345" xr:uid="{CA8E9572-A763-4CE3-BC09-BD0E97342F04}"/>
    <cellStyle name="20% - Accent2 30 3 2 2 3" xfId="2346" xr:uid="{FC275FCB-1587-4A91-8287-38CD08900DDB}"/>
    <cellStyle name="20% - Accent2 30 3 2 3" xfId="2347" xr:uid="{BEF6C6BF-CAC9-430C-8CC4-CCDA717F12D2}"/>
    <cellStyle name="20% - Accent2 30 3 2 3 2" xfId="2348" xr:uid="{EA5BEAC9-B6B6-49BB-B1BB-42DC0B625E9C}"/>
    <cellStyle name="20% - Accent2 30 3 2 3 2 2" xfId="2349" xr:uid="{AE8BC3E8-4EBF-4487-BCDE-28266604277A}"/>
    <cellStyle name="20% - Accent2 30 3 2 3 3" xfId="2350" xr:uid="{C29863E9-34B1-4344-97A7-A4617C7BAF31}"/>
    <cellStyle name="20% - Accent2 30 3 2 4" xfId="2351" xr:uid="{8B37401E-D352-4C35-9BE5-C7DBDA5A9784}"/>
    <cellStyle name="20% - Accent2 30 3 2 4 2" xfId="2352" xr:uid="{64B02229-0BC4-4E84-84B6-DC948F4631A2}"/>
    <cellStyle name="20% - Accent2 30 3 2 5" xfId="2353" xr:uid="{CB823EEF-BAEA-4678-84B3-AF3C4E3E175E}"/>
    <cellStyle name="20% - Accent2 30 3 3" xfId="2354" xr:uid="{881B0806-1256-4923-BF5D-7042090271D2}"/>
    <cellStyle name="20% - Accent2 30 3 3 2" xfId="2355" xr:uid="{C1E7E4BA-6E22-4533-A4BB-CDCC464B93D3}"/>
    <cellStyle name="20% - Accent2 30 3 3 2 2" xfId="2356" xr:uid="{C26806A0-3960-405E-B4BC-60742CD81DAF}"/>
    <cellStyle name="20% - Accent2 30 3 3 3" xfId="2357" xr:uid="{BEF3FAA9-A655-4348-A4F4-8F650234B587}"/>
    <cellStyle name="20% - Accent2 30 3 4" xfId="2358" xr:uid="{C3F40A43-4398-4135-A571-AF056A07BCC4}"/>
    <cellStyle name="20% - Accent2 30 3 4 2" xfId="2359" xr:uid="{FE5997F7-2E80-4669-845C-2FB7038B16F1}"/>
    <cellStyle name="20% - Accent2 30 3 4 2 2" xfId="2360" xr:uid="{05CF6226-F80A-4F2C-94EA-8F8278CA24BA}"/>
    <cellStyle name="20% - Accent2 30 3 4 3" xfId="2361" xr:uid="{19AE4FD1-06D3-4C83-8B08-538A60B76ACC}"/>
    <cellStyle name="20% - Accent2 30 3 5" xfId="2362" xr:uid="{89DBF4A9-6D00-4A2D-82D0-8FF419C69AAB}"/>
    <cellStyle name="20% - Accent2 30 3 5 2" xfId="2363" xr:uid="{5009154D-38CB-43E0-916C-F02CA419BDCD}"/>
    <cellStyle name="20% - Accent2 30 3 6" xfId="2364" xr:uid="{2DF09353-F7D3-458A-B252-31B7386D9CFA}"/>
    <cellStyle name="20% - Accent2 30 4" xfId="2365" xr:uid="{24CDCB8F-59AE-48AD-9BE4-38035316B392}"/>
    <cellStyle name="20% - Accent2 30 4 2" xfId="2366" xr:uid="{FF06861C-0268-4B77-B723-4F18EA94E25C}"/>
    <cellStyle name="20% - Accent2 30 4 2 2" xfId="2367" xr:uid="{03CA5C74-6CBE-4B20-AFD2-E9C834F344B5}"/>
    <cellStyle name="20% - Accent2 30 4 2 2 2" xfId="2368" xr:uid="{9DA2D6F2-C2FB-451A-9039-4347E3741130}"/>
    <cellStyle name="20% - Accent2 30 4 2 2 2 2" xfId="2369" xr:uid="{BD0DBACE-50F2-46F8-A733-D4DF89A200BE}"/>
    <cellStyle name="20% - Accent2 30 4 2 2 3" xfId="2370" xr:uid="{8BCC6A3E-FD39-4779-B664-9859170EF096}"/>
    <cellStyle name="20% - Accent2 30 4 2 3" xfId="2371" xr:uid="{A743C0C8-9A37-405F-9B58-04B18E8209B0}"/>
    <cellStyle name="20% - Accent2 30 4 2 3 2" xfId="2372" xr:uid="{42311B70-3BAB-4E70-8563-383C32D64B6C}"/>
    <cellStyle name="20% - Accent2 30 4 2 3 2 2" xfId="2373" xr:uid="{ECEA8548-64EC-4090-8253-03D44EC22025}"/>
    <cellStyle name="20% - Accent2 30 4 2 3 3" xfId="2374" xr:uid="{2F368C86-97FB-4529-8859-8E36ACE611CB}"/>
    <cellStyle name="20% - Accent2 30 4 2 4" xfId="2375" xr:uid="{95739148-5B19-46EA-81CD-61ABFE6D0F5B}"/>
    <cellStyle name="20% - Accent2 30 4 2 4 2" xfId="2376" xr:uid="{95B9509F-D246-428B-9CEE-AB46E17DDECB}"/>
    <cellStyle name="20% - Accent2 30 4 2 5" xfId="2377" xr:uid="{E2E5E344-8352-47CF-BDD7-1747AB455587}"/>
    <cellStyle name="20% - Accent2 30 4 3" xfId="2378" xr:uid="{6F85A48B-DCEC-4A96-90BE-AF51AA342ACD}"/>
    <cellStyle name="20% - Accent2 30 4 3 2" xfId="2379" xr:uid="{8C3A3512-7821-42D2-8804-FA257A44F350}"/>
    <cellStyle name="20% - Accent2 30 4 3 2 2" xfId="2380" xr:uid="{F7D17924-8BC9-40A4-A427-01FF72D3D9AF}"/>
    <cellStyle name="20% - Accent2 30 4 3 3" xfId="2381" xr:uid="{CD6FA31C-BC2B-43B8-8027-6D5AEACB781D}"/>
    <cellStyle name="20% - Accent2 30 4 4" xfId="2382" xr:uid="{9F9BEAAA-1091-4DD7-B061-FD84BF1729AC}"/>
    <cellStyle name="20% - Accent2 30 4 4 2" xfId="2383" xr:uid="{BA110614-D933-4E3B-AC23-3930106C811B}"/>
    <cellStyle name="20% - Accent2 30 4 4 2 2" xfId="2384" xr:uid="{9DDD9C79-1BE1-4450-B7D7-90854F5584D2}"/>
    <cellStyle name="20% - Accent2 30 4 4 3" xfId="2385" xr:uid="{56E8C411-9653-479A-8E9C-A6AA2968BAF7}"/>
    <cellStyle name="20% - Accent2 30 4 5" xfId="2386" xr:uid="{96719C67-626A-4FDB-8533-AE4BAEB92B1C}"/>
    <cellStyle name="20% - Accent2 30 4 5 2" xfId="2387" xr:uid="{8678AB79-CC97-4AE3-9C4C-292D3EC1D2F0}"/>
    <cellStyle name="20% - Accent2 30 4 6" xfId="2388" xr:uid="{DD3079F0-6537-4374-A72B-2BD625A38AA4}"/>
    <cellStyle name="20% - Accent2 30 5" xfId="2389" xr:uid="{CF080E4F-39CB-4BD8-A57B-354EBFA8612A}"/>
    <cellStyle name="20% - Accent2 30 5 2" xfId="2390" xr:uid="{3F056FA2-8C1E-4FF7-A443-8BE3DEDCF470}"/>
    <cellStyle name="20% - Accent2 30 5 2 2" xfId="2391" xr:uid="{FFF6EED6-906D-42B2-B424-6F9223349F8A}"/>
    <cellStyle name="20% - Accent2 30 5 2 2 2" xfId="2392" xr:uid="{E08058E0-F448-40EA-B027-1475C8867C7E}"/>
    <cellStyle name="20% - Accent2 30 5 2 2 2 2" xfId="2393" xr:uid="{0838A644-5F38-4B1E-BE7F-758096090721}"/>
    <cellStyle name="20% - Accent2 30 5 2 2 3" xfId="2394" xr:uid="{DB82EC57-0777-40B9-8FDC-799295CED3AB}"/>
    <cellStyle name="20% - Accent2 30 5 2 3" xfId="2395" xr:uid="{80111C74-CA82-42FB-9159-E3C2C4CC48F3}"/>
    <cellStyle name="20% - Accent2 30 5 2 3 2" xfId="2396" xr:uid="{8893B2F3-F1CB-4B35-A769-D060F12CBDEC}"/>
    <cellStyle name="20% - Accent2 30 5 2 3 2 2" xfId="2397" xr:uid="{8EC70027-86D4-4D56-9D83-939476475E43}"/>
    <cellStyle name="20% - Accent2 30 5 2 3 3" xfId="2398" xr:uid="{C800D7BD-0CB8-48F4-9959-827F3E74BF29}"/>
    <cellStyle name="20% - Accent2 30 5 2 4" xfId="2399" xr:uid="{C8380F32-4252-486A-8295-78C8484EB029}"/>
    <cellStyle name="20% - Accent2 30 5 2 4 2" xfId="2400" xr:uid="{FC875473-C76C-4352-A7DD-E69B26C4B518}"/>
    <cellStyle name="20% - Accent2 30 5 2 5" xfId="2401" xr:uid="{AC6600A3-2B3C-4344-A074-EAB2DD41D874}"/>
    <cellStyle name="20% - Accent2 30 5 3" xfId="2402" xr:uid="{A20DE168-37FA-4EE8-8EF1-67E9C0AB5EF0}"/>
    <cellStyle name="20% - Accent2 30 5 3 2" xfId="2403" xr:uid="{F42F71F0-F969-4583-BC08-AF50AAA79884}"/>
    <cellStyle name="20% - Accent2 30 5 3 2 2" xfId="2404" xr:uid="{B98B2615-2039-46B3-9B5F-C18211617915}"/>
    <cellStyle name="20% - Accent2 30 5 3 3" xfId="2405" xr:uid="{F3B1599E-5988-4867-84A0-03BE28A580DA}"/>
    <cellStyle name="20% - Accent2 30 5 4" xfId="2406" xr:uid="{32C27BF0-02BB-4887-BE35-F0BCDC02F056}"/>
    <cellStyle name="20% - Accent2 30 5 4 2" xfId="2407" xr:uid="{7636962D-4DD0-49FD-871B-263FDBBC37B4}"/>
    <cellStyle name="20% - Accent2 30 5 4 2 2" xfId="2408" xr:uid="{978B443E-62F5-4C2C-84D0-5B54257CA248}"/>
    <cellStyle name="20% - Accent2 30 5 4 3" xfId="2409" xr:uid="{3A7360D6-C0FE-452C-870B-86A07BD58974}"/>
    <cellStyle name="20% - Accent2 30 5 5" xfId="2410" xr:uid="{B34ACA63-9404-4B4C-8719-8D8987FF19B1}"/>
    <cellStyle name="20% - Accent2 30 5 5 2" xfId="2411" xr:uid="{CC3015B3-53A6-4C60-9424-9644934696D6}"/>
    <cellStyle name="20% - Accent2 30 5 6" xfId="2412" xr:uid="{031CD46C-5349-4764-8613-AEF016D88DA3}"/>
    <cellStyle name="20% - Accent2 30 6" xfId="2413" xr:uid="{16146467-883C-47B2-8FCA-D88D29400100}"/>
    <cellStyle name="20% - Accent2 30 6 2" xfId="2414" xr:uid="{9D6E799F-8630-4B20-A5E1-49E12B4D07F6}"/>
    <cellStyle name="20% - Accent2 30 6 2 2" xfId="2415" xr:uid="{DCBE0F28-A976-4E2D-9ED2-AC9ED2D0AE50}"/>
    <cellStyle name="20% - Accent2 30 6 2 2 2" xfId="2416" xr:uid="{3EFF51EB-D806-4505-B874-770589E6ADAB}"/>
    <cellStyle name="20% - Accent2 30 6 2 2 2 2" xfId="2417" xr:uid="{FA108B06-AD4D-42EA-BC51-16DEF9593924}"/>
    <cellStyle name="20% - Accent2 30 6 2 2 3" xfId="2418" xr:uid="{8AE22E6E-3B34-4125-A446-FAF8D674D4C9}"/>
    <cellStyle name="20% - Accent2 30 6 2 3" xfId="2419" xr:uid="{13B8D794-3CF1-4846-A1E3-1C8F660790F1}"/>
    <cellStyle name="20% - Accent2 30 6 2 3 2" xfId="2420" xr:uid="{64772B7D-0CF7-411A-9993-BE35DCF799C8}"/>
    <cellStyle name="20% - Accent2 30 6 2 3 2 2" xfId="2421" xr:uid="{C1A41868-8F16-4CC8-A4CC-16BD85F5A9BD}"/>
    <cellStyle name="20% - Accent2 30 6 2 3 3" xfId="2422" xr:uid="{4F645BA8-D540-4796-A973-F799262B60B8}"/>
    <cellStyle name="20% - Accent2 30 6 2 4" xfId="2423" xr:uid="{2C37E772-AA30-4E7D-8934-6EC4F645D60A}"/>
    <cellStyle name="20% - Accent2 30 6 2 4 2" xfId="2424" xr:uid="{244211C3-826E-4BF1-B67F-38613894FEC4}"/>
    <cellStyle name="20% - Accent2 30 6 2 5" xfId="2425" xr:uid="{7F8EA743-55A6-4135-ADA1-022CA2CA0977}"/>
    <cellStyle name="20% - Accent2 30 6 3" xfId="2426" xr:uid="{D94294A9-7546-40B1-B3C2-0C7BC011FB48}"/>
    <cellStyle name="20% - Accent2 30 6 3 2" xfId="2427" xr:uid="{5D7FC891-8683-4E23-8838-F5A85CD2F083}"/>
    <cellStyle name="20% - Accent2 30 6 3 2 2" xfId="2428" xr:uid="{E456497A-80B3-45DE-9E31-4F43CA9CC620}"/>
    <cellStyle name="20% - Accent2 30 6 3 3" xfId="2429" xr:uid="{B35C5973-D182-4D08-8D75-0E3BE6CAB2EF}"/>
    <cellStyle name="20% - Accent2 30 6 4" xfId="2430" xr:uid="{17525217-216E-4120-A56A-CA3ECD8FD7CC}"/>
    <cellStyle name="20% - Accent2 30 6 4 2" xfId="2431" xr:uid="{EF5ED4B5-287F-4E01-8657-6969818AC55A}"/>
    <cellStyle name="20% - Accent2 30 6 4 2 2" xfId="2432" xr:uid="{4E2379A8-E74C-4EE5-AFB0-3022BA1BE77C}"/>
    <cellStyle name="20% - Accent2 30 6 4 3" xfId="2433" xr:uid="{5F69B42D-E03E-44F3-BE35-C3F3682E522A}"/>
    <cellStyle name="20% - Accent2 30 6 5" xfId="2434" xr:uid="{E4146E5B-E379-4075-B4B3-69720547142C}"/>
    <cellStyle name="20% - Accent2 30 6 5 2" xfId="2435" xr:uid="{F333DE1F-F51D-454E-8F34-7C8440590C89}"/>
    <cellStyle name="20% - Accent2 30 6 6" xfId="2436" xr:uid="{D4CC77D3-3785-402D-9DF0-C87F555ED927}"/>
    <cellStyle name="20% - Accent2 30 7" xfId="2437" xr:uid="{C870766E-0461-4E3A-874C-39B7E6C91C02}"/>
    <cellStyle name="20% - Accent2 30 7 2" xfId="2438" xr:uid="{4FE56F5D-CEF2-48E3-873B-046BA94ADBA3}"/>
    <cellStyle name="20% - Accent2 30 7 2 2" xfId="2439" xr:uid="{6BD3EA89-8B95-418A-947B-08BD2D83CC75}"/>
    <cellStyle name="20% - Accent2 30 7 2 2 2" xfId="2440" xr:uid="{0F2BF1FB-87D4-434F-8581-0F4D78B8BE37}"/>
    <cellStyle name="20% - Accent2 30 7 2 2 2 2" xfId="2441" xr:uid="{3A671186-DB19-4477-AB60-012FD6741F71}"/>
    <cellStyle name="20% - Accent2 30 7 2 2 3" xfId="2442" xr:uid="{2DCBD6B7-A812-40C6-90BF-344DEE4BA29B}"/>
    <cellStyle name="20% - Accent2 30 7 2 3" xfId="2443" xr:uid="{1D2E2D41-CD9B-48ED-8731-04CE25728F81}"/>
    <cellStyle name="20% - Accent2 30 7 2 3 2" xfId="2444" xr:uid="{F6E605B4-1C3C-4914-97DD-237FE945761A}"/>
    <cellStyle name="20% - Accent2 30 7 2 3 2 2" xfId="2445" xr:uid="{78173108-83A1-4457-B7F2-55AC10FC1B00}"/>
    <cellStyle name="20% - Accent2 30 7 2 3 3" xfId="2446" xr:uid="{2E30997F-E337-484E-AA07-57B22C2A45E1}"/>
    <cellStyle name="20% - Accent2 30 7 2 4" xfId="2447" xr:uid="{48AC0F90-332D-4268-B388-453887E76D06}"/>
    <cellStyle name="20% - Accent2 30 7 2 4 2" xfId="2448" xr:uid="{46FE672C-8345-4478-B470-D1FB394491EB}"/>
    <cellStyle name="20% - Accent2 30 7 2 5" xfId="2449" xr:uid="{DEA6A2E5-BE49-4B1C-943D-C87E59FFB774}"/>
    <cellStyle name="20% - Accent2 30 7 3" xfId="2450" xr:uid="{D7BF1EE5-DAC0-420E-8266-ABB88D0273C4}"/>
    <cellStyle name="20% - Accent2 30 7 3 2" xfId="2451" xr:uid="{A692532A-C90E-4830-8F75-78F4104BE969}"/>
    <cellStyle name="20% - Accent2 30 7 3 2 2" xfId="2452" xr:uid="{C90F5F6E-EF0E-49E6-8ACE-E70AC2F37674}"/>
    <cellStyle name="20% - Accent2 30 7 3 3" xfId="2453" xr:uid="{03E2D898-19F4-4A70-A3BA-B03934C41569}"/>
    <cellStyle name="20% - Accent2 30 7 4" xfId="2454" xr:uid="{57EA3B84-B864-4F76-B001-3B677C54BE35}"/>
    <cellStyle name="20% - Accent2 30 7 4 2" xfId="2455" xr:uid="{24897910-AB48-4F2A-8563-3C7D2724B930}"/>
    <cellStyle name="20% - Accent2 30 7 4 2 2" xfId="2456" xr:uid="{893869E0-48F1-4D43-BCC9-D087EA7DA6FC}"/>
    <cellStyle name="20% - Accent2 30 7 4 3" xfId="2457" xr:uid="{962E5485-295C-4788-AF3C-784E9EB1A807}"/>
    <cellStyle name="20% - Accent2 30 7 5" xfId="2458" xr:uid="{0094C978-AB26-4BBF-8945-D84A6FAA892E}"/>
    <cellStyle name="20% - Accent2 30 7 5 2" xfId="2459" xr:uid="{81852D37-0AAA-4C6D-9CA9-7E80D2CB0876}"/>
    <cellStyle name="20% - Accent2 30 7 6" xfId="2460" xr:uid="{DC26CF1F-06C9-46C3-832A-E186DA9B4DDD}"/>
    <cellStyle name="20% - Accent2 30 8" xfId="2461" xr:uid="{1AD7B41E-65D0-448A-90BD-702D3551A053}"/>
    <cellStyle name="20% - Accent2 30 8 2" xfId="2462" xr:uid="{01C2E991-58A9-4D3B-8C0E-1D1D4CEB4CD0}"/>
    <cellStyle name="20% - Accent2 30 8 2 2" xfId="2463" xr:uid="{14CAECFF-9E6B-4769-A4C8-761C78E40517}"/>
    <cellStyle name="20% - Accent2 30 8 2 2 2" xfId="2464" xr:uid="{04EC3964-BFB6-4124-A4F7-4D41F91E3918}"/>
    <cellStyle name="20% - Accent2 30 8 2 2 2 2" xfId="2465" xr:uid="{6C32D860-D370-4DAD-9152-7CC276419A49}"/>
    <cellStyle name="20% - Accent2 30 8 2 2 3" xfId="2466" xr:uid="{11663374-DD00-4D6C-B1FE-43901541DDD9}"/>
    <cellStyle name="20% - Accent2 30 8 2 3" xfId="2467" xr:uid="{0EDEE6BA-254A-43D5-B483-3000ACD47BAC}"/>
    <cellStyle name="20% - Accent2 30 8 2 3 2" xfId="2468" xr:uid="{39CAEB92-FA51-48DD-9BEA-D191CF9F599D}"/>
    <cellStyle name="20% - Accent2 30 8 2 3 2 2" xfId="2469" xr:uid="{3A28B8BB-67BB-46A7-A74B-CEF793DD5B6D}"/>
    <cellStyle name="20% - Accent2 30 8 2 3 3" xfId="2470" xr:uid="{85ED2BC1-1F72-4BDE-82CB-BFBDE887432E}"/>
    <cellStyle name="20% - Accent2 30 8 2 4" xfId="2471" xr:uid="{AC9D3EFF-B00A-4A52-B8AD-752D4DFA788C}"/>
    <cellStyle name="20% - Accent2 30 8 2 4 2" xfId="2472" xr:uid="{60F1A203-084A-437A-AFC8-B5BBCC9DC5CB}"/>
    <cellStyle name="20% - Accent2 30 8 2 5" xfId="2473" xr:uid="{B7DD01D0-F45B-49E6-8291-0FEA04DC4B5E}"/>
    <cellStyle name="20% - Accent2 30 8 3" xfId="2474" xr:uid="{3EFCB1AE-54ED-40A5-B079-7B2645326113}"/>
    <cellStyle name="20% - Accent2 30 8 3 2" xfId="2475" xr:uid="{578CEF04-7464-43AC-BCCC-126DCFACB945}"/>
    <cellStyle name="20% - Accent2 30 8 3 2 2" xfId="2476" xr:uid="{2CDDD7D0-BE36-4BCE-8839-FBBFDE2B19F2}"/>
    <cellStyle name="20% - Accent2 30 8 3 3" xfId="2477" xr:uid="{B91E822D-B742-42AB-BAE4-0DB16FE7A044}"/>
    <cellStyle name="20% - Accent2 30 8 4" xfId="2478" xr:uid="{1E0AFF14-6EF6-4C44-8A53-E689A88EED3C}"/>
    <cellStyle name="20% - Accent2 30 8 4 2" xfId="2479" xr:uid="{A6C33DBC-D73A-4311-860B-A37CFBE79EF3}"/>
    <cellStyle name="20% - Accent2 30 8 4 2 2" xfId="2480" xr:uid="{48F3F029-54FB-4541-9EA6-FDE06297A11D}"/>
    <cellStyle name="20% - Accent2 30 8 4 3" xfId="2481" xr:uid="{04833614-326F-45D9-A6B8-EBC292C30B7B}"/>
    <cellStyle name="20% - Accent2 30 8 5" xfId="2482" xr:uid="{5C1598D8-9E5D-4A7A-8596-DC6A7060ACF1}"/>
    <cellStyle name="20% - Accent2 30 8 5 2" xfId="2483" xr:uid="{9CCFF7D2-D51F-444F-9DAE-3EF6413E65E5}"/>
    <cellStyle name="20% - Accent2 30 8 6" xfId="2484" xr:uid="{1C1393CB-43BD-4CF7-8747-A4554669D90E}"/>
    <cellStyle name="20% - Accent2 30 9" xfId="2485" xr:uid="{A12A0D40-93F4-48A3-B783-C93590B6B373}"/>
    <cellStyle name="20% - Accent2 30 9 2" xfId="2486" xr:uid="{75AC9217-D67B-42A3-9EE1-95585E04D615}"/>
    <cellStyle name="20% - Accent2 30 9 2 2" xfId="2487" xr:uid="{587F8739-3692-4A9E-AA59-15E20C37B390}"/>
    <cellStyle name="20% - Accent2 30 9 2 2 2" xfId="2488" xr:uid="{715D02F1-2526-428B-A93F-6BDAA77BE860}"/>
    <cellStyle name="20% - Accent2 30 9 2 2 2 2" xfId="2489" xr:uid="{F18B03DD-9C1A-448D-A727-84C7E3F3B170}"/>
    <cellStyle name="20% - Accent2 30 9 2 2 3" xfId="2490" xr:uid="{89C53872-BCD7-449A-A4AE-3FA5935C7182}"/>
    <cellStyle name="20% - Accent2 30 9 2 3" xfId="2491" xr:uid="{F8DED6C4-9A20-40E2-916F-9DC0F8D6FAB3}"/>
    <cellStyle name="20% - Accent2 30 9 2 3 2" xfId="2492" xr:uid="{E8FB2E8F-F346-4511-A00C-F67BBF5D6C74}"/>
    <cellStyle name="20% - Accent2 30 9 2 3 2 2" xfId="2493" xr:uid="{2C702C65-AC5C-404A-8F23-90637EE5C540}"/>
    <cellStyle name="20% - Accent2 30 9 2 3 3" xfId="2494" xr:uid="{EC641255-4527-4643-BA71-E3488C0934D8}"/>
    <cellStyle name="20% - Accent2 30 9 2 4" xfId="2495" xr:uid="{C9A448C3-9AD6-4911-B44B-ED5A39425760}"/>
    <cellStyle name="20% - Accent2 30 9 2 4 2" xfId="2496" xr:uid="{3C1A9C79-7BA1-42EB-8FEC-0D9F635CD06D}"/>
    <cellStyle name="20% - Accent2 30 9 2 5" xfId="2497" xr:uid="{94DD69D5-36F4-45B2-A185-C66450CBE6C0}"/>
    <cellStyle name="20% - Accent2 30 9 3" xfId="2498" xr:uid="{54B6F0F2-CA89-4CBA-A835-5107BDA53FBF}"/>
    <cellStyle name="20% - Accent2 30 9 3 2" xfId="2499" xr:uid="{B4BDF4EF-01AC-4FF5-89D3-4D595497578C}"/>
    <cellStyle name="20% - Accent2 30 9 3 2 2" xfId="2500" xr:uid="{F6080A68-8E39-4DC7-BBED-1158197AA131}"/>
    <cellStyle name="20% - Accent2 30 9 3 3" xfId="2501" xr:uid="{1E3AB9FD-5E1B-4981-97E8-F4769D8AA7B4}"/>
    <cellStyle name="20% - Accent2 30 9 4" xfId="2502" xr:uid="{8FDC1D64-CFE4-477F-856A-E2973FABD69B}"/>
    <cellStyle name="20% - Accent2 30 9 4 2" xfId="2503" xr:uid="{F12DDB15-E602-4DE1-8C4E-676D427995FD}"/>
    <cellStyle name="20% - Accent2 30 9 4 2 2" xfId="2504" xr:uid="{5536AE8A-8D8E-4C53-9E7D-F8877E5D1732}"/>
    <cellStyle name="20% - Accent2 30 9 4 3" xfId="2505" xr:uid="{BC4B9CE3-4333-4B13-89A1-148C6EA12DC0}"/>
    <cellStyle name="20% - Accent2 30 9 5" xfId="2506" xr:uid="{8553FBAF-D8A2-42BA-93BA-BC9C439F470F}"/>
    <cellStyle name="20% - Accent2 30 9 5 2" xfId="2507" xr:uid="{A3289CC4-0426-46CB-8B1D-C032FD6B357A}"/>
    <cellStyle name="20% - Accent2 30 9 6" xfId="2508" xr:uid="{2C4572F9-EAE6-414B-9285-6B85C61CCFC3}"/>
    <cellStyle name="20% - Accent2 31" xfId="2509" xr:uid="{5F1706FD-A7C2-40F9-A492-3F3B83F0C0D0}"/>
    <cellStyle name="20% - Accent2 31 10" xfId="2510" xr:uid="{57108D64-DFA0-4E80-B0C0-077E9B025C83}"/>
    <cellStyle name="20% - Accent2 31 10 2" xfId="2511" xr:uid="{B1D9B372-0227-4B3E-A853-39DDD427C60A}"/>
    <cellStyle name="20% - Accent2 31 10 2 2" xfId="2512" xr:uid="{ACDA0120-F346-48F9-BEF1-3F3804C48449}"/>
    <cellStyle name="20% - Accent2 31 10 2 2 2" xfId="2513" xr:uid="{1C3004C3-5244-4EF9-B09F-2FBAC89B3FCA}"/>
    <cellStyle name="20% - Accent2 31 10 2 2 2 2" xfId="2514" xr:uid="{04B41DBB-FF30-4A74-A720-A8C7A4834FEB}"/>
    <cellStyle name="20% - Accent2 31 10 2 2 3" xfId="2515" xr:uid="{AC524987-03F8-4FE7-9360-DFAD27534B24}"/>
    <cellStyle name="20% - Accent2 31 10 2 3" xfId="2516" xr:uid="{82CA9674-8ED6-4775-8FB9-AFB9CFE4F8A8}"/>
    <cellStyle name="20% - Accent2 31 10 2 3 2" xfId="2517" xr:uid="{552EA258-30D0-4A57-BE4E-861DC496CB6D}"/>
    <cellStyle name="20% - Accent2 31 10 2 3 2 2" xfId="2518" xr:uid="{3E447462-55ED-4A07-A751-DB8FF4839B36}"/>
    <cellStyle name="20% - Accent2 31 10 2 3 3" xfId="2519" xr:uid="{5E5DD432-1936-4536-AEDF-AB7C237996E0}"/>
    <cellStyle name="20% - Accent2 31 10 2 4" xfId="2520" xr:uid="{4D82DF34-704A-46D5-86B6-6106177D19FD}"/>
    <cellStyle name="20% - Accent2 31 10 2 4 2" xfId="2521" xr:uid="{4C0AEA44-891E-4341-AC0E-D8ADB233B977}"/>
    <cellStyle name="20% - Accent2 31 10 2 5" xfId="2522" xr:uid="{FBF6C4B4-DA9B-4FDF-811D-D5E4B723BBD3}"/>
    <cellStyle name="20% - Accent2 31 10 3" xfId="2523" xr:uid="{3E8B3F05-E802-452E-B24E-25788F8460B8}"/>
    <cellStyle name="20% - Accent2 31 10 3 2" xfId="2524" xr:uid="{E7A0C71C-CE98-4803-B214-84DFF3AFB6BA}"/>
    <cellStyle name="20% - Accent2 31 10 3 2 2" xfId="2525" xr:uid="{B3BD1C78-ED26-4064-A996-59B43C0ABE04}"/>
    <cellStyle name="20% - Accent2 31 10 3 3" xfId="2526" xr:uid="{1A6FE27D-364E-4E48-BBC6-A26826F6BF72}"/>
    <cellStyle name="20% - Accent2 31 10 4" xfId="2527" xr:uid="{A1376409-4C29-4D59-A9F6-7569C035F61F}"/>
    <cellStyle name="20% - Accent2 31 10 4 2" xfId="2528" xr:uid="{412F2CA3-3BE0-495E-992E-3E50E386B8A3}"/>
    <cellStyle name="20% - Accent2 31 10 4 2 2" xfId="2529" xr:uid="{48A8F34C-2F07-42B8-993B-207092D17656}"/>
    <cellStyle name="20% - Accent2 31 10 4 3" xfId="2530" xr:uid="{8C941CD4-87B7-411C-9031-A3EDC7FDA40B}"/>
    <cellStyle name="20% - Accent2 31 10 5" xfId="2531" xr:uid="{10CE7FA4-DF1A-46A6-A0B4-23822918F7AC}"/>
    <cellStyle name="20% - Accent2 31 10 5 2" xfId="2532" xr:uid="{1DF3170E-6683-4C1E-A1B2-9F4F53BBA2DE}"/>
    <cellStyle name="20% - Accent2 31 10 6" xfId="2533" xr:uid="{AC46DCCC-FE79-406A-9003-1991EFD7937A}"/>
    <cellStyle name="20% - Accent2 31 11" xfId="2534" xr:uid="{F4289225-9C25-446F-AF0C-79DDDB1D8A6C}"/>
    <cellStyle name="20% - Accent2 31 11 2" xfId="2535" xr:uid="{42C88A5A-7384-49FE-BB65-211B58380213}"/>
    <cellStyle name="20% - Accent2 31 11 2 2" xfId="2536" xr:uid="{19C5362D-0D63-42DE-9C1D-C81DD94E84A4}"/>
    <cellStyle name="20% - Accent2 31 11 2 2 2" xfId="2537" xr:uid="{DABDE965-5D59-481D-AEA0-CE85911CD1B7}"/>
    <cellStyle name="20% - Accent2 31 11 2 3" xfId="2538" xr:uid="{156C0A36-8571-4C1F-A550-E5E0B1FFC93B}"/>
    <cellStyle name="20% - Accent2 31 11 3" xfId="2539" xr:uid="{54B507C7-F455-40B4-9EB9-8CBD67238460}"/>
    <cellStyle name="20% - Accent2 31 11 3 2" xfId="2540" xr:uid="{61642126-DFE1-421D-B47C-62A7AEF309F2}"/>
    <cellStyle name="20% - Accent2 31 11 3 2 2" xfId="2541" xr:uid="{A476BCAD-EBFD-4211-8E3E-F102476AF35B}"/>
    <cellStyle name="20% - Accent2 31 11 3 3" xfId="2542" xr:uid="{A2989C27-5A3E-4503-94B3-C258A7692394}"/>
    <cellStyle name="20% - Accent2 31 11 4" xfId="2543" xr:uid="{E7FEE914-8345-4E8C-ABAD-0A6226977CFA}"/>
    <cellStyle name="20% - Accent2 31 11 4 2" xfId="2544" xr:uid="{3F68A4E6-DCD1-48E2-8F11-4062FF6B0CDB}"/>
    <cellStyle name="20% - Accent2 31 11 5" xfId="2545" xr:uid="{3D80B704-DA4B-44B3-8D1F-4FA9991D478A}"/>
    <cellStyle name="20% - Accent2 31 12" xfId="2546" xr:uid="{DE5BA5CA-3570-4D97-8C68-358A6900F15F}"/>
    <cellStyle name="20% - Accent2 31 12 2" xfId="2547" xr:uid="{9267EC48-F90B-4ECD-98C0-4975DEDB8301}"/>
    <cellStyle name="20% - Accent2 31 12 2 2" xfId="2548" xr:uid="{F8D8141B-E250-470D-94BD-96F161BABC21}"/>
    <cellStyle name="20% - Accent2 31 12 3" xfId="2549" xr:uid="{E68E07B1-E95B-49AC-85F3-E4B7F561230D}"/>
    <cellStyle name="20% - Accent2 31 13" xfId="2550" xr:uid="{71CF9A28-BCAA-464A-8AC5-63E03E7FCCAB}"/>
    <cellStyle name="20% - Accent2 31 13 2" xfId="2551" xr:uid="{65054136-D7C7-4FA4-94BD-E0B4972466EC}"/>
    <cellStyle name="20% - Accent2 31 13 2 2" xfId="2552" xr:uid="{225D6854-5091-4A03-9AA5-4DD00321DD1A}"/>
    <cellStyle name="20% - Accent2 31 13 3" xfId="2553" xr:uid="{230256F3-B932-4088-A5AA-9DF8A04BA484}"/>
    <cellStyle name="20% - Accent2 31 14" xfId="2554" xr:uid="{459DF1F4-A6EE-41DC-ACAD-6EB7C505C4AF}"/>
    <cellStyle name="20% - Accent2 31 14 2" xfId="2555" xr:uid="{D17292A7-3C5D-419B-AC27-29AC5561AF7A}"/>
    <cellStyle name="20% - Accent2 31 15" xfId="2556" xr:uid="{9CE0C2AC-4DCC-40F1-BFF5-71B7E72D3D1F}"/>
    <cellStyle name="20% - Accent2 31 16" xfId="35779" xr:uid="{6DC66FDC-D41E-4D40-809F-409D8AD4B741}"/>
    <cellStyle name="20% - Accent2 31 2" xfId="2557" xr:uid="{12D58292-92E9-49CB-8D88-3B37C228F06E}"/>
    <cellStyle name="20% - Accent2 31 2 2" xfId="2558" xr:uid="{1E18DAD6-CFA0-48D0-9505-071A4F0644AD}"/>
    <cellStyle name="20% - Accent2 31 2 2 2" xfId="2559" xr:uid="{3A88B813-B5EA-4B2E-ABA7-F148008217A0}"/>
    <cellStyle name="20% - Accent2 31 2 2 2 2" xfId="2560" xr:uid="{F89D2742-CE9B-4C75-B486-0AADE6C43A06}"/>
    <cellStyle name="20% - Accent2 31 2 2 2 2 2" xfId="2561" xr:uid="{8A8BA944-9709-4F84-8B02-652A43791C8F}"/>
    <cellStyle name="20% - Accent2 31 2 2 2 3" xfId="2562" xr:uid="{FE71A500-3B60-4B5B-A0DA-D2D1B658C2EE}"/>
    <cellStyle name="20% - Accent2 31 2 2 3" xfId="2563" xr:uid="{8AB80D70-118E-40B5-BFE6-B6C14C235B9D}"/>
    <cellStyle name="20% - Accent2 31 2 2 3 2" xfId="2564" xr:uid="{C8734C0D-E21C-4D5E-8E29-02FC3AA29D52}"/>
    <cellStyle name="20% - Accent2 31 2 2 3 2 2" xfId="2565" xr:uid="{086774B1-65BC-4854-A285-3DE906F849BC}"/>
    <cellStyle name="20% - Accent2 31 2 2 3 3" xfId="2566" xr:uid="{E773663D-1988-42FE-B741-0D4BAD34FE5C}"/>
    <cellStyle name="20% - Accent2 31 2 2 4" xfId="2567" xr:uid="{DFD99554-6CA1-472C-ABED-90EF19156B72}"/>
    <cellStyle name="20% - Accent2 31 2 2 4 2" xfId="2568" xr:uid="{B0E2A219-B8DF-4360-A7A7-9B93C758897E}"/>
    <cellStyle name="20% - Accent2 31 2 2 5" xfId="2569" xr:uid="{5C50835A-8165-4128-8305-AD88CBA5489F}"/>
    <cellStyle name="20% - Accent2 31 2 3" xfId="2570" xr:uid="{8729211E-CA64-4329-BA6C-0EA25A988354}"/>
    <cellStyle name="20% - Accent2 31 2 3 2" xfId="2571" xr:uid="{80245B2B-AE87-4D5B-A6A1-C6EFCFC93353}"/>
    <cellStyle name="20% - Accent2 31 2 3 2 2" xfId="2572" xr:uid="{4CB555E3-B5BC-4558-9ABD-14FDD15F7306}"/>
    <cellStyle name="20% - Accent2 31 2 3 3" xfId="2573" xr:uid="{F2261520-0B19-41DD-A7E5-F65DC792996D}"/>
    <cellStyle name="20% - Accent2 31 2 4" xfId="2574" xr:uid="{DACF05B9-5C70-4ED2-8AAA-81EC4C82AAB0}"/>
    <cellStyle name="20% - Accent2 31 2 4 2" xfId="2575" xr:uid="{09969222-AFE8-460B-AB10-9F788E5912A5}"/>
    <cellStyle name="20% - Accent2 31 2 4 2 2" xfId="2576" xr:uid="{982EBC25-75C9-4DEE-A813-6B60473A2F5D}"/>
    <cellStyle name="20% - Accent2 31 2 4 3" xfId="2577" xr:uid="{6DD7CFC0-05C4-4CA8-9664-EEA45762720D}"/>
    <cellStyle name="20% - Accent2 31 2 5" xfId="2578" xr:uid="{11F45831-B212-43F2-ABCD-C3D66CF47991}"/>
    <cellStyle name="20% - Accent2 31 2 5 2" xfId="2579" xr:uid="{87935BFD-CB55-448E-9584-721E6D0EA0EE}"/>
    <cellStyle name="20% - Accent2 31 2 6" xfId="2580" xr:uid="{91C835B3-7609-4E46-B89C-BE95AE55D2E0}"/>
    <cellStyle name="20% - Accent2 31 3" xfId="2581" xr:uid="{F9610FAD-025F-4D43-ABA3-74E371114349}"/>
    <cellStyle name="20% - Accent2 31 3 2" xfId="2582" xr:uid="{345A236A-8B8C-41C2-A309-0F21C9B0DAA0}"/>
    <cellStyle name="20% - Accent2 31 3 2 2" xfId="2583" xr:uid="{F63C4EED-2A6C-483A-981A-B2EB0CDCD0CE}"/>
    <cellStyle name="20% - Accent2 31 3 2 2 2" xfId="2584" xr:uid="{E528AAF5-63BD-4317-B9E3-6D699198A366}"/>
    <cellStyle name="20% - Accent2 31 3 2 2 2 2" xfId="2585" xr:uid="{468D48FF-C57E-4AB9-ABE9-29DB078185BE}"/>
    <cellStyle name="20% - Accent2 31 3 2 2 3" xfId="2586" xr:uid="{2A5924F8-0A59-4E19-99D1-4032042B4F8F}"/>
    <cellStyle name="20% - Accent2 31 3 2 3" xfId="2587" xr:uid="{18CE6BED-822B-4D06-9FEA-3A35B5F52976}"/>
    <cellStyle name="20% - Accent2 31 3 2 3 2" xfId="2588" xr:uid="{E97478AB-2D64-4F20-AE39-0450527A0DD1}"/>
    <cellStyle name="20% - Accent2 31 3 2 3 2 2" xfId="2589" xr:uid="{DC7977EB-89E7-4CEB-B681-DBBBA1E64CD0}"/>
    <cellStyle name="20% - Accent2 31 3 2 3 3" xfId="2590" xr:uid="{85C96383-9333-4F7A-A3F8-7D8877637595}"/>
    <cellStyle name="20% - Accent2 31 3 2 4" xfId="2591" xr:uid="{1C07AF61-1EA1-4C23-9361-EFA9846E5328}"/>
    <cellStyle name="20% - Accent2 31 3 2 4 2" xfId="2592" xr:uid="{2A447D8B-C6E2-4764-9CFA-82CAF02FE2DD}"/>
    <cellStyle name="20% - Accent2 31 3 2 5" xfId="2593" xr:uid="{01458312-710E-45EF-8407-9D6A5A6E4DE1}"/>
    <cellStyle name="20% - Accent2 31 3 3" xfId="2594" xr:uid="{3E170741-930E-42D8-A301-62D1A8F14662}"/>
    <cellStyle name="20% - Accent2 31 3 3 2" xfId="2595" xr:uid="{890DAEC7-461E-4A89-A169-B5DF6A2C4CC3}"/>
    <cellStyle name="20% - Accent2 31 3 3 2 2" xfId="2596" xr:uid="{8E0D2C52-5269-40AA-8125-C43C406C1AA6}"/>
    <cellStyle name="20% - Accent2 31 3 3 3" xfId="2597" xr:uid="{A0B4DDB9-DD72-46EC-B718-6B70340C4C52}"/>
    <cellStyle name="20% - Accent2 31 3 4" xfId="2598" xr:uid="{E6EBC1C1-DA0D-4A24-8662-518336B7A4FA}"/>
    <cellStyle name="20% - Accent2 31 3 4 2" xfId="2599" xr:uid="{CB9FF8B9-D9A1-4547-AB08-D7563B8C8DC1}"/>
    <cellStyle name="20% - Accent2 31 3 4 2 2" xfId="2600" xr:uid="{F63410A4-93F1-4C5D-894E-A6B6220BF9DA}"/>
    <cellStyle name="20% - Accent2 31 3 4 3" xfId="2601" xr:uid="{E6DEE31E-5E9E-406C-809A-9460F08A4E6D}"/>
    <cellStyle name="20% - Accent2 31 3 5" xfId="2602" xr:uid="{B8C58256-A975-44E2-B204-424DE97320A6}"/>
    <cellStyle name="20% - Accent2 31 3 5 2" xfId="2603" xr:uid="{D25B4E32-028D-465B-A78D-A60AACA82349}"/>
    <cellStyle name="20% - Accent2 31 3 6" xfId="2604" xr:uid="{2141BB1F-AC49-4F0C-A54F-720C74D96A1D}"/>
    <cellStyle name="20% - Accent2 31 4" xfId="2605" xr:uid="{2BC6DE84-A39D-4B15-9503-CC4D61DBC8D8}"/>
    <cellStyle name="20% - Accent2 31 4 2" xfId="2606" xr:uid="{E28F98FC-AC78-404D-995A-6AC12F7A6EDE}"/>
    <cellStyle name="20% - Accent2 31 4 2 2" xfId="2607" xr:uid="{7DF13BB0-03F6-4691-BADF-F26D037CD31C}"/>
    <cellStyle name="20% - Accent2 31 4 2 2 2" xfId="2608" xr:uid="{8EE2105E-E17D-4D1A-8102-C811FCBF22DD}"/>
    <cellStyle name="20% - Accent2 31 4 2 2 2 2" xfId="2609" xr:uid="{8E54B338-4050-4962-A48D-5ECD01C320FE}"/>
    <cellStyle name="20% - Accent2 31 4 2 2 3" xfId="2610" xr:uid="{3885E52D-27E6-411F-9904-057D699A7FFF}"/>
    <cellStyle name="20% - Accent2 31 4 2 3" xfId="2611" xr:uid="{E2C7C54B-54C0-4FEC-9F1D-AE3143D44F39}"/>
    <cellStyle name="20% - Accent2 31 4 2 3 2" xfId="2612" xr:uid="{D2244B05-F6B5-4229-A2C8-30B915285F75}"/>
    <cellStyle name="20% - Accent2 31 4 2 3 2 2" xfId="2613" xr:uid="{9AD20319-AE85-4B28-A240-0F66F8713377}"/>
    <cellStyle name="20% - Accent2 31 4 2 3 3" xfId="2614" xr:uid="{C07C83AB-1849-43E1-91BC-799C60578182}"/>
    <cellStyle name="20% - Accent2 31 4 2 4" xfId="2615" xr:uid="{B4700B89-114F-4F4B-8DA9-D7686A432793}"/>
    <cellStyle name="20% - Accent2 31 4 2 4 2" xfId="2616" xr:uid="{5196E192-5E83-4AD0-BEDA-A9AC553F6027}"/>
    <cellStyle name="20% - Accent2 31 4 2 5" xfId="2617" xr:uid="{2743CFCB-8CC8-4697-8226-9CB3555EE6C6}"/>
    <cellStyle name="20% - Accent2 31 4 3" xfId="2618" xr:uid="{6B3A51D5-491B-4E13-9346-978335B2699B}"/>
    <cellStyle name="20% - Accent2 31 4 3 2" xfId="2619" xr:uid="{64CF8F25-24E9-47E2-962B-C9D86F978860}"/>
    <cellStyle name="20% - Accent2 31 4 3 2 2" xfId="2620" xr:uid="{0B5BC0C2-A05E-4CFA-8887-23B8630EAB52}"/>
    <cellStyle name="20% - Accent2 31 4 3 3" xfId="2621" xr:uid="{2A39ED23-1801-4F94-94A4-8C9F3DF9F541}"/>
    <cellStyle name="20% - Accent2 31 4 4" xfId="2622" xr:uid="{ED7C7C38-7B3B-41AF-8481-BBBF073F4AAC}"/>
    <cellStyle name="20% - Accent2 31 4 4 2" xfId="2623" xr:uid="{B3F27A88-7468-42BB-BB45-D28D756055F4}"/>
    <cellStyle name="20% - Accent2 31 4 4 2 2" xfId="2624" xr:uid="{F9A37435-1C98-4605-9D13-2C4B213AA7A7}"/>
    <cellStyle name="20% - Accent2 31 4 4 3" xfId="2625" xr:uid="{6FC994DD-F097-4B27-A1D2-0739C9A8BBE9}"/>
    <cellStyle name="20% - Accent2 31 4 5" xfId="2626" xr:uid="{67E17856-00DE-4E3A-A85A-29771BD4565C}"/>
    <cellStyle name="20% - Accent2 31 4 5 2" xfId="2627" xr:uid="{F8EE250C-D136-418E-96AA-099AD30577DA}"/>
    <cellStyle name="20% - Accent2 31 4 6" xfId="2628" xr:uid="{E458D274-C79F-4F97-B8A2-1703E063A719}"/>
    <cellStyle name="20% - Accent2 31 5" xfId="2629" xr:uid="{356AA0CC-0E34-4EA5-BD96-46F257E39BB2}"/>
    <cellStyle name="20% - Accent2 31 5 2" xfId="2630" xr:uid="{A04D7527-E5B9-4D88-8D00-5F6302DCBE16}"/>
    <cellStyle name="20% - Accent2 31 5 2 2" xfId="2631" xr:uid="{FA4560B2-8256-4C50-A6DF-9EE0AF5D74F7}"/>
    <cellStyle name="20% - Accent2 31 5 2 2 2" xfId="2632" xr:uid="{A121DC93-E693-4C6D-8223-98ECE3FB5E68}"/>
    <cellStyle name="20% - Accent2 31 5 2 2 2 2" xfId="2633" xr:uid="{4C6FB566-DCFA-4F79-ACB5-5266F2E31173}"/>
    <cellStyle name="20% - Accent2 31 5 2 2 3" xfId="2634" xr:uid="{5D643C84-AC59-495A-81C7-36090531ACF8}"/>
    <cellStyle name="20% - Accent2 31 5 2 3" xfId="2635" xr:uid="{FAC26860-5B25-49C0-8EB8-1B57D76EBA69}"/>
    <cellStyle name="20% - Accent2 31 5 2 3 2" xfId="2636" xr:uid="{1BD36155-193F-49EE-BCC6-85008E877F54}"/>
    <cellStyle name="20% - Accent2 31 5 2 3 2 2" xfId="2637" xr:uid="{4BB44112-55A7-4080-9497-4DD256203B12}"/>
    <cellStyle name="20% - Accent2 31 5 2 3 3" xfId="2638" xr:uid="{09A806EF-61DA-4695-B979-2B82B4A24D25}"/>
    <cellStyle name="20% - Accent2 31 5 2 4" xfId="2639" xr:uid="{B0DAF907-5E67-4DE0-A8FF-C26A164E6D04}"/>
    <cellStyle name="20% - Accent2 31 5 2 4 2" xfId="2640" xr:uid="{208AD37C-82EB-41AC-B9F2-A60C8421C397}"/>
    <cellStyle name="20% - Accent2 31 5 2 5" xfId="2641" xr:uid="{AF2E346A-166F-4E8B-B7DA-8F71C115B9F0}"/>
    <cellStyle name="20% - Accent2 31 5 3" xfId="2642" xr:uid="{61EDF2EE-CA41-4F82-805C-27797CC5888D}"/>
    <cellStyle name="20% - Accent2 31 5 3 2" xfId="2643" xr:uid="{3EF082F5-E4F1-4A1D-9742-AFDC74EC006C}"/>
    <cellStyle name="20% - Accent2 31 5 3 2 2" xfId="2644" xr:uid="{C157826D-E773-4824-96A8-75FC3C4F1DC6}"/>
    <cellStyle name="20% - Accent2 31 5 3 3" xfId="2645" xr:uid="{ADBAC927-2568-41B8-96EC-F8977416B97E}"/>
    <cellStyle name="20% - Accent2 31 5 4" xfId="2646" xr:uid="{BDAF2B6A-EF68-4ECF-95CA-17C8F110B783}"/>
    <cellStyle name="20% - Accent2 31 5 4 2" xfId="2647" xr:uid="{C60CBA3D-C58E-4A3D-BB74-89C3B4C73224}"/>
    <cellStyle name="20% - Accent2 31 5 4 2 2" xfId="2648" xr:uid="{B9EFC0CB-9C55-4BAA-AD03-751E4D6E8F7B}"/>
    <cellStyle name="20% - Accent2 31 5 4 3" xfId="2649" xr:uid="{FA78D9E9-69B9-4A77-B861-EC1E7BCA15FA}"/>
    <cellStyle name="20% - Accent2 31 5 5" xfId="2650" xr:uid="{588048FD-EDBF-4535-A688-F89385EC57F2}"/>
    <cellStyle name="20% - Accent2 31 5 5 2" xfId="2651" xr:uid="{512B1716-9378-4C57-A555-F160887F0775}"/>
    <cellStyle name="20% - Accent2 31 5 6" xfId="2652" xr:uid="{67A1A37B-3CEF-4E47-80AD-DDD0989C1844}"/>
    <cellStyle name="20% - Accent2 31 6" xfId="2653" xr:uid="{442BEC81-53CF-40C5-9C00-A2A2B288B837}"/>
    <cellStyle name="20% - Accent2 31 6 2" xfId="2654" xr:uid="{87598589-8C3C-4424-8069-AC61E86FE8A3}"/>
    <cellStyle name="20% - Accent2 31 6 2 2" xfId="2655" xr:uid="{FDFCC72E-6A04-4984-8A18-A5840F874FCA}"/>
    <cellStyle name="20% - Accent2 31 6 2 2 2" xfId="2656" xr:uid="{04AE24A6-76FC-47B1-8430-4A27146DBBB5}"/>
    <cellStyle name="20% - Accent2 31 6 2 2 2 2" xfId="2657" xr:uid="{9A6152D0-278F-45B9-A509-A28BD40F3D81}"/>
    <cellStyle name="20% - Accent2 31 6 2 2 3" xfId="2658" xr:uid="{C9FA8FE2-EE20-4CAC-BCAE-08C438BD5CCC}"/>
    <cellStyle name="20% - Accent2 31 6 2 3" xfId="2659" xr:uid="{2BF51CA8-E4B7-4FE7-8150-8E664D344EFA}"/>
    <cellStyle name="20% - Accent2 31 6 2 3 2" xfId="2660" xr:uid="{242462EB-BB1E-4DB5-862F-D3EDD4081E94}"/>
    <cellStyle name="20% - Accent2 31 6 2 3 2 2" xfId="2661" xr:uid="{8756C307-D3A3-43BD-B238-FEDD2D448251}"/>
    <cellStyle name="20% - Accent2 31 6 2 3 3" xfId="2662" xr:uid="{2D887D75-ABA5-4785-9E59-7AB8CE11DDA7}"/>
    <cellStyle name="20% - Accent2 31 6 2 4" xfId="2663" xr:uid="{6C4D0F9D-4670-4E4A-AE86-5122860F105C}"/>
    <cellStyle name="20% - Accent2 31 6 2 4 2" xfId="2664" xr:uid="{477B5894-B5D4-49BA-BFA8-3565587AA6B7}"/>
    <cellStyle name="20% - Accent2 31 6 2 5" xfId="2665" xr:uid="{6F23C00C-8167-4D66-82D1-8D2F92319F49}"/>
    <cellStyle name="20% - Accent2 31 6 3" xfId="2666" xr:uid="{4F6EF495-A794-4815-B8BB-550581414CBA}"/>
    <cellStyle name="20% - Accent2 31 6 3 2" xfId="2667" xr:uid="{274E904B-A364-44DC-930B-DA41BF935A05}"/>
    <cellStyle name="20% - Accent2 31 6 3 2 2" xfId="2668" xr:uid="{8EA28A0A-98CE-4096-BF05-730C201C5063}"/>
    <cellStyle name="20% - Accent2 31 6 3 3" xfId="2669" xr:uid="{639F8AB6-75D4-4863-8722-6E69AFCE7E30}"/>
    <cellStyle name="20% - Accent2 31 6 4" xfId="2670" xr:uid="{380FC528-033A-408B-B7D6-4DC4F931D474}"/>
    <cellStyle name="20% - Accent2 31 6 4 2" xfId="2671" xr:uid="{FFC6D51E-5C5E-4722-9561-FFDDB1C1E157}"/>
    <cellStyle name="20% - Accent2 31 6 4 2 2" xfId="2672" xr:uid="{A8409FB0-A4A9-4E32-8B15-ED6EE41F6C4B}"/>
    <cellStyle name="20% - Accent2 31 6 4 3" xfId="2673" xr:uid="{6C673191-7DB8-4D0A-841B-A41D6068E683}"/>
    <cellStyle name="20% - Accent2 31 6 5" xfId="2674" xr:uid="{86AF750D-52D5-4EDB-8695-0AB95B563A59}"/>
    <cellStyle name="20% - Accent2 31 6 5 2" xfId="2675" xr:uid="{9CB76491-3A5B-4A1D-8C07-36C0FB4E75AC}"/>
    <cellStyle name="20% - Accent2 31 6 6" xfId="2676" xr:uid="{3DFFF0BD-E086-4090-BAC2-768BFA9C78F5}"/>
    <cellStyle name="20% - Accent2 31 7" xfId="2677" xr:uid="{B9A37080-ACA1-448B-9507-9467D80E41C5}"/>
    <cellStyle name="20% - Accent2 31 7 2" xfId="2678" xr:uid="{6A12EF95-6719-44CC-BFAB-7A8071F18DFA}"/>
    <cellStyle name="20% - Accent2 31 7 2 2" xfId="2679" xr:uid="{E8940355-4316-498B-A49A-9D9CCF2F208B}"/>
    <cellStyle name="20% - Accent2 31 7 2 2 2" xfId="2680" xr:uid="{3D922054-F6A7-4DFC-A271-546F96812CAD}"/>
    <cellStyle name="20% - Accent2 31 7 2 2 2 2" xfId="2681" xr:uid="{06B7A1A1-7367-462F-927E-791B846DE8AD}"/>
    <cellStyle name="20% - Accent2 31 7 2 2 3" xfId="2682" xr:uid="{EC6EB186-F9CF-4B21-B2C5-F44CFE9500B6}"/>
    <cellStyle name="20% - Accent2 31 7 2 3" xfId="2683" xr:uid="{58B44704-3D53-44C2-AFCB-20CF5CECF786}"/>
    <cellStyle name="20% - Accent2 31 7 2 3 2" xfId="2684" xr:uid="{8C3B9CE2-097B-4FE7-BE8E-4F3B6AD4AC4F}"/>
    <cellStyle name="20% - Accent2 31 7 2 3 2 2" xfId="2685" xr:uid="{20C010DD-9FE0-460D-9997-CE5A6F806421}"/>
    <cellStyle name="20% - Accent2 31 7 2 3 3" xfId="2686" xr:uid="{B6E424A3-C474-4D5C-B986-454A38E3363B}"/>
    <cellStyle name="20% - Accent2 31 7 2 4" xfId="2687" xr:uid="{611267AC-B066-45F1-94BA-E7A0DB74FB0C}"/>
    <cellStyle name="20% - Accent2 31 7 2 4 2" xfId="2688" xr:uid="{414B18AD-7D58-4AA9-99F9-6F235A9EFBF8}"/>
    <cellStyle name="20% - Accent2 31 7 2 5" xfId="2689" xr:uid="{7B89142B-7AFD-4059-A8C2-DF1C4993FC55}"/>
    <cellStyle name="20% - Accent2 31 7 3" xfId="2690" xr:uid="{75132EB4-74E7-48CB-ABBD-75715A4B8092}"/>
    <cellStyle name="20% - Accent2 31 7 3 2" xfId="2691" xr:uid="{D63044DE-AC6A-4F94-A2FD-2A10E4F61A4E}"/>
    <cellStyle name="20% - Accent2 31 7 3 2 2" xfId="2692" xr:uid="{DF3125B1-E6D3-44AB-A34E-E7360BA0C8E6}"/>
    <cellStyle name="20% - Accent2 31 7 3 3" xfId="2693" xr:uid="{5E1DF197-F4D5-43FD-8C0E-23393B812B2E}"/>
    <cellStyle name="20% - Accent2 31 7 4" xfId="2694" xr:uid="{CB15E984-F7CF-4C51-95F3-5C55202AAEBC}"/>
    <cellStyle name="20% - Accent2 31 7 4 2" xfId="2695" xr:uid="{1E668A1A-C45D-4F8B-8166-C5806FE5401B}"/>
    <cellStyle name="20% - Accent2 31 7 4 2 2" xfId="2696" xr:uid="{43D5F453-7850-4547-B8CF-9402C33C1B28}"/>
    <cellStyle name="20% - Accent2 31 7 4 3" xfId="2697" xr:uid="{A2526E56-9F39-4EB4-B0F5-1BBF0A3F3CD9}"/>
    <cellStyle name="20% - Accent2 31 7 5" xfId="2698" xr:uid="{291AD52E-7304-49AD-AB07-845E90876944}"/>
    <cellStyle name="20% - Accent2 31 7 5 2" xfId="2699" xr:uid="{FBAD07E9-B624-42F3-BF41-7CD68ED6E7C6}"/>
    <cellStyle name="20% - Accent2 31 7 6" xfId="2700" xr:uid="{51764156-8C71-44C0-A2AD-A2D4FBC2EE1F}"/>
    <cellStyle name="20% - Accent2 31 8" xfId="2701" xr:uid="{790022A4-59C1-4DA9-974A-AD3716900C9D}"/>
    <cellStyle name="20% - Accent2 31 8 2" xfId="2702" xr:uid="{D5AFB3C6-172F-43EA-830C-EE9BB92F917B}"/>
    <cellStyle name="20% - Accent2 31 8 2 2" xfId="2703" xr:uid="{7874C147-3C9F-4F5A-8C8A-D4C560A6BEEE}"/>
    <cellStyle name="20% - Accent2 31 8 2 2 2" xfId="2704" xr:uid="{5225CEE6-039D-4066-8C8C-D46BB92924BA}"/>
    <cellStyle name="20% - Accent2 31 8 2 2 2 2" xfId="2705" xr:uid="{569969B9-44D7-4066-B563-931004B9EE7C}"/>
    <cellStyle name="20% - Accent2 31 8 2 2 3" xfId="2706" xr:uid="{029F476B-6891-4217-8E5B-8AAC915A3939}"/>
    <cellStyle name="20% - Accent2 31 8 2 3" xfId="2707" xr:uid="{3976926C-D06B-4668-83A1-1A10C7A23197}"/>
    <cellStyle name="20% - Accent2 31 8 2 3 2" xfId="2708" xr:uid="{FF0D8C7B-17C6-44B5-9D9E-29EAC9062BA4}"/>
    <cellStyle name="20% - Accent2 31 8 2 3 2 2" xfId="2709" xr:uid="{152B8B05-C7BE-47FA-B2A4-DF200A470613}"/>
    <cellStyle name="20% - Accent2 31 8 2 3 3" xfId="2710" xr:uid="{9AA4011E-36DE-4473-9EE3-32F90348EAB8}"/>
    <cellStyle name="20% - Accent2 31 8 2 4" xfId="2711" xr:uid="{E96BF3CF-45D0-4066-8ECC-47F97FF780FA}"/>
    <cellStyle name="20% - Accent2 31 8 2 4 2" xfId="2712" xr:uid="{0B754CFB-3158-440C-8641-2C2A096CBF53}"/>
    <cellStyle name="20% - Accent2 31 8 2 5" xfId="2713" xr:uid="{745A7BD0-523E-4C5E-BF18-808B01474637}"/>
    <cellStyle name="20% - Accent2 31 8 3" xfId="2714" xr:uid="{7E27258A-DAB7-45D3-9D0C-F14E70917682}"/>
    <cellStyle name="20% - Accent2 31 8 3 2" xfId="2715" xr:uid="{B6680034-1BBE-4FA2-A317-E935FB09FB94}"/>
    <cellStyle name="20% - Accent2 31 8 3 2 2" xfId="2716" xr:uid="{974B5877-4E4B-4787-AB9F-09FB49601A2C}"/>
    <cellStyle name="20% - Accent2 31 8 3 3" xfId="2717" xr:uid="{9A1464E0-895A-489D-A6BA-EFA4C0FF932C}"/>
    <cellStyle name="20% - Accent2 31 8 4" xfId="2718" xr:uid="{09D32835-979B-479D-80EE-C8182C35586C}"/>
    <cellStyle name="20% - Accent2 31 8 4 2" xfId="2719" xr:uid="{148E0048-FB5E-451D-8EF5-C979099DE000}"/>
    <cellStyle name="20% - Accent2 31 8 4 2 2" xfId="2720" xr:uid="{F89BF176-E8D8-4A40-B490-E1166A53D53C}"/>
    <cellStyle name="20% - Accent2 31 8 4 3" xfId="2721" xr:uid="{DD025B5E-D3C1-4E55-A9B9-B9FDEEC65163}"/>
    <cellStyle name="20% - Accent2 31 8 5" xfId="2722" xr:uid="{5810C2AF-B728-43C8-AE68-B311A67A2ABF}"/>
    <cellStyle name="20% - Accent2 31 8 5 2" xfId="2723" xr:uid="{139C5536-A1F1-4A5A-B213-4D6F94668A19}"/>
    <cellStyle name="20% - Accent2 31 8 6" xfId="2724" xr:uid="{EE01EB24-C8E1-4144-874E-553D90C95E8D}"/>
    <cellStyle name="20% - Accent2 31 9" xfId="2725" xr:uid="{01B04C63-6D26-404F-BE4B-B31D11845FDD}"/>
    <cellStyle name="20% - Accent2 31 9 2" xfId="2726" xr:uid="{0058E1F5-92B3-460C-ADA6-F66B3FD9C196}"/>
    <cellStyle name="20% - Accent2 31 9 2 2" xfId="2727" xr:uid="{390F5D5A-6DF0-44F1-9657-95E954565B47}"/>
    <cellStyle name="20% - Accent2 31 9 2 2 2" xfId="2728" xr:uid="{CB1C695D-A1E1-460E-A753-B4734EB9AE99}"/>
    <cellStyle name="20% - Accent2 31 9 2 2 2 2" xfId="2729" xr:uid="{7A7D7BE1-15B4-4A3B-BB55-14E3EA333EB5}"/>
    <cellStyle name="20% - Accent2 31 9 2 2 3" xfId="2730" xr:uid="{B4F6BF2F-687E-4432-9986-AB8B7F721EA3}"/>
    <cellStyle name="20% - Accent2 31 9 2 3" xfId="2731" xr:uid="{FF988DE6-ADD8-48C0-B1CE-834B3D8642C3}"/>
    <cellStyle name="20% - Accent2 31 9 2 3 2" xfId="2732" xr:uid="{3B2369CA-A446-4EB3-AC3B-D583965C2FAE}"/>
    <cellStyle name="20% - Accent2 31 9 2 3 2 2" xfId="2733" xr:uid="{119A20D5-7005-4354-939D-E7FB8BA78434}"/>
    <cellStyle name="20% - Accent2 31 9 2 3 3" xfId="2734" xr:uid="{62B0EA82-D018-484B-8F34-F2065A98A642}"/>
    <cellStyle name="20% - Accent2 31 9 2 4" xfId="2735" xr:uid="{34DFCABD-87E8-40A3-A76D-66340B44583B}"/>
    <cellStyle name="20% - Accent2 31 9 2 4 2" xfId="2736" xr:uid="{8AA4DE04-CF36-4DF3-91BA-356E7C8FB51A}"/>
    <cellStyle name="20% - Accent2 31 9 2 5" xfId="2737" xr:uid="{1B4A2A82-ED76-405F-81B0-B58F04D831A8}"/>
    <cellStyle name="20% - Accent2 31 9 3" xfId="2738" xr:uid="{6502AD08-AD07-4A65-97E9-8E5703A93C11}"/>
    <cellStyle name="20% - Accent2 31 9 3 2" xfId="2739" xr:uid="{F9CE4521-4A43-412E-A1EA-019590017387}"/>
    <cellStyle name="20% - Accent2 31 9 3 2 2" xfId="2740" xr:uid="{D1892E9D-3F65-4384-AB4F-DC4F1241DE78}"/>
    <cellStyle name="20% - Accent2 31 9 3 3" xfId="2741" xr:uid="{7B438B3F-329D-4658-A1C0-7454D9DDF870}"/>
    <cellStyle name="20% - Accent2 31 9 4" xfId="2742" xr:uid="{1845F31C-F665-4B61-ADB3-AC2568A36BF3}"/>
    <cellStyle name="20% - Accent2 31 9 4 2" xfId="2743" xr:uid="{37F81458-6E73-49C9-AC29-B668FDF5F501}"/>
    <cellStyle name="20% - Accent2 31 9 4 2 2" xfId="2744" xr:uid="{B4EB1AE8-FC2B-4ED0-8148-3AADCFF1B493}"/>
    <cellStyle name="20% - Accent2 31 9 4 3" xfId="2745" xr:uid="{DB708CDA-6EA0-4C06-BEF7-51C867CDFFB8}"/>
    <cellStyle name="20% - Accent2 31 9 5" xfId="2746" xr:uid="{45C53D9E-81CE-44C5-A708-8A135A643ABC}"/>
    <cellStyle name="20% - Accent2 31 9 5 2" xfId="2747" xr:uid="{681CFFFF-D9EB-4A63-A5FD-A9858CCB2A64}"/>
    <cellStyle name="20% - Accent2 31 9 6" xfId="2748" xr:uid="{057BA147-2560-40C6-A520-7931E1D9F8A3}"/>
    <cellStyle name="20% - Accent2 32" xfId="2749" xr:uid="{97032E67-78D3-4704-97B6-F82F24DFE552}"/>
    <cellStyle name="20% - Accent2 32 2" xfId="2750" xr:uid="{39664FD2-DDC9-4320-AEA6-4DADC2FAF7DE}"/>
    <cellStyle name="20% - Accent2 32 2 2" xfId="2751" xr:uid="{CAD27191-51A8-4CA6-B5FD-42F5CC3D2C86}"/>
    <cellStyle name="20% - Accent2 32 2 2 2" xfId="2752" xr:uid="{33369ED0-E2E1-4541-B4E4-A6A9A7E2D165}"/>
    <cellStyle name="20% - Accent2 32 2 2 2 2" xfId="2753" xr:uid="{7202A268-719C-4ED2-96C5-DAADBE135DA8}"/>
    <cellStyle name="20% - Accent2 32 2 2 3" xfId="2754" xr:uid="{21A59437-DB46-425D-B6A4-5998202EF880}"/>
    <cellStyle name="20% - Accent2 32 2 3" xfId="2755" xr:uid="{2B403ABF-19B7-4FCD-9E4A-53A3072EC6E9}"/>
    <cellStyle name="20% - Accent2 32 2 3 2" xfId="2756" xr:uid="{CF30FBE2-AD00-44DE-BA86-C92172391CB7}"/>
    <cellStyle name="20% - Accent2 32 2 3 2 2" xfId="2757" xr:uid="{3B2F0C9E-48F7-4F0D-A7E7-AE90862ADFE3}"/>
    <cellStyle name="20% - Accent2 32 2 3 3" xfId="2758" xr:uid="{5E89C921-80B3-44C7-B7A2-5AEDC064FCA8}"/>
    <cellStyle name="20% - Accent2 32 2 4" xfId="2759" xr:uid="{C71A851E-6C35-495C-9A09-954772565184}"/>
    <cellStyle name="20% - Accent2 32 2 4 2" xfId="2760" xr:uid="{7EAF681F-A8C6-4128-A7CF-791AB04F4A50}"/>
    <cellStyle name="20% - Accent2 32 2 5" xfId="2761" xr:uid="{8686125F-755E-4414-8A9C-2FDCEB5A9853}"/>
    <cellStyle name="20% - Accent2 32 3" xfId="2762" xr:uid="{94D147BA-584C-45D6-9938-FD6E944D2779}"/>
    <cellStyle name="20% - Accent2 32 3 2" xfId="2763" xr:uid="{E456A28B-E66F-4602-B859-0A050AC9623E}"/>
    <cellStyle name="20% - Accent2 32 3 2 2" xfId="2764" xr:uid="{BE120000-52AD-419A-A392-EDE9C8E46FD7}"/>
    <cellStyle name="20% - Accent2 32 3 3" xfId="2765" xr:uid="{AA353D34-B441-405D-9B4C-F6CE201625B7}"/>
    <cellStyle name="20% - Accent2 32 4" xfId="2766" xr:uid="{97DE896E-6B78-4D1C-A772-E10B4D98DB28}"/>
    <cellStyle name="20% - Accent2 32 4 2" xfId="2767" xr:uid="{D5CDB1E4-CE1B-4A07-B74F-DCF794E6E48B}"/>
    <cellStyle name="20% - Accent2 32 4 2 2" xfId="2768" xr:uid="{E5D5D871-7E8F-4783-8E4C-B2642285F567}"/>
    <cellStyle name="20% - Accent2 32 4 3" xfId="2769" xr:uid="{23F75CCF-D364-4FF7-9D15-CB8F860F8776}"/>
    <cellStyle name="20% - Accent2 32 5" xfId="2770" xr:uid="{7F30E43B-1723-4B5C-ACE7-D7A5BCA84D27}"/>
    <cellStyle name="20% - Accent2 32 5 2" xfId="2771" xr:uid="{5614999A-6780-4C2A-AB64-5199FDFF70A4}"/>
    <cellStyle name="20% - Accent2 32 6" xfId="2772" xr:uid="{98A49F2D-2D63-4A95-9B3E-C594A73578EF}"/>
    <cellStyle name="20% - Accent2 32 7" xfId="35780" xr:uid="{7C5576E2-2083-40F2-AC53-8F23BC14D19A}"/>
    <cellStyle name="20% - Accent2 33" xfId="2773" xr:uid="{7C836D0B-5E27-476D-B9E1-A9B051196F6E}"/>
    <cellStyle name="20% - Accent2 33 2" xfId="2774" xr:uid="{B6B032A2-9368-4DDF-8847-BC832BCB2A9D}"/>
    <cellStyle name="20% - Accent2 33 2 2" xfId="2775" xr:uid="{0353DBD2-57F1-45DC-A38C-B6655F4D4E44}"/>
    <cellStyle name="20% - Accent2 33 2 2 2" xfId="2776" xr:uid="{E3E431C5-66BC-4F82-80CC-F416F62FBC5C}"/>
    <cellStyle name="20% - Accent2 33 2 2 2 2" xfId="2777" xr:uid="{1841EB53-9E53-49B6-B28C-72EEBBCB55BD}"/>
    <cellStyle name="20% - Accent2 33 2 2 3" xfId="2778" xr:uid="{A267A39B-5C1A-4080-B664-D3A31CFFA5D5}"/>
    <cellStyle name="20% - Accent2 33 2 3" xfId="2779" xr:uid="{2E8C7E52-D0E0-41DD-B3A6-82122A734D00}"/>
    <cellStyle name="20% - Accent2 33 2 3 2" xfId="2780" xr:uid="{7A8E0A2D-2268-487B-B02F-B664A9211800}"/>
    <cellStyle name="20% - Accent2 33 2 3 2 2" xfId="2781" xr:uid="{468417D1-DA1E-4866-B8E6-88B2A288AE8E}"/>
    <cellStyle name="20% - Accent2 33 2 3 3" xfId="2782" xr:uid="{E8EC74F6-BF40-4EFC-B605-E9C81BA99B56}"/>
    <cellStyle name="20% - Accent2 33 2 4" xfId="2783" xr:uid="{D7C5AC6E-09F8-4EE7-91FA-6E94D1AEF115}"/>
    <cellStyle name="20% - Accent2 33 2 4 2" xfId="2784" xr:uid="{2C6211E1-3918-4212-B67F-40EA50D8BD77}"/>
    <cellStyle name="20% - Accent2 33 2 5" xfId="2785" xr:uid="{D05E8110-E550-4615-9559-4BA75CD6C5DC}"/>
    <cellStyle name="20% - Accent2 33 3" xfId="2786" xr:uid="{977BCFE8-BA4F-4362-9765-3613BC3F50A0}"/>
    <cellStyle name="20% - Accent2 33 3 2" xfId="2787" xr:uid="{9CCAA5BF-394C-459B-B90D-45FC0D786CA5}"/>
    <cellStyle name="20% - Accent2 33 3 2 2" xfId="2788" xr:uid="{53D873BE-7E93-4A53-AE9E-7E08FBB5C1DC}"/>
    <cellStyle name="20% - Accent2 33 3 3" xfId="2789" xr:uid="{55A165B8-DD53-4F57-83B7-DB6950A51329}"/>
    <cellStyle name="20% - Accent2 33 4" xfId="2790" xr:uid="{9B5B8105-1DF8-4F52-B39B-E801BE864607}"/>
    <cellStyle name="20% - Accent2 33 4 2" xfId="2791" xr:uid="{1D86A1B4-5035-4382-8C8A-272A209BE5C8}"/>
    <cellStyle name="20% - Accent2 33 4 2 2" xfId="2792" xr:uid="{DC2FA697-F588-437A-8D62-D54051CBBA75}"/>
    <cellStyle name="20% - Accent2 33 4 3" xfId="2793" xr:uid="{07A379ED-531E-497C-80C2-53C2AB21EEA1}"/>
    <cellStyle name="20% - Accent2 33 5" xfId="2794" xr:uid="{B7379914-2122-4764-A780-1157A8ED469C}"/>
    <cellStyle name="20% - Accent2 33 5 2" xfId="2795" xr:uid="{D4ADC9F5-B0DF-4366-8A50-B19D1357A2E4}"/>
    <cellStyle name="20% - Accent2 33 6" xfId="35781" xr:uid="{AACCE593-07A3-46B9-B6D3-0B6E01540C2B}"/>
    <cellStyle name="20% - Accent2 34" xfId="2796" xr:uid="{3AF6C0AA-5A1A-48FA-A6FB-BD5E25944764}"/>
    <cellStyle name="20% - Accent2 34 2" xfId="2797" xr:uid="{8E4CC37F-BABE-4F2F-BA1A-CD908EA6A72C}"/>
    <cellStyle name="20% - Accent2 34 2 2" xfId="2798" xr:uid="{7FEDCBB2-D58B-48D3-A909-233BF629683A}"/>
    <cellStyle name="20% - Accent2 34 2 2 2" xfId="2799" xr:uid="{54C440D1-CFB3-4CD3-B78E-CF59CD800801}"/>
    <cellStyle name="20% - Accent2 34 2 2 2 2" xfId="2800" xr:uid="{325C5556-E646-4B51-9283-6494A4DC90E2}"/>
    <cellStyle name="20% - Accent2 34 2 2 3" xfId="2801" xr:uid="{6C49AE8F-61E2-4302-B9EF-3C96F0834253}"/>
    <cellStyle name="20% - Accent2 34 2 3" xfId="2802" xr:uid="{8092BB23-92D4-43CB-9484-8BEA9CF36008}"/>
    <cellStyle name="20% - Accent2 34 2 3 2" xfId="2803" xr:uid="{3B730B35-5A7A-406D-917A-1538F3C9E5ED}"/>
    <cellStyle name="20% - Accent2 34 2 3 2 2" xfId="2804" xr:uid="{8E06154C-130D-4034-8EA9-F163D2D03516}"/>
    <cellStyle name="20% - Accent2 34 2 3 3" xfId="2805" xr:uid="{8069AEAD-DCD0-461D-A0B1-5C85E96C650D}"/>
    <cellStyle name="20% - Accent2 34 2 4" xfId="2806" xr:uid="{50522461-ED8E-4EAD-9220-601C2B747334}"/>
    <cellStyle name="20% - Accent2 34 2 4 2" xfId="2807" xr:uid="{0793CB88-A3DB-4554-ACC3-36B132A7E118}"/>
    <cellStyle name="20% - Accent2 34 2 5" xfId="2808" xr:uid="{F7A4AA91-417E-491A-A455-E86993B6CAF7}"/>
    <cellStyle name="20% - Accent2 34 3" xfId="2809" xr:uid="{BD87B3D0-53C2-450F-BE0A-AD5821DE8D8E}"/>
    <cellStyle name="20% - Accent2 34 3 2" xfId="2810" xr:uid="{32F48782-E920-4CAB-A75A-6B581D6C1349}"/>
    <cellStyle name="20% - Accent2 34 3 2 2" xfId="2811" xr:uid="{5ED1A483-96E0-44CE-BD52-59E1586B065C}"/>
    <cellStyle name="20% - Accent2 34 3 3" xfId="2812" xr:uid="{32702788-7660-4463-82B1-A8234A0641D1}"/>
    <cellStyle name="20% - Accent2 34 4" xfId="2813" xr:uid="{2770536F-1C2C-4592-8816-23905A346466}"/>
    <cellStyle name="20% - Accent2 34 4 2" xfId="2814" xr:uid="{0A80E0BB-10CD-47F3-8C6F-E9CA5FC7AD84}"/>
    <cellStyle name="20% - Accent2 34 4 2 2" xfId="2815" xr:uid="{32BEBB55-7A52-46C0-B4F8-E58DDCF9DFB8}"/>
    <cellStyle name="20% - Accent2 34 4 3" xfId="2816" xr:uid="{D6232AFB-3E11-4B2E-9F9D-C9F86AD5329B}"/>
    <cellStyle name="20% - Accent2 34 5" xfId="2817" xr:uid="{33511601-6DE0-4EEF-9E82-764DDDD6E5BC}"/>
    <cellStyle name="20% - Accent2 34 5 2" xfId="2818" xr:uid="{DAB289E6-1AD1-43BF-B8B4-E78F9D4588D9}"/>
    <cellStyle name="20% - Accent2 34 6" xfId="35782" xr:uid="{0A1D59C6-09BD-4AEF-B58C-7FB5544104A8}"/>
    <cellStyle name="20% - Accent2 35" xfId="2819" xr:uid="{B9C5D852-D0A4-4D42-81B0-F1F2F5B41CE3}"/>
    <cellStyle name="20% - Accent2 35 2" xfId="2820" xr:uid="{7F21AFCB-A774-4221-9B29-40CE629C3C26}"/>
    <cellStyle name="20% - Accent2 35 2 2" xfId="2821" xr:uid="{5C10E192-F1EB-4480-989D-383BEA56EFE6}"/>
    <cellStyle name="20% - Accent2 35 2 2 2" xfId="2822" xr:uid="{FB7AEA53-B031-4DBD-BF6F-B7DA5E5DCBED}"/>
    <cellStyle name="20% - Accent2 35 2 2 2 2" xfId="2823" xr:uid="{2574F905-4B2D-4D71-BEA7-1B66B59B8C13}"/>
    <cellStyle name="20% - Accent2 35 2 2 3" xfId="2824" xr:uid="{CFB4D1E5-D7FF-49B9-927E-77C942E99512}"/>
    <cellStyle name="20% - Accent2 35 2 3" xfId="2825" xr:uid="{D5F41B74-B095-48F0-96B3-B9313E6020B1}"/>
    <cellStyle name="20% - Accent2 35 2 3 2" xfId="2826" xr:uid="{386296BF-A370-4738-AE69-91ADE9BF98A4}"/>
    <cellStyle name="20% - Accent2 35 2 3 2 2" xfId="2827" xr:uid="{EBF98D34-7262-48A6-A96D-26DFB29949E5}"/>
    <cellStyle name="20% - Accent2 35 2 3 3" xfId="2828" xr:uid="{A66403AB-7C42-4AFF-A598-66473D0BA185}"/>
    <cellStyle name="20% - Accent2 35 2 4" xfId="2829" xr:uid="{FCB02A5D-8EA1-4004-9A77-4C02BC3A4CAE}"/>
    <cellStyle name="20% - Accent2 35 2 4 2" xfId="2830" xr:uid="{8F86FB5F-8EC5-432E-AD5B-4A4BB475F6B7}"/>
    <cellStyle name="20% - Accent2 35 2 5" xfId="2831" xr:uid="{552FDB71-8E24-4F7B-8A51-2C9B0E9CA451}"/>
    <cellStyle name="20% - Accent2 35 3" xfId="2832" xr:uid="{A87ADDAD-A730-4ACA-B679-D1BEFB2A1B2B}"/>
    <cellStyle name="20% - Accent2 35 3 2" xfId="2833" xr:uid="{6E13BA81-AD29-4079-A247-3D8858F75C89}"/>
    <cellStyle name="20% - Accent2 35 3 2 2" xfId="2834" xr:uid="{62C9F78E-F870-4A63-91BC-E6314BC2A88A}"/>
    <cellStyle name="20% - Accent2 35 3 3" xfId="2835" xr:uid="{B970F6F1-61B3-4C79-9F48-BC143113EBF8}"/>
    <cellStyle name="20% - Accent2 35 4" xfId="2836" xr:uid="{DE6C98EA-2798-4F11-89E7-6469D861E7C5}"/>
    <cellStyle name="20% - Accent2 35 4 2" xfId="2837" xr:uid="{40E824BC-9814-4A05-B8C8-EFF610CD425E}"/>
    <cellStyle name="20% - Accent2 35 4 2 2" xfId="2838" xr:uid="{0D531759-7597-486D-A8DC-3A7827C7CADC}"/>
    <cellStyle name="20% - Accent2 35 4 3" xfId="2839" xr:uid="{BF45C00B-0C89-4395-B755-3AB7605E9173}"/>
    <cellStyle name="20% - Accent2 35 5" xfId="2840" xr:uid="{559DD9EA-27FD-40AB-A855-EAD83EE791F2}"/>
    <cellStyle name="20% - Accent2 35 5 2" xfId="2841" xr:uid="{0F319522-3096-4366-BC81-EFA95307ECD3}"/>
    <cellStyle name="20% - Accent2 35 6" xfId="35783" xr:uid="{DB97973B-C526-4313-A267-AA6BA06645BA}"/>
    <cellStyle name="20% - Accent2 36" xfId="2842" xr:uid="{16E5117F-BB18-4105-BC00-33E60230C2EA}"/>
    <cellStyle name="20% - Accent2 36 2" xfId="2843" xr:uid="{2C015CFB-47E4-4644-86C5-5610F76DCD62}"/>
    <cellStyle name="20% - Accent2 36 2 2" xfId="2844" xr:uid="{FC9EF02D-CE1F-4A9A-B1D8-0A611F8E479E}"/>
    <cellStyle name="20% - Accent2 36 2 2 2" xfId="2845" xr:uid="{794340C3-B162-4C0B-9BFD-462CF7F4C4CF}"/>
    <cellStyle name="20% - Accent2 36 2 2 2 2" xfId="2846" xr:uid="{CDA9BD28-C982-4D5A-B36A-2FE2553532B0}"/>
    <cellStyle name="20% - Accent2 36 2 2 3" xfId="2847" xr:uid="{CECA328F-367F-47A2-9CE0-6DB4283B92D5}"/>
    <cellStyle name="20% - Accent2 36 2 3" xfId="2848" xr:uid="{5EA62CA1-AD9C-4039-ABB2-743CBBE201E4}"/>
    <cellStyle name="20% - Accent2 36 2 3 2" xfId="2849" xr:uid="{5714CBBC-494B-4D60-9C11-DE7A28893052}"/>
    <cellStyle name="20% - Accent2 36 2 3 2 2" xfId="2850" xr:uid="{1DC2ADCC-5C5D-4F24-B315-27B337CA8D33}"/>
    <cellStyle name="20% - Accent2 36 2 3 3" xfId="2851" xr:uid="{21F0EAFC-12D5-4F93-8E68-CD97921F3BBF}"/>
    <cellStyle name="20% - Accent2 36 2 4" xfId="2852" xr:uid="{46004691-05CE-4F1C-9C4F-0CCE28F5AF40}"/>
    <cellStyle name="20% - Accent2 36 2 4 2" xfId="2853" xr:uid="{74959594-6FE5-4A3A-A7D9-365D5E1F723C}"/>
    <cellStyle name="20% - Accent2 36 2 5" xfId="2854" xr:uid="{305DBD51-AB95-441E-81FC-CED83AF95915}"/>
    <cellStyle name="20% - Accent2 36 3" xfId="2855" xr:uid="{CD359FE8-935C-44E4-9EC5-E97EA679B523}"/>
    <cellStyle name="20% - Accent2 36 3 2" xfId="2856" xr:uid="{64AACCA6-B5E9-4B33-9FA6-5A1F560582AA}"/>
    <cellStyle name="20% - Accent2 36 3 2 2" xfId="2857" xr:uid="{F0E36999-5026-4F87-9C1A-6E428AAE6BBD}"/>
    <cellStyle name="20% - Accent2 36 3 3" xfId="2858" xr:uid="{5D336B5C-60D6-4390-96C2-24B4184F1E60}"/>
    <cellStyle name="20% - Accent2 36 4" xfId="2859" xr:uid="{6C36FE1E-C929-4FEE-A8F2-FC1EFA307D21}"/>
    <cellStyle name="20% - Accent2 36 4 2" xfId="2860" xr:uid="{B7C35A8D-CC7B-4CC6-8646-C91F6D1CB2A4}"/>
    <cellStyle name="20% - Accent2 36 4 2 2" xfId="2861" xr:uid="{C7BB9275-8911-4B16-976D-06E42188C432}"/>
    <cellStyle name="20% - Accent2 36 4 3" xfId="2862" xr:uid="{445404EA-2071-4B1A-AC81-E1B8976FF86F}"/>
    <cellStyle name="20% - Accent2 36 5" xfId="2863" xr:uid="{D0F7EE08-F6E6-49F4-9762-E543F89DB345}"/>
    <cellStyle name="20% - Accent2 36 5 2" xfId="2864" xr:uid="{8E7CDAEF-F906-4897-9D9D-E8AFE59EAE0C}"/>
    <cellStyle name="20% - Accent2 36 6" xfId="35784" xr:uid="{CB4D88AA-3BD9-44F9-85DD-90EF0D76D54A}"/>
    <cellStyle name="20% - Accent2 37" xfId="2865" xr:uid="{A386D93B-3352-4221-BE74-09A887B00E04}"/>
    <cellStyle name="20% - Accent2 37 2" xfId="2866" xr:uid="{BC00BB45-0216-4936-8385-8D534D25B795}"/>
    <cellStyle name="20% - Accent2 37 2 2" xfId="2867" xr:uid="{4F552383-1819-4E17-A53F-2ACBEA372A8A}"/>
    <cellStyle name="20% - Accent2 37 2 2 2" xfId="2868" xr:uid="{45FA2C7D-07F4-4B50-9ED6-656AFA44A074}"/>
    <cellStyle name="20% - Accent2 37 2 2 2 2" xfId="2869" xr:uid="{AEB70426-5BCA-47AF-B325-5CE9E6F01553}"/>
    <cellStyle name="20% - Accent2 37 2 2 3" xfId="2870" xr:uid="{343D094E-A57B-4BEA-975D-EC9E659309A0}"/>
    <cellStyle name="20% - Accent2 37 2 3" xfId="2871" xr:uid="{7122285F-4289-4824-A3A0-02C12C2D499E}"/>
    <cellStyle name="20% - Accent2 37 2 3 2" xfId="2872" xr:uid="{697EFE87-45EC-4125-AB49-8C0F5B41F76A}"/>
    <cellStyle name="20% - Accent2 37 2 3 2 2" xfId="2873" xr:uid="{895E8B17-63E0-4073-8436-72B83AFFECE7}"/>
    <cellStyle name="20% - Accent2 37 2 3 3" xfId="2874" xr:uid="{F9F804DB-29DD-4EA2-AE97-A4F4A68756E1}"/>
    <cellStyle name="20% - Accent2 37 2 4" xfId="2875" xr:uid="{AD9707BE-111D-433C-BBD9-14F0D301AA47}"/>
    <cellStyle name="20% - Accent2 37 2 4 2" xfId="2876" xr:uid="{1FC93AB9-64F6-49A5-A072-07ACEF2DF10F}"/>
    <cellStyle name="20% - Accent2 37 2 5" xfId="2877" xr:uid="{FAE5A381-FD1E-4C5D-B0D4-AB705DFF3844}"/>
    <cellStyle name="20% - Accent2 37 3" xfId="2878" xr:uid="{83011F2A-2C69-4C07-9369-D881F8272F3D}"/>
    <cellStyle name="20% - Accent2 37 3 2" xfId="2879" xr:uid="{DD5D46FC-2F17-47B6-B376-EAAFE3382E11}"/>
    <cellStyle name="20% - Accent2 37 3 2 2" xfId="2880" xr:uid="{5F960E29-7422-4472-8385-BDA27346E580}"/>
    <cellStyle name="20% - Accent2 37 3 3" xfId="2881" xr:uid="{C0EF8FE6-A94F-42ED-89BA-EFCF8F14C78D}"/>
    <cellStyle name="20% - Accent2 37 4" xfId="2882" xr:uid="{C55D0DE4-FC70-49B0-AD2F-7574CBA56C5A}"/>
    <cellStyle name="20% - Accent2 37 4 2" xfId="2883" xr:uid="{A227E28E-CD32-483C-88CE-782282BB12C1}"/>
    <cellStyle name="20% - Accent2 37 4 2 2" xfId="2884" xr:uid="{FA4E7FAA-2628-434E-9FB3-499B130F740B}"/>
    <cellStyle name="20% - Accent2 37 4 3" xfId="2885" xr:uid="{B5E8A809-1C37-49FE-BA7A-491D32516413}"/>
    <cellStyle name="20% - Accent2 37 5" xfId="2886" xr:uid="{F521F10C-991E-45F0-94E2-E0041FF33137}"/>
    <cellStyle name="20% - Accent2 37 5 2" xfId="2887" xr:uid="{3BFBA4FC-058B-431F-B34E-A291C342A88D}"/>
    <cellStyle name="20% - Accent2 37 6" xfId="35785" xr:uid="{2255A8E9-E3A9-41D6-B091-7F9A610CFDB4}"/>
    <cellStyle name="20% - Accent2 38" xfId="2888" xr:uid="{BE2B9002-881F-45EE-9B8E-371D2E234C3E}"/>
    <cellStyle name="20% - Accent2 38 2" xfId="2889" xr:uid="{C38E9684-EFE2-4F48-BFA3-8B56FD0F02C4}"/>
    <cellStyle name="20% - Accent2 38 2 2" xfId="2890" xr:uid="{8C559FF0-0076-4778-BDCC-F1EC9BB76314}"/>
    <cellStyle name="20% - Accent2 38 2 2 2" xfId="2891" xr:uid="{20B2C703-AB6E-4A56-A60E-841CAA0AB33E}"/>
    <cellStyle name="20% - Accent2 38 2 2 2 2" xfId="2892" xr:uid="{3578F614-08FC-4D3E-962A-63340183CBDE}"/>
    <cellStyle name="20% - Accent2 38 2 2 3" xfId="2893" xr:uid="{3C540A14-CF0A-4F2A-A739-A6A45014824D}"/>
    <cellStyle name="20% - Accent2 38 2 3" xfId="2894" xr:uid="{4A57DA31-D9B0-4B26-9D4B-3B25BBF4CF26}"/>
    <cellStyle name="20% - Accent2 38 2 3 2" xfId="2895" xr:uid="{A64EB90E-8AAC-4F2B-BE1D-292D2045DFE7}"/>
    <cellStyle name="20% - Accent2 38 2 3 2 2" xfId="2896" xr:uid="{5499C180-3D59-430E-BF67-FE789D65888D}"/>
    <cellStyle name="20% - Accent2 38 2 3 3" xfId="2897" xr:uid="{9CBD4DBE-FB6C-4634-8BB4-4E3B2375F9F3}"/>
    <cellStyle name="20% - Accent2 38 2 4" xfId="2898" xr:uid="{FB250994-F0C3-4551-ABA8-017733B76FC1}"/>
    <cellStyle name="20% - Accent2 38 2 4 2" xfId="2899" xr:uid="{0BBADF37-6A2F-45FB-91AD-EDEB7C3AA958}"/>
    <cellStyle name="20% - Accent2 38 2 5" xfId="2900" xr:uid="{AA7D648F-2A07-45B2-9057-BE64FBFE31EE}"/>
    <cellStyle name="20% - Accent2 38 3" xfId="2901" xr:uid="{9F0DB33A-7363-4F0E-B1FA-945D9606128E}"/>
    <cellStyle name="20% - Accent2 38 3 2" xfId="2902" xr:uid="{723787A6-9125-40BA-A29F-6650567FE83A}"/>
    <cellStyle name="20% - Accent2 38 3 2 2" xfId="2903" xr:uid="{6B5F1A03-24D8-419B-9613-C87734210B1E}"/>
    <cellStyle name="20% - Accent2 38 3 3" xfId="2904" xr:uid="{9D76B22B-D325-4C4C-B3A2-4AB88F288DD7}"/>
    <cellStyle name="20% - Accent2 38 4" xfId="2905" xr:uid="{3231FAAA-F087-4686-BB64-B5F3C16AF4C9}"/>
    <cellStyle name="20% - Accent2 38 4 2" xfId="2906" xr:uid="{1FC6849E-F890-461F-9A0D-2CE824397506}"/>
    <cellStyle name="20% - Accent2 38 4 2 2" xfId="2907" xr:uid="{A3EDEE63-F11D-41C8-B499-C177BF444756}"/>
    <cellStyle name="20% - Accent2 38 4 3" xfId="2908" xr:uid="{2B1A72FA-AEE1-4FD9-82D9-D6636BC8C5B5}"/>
    <cellStyle name="20% - Accent2 38 5" xfId="2909" xr:uid="{0A062E7C-5770-4174-9B3E-5041E1EE5033}"/>
    <cellStyle name="20% - Accent2 38 5 2" xfId="2910" xr:uid="{DBE5E0AB-0409-4A3D-8D0A-658647C5F594}"/>
    <cellStyle name="20% - Accent2 38 6" xfId="35786" xr:uid="{0954F4F3-6704-49D5-97A3-09A54708D456}"/>
    <cellStyle name="20% - Accent2 39" xfId="2911" xr:uid="{1094127D-01FC-46FE-AE6C-E4C1652927CB}"/>
    <cellStyle name="20% - Accent2 39 2" xfId="2912" xr:uid="{65654D86-2140-4236-9DD5-E3A136AD2280}"/>
    <cellStyle name="20% - Accent2 39 2 2" xfId="2913" xr:uid="{D78F64AE-0259-4B57-8E9F-6F0BAF43886C}"/>
    <cellStyle name="20% - Accent2 39 2 2 2" xfId="2914" xr:uid="{79A22D8C-B3A2-4518-A199-DEDE1B7CCCB8}"/>
    <cellStyle name="20% - Accent2 39 2 2 2 2" xfId="2915" xr:uid="{DC975549-757D-43E9-BDB0-E80D3B9E8CC5}"/>
    <cellStyle name="20% - Accent2 39 2 2 3" xfId="2916" xr:uid="{E32144F4-E1FB-4728-AB12-A0810A37C2F7}"/>
    <cellStyle name="20% - Accent2 39 2 3" xfId="2917" xr:uid="{A384CF8D-69D4-4443-B910-CF4145C3D671}"/>
    <cellStyle name="20% - Accent2 39 2 3 2" xfId="2918" xr:uid="{743A2DCE-66EC-4E5C-AA80-97F951C1BD66}"/>
    <cellStyle name="20% - Accent2 39 2 3 2 2" xfId="2919" xr:uid="{C782D9AC-0788-4354-8232-444BF04CBC26}"/>
    <cellStyle name="20% - Accent2 39 2 3 3" xfId="2920" xr:uid="{F07B56FA-79C1-4E8C-9A78-72E15FE3A4FE}"/>
    <cellStyle name="20% - Accent2 39 2 4" xfId="2921" xr:uid="{E7FB069B-574D-4C54-8B7E-43AD65F0DAAD}"/>
    <cellStyle name="20% - Accent2 39 2 4 2" xfId="2922" xr:uid="{D240C0C3-3596-496F-A360-73CABCA8836F}"/>
    <cellStyle name="20% - Accent2 39 2 5" xfId="2923" xr:uid="{5E027486-6B93-4052-9574-83783FB14C69}"/>
    <cellStyle name="20% - Accent2 39 3" xfId="2924" xr:uid="{7B671FB1-9BEF-44D4-B6F3-42EF8EB34EFF}"/>
    <cellStyle name="20% - Accent2 39 3 2" xfId="2925" xr:uid="{197622B5-231F-4A8E-ADC8-ABC52F717D59}"/>
    <cellStyle name="20% - Accent2 39 3 2 2" xfId="2926" xr:uid="{FAFF5CEC-A5B2-40CF-800F-58255A1A1533}"/>
    <cellStyle name="20% - Accent2 39 3 3" xfId="2927" xr:uid="{00364A15-3A3A-4B59-A14B-7A2D1BA1946B}"/>
    <cellStyle name="20% - Accent2 39 4" xfId="2928" xr:uid="{152F8FA8-A42C-4E33-B5EF-6E60753A789F}"/>
    <cellStyle name="20% - Accent2 39 4 2" xfId="2929" xr:uid="{46D80B3D-ED6C-4A4C-8604-BAF0E55DC9AE}"/>
    <cellStyle name="20% - Accent2 39 4 2 2" xfId="2930" xr:uid="{A6D4E574-B3A2-42B8-AA7B-2D55299AA431}"/>
    <cellStyle name="20% - Accent2 39 4 3" xfId="2931" xr:uid="{D5C3DEDD-002F-461B-84D7-F332F846BD5B}"/>
    <cellStyle name="20% - Accent2 39 5" xfId="2932" xr:uid="{BE5F5952-5B5F-4650-BD78-4D0FCA710F04}"/>
    <cellStyle name="20% - Accent2 39 5 2" xfId="2933" xr:uid="{A9DB87FB-3990-4D3C-A6E2-7AF3427DAAA3}"/>
    <cellStyle name="20% - Accent2 39 6" xfId="35787" xr:uid="{A2100F2B-C351-462C-BD8A-823CDFDC762B}"/>
    <cellStyle name="20% - Accent2 4" xfId="2934" xr:uid="{8D8B41B5-F3DB-4FD1-A375-411FCBB0E2E8}"/>
    <cellStyle name="20% - Accent2 4 2" xfId="2935" xr:uid="{4F8570D0-F155-4B11-B155-103D334DF843}"/>
    <cellStyle name="20% - Accent2 4 2 2" xfId="2936" xr:uid="{79D9D6EA-724E-408A-8623-A15D2FE5F3C3}"/>
    <cellStyle name="20% - Accent2 4 2 2 2" xfId="35788" xr:uid="{40F29926-C731-4987-94CB-20E6F4503322}"/>
    <cellStyle name="20% - Accent2 4 2 3" xfId="35789" xr:uid="{766D034A-9207-41A8-8707-48EB95D75105}"/>
    <cellStyle name="20% - Accent2 4 2 4" xfId="35790" xr:uid="{A0EF3E1E-A57E-4748-B2ED-90212B0183E6}"/>
    <cellStyle name="20% - Accent2 4 3" xfId="2937" xr:uid="{E9E18291-60F9-44C2-BD1E-CCB4E04A0E8D}"/>
    <cellStyle name="20% - Accent2 4 3 2" xfId="35791" xr:uid="{866109A6-E308-436A-817C-C25DE7616F81}"/>
    <cellStyle name="20% - Accent2 4 4" xfId="35792" xr:uid="{A2FADD40-42A1-4674-83BE-D741F75A46F5}"/>
    <cellStyle name="20% - Accent2 4 5" xfId="35793" xr:uid="{206D0641-7431-4DBA-8E1E-E0ED3A087032}"/>
    <cellStyle name="20% - Accent2 40" xfId="2938" xr:uid="{66786636-C031-4180-92DD-173784B11694}"/>
    <cellStyle name="20% - Accent2 40 2" xfId="2939" xr:uid="{2CBC58F9-9701-4778-9295-78DFA7F1BCBB}"/>
    <cellStyle name="20% - Accent2 40 2 2" xfId="2940" xr:uid="{2F0AE10B-0DD3-4D98-B1F0-2C4AD5AD9398}"/>
    <cellStyle name="20% - Accent2 40 2 2 2" xfId="2941" xr:uid="{0DD461E1-2F77-4512-A1E2-55787DAF9D4A}"/>
    <cellStyle name="20% - Accent2 40 2 2 2 2" xfId="2942" xr:uid="{3ED3ACF5-1EAE-46CD-9642-D3353F106070}"/>
    <cellStyle name="20% - Accent2 40 2 2 3" xfId="2943" xr:uid="{286D5A93-65B8-4AC6-A766-AC8D431B7446}"/>
    <cellStyle name="20% - Accent2 40 2 3" xfId="2944" xr:uid="{36B067B3-3E00-472F-B8F9-2396E642743A}"/>
    <cellStyle name="20% - Accent2 40 2 3 2" xfId="2945" xr:uid="{768C7467-21FF-40DF-85CC-F8A7DBD20BE8}"/>
    <cellStyle name="20% - Accent2 40 2 3 2 2" xfId="2946" xr:uid="{0129C7A0-DEA7-4E70-835F-5CE04F00BF69}"/>
    <cellStyle name="20% - Accent2 40 2 3 3" xfId="2947" xr:uid="{899ED7AE-465C-4BD8-A050-0210A6CA65DB}"/>
    <cellStyle name="20% - Accent2 40 2 4" xfId="2948" xr:uid="{BE387516-28A8-4291-93DC-7709FFE0155F}"/>
    <cellStyle name="20% - Accent2 40 2 4 2" xfId="2949" xr:uid="{1BDE92C9-C417-4951-8A42-CF1D5FE897DD}"/>
    <cellStyle name="20% - Accent2 40 2 5" xfId="2950" xr:uid="{7953DD9E-E226-49FA-8CC6-58AFA67AFA6E}"/>
    <cellStyle name="20% - Accent2 40 3" xfId="2951" xr:uid="{D202F769-C305-43D0-9DB4-0A42E2606591}"/>
    <cellStyle name="20% - Accent2 40 3 2" xfId="2952" xr:uid="{39D38858-BBFA-4D11-99C7-A1F59511E76C}"/>
    <cellStyle name="20% - Accent2 40 3 2 2" xfId="2953" xr:uid="{FB751646-5D73-4367-831F-E8AA9F63D49B}"/>
    <cellStyle name="20% - Accent2 40 3 3" xfId="2954" xr:uid="{1F3AB54F-16CF-4D82-A720-CD2B4B106CA7}"/>
    <cellStyle name="20% - Accent2 40 4" xfId="2955" xr:uid="{6DD6F3E5-E6FB-4756-B7EC-867430A9626E}"/>
    <cellStyle name="20% - Accent2 40 4 2" xfId="2956" xr:uid="{F2F563C3-07D4-40BB-9AAC-12BE4C667EE0}"/>
    <cellStyle name="20% - Accent2 40 4 2 2" xfId="2957" xr:uid="{EF3043A3-09CD-4586-B7DF-7915A422901C}"/>
    <cellStyle name="20% - Accent2 40 4 3" xfId="2958" xr:uid="{A981109B-230A-414B-9947-A7813397D79B}"/>
    <cellStyle name="20% - Accent2 40 5" xfId="2959" xr:uid="{6C0497A2-29E7-40F9-872B-9487439C7D63}"/>
    <cellStyle name="20% - Accent2 40 5 2" xfId="2960" xr:uid="{B878CFE9-B0DD-4DE8-9250-4C3632B10393}"/>
    <cellStyle name="20% - Accent2 40 6" xfId="35794" xr:uid="{49AB7956-69C0-4C74-B93B-D51A12D08FDA}"/>
    <cellStyle name="20% - Accent2 41" xfId="2961" xr:uid="{B56B32E3-2F40-44E4-93C3-62D7DC351EF9}"/>
    <cellStyle name="20% - Accent2 41 2" xfId="2962" xr:uid="{1C52D684-6A41-41BB-808C-F2E1787E9E89}"/>
    <cellStyle name="20% - Accent2 41 2 2" xfId="2963" xr:uid="{0317DC2D-BA87-415C-B386-258FF4FD30DD}"/>
    <cellStyle name="20% - Accent2 41 2 2 2" xfId="2964" xr:uid="{74809F4A-C300-4314-86B6-B5FD597F86D7}"/>
    <cellStyle name="20% - Accent2 41 2 2 2 2" xfId="2965" xr:uid="{83013237-1F60-4372-81DD-BBF3588027DD}"/>
    <cellStyle name="20% - Accent2 41 2 2 3" xfId="2966" xr:uid="{7BF6E722-B841-43B4-B429-6B1A69236592}"/>
    <cellStyle name="20% - Accent2 41 2 3" xfId="2967" xr:uid="{9B8AD578-CCB8-4735-951F-6E1883C0531A}"/>
    <cellStyle name="20% - Accent2 41 2 3 2" xfId="2968" xr:uid="{5BA0E777-282D-4FB1-BF6C-1C32640A8185}"/>
    <cellStyle name="20% - Accent2 41 2 3 2 2" xfId="2969" xr:uid="{F6A8A45A-85CE-4EDB-8143-FED7CF0B4EE1}"/>
    <cellStyle name="20% - Accent2 41 2 3 3" xfId="2970" xr:uid="{783DE7DE-2DDB-4E85-9DBE-B8D2F3A32FDB}"/>
    <cellStyle name="20% - Accent2 41 2 4" xfId="2971" xr:uid="{2F9E28CC-5042-42CE-BE2F-E40808F19FC3}"/>
    <cellStyle name="20% - Accent2 41 2 4 2" xfId="2972" xr:uid="{37E4E130-1AC3-4A54-AF85-AE9FDF08359D}"/>
    <cellStyle name="20% - Accent2 41 2 5" xfId="2973" xr:uid="{277DAEE2-89AB-43B7-B552-98F8807D459D}"/>
    <cellStyle name="20% - Accent2 41 3" xfId="2974" xr:uid="{751C56A6-F2B9-4A8D-9E57-423619790555}"/>
    <cellStyle name="20% - Accent2 41 3 2" xfId="2975" xr:uid="{1A11643E-CDC5-43D9-B0C4-08A896AA93F6}"/>
    <cellStyle name="20% - Accent2 41 3 2 2" xfId="2976" xr:uid="{0A05FE3B-4E52-4ACA-8415-51D35306F306}"/>
    <cellStyle name="20% - Accent2 41 3 3" xfId="2977" xr:uid="{B32EDC33-12E8-42F4-B833-57A868AC214C}"/>
    <cellStyle name="20% - Accent2 41 4" xfId="2978" xr:uid="{B4B9EAF0-B6ED-4996-A81D-03CD80451316}"/>
    <cellStyle name="20% - Accent2 41 4 2" xfId="2979" xr:uid="{E3ADC2D6-95FD-4A4D-945F-19F83BB9EB42}"/>
    <cellStyle name="20% - Accent2 41 4 2 2" xfId="2980" xr:uid="{57C8A720-5DFE-4A7F-9693-EC82FFBBC627}"/>
    <cellStyle name="20% - Accent2 41 4 3" xfId="2981" xr:uid="{C5FE2783-BB71-47DE-B75C-0418BB887C8F}"/>
    <cellStyle name="20% - Accent2 41 5" xfId="2982" xr:uid="{EA7A9040-368F-4ABC-A757-9EEBA5C36912}"/>
    <cellStyle name="20% - Accent2 41 5 2" xfId="2983" xr:uid="{35478A50-1CB4-4E1D-A910-81694E46D84C}"/>
    <cellStyle name="20% - Accent2 41 6" xfId="35795" xr:uid="{58F39471-9B08-43FA-AA08-AFAA3CABE110}"/>
    <cellStyle name="20% - Accent2 42" xfId="2984" xr:uid="{6212FACF-54CF-4CA6-A7EB-5CEC46F32CFF}"/>
    <cellStyle name="20% - Accent2 42 2" xfId="2985" xr:uid="{0D458CE8-679C-4FA9-B8A4-BDA53E8BE77F}"/>
    <cellStyle name="20% - Accent2 42 2 2" xfId="2986" xr:uid="{4BED3566-4140-4BEA-9423-F4DB9F7BE159}"/>
    <cellStyle name="20% - Accent2 42 2 2 2" xfId="2987" xr:uid="{8EA522E2-8C43-4283-968C-37078B0F12C9}"/>
    <cellStyle name="20% - Accent2 42 2 2 2 2" xfId="2988" xr:uid="{49F737FF-8C21-478C-813F-8BE50101E078}"/>
    <cellStyle name="20% - Accent2 42 2 2 3" xfId="2989" xr:uid="{7310F46E-A88B-4F7B-82ED-7EB35EB1B3BE}"/>
    <cellStyle name="20% - Accent2 42 2 3" xfId="2990" xr:uid="{DB8CCB4E-9094-45FC-AEA9-B3349892C854}"/>
    <cellStyle name="20% - Accent2 42 2 3 2" xfId="2991" xr:uid="{80FC3A6A-10B7-45CE-81CF-6BF48C206654}"/>
    <cellStyle name="20% - Accent2 42 2 3 2 2" xfId="2992" xr:uid="{136B3EA9-B41D-47D4-AA9B-1B6C336BFC7A}"/>
    <cellStyle name="20% - Accent2 42 2 3 3" xfId="2993" xr:uid="{0AF3CADD-AAFA-4138-A35F-1E5F0D09054E}"/>
    <cellStyle name="20% - Accent2 42 2 4" xfId="2994" xr:uid="{28844F8B-80B6-40C2-8A1F-9F404FA71ED4}"/>
    <cellStyle name="20% - Accent2 42 2 4 2" xfId="2995" xr:uid="{7152D888-A149-4D2E-AFE3-07006DCE37C8}"/>
    <cellStyle name="20% - Accent2 42 2 5" xfId="2996" xr:uid="{E996D7EA-AC5C-4E07-A821-186FBF470F34}"/>
    <cellStyle name="20% - Accent2 42 3" xfId="2997" xr:uid="{AB46CAF3-EFB7-4923-8B4E-162F81F5A499}"/>
    <cellStyle name="20% - Accent2 42 3 2" xfId="2998" xr:uid="{CBA21F09-DECD-4A6A-B180-0105D05378D7}"/>
    <cellStyle name="20% - Accent2 42 3 2 2" xfId="2999" xr:uid="{9E166799-FB69-4E87-9EC9-1025DC3F3BF0}"/>
    <cellStyle name="20% - Accent2 42 3 3" xfId="3000" xr:uid="{1C3D705D-6160-4390-9B17-2AA018121547}"/>
    <cellStyle name="20% - Accent2 42 4" xfId="3001" xr:uid="{C2827B47-CECE-4D02-8472-9483D186CBB9}"/>
    <cellStyle name="20% - Accent2 42 4 2" xfId="3002" xr:uid="{7EFF96AF-70B5-4010-A64F-D2B08EA2F71B}"/>
    <cellStyle name="20% - Accent2 42 4 2 2" xfId="3003" xr:uid="{96873260-8557-4FBD-9920-B9970A663C9D}"/>
    <cellStyle name="20% - Accent2 42 4 3" xfId="3004" xr:uid="{586B4058-4A8A-47DE-A81E-A82D4EED43AD}"/>
    <cellStyle name="20% - Accent2 42 5" xfId="3005" xr:uid="{51258092-839C-4E06-8821-4ECAFF57B0C8}"/>
    <cellStyle name="20% - Accent2 42 5 2" xfId="3006" xr:uid="{C052563F-F796-4487-A779-81C20AC63908}"/>
    <cellStyle name="20% - Accent2 42 6" xfId="35796" xr:uid="{14EF04B1-DCF6-4BE3-A524-7F2E64EA92A7}"/>
    <cellStyle name="20% - Accent2 43" xfId="3007" xr:uid="{CD08ED14-D6C5-4A99-998F-BC17C9B74E8E}"/>
    <cellStyle name="20% - Accent2 43 2" xfId="3008" xr:uid="{C92846B6-5F77-4BF3-8510-D5A1078432F4}"/>
    <cellStyle name="20% - Accent2 43 3" xfId="35797" xr:uid="{AA384275-7C7E-4220-93CA-35A770DC5CDB}"/>
    <cellStyle name="20% - Accent2 44" xfId="3009" xr:uid="{45F6E8A2-891F-47CD-A89A-3501CB4FB9D9}"/>
    <cellStyle name="20% - Accent2 44 2" xfId="3010" xr:uid="{1B0F3E4B-8BB3-4E09-91D0-334A3572E76F}"/>
    <cellStyle name="20% - Accent2 44 3" xfId="35798" xr:uid="{D3567C74-42E9-45B6-8734-6152D4ECFC58}"/>
    <cellStyle name="20% - Accent2 45" xfId="3011" xr:uid="{8AE57351-EB66-4106-9260-79FAFF98C7F5}"/>
    <cellStyle name="20% - Accent2 45 2" xfId="3012" xr:uid="{44E8EBAB-FCF2-4AE5-86D9-78B0773C969D}"/>
    <cellStyle name="20% - Accent2 45 3" xfId="35799" xr:uid="{40F0CA92-2633-4ACA-AE7A-E046B1D0214E}"/>
    <cellStyle name="20% - Accent2 46" xfId="3013" xr:uid="{506CF6DE-C9A7-4553-89AA-0F8120D84194}"/>
    <cellStyle name="20% - Accent2 46 2" xfId="3014" xr:uid="{30BA0B38-9A74-4A5E-B201-99ABD8DAF520}"/>
    <cellStyle name="20% - Accent2 46 3" xfId="35800" xr:uid="{B0D0616B-1794-4A86-9879-D8DB651FDE9D}"/>
    <cellStyle name="20% - Accent2 47" xfId="3015" xr:uid="{C45A76E8-54F4-4A3A-8F28-F5F48AFBEFFC}"/>
    <cellStyle name="20% - Accent2 47 2" xfId="3016" xr:uid="{B52073EC-0755-477B-97B4-2AF444289630}"/>
    <cellStyle name="20% - Accent2 47 3" xfId="35801" xr:uid="{25F8A124-EB69-4647-BC59-71E416C0911B}"/>
    <cellStyle name="20% - Accent2 48" xfId="3017" xr:uid="{7B9E790E-9A15-45BA-80DA-B220EDDA7F4D}"/>
    <cellStyle name="20% - Accent2 48 2" xfId="3018" xr:uid="{29B1BE89-2D08-4887-BB56-2D7F8D5A6944}"/>
    <cellStyle name="20% - Accent2 48 3" xfId="35802" xr:uid="{8082085E-54AE-434D-9F01-F0D76533F568}"/>
    <cellStyle name="20% - Accent2 49" xfId="3019" xr:uid="{C54C2052-78F9-4336-A616-064EC52C0978}"/>
    <cellStyle name="20% - Accent2 49 2" xfId="3020" xr:uid="{26FF97CF-43D5-4BC2-BC97-2AA7CBDEC92D}"/>
    <cellStyle name="20% - Accent2 49 3" xfId="35803" xr:uid="{DF9760EB-14B2-4693-B3D1-290A707544AC}"/>
    <cellStyle name="20% - Accent2 5" xfId="3021" xr:uid="{9B0C9C4E-F0C9-451F-9615-601C476D40B7}"/>
    <cellStyle name="20% - Accent2 5 2" xfId="3022" xr:uid="{81CF23AE-A987-4A7D-BCDF-B54A99CDD11D}"/>
    <cellStyle name="20% - Accent2 5 2 2" xfId="3023" xr:uid="{84367BB0-CDD6-4C3B-A7DE-5AD4C1C50A9B}"/>
    <cellStyle name="20% - Accent2 5 2 2 2" xfId="35804" xr:uid="{6B6C3000-DEA0-423C-89FC-4F79F8DF53D8}"/>
    <cellStyle name="20% - Accent2 5 2 3" xfId="35805" xr:uid="{50AF90DB-9C85-443A-B661-2D0C28F9C276}"/>
    <cellStyle name="20% - Accent2 5 2 4" xfId="35806" xr:uid="{E8FF37CB-8CEB-49A9-9C1E-74D8CA44FF84}"/>
    <cellStyle name="20% - Accent2 5 3" xfId="3024" xr:uid="{37BD80D9-2919-42C2-A0BF-098CFFF01C32}"/>
    <cellStyle name="20% - Accent2 5 3 2" xfId="35807" xr:uid="{B5E9007B-6FCF-44FA-B9C2-A62C318155D7}"/>
    <cellStyle name="20% - Accent2 5 4" xfId="35808" xr:uid="{EC730616-EFE0-464D-B32E-7AF11987129C}"/>
    <cellStyle name="20% - Accent2 5 5" xfId="35809" xr:uid="{EDF2B1CE-CDB0-471C-9456-70B76062E34E}"/>
    <cellStyle name="20% - Accent2 50" xfId="3025" xr:uid="{1FC84C7D-83C0-487F-8AC2-1E888B046DC0}"/>
    <cellStyle name="20% - Accent2 50 2" xfId="3026" xr:uid="{DA6865CF-02A7-4FA4-B3B0-F749C8746684}"/>
    <cellStyle name="20% - Accent2 50 3" xfId="35810" xr:uid="{763D0B12-4EE3-4C4F-A222-002C71192608}"/>
    <cellStyle name="20% - Accent2 51" xfId="3027" xr:uid="{65E47CFD-D6AC-4864-AC8F-6732CA1628B7}"/>
    <cellStyle name="20% - Accent2 51 2" xfId="35811" xr:uid="{6D2834B3-4A8F-4644-9B85-1DA4FD5D020A}"/>
    <cellStyle name="20% - Accent2 52" xfId="3028" xr:uid="{60203891-D42E-49FA-91FB-B8446BAD26B9}"/>
    <cellStyle name="20% - Accent2 52 2" xfId="35812" xr:uid="{D3E86133-5F8F-445E-9D5B-D73253CFC249}"/>
    <cellStyle name="20% - Accent2 53" xfId="3029" xr:uid="{6D32276D-4773-44C2-BF9F-487E5AED0B08}"/>
    <cellStyle name="20% - Accent2 53 2" xfId="35813" xr:uid="{D20BFC77-0B11-4AD1-993A-9C18BCDEE6FD}"/>
    <cellStyle name="20% - Accent2 54" xfId="3030" xr:uid="{FC6A809C-DA76-4BBF-9FE6-873C59556F83}"/>
    <cellStyle name="20% - Accent2 54 2" xfId="35814" xr:uid="{D6B51E8C-E489-483B-B131-A8FA226D0F3A}"/>
    <cellStyle name="20% - Accent2 55" xfId="3031" xr:uid="{652B59AD-91F7-40A6-A101-8928BB400F23}"/>
    <cellStyle name="20% - Accent2 55 2" xfId="35815" xr:uid="{CBA5CF96-1ACE-42AF-BD74-8DACFF9E0B64}"/>
    <cellStyle name="20% - Accent2 56" xfId="3032" xr:uid="{FBB31CC9-C4CE-4B72-9A10-3BCF192CE312}"/>
    <cellStyle name="20% - Accent2 56 2" xfId="35816" xr:uid="{14D1A7C0-2E1F-4E4A-8EE3-10DAF492C10D}"/>
    <cellStyle name="20% - Accent2 57" xfId="3033" xr:uid="{569F8B26-A57E-489D-8A9E-285C367152D1}"/>
    <cellStyle name="20% - Accent2 57 2" xfId="35817" xr:uid="{05911F03-D6A6-4585-9561-6DDFC136809B}"/>
    <cellStyle name="20% - Accent2 58" xfId="3034" xr:uid="{CABB2964-D409-47DE-8BD5-3E54DB990214}"/>
    <cellStyle name="20% - Accent2 58 2" xfId="35818" xr:uid="{4A00047F-D9A0-40DE-BAF4-FAC6B4521178}"/>
    <cellStyle name="20% - Accent2 59" xfId="3035" xr:uid="{C68008DB-0785-4119-AC7A-BF8522E4159D}"/>
    <cellStyle name="20% - Accent2 59 2" xfId="35819" xr:uid="{599193F6-9C86-40BB-8598-F0973D1EB10D}"/>
    <cellStyle name="20% - Accent2 6" xfId="3036" xr:uid="{6A102EBD-E5A4-4D1F-9BB9-9CFDBDCA630E}"/>
    <cellStyle name="20% - Accent2 6 2" xfId="3037" xr:uid="{4B60DF1E-8EC1-433D-82EA-DA9B8E8F4546}"/>
    <cellStyle name="20% - Accent2 6 2 2" xfId="3038" xr:uid="{005A3E6B-BA95-4FD8-858F-85F4A18D277C}"/>
    <cellStyle name="20% - Accent2 6 2 2 2" xfId="35820" xr:uid="{92E68816-F50E-4999-A616-4AE865151BBD}"/>
    <cellStyle name="20% - Accent2 6 2 3" xfId="35821" xr:uid="{02CD6408-4B47-43BF-88AC-A52E875DA5A2}"/>
    <cellStyle name="20% - Accent2 6 2 4" xfId="35822" xr:uid="{259B1E9B-BC6C-4D5E-809A-E2481AFBA27F}"/>
    <cellStyle name="20% - Accent2 6 3" xfId="3039" xr:uid="{35911988-AF29-40A5-901F-BE9F5EB25CA4}"/>
    <cellStyle name="20% - Accent2 6 3 2" xfId="35823" xr:uid="{EC6583F0-CD31-4C82-B2DD-69FCE364F866}"/>
    <cellStyle name="20% - Accent2 6 4" xfId="35824" xr:uid="{064CB8C4-E941-43F5-8E21-64EF616274D9}"/>
    <cellStyle name="20% - Accent2 6 5" xfId="35825" xr:uid="{51A7324C-69A8-44B7-80DE-C7FBCA4326F8}"/>
    <cellStyle name="20% - Accent2 60" xfId="3040" xr:uid="{6A9A24F5-4712-462F-8FC5-47B12051D39B}"/>
    <cellStyle name="20% - Accent2 60 2" xfId="35826" xr:uid="{38635E97-A212-48F2-9DAA-63E32C4D5AD6}"/>
    <cellStyle name="20% - Accent2 61" xfId="3041" xr:uid="{97D665BD-9FD8-4CE6-90BD-C4D934846D04}"/>
    <cellStyle name="20% - Accent2 61 2" xfId="35827" xr:uid="{65DDDF69-3621-4B2C-AE4D-EA7146A04824}"/>
    <cellStyle name="20% - Accent2 62" xfId="3042" xr:uid="{004EB33F-FA16-4D90-8A04-62163DC36309}"/>
    <cellStyle name="20% - Accent2 62 2" xfId="35828" xr:uid="{BA5276F9-6F51-4BCE-B89E-4CF390A84A9A}"/>
    <cellStyle name="20% - Accent2 63" xfId="3043" xr:uid="{39446A7C-8447-410F-BC78-F4E54E851E6E}"/>
    <cellStyle name="20% - Accent2 63 2" xfId="35829" xr:uid="{8A30191C-80AC-45D3-8712-B4BBE3D3A949}"/>
    <cellStyle name="20% - Accent2 64" xfId="3044" xr:uid="{92028C9C-5CE8-4588-8B78-3A0ACDDC0B35}"/>
    <cellStyle name="20% - Accent2 64 2" xfId="35830" xr:uid="{2BA5F68D-3394-4C84-B90D-62C157AA1B81}"/>
    <cellStyle name="20% - Accent2 65" xfId="3045" xr:uid="{8945B9DD-3C3E-4F5D-A595-13A39FAE4B9B}"/>
    <cellStyle name="20% - Accent2 65 2" xfId="35831" xr:uid="{5A673DE5-9832-47B8-B9D9-C8F57ACDA39B}"/>
    <cellStyle name="20% - Accent2 66" xfId="3046" xr:uid="{C4E0ADFE-0CCF-4E49-980C-A79E321D6396}"/>
    <cellStyle name="20% - Accent2 66 2" xfId="3047" xr:uid="{8D1DE78D-CDE7-46E6-8868-E4801ED2D7FC}"/>
    <cellStyle name="20% - Accent2 66 2 2" xfId="3048" xr:uid="{6D5207F7-9799-4EC7-8413-02BF4B19C6CB}"/>
    <cellStyle name="20% - Accent2 66 3" xfId="3049" xr:uid="{29F020A3-9EA4-4E64-BEA9-74F2C0EA520D}"/>
    <cellStyle name="20% - Accent2 66 3 2" xfId="3050" xr:uid="{3617AB25-B757-4D71-97A9-7988A64545C3}"/>
    <cellStyle name="20% - Accent2 66 4" xfId="3051" xr:uid="{5961BF6D-AC92-45C6-B013-CA6D67045C53}"/>
    <cellStyle name="20% - Accent2 66 5" xfId="35832" xr:uid="{9D06CB00-A82E-469C-8143-719D404D9992}"/>
    <cellStyle name="20% - Accent2 67" xfId="3052" xr:uid="{F277F079-E10F-48AB-B4DD-C4F290A595EF}"/>
    <cellStyle name="20% - Accent2 67 2" xfId="3053" xr:uid="{1E8117BE-32AE-409D-A39E-00BD4B721F2C}"/>
    <cellStyle name="20% - Accent2 67 2 2" xfId="3054" xr:uid="{13A36BE0-9EA0-4FD0-88EF-5A4253494339}"/>
    <cellStyle name="20% - Accent2 67 3" xfId="3055" xr:uid="{0A954E2E-3C90-4D67-9A4D-045E5951654C}"/>
    <cellStyle name="20% - Accent2 67 3 2" xfId="3056" xr:uid="{A98FB05B-3260-4E35-8DFE-2AA5C2CE7D02}"/>
    <cellStyle name="20% - Accent2 67 4" xfId="3057" xr:uid="{CEA447E0-5FC1-42C8-A60A-43C2BF60D02C}"/>
    <cellStyle name="20% - Accent2 67 5" xfId="35833" xr:uid="{A455BA9A-CA47-4237-97DF-DAC9F368E9F6}"/>
    <cellStyle name="20% - Accent2 68" xfId="3058" xr:uid="{9D24172D-1A61-4F09-95AB-DF9E3DD7AE5F}"/>
    <cellStyle name="20% - Accent2 68 2" xfId="3059" xr:uid="{3415A57C-56B6-4E7A-9918-2DE63B6D4D8E}"/>
    <cellStyle name="20% - Accent2 68 2 2" xfId="3060" xr:uid="{F3525A5A-6513-4585-94C1-90139543B2DE}"/>
    <cellStyle name="20% - Accent2 68 3" xfId="3061" xr:uid="{91251300-AF64-4391-B008-019A5E4FBC59}"/>
    <cellStyle name="20% - Accent2 68 3 2" xfId="3062" xr:uid="{90DB5B42-9741-4B95-BBF4-ACE35D596563}"/>
    <cellStyle name="20% - Accent2 68 4" xfId="3063" xr:uid="{18C51FF3-A607-42FF-B6C6-C9D5E5288EBD}"/>
    <cellStyle name="20% - Accent2 68 5" xfId="35834" xr:uid="{1A494362-1A73-4A7D-8B6D-5832E61B3FFC}"/>
    <cellStyle name="20% - Accent2 69" xfId="3064" xr:uid="{FD11368F-B2D9-4A1F-B5D6-B0D0F7EE9862}"/>
    <cellStyle name="20% - Accent2 69 2" xfId="3065" xr:uid="{4DB8214D-9C35-41B7-98F8-F09FCB01B24E}"/>
    <cellStyle name="20% - Accent2 69 2 2" xfId="3066" xr:uid="{A73CFC55-A053-4BA1-973B-5703F3118DB5}"/>
    <cellStyle name="20% - Accent2 69 3" xfId="3067" xr:uid="{38806367-0E0C-440A-B3C3-47312E2D5CF2}"/>
    <cellStyle name="20% - Accent2 69 4" xfId="35835" xr:uid="{8A869543-6D7C-4F01-B461-97162D76097A}"/>
    <cellStyle name="20% - Accent2 7" xfId="3068" xr:uid="{AB941DE2-9751-4830-A141-F2A0C9484BDF}"/>
    <cellStyle name="20% - Accent2 7 2" xfId="3069" xr:uid="{8955A521-6E0B-4293-B836-BC6F03AA90F5}"/>
    <cellStyle name="20% - Accent2 7 2 2" xfId="3070" xr:uid="{1135699C-5B90-4708-9A89-503315A32BF8}"/>
    <cellStyle name="20% - Accent2 7 2 2 2" xfId="35836" xr:uid="{E86FF7BD-A101-49DB-B9F4-48A775A9D9BC}"/>
    <cellStyle name="20% - Accent2 7 2 3" xfId="35837" xr:uid="{B7A558DD-B680-4BC9-A61D-FD84AE7DEA23}"/>
    <cellStyle name="20% - Accent2 7 2 4" xfId="35838" xr:uid="{5C0EC556-7507-4092-A68F-C749B0D09803}"/>
    <cellStyle name="20% - Accent2 7 3" xfId="3071" xr:uid="{F27ADBAF-B4CE-4FFE-8883-C11847B05487}"/>
    <cellStyle name="20% - Accent2 7 3 2" xfId="35839" xr:uid="{2092A260-E641-4577-8D0A-7D87CCC37C08}"/>
    <cellStyle name="20% - Accent2 7 4" xfId="35840" xr:uid="{AA807D91-5FF2-4955-A7CC-27484FC2F26D}"/>
    <cellStyle name="20% - Accent2 7 5" xfId="35841" xr:uid="{81A0C099-2E25-4286-84AF-C165E95FBCA8}"/>
    <cellStyle name="20% - Accent2 70" xfId="3072" xr:uid="{42B02BB6-42E1-4529-85CA-9657D7F67BF2}"/>
    <cellStyle name="20% - Accent2 70 2" xfId="3073" xr:uid="{E36EC42E-4647-4A94-AB77-6295EF06B9C4}"/>
    <cellStyle name="20% - Accent2 70 2 2" xfId="3074" xr:uid="{E0E32392-E45C-48EB-9274-82E5D108C557}"/>
    <cellStyle name="20% - Accent2 70 3" xfId="3075" xr:uid="{C2D090BE-AB58-4DE2-8215-F8826CEADE5E}"/>
    <cellStyle name="20% - Accent2 70 4" xfId="35842" xr:uid="{7F4C5FBF-EFCD-4696-94CD-C0EB6889CA21}"/>
    <cellStyle name="20% - Accent2 71" xfId="3076" xr:uid="{310D0151-7ED2-448F-873C-CDF448FCDDD5}"/>
    <cellStyle name="20% - Accent2 71 2" xfId="3077" xr:uid="{658927BD-5FD7-4FE0-BCB6-34136C804233}"/>
    <cellStyle name="20% - Accent2 71 2 2" xfId="3078" xr:uid="{FEC13FC9-B12E-4B26-9525-5A711E167A58}"/>
    <cellStyle name="20% - Accent2 71 3" xfId="3079" xr:uid="{53F0A6BE-1A37-4138-B299-1E9B98591AA3}"/>
    <cellStyle name="20% - Accent2 71 4" xfId="35843" xr:uid="{06EE368F-F5DB-4F18-AACA-5DD8F1A65C3C}"/>
    <cellStyle name="20% - Accent2 72" xfId="3080" xr:uid="{D3671D6A-920D-4CCB-A783-F9E205A76816}"/>
    <cellStyle name="20% - Accent2 72 2" xfId="3081" xr:uid="{1BF54AEB-E05B-4034-9840-3413FAB904FF}"/>
    <cellStyle name="20% - Accent2 72 2 2" xfId="3082" xr:uid="{D1FB86D2-723D-410B-BA21-9C7D770A3C19}"/>
    <cellStyle name="20% - Accent2 72 3" xfId="3083" xr:uid="{7E806F68-7EED-4D6B-9947-9D86A88F0818}"/>
    <cellStyle name="20% - Accent2 72 4" xfId="35844" xr:uid="{9875269C-5DB5-4CD6-A887-E29139E69C11}"/>
    <cellStyle name="20% - Accent2 73" xfId="3084" xr:uid="{5E69D5DB-F816-4F27-BE6C-E687607911A4}"/>
    <cellStyle name="20% - Accent2 73 2" xfId="3085" xr:uid="{B64ACC1E-CA37-4638-9049-2462CF0AE72D}"/>
    <cellStyle name="20% - Accent2 73 2 2" xfId="3086" xr:uid="{8C863485-B506-4FF1-B75F-B7D5184FC828}"/>
    <cellStyle name="20% - Accent2 73 3" xfId="3087" xr:uid="{7FB23DC3-CA0C-4ED0-8CFB-83CF15658E2C}"/>
    <cellStyle name="20% - Accent2 73 4" xfId="35845" xr:uid="{3A3A5847-BDCF-48B8-BF41-368B89A89255}"/>
    <cellStyle name="20% - Accent2 74" xfId="3088" xr:uid="{6E9A4A32-04ED-4718-8459-878B490867D0}"/>
    <cellStyle name="20% - Accent2 74 2" xfId="3089" xr:uid="{7A919358-D1E9-4029-A37F-1E4CC32C9B67}"/>
    <cellStyle name="20% - Accent2 74 2 2" xfId="3090" xr:uid="{C264B15D-2D7B-40AD-9BA9-348C55EFDC7E}"/>
    <cellStyle name="20% - Accent2 74 3" xfId="3091" xr:uid="{8A0EE690-39A1-41E0-8DEF-0ED548579D50}"/>
    <cellStyle name="20% - Accent2 74 4" xfId="35846" xr:uid="{52443180-9E46-4626-BD83-084A83AC1D02}"/>
    <cellStyle name="20% - Accent2 75" xfId="3092" xr:uid="{D62EF52F-42FE-4767-B310-AFFEA1F14095}"/>
    <cellStyle name="20% - Accent2 75 2" xfId="3093" xr:uid="{B28A0E82-35DC-4A0E-909F-6E7728E8DFD7}"/>
    <cellStyle name="20% - Accent2 75 2 2" xfId="3094" xr:uid="{78592EF8-435F-4D4C-829E-DFA3C9F44A02}"/>
    <cellStyle name="20% - Accent2 75 3" xfId="3095" xr:uid="{4CC87BE0-7A5E-409D-8BE2-ECB8069D2E2A}"/>
    <cellStyle name="20% - Accent2 75 4" xfId="35847" xr:uid="{C1F61856-3C03-4C8B-A2E4-A721B4A5795B}"/>
    <cellStyle name="20% - Accent2 76" xfId="3096" xr:uid="{7A9008B6-8E5C-4B35-8055-AF65D026D497}"/>
    <cellStyle name="20% - Accent2 76 2" xfId="3097" xr:uid="{9CD94AB8-2298-43E9-9C0A-7AD4F5AD3370}"/>
    <cellStyle name="20% - Accent2 76 2 2" xfId="3098" xr:uid="{D0F37B4D-1A12-45D1-B896-428E72697FA9}"/>
    <cellStyle name="20% - Accent2 76 3" xfId="3099" xr:uid="{7327013B-4DBE-4627-9453-CF5E7D92522F}"/>
    <cellStyle name="20% - Accent2 76 4" xfId="35848" xr:uid="{84020759-28F5-4708-8461-38C358A7A945}"/>
    <cellStyle name="20% - Accent2 77" xfId="3100" xr:uid="{3AC78E8A-D072-45E0-9CFD-453C2A3BE11E}"/>
    <cellStyle name="20% - Accent2 77 2" xfId="3101" xr:uid="{0A6E82DD-20A5-47AA-8B44-0251B3369EC8}"/>
    <cellStyle name="20% - Accent2 77 2 2" xfId="3102" xr:uid="{1BA0743B-C124-4BF0-97A1-BE3650EAC1AB}"/>
    <cellStyle name="20% - Accent2 77 3" xfId="3103" xr:uid="{B1069FA3-B539-4B51-AE50-0A2277C94574}"/>
    <cellStyle name="20% - Accent2 77 4" xfId="35849" xr:uid="{833C269B-E473-43A9-B058-CD288EFCC3C1}"/>
    <cellStyle name="20% - Accent2 78" xfId="3104" xr:uid="{88E25C52-18D3-4F87-9EB1-A4403ADD0500}"/>
    <cellStyle name="20% - Accent2 78 2" xfId="3105" xr:uid="{EE5ADA06-A3A6-4CEC-A296-08C2926256CC}"/>
    <cellStyle name="20% - Accent2 78 2 2" xfId="3106" xr:uid="{4F1E8EAD-AFE2-48DA-B50B-29BD052D57D9}"/>
    <cellStyle name="20% - Accent2 78 3" xfId="3107" xr:uid="{E00FA7C4-59E9-4A39-A525-A8E69CA2FB33}"/>
    <cellStyle name="20% - Accent2 78 4" xfId="35850" xr:uid="{189E9478-A8A8-453F-82CA-EF70554302B3}"/>
    <cellStyle name="20% - Accent2 79" xfId="3108" xr:uid="{45D8078E-0F7B-45C9-B561-FB6A0710F525}"/>
    <cellStyle name="20% - Accent2 79 2" xfId="3109" xr:uid="{C00A0F26-8B8F-4E51-A857-D678365EF569}"/>
    <cellStyle name="20% - Accent2 79 3" xfId="35851" xr:uid="{91888605-9771-4AF8-AFEA-E2A7974145B3}"/>
    <cellStyle name="20% - Accent2 8" xfId="3110" xr:uid="{F1EEA8FB-D0BF-47B0-AA08-52DB5DCE47F3}"/>
    <cellStyle name="20% - Accent2 8 2" xfId="3111" xr:uid="{A4310196-E3E0-4704-8E60-6D5158904BD9}"/>
    <cellStyle name="20% - Accent2 8 2 2" xfId="3112" xr:uid="{CBAFA81E-0B64-48AB-A819-43D8F1921535}"/>
    <cellStyle name="20% - Accent2 8 2 2 2" xfId="35852" xr:uid="{F210D2B0-E6E1-471F-894E-5B9D610DDFCB}"/>
    <cellStyle name="20% - Accent2 8 2 3" xfId="35853" xr:uid="{711813EF-FA8F-4689-9F27-34A28DC9F106}"/>
    <cellStyle name="20% - Accent2 8 3" xfId="3113" xr:uid="{0BB0D99C-CD2A-4F47-ABFD-6F33839A287A}"/>
    <cellStyle name="20% - Accent2 8 3 2" xfId="35854" xr:uid="{FC6CD225-8A12-4C58-A3C3-E71D3FA66C06}"/>
    <cellStyle name="20% - Accent2 8 4" xfId="35855" xr:uid="{4081D6BD-6626-4A58-81B4-B90AB703662F}"/>
    <cellStyle name="20% - Accent2 8 5" xfId="35856" xr:uid="{AE0E3D59-D68F-405A-81A2-35C138C35B3D}"/>
    <cellStyle name="20% - Accent2 8 6" xfId="35857" xr:uid="{4A08FCF8-D24D-46F6-9BCE-AF055178E167}"/>
    <cellStyle name="20% - Accent2 8 7" xfId="35858" xr:uid="{CAE23EB3-B3CA-483C-BB78-75654B1C80A7}"/>
    <cellStyle name="20% - Accent2 80" xfId="3114" xr:uid="{DC6FE162-609C-420D-A694-6C684AD77E22}"/>
    <cellStyle name="20% - Accent2 80 2" xfId="3115" xr:uid="{233867C9-5BE2-4071-946B-652ED53EE747}"/>
    <cellStyle name="20% - Accent2 80 3" xfId="35859" xr:uid="{A108E6EF-457C-4AE4-A280-BE68A6A80AE7}"/>
    <cellStyle name="20% - Accent2 81" xfId="3116" xr:uid="{B4B12A4E-7DC3-4F1A-885E-0F82AAA3AF8A}"/>
    <cellStyle name="20% - Accent2 81 2" xfId="3117" xr:uid="{51F1C2BF-D8FA-4534-B788-428B28926156}"/>
    <cellStyle name="20% - Accent2 81 3" xfId="35860" xr:uid="{44B70747-EBC9-4293-A7FC-2BC251F1102E}"/>
    <cellStyle name="20% - Accent2 82" xfId="3118" xr:uid="{D3D4A7B7-8B77-4FD8-83D9-0AE059EFDCE0}"/>
    <cellStyle name="20% - Accent2 82 2" xfId="3119" xr:uid="{5024569F-5D4A-42FD-A06C-30C8BF4A2976}"/>
    <cellStyle name="20% - Accent2 82 3" xfId="35861" xr:uid="{6741EFCB-7190-4E82-A2C6-9A10D513C052}"/>
    <cellStyle name="20% - Accent2 83" xfId="3120" xr:uid="{C063E65A-1ADE-4F88-AE7A-D2C09D1471F2}"/>
    <cellStyle name="20% - Accent2 83 2" xfId="3121" xr:uid="{036DC11B-C02D-4E10-9C0A-EFB5CF1C354D}"/>
    <cellStyle name="20% - Accent2 83 3" xfId="35862" xr:uid="{E60AA55E-4489-4A38-A82F-17D9C40B6DC7}"/>
    <cellStyle name="20% - Accent2 84" xfId="3122" xr:uid="{B063EB35-F3ED-4903-9608-16411EF99B1D}"/>
    <cellStyle name="20% - Accent2 84 2" xfId="3123" xr:uid="{7C3573FF-AA9E-4BA4-B012-BEE90351956E}"/>
    <cellStyle name="20% - Accent2 84 3" xfId="35863" xr:uid="{9BE500D4-A2F9-45C0-9EBD-71340A2377F9}"/>
    <cellStyle name="20% - Accent2 85" xfId="3124" xr:uid="{EA54536E-FA26-464F-B69E-8D331B6DFE08}"/>
    <cellStyle name="20% - Accent2 85 2" xfId="3125" xr:uid="{2A40C87E-F7EB-4AFB-84CC-518A3B46F129}"/>
    <cellStyle name="20% - Accent2 85 3" xfId="35864" xr:uid="{72D29AF8-107B-443B-BE0A-13CEA2EF320F}"/>
    <cellStyle name="20% - Accent2 86" xfId="3126" xr:uid="{2957CFA8-8A6B-4179-9423-B5D5892C3571}"/>
    <cellStyle name="20% - Accent2 86 2" xfId="3127" xr:uid="{B16907A4-8F30-4ABC-8115-FD087ED9A55D}"/>
    <cellStyle name="20% - Accent2 86 3" xfId="35865" xr:uid="{EBA5DE63-096F-40E4-BDB6-18DA4AC5430D}"/>
    <cellStyle name="20% - Accent2 87" xfId="3128" xr:uid="{27657F93-62BE-4B68-A405-1820713A5FE2}"/>
    <cellStyle name="20% - Accent2 87 2" xfId="3129" xr:uid="{6069F965-C8E2-4434-A1E9-E207F5691189}"/>
    <cellStyle name="20% - Accent2 87 3" xfId="35866" xr:uid="{A66DED2E-9A5D-426C-A025-24FBB12756B3}"/>
    <cellStyle name="20% - Accent2 88" xfId="3130" xr:uid="{B96CF1BD-36C6-49C1-B6D4-33483FA4F57A}"/>
    <cellStyle name="20% - Accent2 88 2" xfId="3131" xr:uid="{E9CC3CDF-3737-402D-88EA-E1E616DC2364}"/>
    <cellStyle name="20% - Accent2 88 3" xfId="35867" xr:uid="{3D0F5B8C-6543-4C3C-8A4E-ABAB7064EB96}"/>
    <cellStyle name="20% - Accent2 89" xfId="3132" xr:uid="{D66701E1-8DD2-4F23-8357-D550223A5531}"/>
    <cellStyle name="20% - Accent2 89 2" xfId="3133" xr:uid="{81440D77-F16C-46A3-898F-5FF5B40A4D35}"/>
    <cellStyle name="20% - Accent2 89 3" xfId="35868" xr:uid="{E5E1DE2D-C694-46D3-9106-1453F9CC9110}"/>
    <cellStyle name="20% - Accent2 9" xfId="3134" xr:uid="{765A8EFE-D044-40C8-816C-7C21A828238D}"/>
    <cellStyle name="20% - Accent2 9 2" xfId="3135" xr:uid="{47CCF89B-D7B1-4DB5-AD37-572E7BEC4C0A}"/>
    <cellStyle name="20% - Accent2 9 2 2" xfId="3136" xr:uid="{024D0061-EC80-4697-8BB6-7B2544AAD195}"/>
    <cellStyle name="20% - Accent2 9 2 2 2" xfId="35869" xr:uid="{64CE963A-0BEA-4F41-9376-7CAB7845AEFB}"/>
    <cellStyle name="20% - Accent2 9 2 3" xfId="35870" xr:uid="{2C77F2CE-B44D-49D8-B6D7-A682FDFDD2A0}"/>
    <cellStyle name="20% - Accent2 9 3" xfId="3137" xr:uid="{120D7B41-7F4C-4B34-9BC5-77B917EB113F}"/>
    <cellStyle name="20% - Accent2 9 3 2" xfId="35871" xr:uid="{274BD795-F816-4191-9FD3-B87BF08755D8}"/>
    <cellStyle name="20% - Accent2 9 4" xfId="35872" xr:uid="{47209C70-AEE1-4310-86DF-078C95F5DF56}"/>
    <cellStyle name="20% - Accent2 9 5" xfId="35873" xr:uid="{478A7972-ADD5-4A31-9822-D7E34229D5E9}"/>
    <cellStyle name="20% - Accent2 9 6" xfId="35874" xr:uid="{BCF4A24D-E9EB-4AA7-A7C2-DE40565413EE}"/>
    <cellStyle name="20% - Accent2 90" xfId="3138" xr:uid="{09DCF98D-814E-4326-8482-CAFBF57AF81B}"/>
    <cellStyle name="20% - Accent2 90 2" xfId="3139" xr:uid="{80414AE5-52ED-45A1-9079-1B9F6D15A14D}"/>
    <cellStyle name="20% - Accent2 90 3" xfId="35875" xr:uid="{9BEF26DE-3D88-4FB5-B4BD-9DA083CA19AB}"/>
    <cellStyle name="20% - Accent2 91" xfId="3140" xr:uid="{4F9F7AF0-25C1-4010-9EA1-9DA7454EB79E}"/>
    <cellStyle name="20% - Accent2 91 2" xfId="3141" xr:uid="{65690009-62CD-4940-BB54-313C6787EFA5}"/>
    <cellStyle name="20% - Accent2 91 3" xfId="35876" xr:uid="{88060C96-253B-4787-A198-F8D4A2462AC3}"/>
    <cellStyle name="20% - Accent2 92" xfId="3142" xr:uid="{A09734A0-B6C5-40C0-96F7-855B2B13DA58}"/>
    <cellStyle name="20% - Accent2 92 2" xfId="3143" xr:uid="{F97A6BE2-95B6-4169-AD53-3DC006115B8E}"/>
    <cellStyle name="20% - Accent2 92 3" xfId="35877" xr:uid="{FFE19A89-0D3C-4A42-A2F2-8DE59A3AB153}"/>
    <cellStyle name="20% - Accent2 93" xfId="3144" xr:uid="{3D835D58-41ED-4509-B1B1-D4AD2A12FA8A}"/>
    <cellStyle name="20% - Accent2 93 2" xfId="3145" xr:uid="{A35DF9F7-10B9-4668-93E1-DEFA8EDBE0E8}"/>
    <cellStyle name="20% - Accent2 93 3" xfId="35878" xr:uid="{9B176110-6B2F-4581-ABEF-227A8C990C66}"/>
    <cellStyle name="20% - Accent2 94" xfId="3146" xr:uid="{FB39B94A-9299-4173-8884-36055651B7A3}"/>
    <cellStyle name="20% - Accent2 94 2" xfId="3147" xr:uid="{687A523A-97AB-4613-8CDA-44E17A8AA66C}"/>
    <cellStyle name="20% - Accent2 94 3" xfId="35879" xr:uid="{104EE93C-B46A-40DA-930C-59F0FA542D6D}"/>
    <cellStyle name="20% - Accent2 95" xfId="3148" xr:uid="{94993C5C-004A-4BC9-B5B7-1D61871A4389}"/>
    <cellStyle name="20% - Accent2 95 2" xfId="3149" xr:uid="{9CB6B102-BB85-4D80-A528-FD08CBC8E278}"/>
    <cellStyle name="20% - Accent2 95 3" xfId="35880" xr:uid="{6402BB5F-DBF1-4D15-9D14-9A000E245571}"/>
    <cellStyle name="20% - Accent2 96" xfId="3150" xr:uid="{C87D023D-B5AF-4099-BB59-F4D84F84D032}"/>
    <cellStyle name="20% - Accent2 96 2" xfId="3151" xr:uid="{C6259C47-563B-44AC-AE29-0AB00D9DD85B}"/>
    <cellStyle name="20% - Accent2 96 3" xfId="35881" xr:uid="{930DBAFA-9587-4022-9886-26E665E8C558}"/>
    <cellStyle name="20% - Accent2 97" xfId="3152" xr:uid="{C51A8C11-4939-4ED2-BA20-4CEE53FBD4AA}"/>
    <cellStyle name="20% - Accent2 97 2" xfId="3153" xr:uid="{C6B4240D-DCD0-4FEE-9E39-87962749DA1B}"/>
    <cellStyle name="20% - Accent2 97 3" xfId="35882" xr:uid="{AFA5A2C6-FF9A-4710-937D-3748143FAE7A}"/>
    <cellStyle name="20% - Accent2 98" xfId="3154" xr:uid="{EE2E7676-D359-4FCA-9BB3-37DD2076975A}"/>
    <cellStyle name="20% - Accent2 98 2" xfId="3155" xr:uid="{DAEAB7A0-F6D4-4FEF-8571-7D3F5DB5BDBD}"/>
    <cellStyle name="20% - Accent2 98 3" xfId="35883" xr:uid="{1F381C73-E4A2-43A6-BC87-CCC7BE68E06B}"/>
    <cellStyle name="20% - Accent2 99" xfId="3156" xr:uid="{CA21294B-AC24-4726-BFDB-7E55B7B85F1D}"/>
    <cellStyle name="20% - Accent2 99 2" xfId="3157" xr:uid="{968A55D1-ECAD-4E68-B50B-693FD754EBCB}"/>
    <cellStyle name="20% - Accent2 99 3" xfId="35884" xr:uid="{26934379-FE40-4A97-B9FC-DFB26B5FA1C9}"/>
    <cellStyle name="20% - Accent3" xfId="39" builtinId="38" hidden="1"/>
    <cellStyle name="20% - Accent3" xfId="113" builtinId="38" customBuiltin="1"/>
    <cellStyle name="20% - Accent3 10" xfId="3158" xr:uid="{49110A74-6C89-4D8C-A4A7-D2E7A361117D}"/>
    <cellStyle name="20% - Accent3 10 2" xfId="3159" xr:uid="{DF16070F-6548-4AF7-ADCE-23DDC6BF7E7B}"/>
    <cellStyle name="20% - Accent3 10 2 2" xfId="3160" xr:uid="{8F2FEF2B-21AE-4FA5-9385-DA8B2F537AA9}"/>
    <cellStyle name="20% - Accent3 10 2 2 2" xfId="35885" xr:uid="{CA6FDA76-327D-496C-B9FD-F2E05AFFFF82}"/>
    <cellStyle name="20% - Accent3 10 2 3" xfId="35886" xr:uid="{F63F398E-CA84-4573-8DC7-2AA2E23044CA}"/>
    <cellStyle name="20% - Accent3 10 3" xfId="3161" xr:uid="{4A8F5026-F11D-49B6-893C-16B871521D10}"/>
    <cellStyle name="20% - Accent3 10 3 2" xfId="35887" xr:uid="{72181445-4A6D-42F1-9549-7C5AAEC7BC3A}"/>
    <cellStyle name="20% - Accent3 10 4" xfId="35888" xr:uid="{97C9F8D5-287A-494C-8884-80E5DB46C2B9}"/>
    <cellStyle name="20% - Accent3 10 5" xfId="35889" xr:uid="{6B28C135-A3C2-49A7-A021-E30C5637147C}"/>
    <cellStyle name="20% - Accent3 10 6" xfId="35890" xr:uid="{134CDE45-B859-4CE4-8274-A23BE229DDD4}"/>
    <cellStyle name="20% - Accent3 100" xfId="3162" xr:uid="{FB37F583-2FD3-4549-A3F7-9E15AF05F268}"/>
    <cellStyle name="20% - Accent3 100 2" xfId="3163" xr:uid="{24C49723-8946-4683-BA19-EDAFC7B1B15A}"/>
    <cellStyle name="20% - Accent3 100 3" xfId="35891" xr:uid="{51EF2011-CA8B-48AC-8899-730A1D7BE22B}"/>
    <cellStyle name="20% - Accent3 101" xfId="3164" xr:uid="{97D493CD-3241-4CDD-99D6-00ACB2709AA3}"/>
    <cellStyle name="20% - Accent3 102" xfId="3165" xr:uid="{D07CC436-20A6-4B49-98BF-602CFAF78C3D}"/>
    <cellStyle name="20% - Accent3 103" xfId="3166" xr:uid="{6D35ADA5-8FCE-4EE4-A778-3CEE4486A7F0}"/>
    <cellStyle name="20% - Accent3 104" xfId="3167" xr:uid="{E212878C-3EDC-47E2-8811-04BA3FD7A253}"/>
    <cellStyle name="20% - Accent3 105" xfId="3168" xr:uid="{AF935295-81BE-449E-99E8-F101E4757939}"/>
    <cellStyle name="20% - Accent3 106" xfId="3169" xr:uid="{4A48663C-9C0C-4710-93B4-17BBFE1925D7}"/>
    <cellStyle name="20% - Accent3 107" xfId="3170" xr:uid="{10AACB92-4A9B-4154-A83A-76BBBFACD370}"/>
    <cellStyle name="20% - Accent3 108" xfId="3171" xr:uid="{5E19A7D8-99F8-4255-BEA9-0F026B02FAA2}"/>
    <cellStyle name="20% - Accent3 109" xfId="3172" xr:uid="{A17083C3-6713-413D-AC35-E819CF27CDE1}"/>
    <cellStyle name="20% - Accent3 11" xfId="3173" xr:uid="{31FE0F6C-7B9F-45BB-8481-B2DB487C0A71}"/>
    <cellStyle name="20% - Accent3 11 2" xfId="3174" xr:uid="{6D7668CF-997F-4792-9E84-72C550F4E7C3}"/>
    <cellStyle name="20% - Accent3 11 2 2" xfId="3175" xr:uid="{15150D12-9F02-4142-9C1B-1752C690A2C6}"/>
    <cellStyle name="20% - Accent3 11 2 2 2" xfId="35892" xr:uid="{51E02461-A6AD-47AE-A2C5-553FD633DBA1}"/>
    <cellStyle name="20% - Accent3 11 2 3" xfId="35893" xr:uid="{6B7B3D84-486A-4484-8A46-A5717D191FB1}"/>
    <cellStyle name="20% - Accent3 11 3" xfId="3176" xr:uid="{DBC37E87-46B3-4710-AD91-AB0252A45E8A}"/>
    <cellStyle name="20% - Accent3 11 3 2" xfId="35894" xr:uid="{2A7D2C7C-4B27-4F7C-A8EB-145547DFCC7D}"/>
    <cellStyle name="20% - Accent3 11 4" xfId="35895" xr:uid="{59953469-11D0-46A3-839C-E99958340336}"/>
    <cellStyle name="20% - Accent3 11 5" xfId="35896" xr:uid="{8A9AC894-487C-41FC-BF6C-97829D6EED78}"/>
    <cellStyle name="20% - Accent3 11 6" xfId="35897" xr:uid="{D29B18E7-DAC2-429D-89CC-48389EA66BB2}"/>
    <cellStyle name="20% - Accent3 110" xfId="3177" xr:uid="{15C7F453-8AF7-410D-AB48-A1CCE91EA4FE}"/>
    <cellStyle name="20% - Accent3 111" xfId="3178" xr:uid="{4E74D2B3-2CFF-4BCF-AD97-76E08A49066D}"/>
    <cellStyle name="20% - Accent3 112" xfId="3179" xr:uid="{EB5E9708-B0F5-4F9C-ABDA-AA342175625D}"/>
    <cellStyle name="20% - Accent3 113" xfId="3180" xr:uid="{77E5C655-C1FF-42A9-946D-0476263FD444}"/>
    <cellStyle name="20% - Accent3 114" xfId="3181" xr:uid="{D678E343-C640-4410-A5E0-8FA177F4B587}"/>
    <cellStyle name="20% - Accent3 115" xfId="3182" xr:uid="{E8413B9D-D304-46CF-AF69-9372C3FBD923}"/>
    <cellStyle name="20% - Accent3 116" xfId="3183" xr:uid="{11F33070-5BCE-433E-91EC-CD6E8331DEFA}"/>
    <cellStyle name="20% - Accent3 117" xfId="3184" xr:uid="{D3372972-B979-4E6B-B270-513158CDEC64}"/>
    <cellStyle name="20% - Accent3 118" xfId="3185" xr:uid="{704FC934-85A8-4927-8BC3-A8029C1BB5D1}"/>
    <cellStyle name="20% - Accent3 119" xfId="3186" xr:uid="{269A2686-970D-4AA2-BB99-D40FE16EE350}"/>
    <cellStyle name="20% - Accent3 12" xfId="3187" xr:uid="{89D21D1B-A1D6-4DFF-BC95-986CE38D6460}"/>
    <cellStyle name="20% - Accent3 12 2" xfId="3188" xr:uid="{45B79908-C26C-42B2-9230-C9CBBB0EBE71}"/>
    <cellStyle name="20% - Accent3 12 2 2" xfId="3189" xr:uid="{A60B5081-C2E4-43E8-97F5-F3D90FDCC998}"/>
    <cellStyle name="20% - Accent3 12 2 2 2" xfId="35898" xr:uid="{AD06BDCE-B1F0-478D-932D-C8BB6703FCF8}"/>
    <cellStyle name="20% - Accent3 12 2 3" xfId="35899" xr:uid="{B25CED85-8108-498F-A157-45E7EA295F38}"/>
    <cellStyle name="20% - Accent3 12 3" xfId="3190" xr:uid="{1A971EE8-9997-42EB-B248-071C5B621ED6}"/>
    <cellStyle name="20% - Accent3 12 3 2" xfId="35900" xr:uid="{B44638C9-4C20-4294-B22D-F1F550D088C8}"/>
    <cellStyle name="20% - Accent3 12 4" xfId="35901" xr:uid="{5CF52B8F-3A40-4E5E-AE24-F484A53B4D7D}"/>
    <cellStyle name="20% - Accent3 12 5" xfId="35902" xr:uid="{BFF7E564-3C35-49BB-ABC1-740E657404A1}"/>
    <cellStyle name="20% - Accent3 12 6" xfId="35903" xr:uid="{E1F56F1F-8C26-415F-8E86-41C169035485}"/>
    <cellStyle name="20% - Accent3 120" xfId="3191" xr:uid="{4D627DDB-5E8D-41FD-AC8F-C25D9F644885}"/>
    <cellStyle name="20% - Accent3 121" xfId="3192" xr:uid="{2FB8FEB1-09E2-470A-85B2-59EBD4840AEC}"/>
    <cellStyle name="20% - Accent3 122" xfId="3193" xr:uid="{0DE997DC-A6E4-44D9-8FF5-9EA1AFF7CFDD}"/>
    <cellStyle name="20% - Accent3 123" xfId="3194" xr:uid="{6280B30C-C068-4C79-AB7F-CB4102D92F43}"/>
    <cellStyle name="20% - Accent3 124" xfId="3195" xr:uid="{3EFEC464-202D-4CFA-974D-44919CD226F6}"/>
    <cellStyle name="20% - Accent3 125" xfId="3196" xr:uid="{0B93C4CB-A3A3-4A46-8E97-A2AD02D9FDDF}"/>
    <cellStyle name="20% - Accent3 126" xfId="3197" xr:uid="{85E99713-C267-45C6-B8C6-10444A448FAB}"/>
    <cellStyle name="20% - Accent3 127" xfId="3198" xr:uid="{6E3A5C45-6272-4CAE-B235-64CD80F784F8}"/>
    <cellStyle name="20% - Accent3 128" xfId="3199" xr:uid="{89DF54D0-5924-4F4B-9AB3-189F56E995AA}"/>
    <cellStyle name="20% - Accent3 129" xfId="3200" xr:uid="{8B0E1841-74B8-46F2-BD18-E5F7C456CFEB}"/>
    <cellStyle name="20% - Accent3 13" xfId="3201" xr:uid="{B3A0216E-4A72-44AF-9A5C-BFC1D985F595}"/>
    <cellStyle name="20% - Accent3 13 2" xfId="3202" xr:uid="{811E005B-AC9C-4FC1-BC5B-4BD5DACAC072}"/>
    <cellStyle name="20% - Accent3 13 2 2" xfId="3203" xr:uid="{9181BC0C-6759-4291-8A14-728678BA3297}"/>
    <cellStyle name="20% - Accent3 13 2 2 2" xfId="35904" xr:uid="{95B38219-6FE6-42AC-9C56-44FDC95BF54A}"/>
    <cellStyle name="20% - Accent3 13 2 3" xfId="35905" xr:uid="{CAFDD1E4-3F3F-4F52-B13C-3BF55D76454F}"/>
    <cellStyle name="20% - Accent3 13 3" xfId="3204" xr:uid="{B8F278C5-DE1D-4999-BED4-67CADAB536DF}"/>
    <cellStyle name="20% - Accent3 13 3 2" xfId="35906" xr:uid="{E9CB80DD-E133-402A-8DFC-9DB6E1494A8D}"/>
    <cellStyle name="20% - Accent3 13 4" xfId="35907" xr:uid="{03FF2592-6D5D-46C6-9396-5C0E9B6EC15B}"/>
    <cellStyle name="20% - Accent3 13 5" xfId="35908" xr:uid="{93438AC3-712C-4B6A-9D99-7E8353822519}"/>
    <cellStyle name="20% - Accent3 13 6" xfId="35909" xr:uid="{A008D84C-DA80-44F2-9F0A-A242204D92B1}"/>
    <cellStyle name="20% - Accent3 130" xfId="3205" xr:uid="{DDA3A1AA-A772-4CB3-975A-C055D170BEA6}"/>
    <cellStyle name="20% - Accent3 131" xfId="3206" xr:uid="{1FB434B8-DEFA-40AF-A2BC-3CD509E13040}"/>
    <cellStyle name="20% - Accent3 132" xfId="3207" xr:uid="{EA544E3C-647D-4052-9ED7-BC5B9B1648DD}"/>
    <cellStyle name="20% - Accent3 133" xfId="3208" xr:uid="{08ECA90F-4BFE-4AF9-8FC6-D9B1C63A4B43}"/>
    <cellStyle name="20% - Accent3 134" xfId="3209" xr:uid="{286467B0-63A7-4F3A-8D15-21C33F620C64}"/>
    <cellStyle name="20% - Accent3 135" xfId="3210" xr:uid="{F43B8BA1-FC87-4718-ABDB-713FC25A8DD6}"/>
    <cellStyle name="20% - Accent3 136" xfId="3211" xr:uid="{4F66F40B-7A50-46D0-B0E4-FF7168CDCE28}"/>
    <cellStyle name="20% - Accent3 137" xfId="3212" xr:uid="{AC24BFB7-C901-4896-BD63-AA980B6551C7}"/>
    <cellStyle name="20% - Accent3 138" xfId="3213" xr:uid="{7C59900D-77AE-47E7-B5C2-2A8D1874DFF1}"/>
    <cellStyle name="20% - Accent3 139" xfId="3214" xr:uid="{C77BA109-0D4F-4558-834C-E55E5436782E}"/>
    <cellStyle name="20% - Accent3 14" xfId="3215" xr:uid="{31ECA4AB-2451-46F9-961A-153C4D92ABD1}"/>
    <cellStyle name="20% - Accent3 14 2" xfId="3216" xr:uid="{566E115E-2E18-4CB9-8D5A-BEC5CEAFCA1C}"/>
    <cellStyle name="20% - Accent3 14 2 2" xfId="3217" xr:uid="{0CDB7A94-A62F-485D-AC6C-ABB3F47BE3E1}"/>
    <cellStyle name="20% - Accent3 14 2 2 2" xfId="35910" xr:uid="{CACEC266-805C-4A0F-B5EA-E6FD378DD119}"/>
    <cellStyle name="20% - Accent3 14 2 3" xfId="35911" xr:uid="{62E0CD93-0E2C-428A-B403-DE41FC47D9DB}"/>
    <cellStyle name="20% - Accent3 14 3" xfId="3218" xr:uid="{4FB19731-638F-42F7-9D15-BC83E008BE6C}"/>
    <cellStyle name="20% - Accent3 14 3 2" xfId="35912" xr:uid="{4AB2BC45-55BD-4EB0-BD5F-07FD36328966}"/>
    <cellStyle name="20% - Accent3 14 4" xfId="35913" xr:uid="{A7B73505-3500-46EC-9EBA-FF2E735D6EBD}"/>
    <cellStyle name="20% - Accent3 14 5" xfId="35914" xr:uid="{E8FB6393-1722-4C3B-AED2-168226C696F1}"/>
    <cellStyle name="20% - Accent3 14 6" xfId="35915" xr:uid="{04E64BA1-6989-4248-8EC3-68B8A92CE484}"/>
    <cellStyle name="20% - Accent3 140" xfId="3219" xr:uid="{6DA78A5B-BDAF-4E88-BCEB-5AC7EBD38B40}"/>
    <cellStyle name="20% - Accent3 141" xfId="3220" xr:uid="{D4190396-923F-4CC5-A609-2F939C60F417}"/>
    <cellStyle name="20% - Accent3 142" xfId="3221" xr:uid="{5B0D635F-CFBD-4CF3-A011-CAFF6A455901}"/>
    <cellStyle name="20% - Accent3 143" xfId="3222" xr:uid="{51C3EAEC-A225-4295-8E43-BECB768FA812}"/>
    <cellStyle name="20% - Accent3 144" xfId="3223" xr:uid="{2CABA2C1-D3E4-4505-97C6-DAEE336F3CCB}"/>
    <cellStyle name="20% - Accent3 145" xfId="3224" xr:uid="{0EB95B31-04F7-4CEB-88FD-A6611F1BBFA0}"/>
    <cellStyle name="20% - Accent3 146" xfId="3225" xr:uid="{92CDBB72-CF39-41EA-A16F-CB27F5238F3E}"/>
    <cellStyle name="20% - Accent3 147" xfId="3226" xr:uid="{B8E77205-651E-471E-A6E6-3E707BCA297A}"/>
    <cellStyle name="20% - Accent3 148" xfId="3227" xr:uid="{002D941B-1B6B-430B-936A-4B6E98082411}"/>
    <cellStyle name="20% - Accent3 149" xfId="3228" xr:uid="{F8E62BDB-71CD-49A5-89C0-8AF0D33C2C77}"/>
    <cellStyle name="20% - Accent3 15" xfId="3229" xr:uid="{3983A527-6711-4EAA-B5E1-144AF0713C75}"/>
    <cellStyle name="20% - Accent3 15 2" xfId="3230" xr:uid="{AB8ACC3A-555C-480D-BA35-A84EE577D792}"/>
    <cellStyle name="20% - Accent3 15 2 2" xfId="3231" xr:uid="{9CAE60EB-80DB-4A68-8BE8-868A8F30FE3F}"/>
    <cellStyle name="20% - Accent3 15 2 2 2" xfId="35916" xr:uid="{5A4477B0-356F-471A-B9A9-386DA460A532}"/>
    <cellStyle name="20% - Accent3 15 2 3" xfId="35917" xr:uid="{CBFE452F-DF7E-4279-9E61-542B008F4D35}"/>
    <cellStyle name="20% - Accent3 15 3" xfId="3232" xr:uid="{0CEF58BB-D42A-45D4-9BCC-A446A8F84B35}"/>
    <cellStyle name="20% - Accent3 15 3 2" xfId="35918" xr:uid="{283AEA58-6287-4B89-9C87-D278D0D2D1AB}"/>
    <cellStyle name="20% - Accent3 15 4" xfId="35919" xr:uid="{44338DFB-A19D-4F34-BD21-F5C342FE32A0}"/>
    <cellStyle name="20% - Accent3 15 5" xfId="35920" xr:uid="{0A2A768C-B077-4158-8E4A-C31BAB5FDADF}"/>
    <cellStyle name="20% - Accent3 15 6" xfId="35921" xr:uid="{EF86434C-2D2F-452E-921C-D548593F7F00}"/>
    <cellStyle name="20% - Accent3 150" xfId="3233" xr:uid="{A40CE36A-25A5-4DC7-8DC0-AC59B434CD0D}"/>
    <cellStyle name="20% - Accent3 151" xfId="3234" xr:uid="{4F083D0A-0D5E-4938-B7FD-D3AFE210D5B4}"/>
    <cellStyle name="20% - Accent3 152" xfId="3235" xr:uid="{9765B17A-5279-468A-ABA0-86614620EF56}"/>
    <cellStyle name="20% - Accent3 153" xfId="3236" xr:uid="{F427568F-8EDD-4D99-B0F2-190CD28D839A}"/>
    <cellStyle name="20% - Accent3 154" xfId="3237" xr:uid="{64CCBEC1-710F-4D8A-BDC2-8A0614B299ED}"/>
    <cellStyle name="20% - Accent3 155" xfId="3238" xr:uid="{5EA5CFEA-1207-4815-9074-A746E895C263}"/>
    <cellStyle name="20% - Accent3 156" xfId="3239" xr:uid="{2173695B-6E98-4091-AD26-C6B360093680}"/>
    <cellStyle name="20% - Accent3 157" xfId="3240" xr:uid="{397FB7CD-2B49-43FA-AFD7-49DB3965827A}"/>
    <cellStyle name="20% - Accent3 158" xfId="3241" xr:uid="{C95F6555-5E71-4EDA-926B-0631CCA80DEB}"/>
    <cellStyle name="20% - Accent3 159" xfId="3242" xr:uid="{C311CFA8-2120-4CFA-A3A9-341E9ABC6327}"/>
    <cellStyle name="20% - Accent3 16" xfId="3243" xr:uid="{A8364556-CD31-48A6-B55A-D660E4413B26}"/>
    <cellStyle name="20% - Accent3 16 2" xfId="3244" xr:uid="{C3537721-9BD4-4784-9377-E75F3EB2B942}"/>
    <cellStyle name="20% - Accent3 16 2 2" xfId="3245" xr:uid="{47A650B6-5456-4026-A27B-D49A511CEE5D}"/>
    <cellStyle name="20% - Accent3 16 2 2 2" xfId="35922" xr:uid="{14DB2638-1A69-4193-A98A-76B1FE3C6CB2}"/>
    <cellStyle name="20% - Accent3 16 2 3" xfId="35923" xr:uid="{1D4CFDD4-A6FC-4A33-9C81-BE73795490F3}"/>
    <cellStyle name="20% - Accent3 16 3" xfId="3246" xr:uid="{F44BFD90-2CAD-4D80-ABF4-0E57A62381C5}"/>
    <cellStyle name="20% - Accent3 16 3 2" xfId="35924" xr:uid="{D8E721F5-5ED2-4EC0-BC7B-4B8315FFFABC}"/>
    <cellStyle name="20% - Accent3 16 4" xfId="35925" xr:uid="{DCB11B01-B08B-4083-92E1-3CCBB62A85C8}"/>
    <cellStyle name="20% - Accent3 16 5" xfId="35926" xr:uid="{292B1CEE-2CE6-44A0-B9D5-AD80A7D01B37}"/>
    <cellStyle name="20% - Accent3 16 6" xfId="35927" xr:uid="{8D117539-C8E5-48B6-A393-9AC2B4FAD986}"/>
    <cellStyle name="20% - Accent3 160" xfId="3247" xr:uid="{9E5ECE27-A898-47E2-9F5C-B1993FAC58DC}"/>
    <cellStyle name="20% - Accent3 17" xfId="3248" xr:uid="{42E4E2D5-F063-4B40-A573-292C72C6D140}"/>
    <cellStyle name="20% - Accent3 17 2" xfId="3249" xr:uid="{11BB9AAD-7EF3-4395-9C51-513A68E84D52}"/>
    <cellStyle name="20% - Accent3 17 2 2" xfId="3250" xr:uid="{A9384247-E3E6-47A9-98E4-FBE10CFC6B28}"/>
    <cellStyle name="20% - Accent3 17 2 2 2" xfId="35928" xr:uid="{F0A6F564-B7A9-4C1D-BE4B-7F0AC484BFA9}"/>
    <cellStyle name="20% - Accent3 17 2 3" xfId="35929" xr:uid="{FCED8998-6375-43BB-8CB4-94B0F09AEDB9}"/>
    <cellStyle name="20% - Accent3 17 3" xfId="3251" xr:uid="{386B5554-FF9B-4C35-98E8-6A32E2617C66}"/>
    <cellStyle name="20% - Accent3 17 3 2" xfId="35930" xr:uid="{5561BDA0-B46F-41EE-A64E-077D86162E31}"/>
    <cellStyle name="20% - Accent3 17 4" xfId="35931" xr:uid="{E9CC0A88-5A93-414F-B0E9-6BAE47233372}"/>
    <cellStyle name="20% - Accent3 17 5" xfId="35932" xr:uid="{766BFCEC-A03A-46A4-81EC-BB039237F1D0}"/>
    <cellStyle name="20% - Accent3 17 6" xfId="35933" xr:uid="{EE344E04-140D-46DD-BF8A-CB09E4526CC6}"/>
    <cellStyle name="20% - Accent3 18" xfId="3252" xr:uid="{BAAF3A4E-6455-4A0B-AD8D-A5E3C6BBB093}"/>
    <cellStyle name="20% - Accent3 18 2" xfId="3253" xr:uid="{B9E383E2-15C2-4FB2-BD5B-36F8DCF6AA7A}"/>
    <cellStyle name="20% - Accent3 18 2 2" xfId="3254" xr:uid="{CC60B085-4921-4CBD-8067-E2BB14AD0C2A}"/>
    <cellStyle name="20% - Accent3 18 2 2 2" xfId="35934" xr:uid="{0E418FE0-2610-4166-A60B-AEBDF05A5E39}"/>
    <cellStyle name="20% - Accent3 18 2 3" xfId="35935" xr:uid="{4B30636F-38BC-4C50-A5CE-0DC86B47EAC4}"/>
    <cellStyle name="20% - Accent3 18 3" xfId="3255" xr:uid="{8F053A0A-B349-4D3B-93BB-A3131F407EF4}"/>
    <cellStyle name="20% - Accent3 18 3 2" xfId="35936" xr:uid="{387FA79D-1742-4FAF-BDD3-267FDB9E3F07}"/>
    <cellStyle name="20% - Accent3 18 4" xfId="35937" xr:uid="{6890E932-203A-4F6C-BC95-24D33C81CF34}"/>
    <cellStyle name="20% - Accent3 18 5" xfId="35938" xr:uid="{CB50F4DE-2BF5-46D6-9EFC-ADC820BA37AD}"/>
    <cellStyle name="20% - Accent3 18 6" xfId="35939" xr:uid="{9B9F6ED3-1EC2-4751-91FF-A252312A78D7}"/>
    <cellStyle name="20% - Accent3 19" xfId="3256" xr:uid="{D7261B25-D906-47B7-8437-FE381EF97722}"/>
    <cellStyle name="20% - Accent3 19 2" xfId="3257" xr:uid="{0F0AB522-697C-4198-9A19-328A4C105414}"/>
    <cellStyle name="20% - Accent3 19 2 2" xfId="35940" xr:uid="{7E2C4CA7-846C-49D1-8E1D-26E6C3DDB36D}"/>
    <cellStyle name="20% - Accent3 19 3" xfId="35941" xr:uid="{69C58F21-1C7A-426E-827B-D3FE70F1FBCB}"/>
    <cellStyle name="20% - Accent3 19 4" xfId="35942" xr:uid="{F4D0D6C8-6675-44C0-8E91-F5BDC6479AC1}"/>
    <cellStyle name="20% - Accent3 19 5" xfId="35943" xr:uid="{A859B590-4F57-48A1-91DF-5138A3A4243C}"/>
    <cellStyle name="20% - Accent3 2" xfId="3258" xr:uid="{84BDE4CD-D946-485B-A9BD-ACEDAE7EBD0D}"/>
    <cellStyle name="20% - Accent3 2 2" xfId="3259" xr:uid="{9A0793FB-C6C2-472D-965F-E5CF3DFB3DFA}"/>
    <cellStyle name="20% - Accent3 2 2 2" xfId="3260" xr:uid="{A932CC71-EB61-4862-8926-545A92F97CF8}"/>
    <cellStyle name="20% - Accent3 2 2 2 2" xfId="35944" xr:uid="{EAF9CC53-1185-425D-8B9A-65FD75BD88BB}"/>
    <cellStyle name="20% - Accent3 2 2 3" xfId="35945" xr:uid="{0EE7CD5C-5FDB-4B48-8E4C-052C138D4A6D}"/>
    <cellStyle name="20% - Accent3 2 2 4" xfId="35946" xr:uid="{6E3B77A4-CFAB-46D7-B047-54DB8CCD7004}"/>
    <cellStyle name="20% - Accent3 2 3" xfId="3261" xr:uid="{3EBB8587-8A26-40E6-BBF7-DAD232F871EF}"/>
    <cellStyle name="20% - Accent3 2 3 2" xfId="35947" xr:uid="{63A706E4-14D8-4B95-8C69-1DF998247F53}"/>
    <cellStyle name="20% - Accent3 2 3 3" xfId="35948" xr:uid="{C935E9BD-5F72-49A2-847C-96121C446815}"/>
    <cellStyle name="20% - Accent3 2 3 4" xfId="35949" xr:uid="{F05F95E0-1DBC-4517-923D-A635B761260D}"/>
    <cellStyle name="20% - Accent3 2 4" xfId="3262" xr:uid="{C7D22F34-94F2-403F-8098-7E6D56AC3F27}"/>
    <cellStyle name="20% - Accent3 2 4 2" xfId="35950" xr:uid="{6A93A36F-9ADC-480B-ADC6-12E5C543D6D8}"/>
    <cellStyle name="20% - Accent3 2 5" xfId="35951" xr:uid="{9CA1A3F5-05AC-4B57-9CD5-A34E9F9C78F3}"/>
    <cellStyle name="20% - Accent3 2 6" xfId="35952" xr:uid="{00A0ECB0-397E-4A34-A76D-84DFC7B9C9F5}"/>
    <cellStyle name="20% - Accent3 2_Jun 11 details" xfId="3263" xr:uid="{295DFBBE-6CC3-4CDA-84A3-A96E059CF950}"/>
    <cellStyle name="20% - Accent3 20" xfId="3264" xr:uid="{EC3AEABF-37ED-4833-8E4B-EE38B9D1B55F}"/>
    <cellStyle name="20% - Accent3 20 2" xfId="35953" xr:uid="{E0C334E2-0BC1-496D-A9E8-738FFA486264}"/>
    <cellStyle name="20% - Accent3 20 3" xfId="35954" xr:uid="{B5DC6B3C-79C2-4B2C-A0AB-262BAF8C6710}"/>
    <cellStyle name="20% - Accent3 20 4" xfId="35955" xr:uid="{53B5D49F-2739-462C-9BEB-75D4AEF35B9C}"/>
    <cellStyle name="20% - Accent3 21" xfId="3265" xr:uid="{CBB34EA0-D406-4168-8959-0A72C7674043}"/>
    <cellStyle name="20% - Accent3 21 2" xfId="35956" xr:uid="{9649B29B-1D65-4F2F-87F8-7C11B6B9CB16}"/>
    <cellStyle name="20% - Accent3 21 3" xfId="35957" xr:uid="{2937597B-C950-45C1-993B-7B9036AB852D}"/>
    <cellStyle name="20% - Accent3 22" xfId="3266" xr:uid="{84EDC9D0-65CC-48CF-BF70-273FFE032864}"/>
    <cellStyle name="20% - Accent3 22 2" xfId="35958" xr:uid="{135ACF08-C746-4E67-9BEC-FCD506CCAE49}"/>
    <cellStyle name="20% - Accent3 22 3" xfId="35959" xr:uid="{2CDC53A9-8C4D-4E27-B2BB-3E0D0DAA1930}"/>
    <cellStyle name="20% - Accent3 23" xfId="3267" xr:uid="{13DAE38F-ABC4-4981-980D-441BDA417A56}"/>
    <cellStyle name="20% - Accent3 23 2" xfId="35960" xr:uid="{2D447EE6-443A-4299-A577-47FC667F3B4C}"/>
    <cellStyle name="20% - Accent3 24" xfId="3268" xr:uid="{E89F0A25-3412-45E3-829B-604F580FE1B6}"/>
    <cellStyle name="20% - Accent3 24 2" xfId="35961" xr:uid="{41DF6730-E1A4-484D-880C-B87E9E20307F}"/>
    <cellStyle name="20% - Accent3 25" xfId="3269" xr:uid="{848A51C9-A284-45A2-ACC0-872DBBFCE367}"/>
    <cellStyle name="20% - Accent3 25 2" xfId="35962" xr:uid="{4C66C7CB-9B61-4E25-A74A-8C6BC734CA7C}"/>
    <cellStyle name="20% - Accent3 26" xfId="3270" xr:uid="{7CA1B402-D073-4FEA-AABD-4EA83C4A4CFB}"/>
    <cellStyle name="20% - Accent3 26 2" xfId="35963" xr:uid="{2C001922-68EF-40DC-8F3D-D5B160F5DBC7}"/>
    <cellStyle name="20% - Accent3 27" xfId="3271" xr:uid="{9FE96620-AC98-4F37-9E4A-91E058490E50}"/>
    <cellStyle name="20% - Accent3 27 2" xfId="35964" xr:uid="{210B27B3-FF1E-465C-96DC-EF8BE2217938}"/>
    <cellStyle name="20% - Accent3 28" xfId="3272" xr:uid="{940B8E08-D3B2-42AC-8F74-43A41F14B509}"/>
    <cellStyle name="20% - Accent3 28 10" xfId="3273" xr:uid="{1A9CD8A1-E702-4E8B-A9F7-CECF9302A565}"/>
    <cellStyle name="20% - Accent3 28 10 2" xfId="3274" xr:uid="{7736766E-8605-4EFA-944F-C586BD382EC6}"/>
    <cellStyle name="20% - Accent3 28 10 2 2" xfId="3275" xr:uid="{D48C84B2-DBC4-4904-AEA1-EA4FE0D315EE}"/>
    <cellStyle name="20% - Accent3 28 10 2 2 2" xfId="3276" xr:uid="{9711A9CE-EEDA-472E-B807-BD1461C0EC7D}"/>
    <cellStyle name="20% - Accent3 28 10 2 2 2 2" xfId="3277" xr:uid="{C0888343-D9BF-4C38-8A48-C5BDCA8B0EE9}"/>
    <cellStyle name="20% - Accent3 28 10 2 2 3" xfId="3278" xr:uid="{118C3E54-6D21-400A-AD91-D7E5E3047E06}"/>
    <cellStyle name="20% - Accent3 28 10 2 3" xfId="3279" xr:uid="{C9509413-6D7B-4CD8-9D40-2651BD6AB53B}"/>
    <cellStyle name="20% - Accent3 28 10 2 3 2" xfId="3280" xr:uid="{ACB076AB-A586-4EEA-9856-7E8F4755EEAA}"/>
    <cellStyle name="20% - Accent3 28 10 2 3 2 2" xfId="3281" xr:uid="{5A15D93A-5A28-40AE-9D0E-2E1593868937}"/>
    <cellStyle name="20% - Accent3 28 10 2 3 3" xfId="3282" xr:uid="{3CC4F391-E11E-449A-8346-EB4CAA19F35D}"/>
    <cellStyle name="20% - Accent3 28 10 2 4" xfId="3283" xr:uid="{19E619D0-ED11-481B-91AF-17CECDF1C639}"/>
    <cellStyle name="20% - Accent3 28 10 2 4 2" xfId="3284" xr:uid="{D8F7651A-2473-4500-8AA8-EA148E3EF2EB}"/>
    <cellStyle name="20% - Accent3 28 10 2 5" xfId="3285" xr:uid="{4C046171-A1E0-4403-8221-81662077A942}"/>
    <cellStyle name="20% - Accent3 28 10 3" xfId="3286" xr:uid="{A4EC79BE-DFDF-4636-83C4-492FB1038C98}"/>
    <cellStyle name="20% - Accent3 28 10 3 2" xfId="3287" xr:uid="{862D3610-ACAA-48A1-A91A-60A6CAB99924}"/>
    <cellStyle name="20% - Accent3 28 10 3 2 2" xfId="3288" xr:uid="{63C78BEA-1BE4-4A6C-936D-FEAC5CDD7A0D}"/>
    <cellStyle name="20% - Accent3 28 10 3 3" xfId="3289" xr:uid="{E9DF8276-97B2-4B7D-B0AC-6C8D1CE36A81}"/>
    <cellStyle name="20% - Accent3 28 10 4" xfId="3290" xr:uid="{7084D115-7D8F-40F6-970A-F6E7007CF984}"/>
    <cellStyle name="20% - Accent3 28 10 4 2" xfId="3291" xr:uid="{A5100E40-F2F3-4E8F-9D77-3E1E6CCB4E22}"/>
    <cellStyle name="20% - Accent3 28 10 4 2 2" xfId="3292" xr:uid="{B3BE3C45-CCAD-483D-96BE-6C4BE22E7E60}"/>
    <cellStyle name="20% - Accent3 28 10 4 3" xfId="3293" xr:uid="{5D0B164C-9E9E-4954-90C6-E8AF7950E464}"/>
    <cellStyle name="20% - Accent3 28 10 5" xfId="3294" xr:uid="{15BB508F-D85E-44EE-9E96-11C783A18B52}"/>
    <cellStyle name="20% - Accent3 28 10 5 2" xfId="3295" xr:uid="{3429BCAD-51CA-4722-B415-40358A90AD7E}"/>
    <cellStyle name="20% - Accent3 28 10 6" xfId="3296" xr:uid="{ACCEB507-8840-4AFC-93D3-49A83AD1F0EB}"/>
    <cellStyle name="20% - Accent3 28 11" xfId="3297" xr:uid="{551D74C7-D046-4E61-8045-9DA454CABE9E}"/>
    <cellStyle name="20% - Accent3 28 11 2" xfId="3298" xr:uid="{5F198DB2-595A-48E3-8FB1-026003DA980E}"/>
    <cellStyle name="20% - Accent3 28 11 2 2" xfId="3299" xr:uid="{30EFAF30-3462-41EF-8E34-0465F31433CC}"/>
    <cellStyle name="20% - Accent3 28 11 2 2 2" xfId="3300" xr:uid="{EB65CAC4-625A-49DF-B993-BDBE8000A740}"/>
    <cellStyle name="20% - Accent3 28 11 2 3" xfId="3301" xr:uid="{613BF00C-2071-4CB0-AE54-FC2C8095EC21}"/>
    <cellStyle name="20% - Accent3 28 11 3" xfId="3302" xr:uid="{1FB9FFAA-9A58-47C4-8CC2-501C240F26E8}"/>
    <cellStyle name="20% - Accent3 28 11 3 2" xfId="3303" xr:uid="{4E50848F-E595-4BDE-BCAD-98D4725AF4C9}"/>
    <cellStyle name="20% - Accent3 28 11 3 2 2" xfId="3304" xr:uid="{19BD934F-7E2E-4712-AA21-905F19C4C0A6}"/>
    <cellStyle name="20% - Accent3 28 11 3 3" xfId="3305" xr:uid="{DEF251D0-E8E2-4ACB-94B6-07C27975871C}"/>
    <cellStyle name="20% - Accent3 28 11 4" xfId="3306" xr:uid="{D6423F15-27EA-4379-9557-22C708DEEF1E}"/>
    <cellStyle name="20% - Accent3 28 11 4 2" xfId="3307" xr:uid="{42646A99-4F97-4D81-92E4-B57E13BC7C6A}"/>
    <cellStyle name="20% - Accent3 28 11 5" xfId="3308" xr:uid="{5A2CE675-D692-4322-B25C-56427199E829}"/>
    <cellStyle name="20% - Accent3 28 12" xfId="3309" xr:uid="{399093EB-5B6D-4A7A-A131-C05F253CDCF3}"/>
    <cellStyle name="20% - Accent3 28 12 2" xfId="3310" xr:uid="{47C42A6B-F1EB-4D06-973E-ED065890B1C1}"/>
    <cellStyle name="20% - Accent3 28 12 2 2" xfId="3311" xr:uid="{254904DA-0216-4104-8C8D-7BFB709F2F33}"/>
    <cellStyle name="20% - Accent3 28 12 3" xfId="3312" xr:uid="{E57517D0-0043-4273-88B6-809820CAC421}"/>
    <cellStyle name="20% - Accent3 28 13" xfId="3313" xr:uid="{862795B1-49BC-4229-9BC9-B7CBD27505EB}"/>
    <cellStyle name="20% - Accent3 28 13 2" xfId="3314" xr:uid="{B44A8089-05D5-4157-8E6F-41BE4F8EDD9F}"/>
    <cellStyle name="20% - Accent3 28 13 2 2" xfId="3315" xr:uid="{6C1E214D-80E6-4A29-A299-805FEE800389}"/>
    <cellStyle name="20% - Accent3 28 13 3" xfId="3316" xr:uid="{A45D9A3E-D41F-462A-9410-BF7F63C3E1D4}"/>
    <cellStyle name="20% - Accent3 28 14" xfId="3317" xr:uid="{B925BF89-2AF3-4378-96CB-84B48F96CBAF}"/>
    <cellStyle name="20% - Accent3 28 14 2" xfId="3318" xr:uid="{B6ECB816-91A6-4AA2-8E30-3590E53CE532}"/>
    <cellStyle name="20% - Accent3 28 15" xfId="3319" xr:uid="{EA334E18-3E09-4B5E-8F7E-8BCCAD9D9070}"/>
    <cellStyle name="20% - Accent3 28 16" xfId="35965" xr:uid="{80779CA9-4EF9-43A3-8152-F4EC22370B8E}"/>
    <cellStyle name="20% - Accent3 28 2" xfId="3320" xr:uid="{0AA23CCC-45E9-45F3-8D24-D6E4F78CC86F}"/>
    <cellStyle name="20% - Accent3 28 2 2" xfId="3321" xr:uid="{7F7A5834-D891-4D72-B14C-F13CC1D528B6}"/>
    <cellStyle name="20% - Accent3 28 2 2 2" xfId="3322" xr:uid="{68F8EB3E-B0E5-4EE0-823E-F1FF276511A9}"/>
    <cellStyle name="20% - Accent3 28 2 2 2 2" xfId="3323" xr:uid="{87951DAF-69A8-4468-9C2F-C83F919329B8}"/>
    <cellStyle name="20% - Accent3 28 2 2 2 2 2" xfId="3324" xr:uid="{930D401E-5B15-4CE3-A20F-C5507EA1DA12}"/>
    <cellStyle name="20% - Accent3 28 2 2 2 3" xfId="3325" xr:uid="{5EBCBEFA-851B-4E53-B2A2-1CFCBBEC7531}"/>
    <cellStyle name="20% - Accent3 28 2 2 3" xfId="3326" xr:uid="{9236B6EA-2DBC-464D-93DF-354D32C2AEB7}"/>
    <cellStyle name="20% - Accent3 28 2 2 3 2" xfId="3327" xr:uid="{5A77340A-9357-478F-98C7-35B64AB2639C}"/>
    <cellStyle name="20% - Accent3 28 2 2 3 2 2" xfId="3328" xr:uid="{D3C74154-8BBC-400B-93A5-08C826509B72}"/>
    <cellStyle name="20% - Accent3 28 2 2 3 3" xfId="3329" xr:uid="{3FBD306E-AC2E-4833-ABFF-F0BD7D6FC25F}"/>
    <cellStyle name="20% - Accent3 28 2 2 4" xfId="3330" xr:uid="{355B22A2-9B9B-45DA-B29A-3AC65144FD41}"/>
    <cellStyle name="20% - Accent3 28 2 2 4 2" xfId="3331" xr:uid="{51011623-E7FF-4462-8DD9-AD844AF1BD10}"/>
    <cellStyle name="20% - Accent3 28 2 2 5" xfId="3332" xr:uid="{327C1868-C43F-45FC-A3E7-28031AA632F8}"/>
    <cellStyle name="20% - Accent3 28 2 3" xfId="3333" xr:uid="{CF55FA98-A724-440A-8981-4CFA615C436F}"/>
    <cellStyle name="20% - Accent3 28 2 3 2" xfId="3334" xr:uid="{21565EEB-B818-4B31-A359-4DF918A4C4C5}"/>
    <cellStyle name="20% - Accent3 28 2 3 2 2" xfId="3335" xr:uid="{2518A4DA-88D9-4DF4-A56B-E0FE61725AAD}"/>
    <cellStyle name="20% - Accent3 28 2 3 3" xfId="3336" xr:uid="{AB1A820F-33C3-45E0-8904-8E08758374D7}"/>
    <cellStyle name="20% - Accent3 28 2 4" xfId="3337" xr:uid="{45D4EA83-2458-4D93-B85A-530FF1B0E8D4}"/>
    <cellStyle name="20% - Accent3 28 2 4 2" xfId="3338" xr:uid="{F2A80A78-21FC-4F9A-A49A-5D4BACB619E9}"/>
    <cellStyle name="20% - Accent3 28 2 4 2 2" xfId="3339" xr:uid="{44D6632E-7D04-4EE4-A434-5282F24851C3}"/>
    <cellStyle name="20% - Accent3 28 2 4 3" xfId="3340" xr:uid="{3A93E5E8-00F5-495F-AB16-FB5020AACC8E}"/>
    <cellStyle name="20% - Accent3 28 2 5" xfId="3341" xr:uid="{79EB9E60-331B-42F2-B788-E6B7AE1769AA}"/>
    <cellStyle name="20% - Accent3 28 2 5 2" xfId="3342" xr:uid="{49D7ED78-D34E-4BD6-A422-37A5A988F950}"/>
    <cellStyle name="20% - Accent3 28 2 6" xfId="3343" xr:uid="{430DFDA8-FE7C-4267-AA8D-9D5E8E9BA271}"/>
    <cellStyle name="20% - Accent3 28 3" xfId="3344" xr:uid="{188D4D0A-3393-46F0-8A42-315C4797E057}"/>
    <cellStyle name="20% - Accent3 28 3 2" xfId="3345" xr:uid="{0E3D00EB-7084-4F2E-85E4-80A7DB4E71B3}"/>
    <cellStyle name="20% - Accent3 28 3 2 2" xfId="3346" xr:uid="{6536D120-EFFD-40C3-AC89-9EFF4A3F36CF}"/>
    <cellStyle name="20% - Accent3 28 3 2 2 2" xfId="3347" xr:uid="{B287C2AD-923B-4843-B10E-EEB6DECC9C40}"/>
    <cellStyle name="20% - Accent3 28 3 2 2 2 2" xfId="3348" xr:uid="{DEB89675-2F88-47B5-898D-2DFD5918B0A6}"/>
    <cellStyle name="20% - Accent3 28 3 2 2 3" xfId="3349" xr:uid="{C16C751F-1B6C-4CD4-83D8-C75F65F71B2A}"/>
    <cellStyle name="20% - Accent3 28 3 2 3" xfId="3350" xr:uid="{F33CF17C-CDD6-48CC-AA70-5A8CF2968DD4}"/>
    <cellStyle name="20% - Accent3 28 3 2 3 2" xfId="3351" xr:uid="{5C10B6C0-27AC-4505-B959-E24461E4BA00}"/>
    <cellStyle name="20% - Accent3 28 3 2 3 2 2" xfId="3352" xr:uid="{B6F919A2-ACF3-41B6-9FCF-4E1F2406BA57}"/>
    <cellStyle name="20% - Accent3 28 3 2 3 3" xfId="3353" xr:uid="{994E6485-9272-4211-9F70-2C5AA346FFC8}"/>
    <cellStyle name="20% - Accent3 28 3 2 4" xfId="3354" xr:uid="{348621CB-35A5-4375-B7AB-3293565F033E}"/>
    <cellStyle name="20% - Accent3 28 3 2 4 2" xfId="3355" xr:uid="{9684564B-9814-47D7-A65A-C4CEF34D2376}"/>
    <cellStyle name="20% - Accent3 28 3 2 5" xfId="3356" xr:uid="{1CFA99E0-6BB0-4A93-98B3-00C5F39ACAC8}"/>
    <cellStyle name="20% - Accent3 28 3 3" xfId="3357" xr:uid="{AEC0A37D-01DE-4246-841E-F5505BD1F909}"/>
    <cellStyle name="20% - Accent3 28 3 3 2" xfId="3358" xr:uid="{97E62CD4-87A6-4755-92E1-6EA1AEE5B75B}"/>
    <cellStyle name="20% - Accent3 28 3 3 2 2" xfId="3359" xr:uid="{43C0AFB1-8692-481E-A017-1CE3B331E664}"/>
    <cellStyle name="20% - Accent3 28 3 3 3" xfId="3360" xr:uid="{175CB75A-28CB-45B5-A82B-9183FF35CC9A}"/>
    <cellStyle name="20% - Accent3 28 3 4" xfId="3361" xr:uid="{C501702C-DDE4-401F-A0E5-7B35DB8A0A69}"/>
    <cellStyle name="20% - Accent3 28 3 4 2" xfId="3362" xr:uid="{F981B1D8-9285-4C85-B2D2-6F95CB204613}"/>
    <cellStyle name="20% - Accent3 28 3 4 2 2" xfId="3363" xr:uid="{E5382EC8-37F6-4805-80CD-AB9511CBFD58}"/>
    <cellStyle name="20% - Accent3 28 3 4 3" xfId="3364" xr:uid="{D973E11B-4F50-45F5-A4A7-26204732FD23}"/>
    <cellStyle name="20% - Accent3 28 3 5" xfId="3365" xr:uid="{6EA2B528-F6F5-47AE-8857-194031446A55}"/>
    <cellStyle name="20% - Accent3 28 3 5 2" xfId="3366" xr:uid="{B3B62983-7ED8-4A47-9C09-C7C428B9D886}"/>
    <cellStyle name="20% - Accent3 28 3 6" xfId="3367" xr:uid="{558ED6F9-2742-4857-88D5-B7DDDD7AFAEC}"/>
    <cellStyle name="20% - Accent3 28 4" xfId="3368" xr:uid="{CEAF3F68-5312-4844-A9D0-586EE9DE3AE3}"/>
    <cellStyle name="20% - Accent3 28 4 2" xfId="3369" xr:uid="{FD548F8F-6054-437A-9AE7-CD0521594D6D}"/>
    <cellStyle name="20% - Accent3 28 4 2 2" xfId="3370" xr:uid="{80AC9989-751B-41C2-BF48-F77C018F2BB3}"/>
    <cellStyle name="20% - Accent3 28 4 2 2 2" xfId="3371" xr:uid="{AEC2D2D5-8718-45B2-B6F0-1320F7679F70}"/>
    <cellStyle name="20% - Accent3 28 4 2 2 2 2" xfId="3372" xr:uid="{24323158-EE0E-446C-9830-CD9928EAB34F}"/>
    <cellStyle name="20% - Accent3 28 4 2 2 3" xfId="3373" xr:uid="{41893B24-4474-443E-B0EE-3BFBE2E8EDD9}"/>
    <cellStyle name="20% - Accent3 28 4 2 3" xfId="3374" xr:uid="{0DE67AD2-6C08-4B73-9AC2-CE867029B19E}"/>
    <cellStyle name="20% - Accent3 28 4 2 3 2" xfId="3375" xr:uid="{BDD64B61-1042-482B-9C60-CCA5F2DB2CE7}"/>
    <cellStyle name="20% - Accent3 28 4 2 3 2 2" xfId="3376" xr:uid="{0588BB89-02CC-47E5-860B-CD0987A2FBE9}"/>
    <cellStyle name="20% - Accent3 28 4 2 3 3" xfId="3377" xr:uid="{CCFB56E8-3737-478D-B1F6-92BC84BEAF2D}"/>
    <cellStyle name="20% - Accent3 28 4 2 4" xfId="3378" xr:uid="{A9E0B5D1-933F-457E-AD6A-4A4A5DB0DB14}"/>
    <cellStyle name="20% - Accent3 28 4 2 4 2" xfId="3379" xr:uid="{64B548C3-0B5C-43BD-B7D2-D81C22EB334C}"/>
    <cellStyle name="20% - Accent3 28 4 2 5" xfId="3380" xr:uid="{776E724F-A41E-41D3-A845-3E576221DDEE}"/>
    <cellStyle name="20% - Accent3 28 4 3" xfId="3381" xr:uid="{06BDF625-DE58-4831-808B-535CAA879AB5}"/>
    <cellStyle name="20% - Accent3 28 4 3 2" xfId="3382" xr:uid="{B8BBBC68-80C0-46F9-A926-91D630632273}"/>
    <cellStyle name="20% - Accent3 28 4 3 2 2" xfId="3383" xr:uid="{30B867D0-74EC-4E88-918D-8F2541107F57}"/>
    <cellStyle name="20% - Accent3 28 4 3 3" xfId="3384" xr:uid="{985E9612-464A-49D5-BDB2-BCF2869E3570}"/>
    <cellStyle name="20% - Accent3 28 4 4" xfId="3385" xr:uid="{4B3125C4-6889-4119-9BF5-7936CFAF9BFE}"/>
    <cellStyle name="20% - Accent3 28 4 4 2" xfId="3386" xr:uid="{B7B9227A-519A-412D-941B-26809AAFDE77}"/>
    <cellStyle name="20% - Accent3 28 4 4 2 2" xfId="3387" xr:uid="{B38BF8F0-D663-40E1-8D4D-44CB8DC028BA}"/>
    <cellStyle name="20% - Accent3 28 4 4 3" xfId="3388" xr:uid="{2DF7A7BB-3D37-4BC5-AA25-97879727D42A}"/>
    <cellStyle name="20% - Accent3 28 4 5" xfId="3389" xr:uid="{3CD530BD-C4C4-4247-944E-3C5528560B37}"/>
    <cellStyle name="20% - Accent3 28 4 5 2" xfId="3390" xr:uid="{00867252-3B4E-449E-9D91-756E91120557}"/>
    <cellStyle name="20% - Accent3 28 4 6" xfId="3391" xr:uid="{8DD6994E-081E-4256-BA69-99D1CE649F70}"/>
    <cellStyle name="20% - Accent3 28 5" xfId="3392" xr:uid="{9F83D881-E092-4766-A751-1A851EACA2D2}"/>
    <cellStyle name="20% - Accent3 28 5 2" xfId="3393" xr:uid="{07623CD6-0A5E-46A1-838B-960C7B147497}"/>
    <cellStyle name="20% - Accent3 28 5 2 2" xfId="3394" xr:uid="{FEBCC224-6DDA-4856-9668-8CAC00C22A82}"/>
    <cellStyle name="20% - Accent3 28 5 2 2 2" xfId="3395" xr:uid="{B6AA9FD6-F138-4AE7-8EBF-E7C81CEE7228}"/>
    <cellStyle name="20% - Accent3 28 5 2 2 2 2" xfId="3396" xr:uid="{F7ADBF1B-558B-4FAB-A31D-C0AEDDEECC85}"/>
    <cellStyle name="20% - Accent3 28 5 2 2 3" xfId="3397" xr:uid="{DF68CD34-C7CE-4577-AB2B-DCBAA33F2C6A}"/>
    <cellStyle name="20% - Accent3 28 5 2 3" xfId="3398" xr:uid="{6B37CD69-FD54-4D71-9CEB-805BC99ACAA8}"/>
    <cellStyle name="20% - Accent3 28 5 2 3 2" xfId="3399" xr:uid="{A5A1162B-59C4-4532-94EC-87D3A43358EF}"/>
    <cellStyle name="20% - Accent3 28 5 2 3 2 2" xfId="3400" xr:uid="{C5A4691D-C652-415E-974F-315233372AC4}"/>
    <cellStyle name="20% - Accent3 28 5 2 3 3" xfId="3401" xr:uid="{CA96FC61-BD8F-4BFB-8CB0-06F389A1B171}"/>
    <cellStyle name="20% - Accent3 28 5 2 4" xfId="3402" xr:uid="{A5A3E99A-AA1E-4057-85C1-598B40167FC9}"/>
    <cellStyle name="20% - Accent3 28 5 2 4 2" xfId="3403" xr:uid="{46515E65-C07A-4582-BFD9-04523902AC72}"/>
    <cellStyle name="20% - Accent3 28 5 2 5" xfId="3404" xr:uid="{76428BF6-AF22-40D8-8AE8-B99A9688A6E2}"/>
    <cellStyle name="20% - Accent3 28 5 3" xfId="3405" xr:uid="{562B77A0-8479-42BC-A746-E3745A758AED}"/>
    <cellStyle name="20% - Accent3 28 5 3 2" xfId="3406" xr:uid="{C0D25925-C51F-407D-A530-6ED3EAD35B29}"/>
    <cellStyle name="20% - Accent3 28 5 3 2 2" xfId="3407" xr:uid="{FAED33D1-248A-4368-B396-E52BAD315BA0}"/>
    <cellStyle name="20% - Accent3 28 5 3 3" xfId="3408" xr:uid="{095EDC1B-EA24-44E8-8BD7-4948DC142634}"/>
    <cellStyle name="20% - Accent3 28 5 4" xfId="3409" xr:uid="{2C0444CC-419D-4C0C-BE31-20D9B425B6DA}"/>
    <cellStyle name="20% - Accent3 28 5 4 2" xfId="3410" xr:uid="{9CF9C306-98D5-4F5B-A50E-1A888EB0BB6F}"/>
    <cellStyle name="20% - Accent3 28 5 4 2 2" xfId="3411" xr:uid="{2F41A591-6B20-4AB7-A104-25E707EE6191}"/>
    <cellStyle name="20% - Accent3 28 5 4 3" xfId="3412" xr:uid="{8A71AC82-93B2-4D62-A906-2B252EB19A3D}"/>
    <cellStyle name="20% - Accent3 28 5 5" xfId="3413" xr:uid="{43A972CE-4C18-4356-A0A3-9DF41C9ACFC8}"/>
    <cellStyle name="20% - Accent3 28 5 5 2" xfId="3414" xr:uid="{2054A6A7-F3B4-4E38-845F-8449AFA88749}"/>
    <cellStyle name="20% - Accent3 28 5 6" xfId="3415" xr:uid="{FE968ED0-4FE2-4B53-A7B8-027281C01BA9}"/>
    <cellStyle name="20% - Accent3 28 6" xfId="3416" xr:uid="{3F4D0415-6EA6-425A-ADBD-25E3B8565ABE}"/>
    <cellStyle name="20% - Accent3 28 6 2" xfId="3417" xr:uid="{253E4838-1F69-45C0-93F3-0193D3B89B4D}"/>
    <cellStyle name="20% - Accent3 28 6 2 2" xfId="3418" xr:uid="{C60D81D9-9E2C-45E3-89A1-BB5D5FC63937}"/>
    <cellStyle name="20% - Accent3 28 6 2 2 2" xfId="3419" xr:uid="{8C511163-9867-4174-8C16-CA254B3402F8}"/>
    <cellStyle name="20% - Accent3 28 6 2 2 2 2" xfId="3420" xr:uid="{902EFEB6-DBFE-45A4-AB20-EF891A80096B}"/>
    <cellStyle name="20% - Accent3 28 6 2 2 3" xfId="3421" xr:uid="{0BEC0030-2FC9-47FF-A85F-5315547B0FCC}"/>
    <cellStyle name="20% - Accent3 28 6 2 3" xfId="3422" xr:uid="{24B52154-F543-4611-9EC1-ACBCA0F2D765}"/>
    <cellStyle name="20% - Accent3 28 6 2 3 2" xfId="3423" xr:uid="{FBA6BA22-7B6B-421F-835D-E248B249A28B}"/>
    <cellStyle name="20% - Accent3 28 6 2 3 2 2" xfId="3424" xr:uid="{013AC4EE-758D-4A8B-A2F7-02DA2D18741E}"/>
    <cellStyle name="20% - Accent3 28 6 2 3 3" xfId="3425" xr:uid="{09B098E2-88DE-4BBF-87A5-62092647BACF}"/>
    <cellStyle name="20% - Accent3 28 6 2 4" xfId="3426" xr:uid="{A941DC10-18ED-4FB5-AC2A-896FDE0D4AA4}"/>
    <cellStyle name="20% - Accent3 28 6 2 4 2" xfId="3427" xr:uid="{66AA3C1B-C881-4864-B6C5-51AC0AE067EE}"/>
    <cellStyle name="20% - Accent3 28 6 2 5" xfId="3428" xr:uid="{62183129-CB15-44FA-90E1-2026EF6D5DB0}"/>
    <cellStyle name="20% - Accent3 28 6 3" xfId="3429" xr:uid="{A943FA3E-9EC0-4BD7-9FAA-A53507CCA904}"/>
    <cellStyle name="20% - Accent3 28 6 3 2" xfId="3430" xr:uid="{5CC3D773-5CA9-4839-BB1C-03ECF8381C15}"/>
    <cellStyle name="20% - Accent3 28 6 3 2 2" xfId="3431" xr:uid="{04615452-5687-41EB-B7BC-2809E21C00E5}"/>
    <cellStyle name="20% - Accent3 28 6 3 3" xfId="3432" xr:uid="{A7A442E7-E3CC-42C2-80DD-D6BE22DE7D0A}"/>
    <cellStyle name="20% - Accent3 28 6 4" xfId="3433" xr:uid="{51472B4E-25F2-4953-9738-3F527C0592BF}"/>
    <cellStyle name="20% - Accent3 28 6 4 2" xfId="3434" xr:uid="{F2B1D9B6-B058-4D9A-B644-0CEAB43E421E}"/>
    <cellStyle name="20% - Accent3 28 6 4 2 2" xfId="3435" xr:uid="{EA46AB72-DAAB-4EED-BE4D-52FC585C7B00}"/>
    <cellStyle name="20% - Accent3 28 6 4 3" xfId="3436" xr:uid="{BF89F11E-98C3-419B-81B6-8489FA2AABDD}"/>
    <cellStyle name="20% - Accent3 28 6 5" xfId="3437" xr:uid="{2199BA62-FF59-4568-8FA7-81C2AF4981AC}"/>
    <cellStyle name="20% - Accent3 28 6 5 2" xfId="3438" xr:uid="{8FF76A82-2068-4C1A-A022-02DC3C53B383}"/>
    <cellStyle name="20% - Accent3 28 6 6" xfId="3439" xr:uid="{C11863AA-6455-4EC9-91B6-B08B90A5D15C}"/>
    <cellStyle name="20% - Accent3 28 7" xfId="3440" xr:uid="{8B235BF3-9236-4C4E-BA37-7052C7F839EE}"/>
    <cellStyle name="20% - Accent3 28 7 2" xfId="3441" xr:uid="{0F65C8DA-7D58-4E29-9E9B-4233058DC58A}"/>
    <cellStyle name="20% - Accent3 28 7 2 2" xfId="3442" xr:uid="{537192E0-101A-4928-9D21-2EC10F6339FD}"/>
    <cellStyle name="20% - Accent3 28 7 2 2 2" xfId="3443" xr:uid="{41DC60E7-0340-4AF7-82F7-FB043BD218E6}"/>
    <cellStyle name="20% - Accent3 28 7 2 2 2 2" xfId="3444" xr:uid="{5C1A0E05-83E1-44CC-8356-C543FCBD08D4}"/>
    <cellStyle name="20% - Accent3 28 7 2 2 3" xfId="3445" xr:uid="{557F4DC6-EA94-49D5-81DB-6B88BFBF7FE4}"/>
    <cellStyle name="20% - Accent3 28 7 2 3" xfId="3446" xr:uid="{FE2B7F8F-EF87-4C77-9AC9-A3A2189E0EB9}"/>
    <cellStyle name="20% - Accent3 28 7 2 3 2" xfId="3447" xr:uid="{60DF2DD6-0F2D-49B4-BDBF-D9FE73B2DD2F}"/>
    <cellStyle name="20% - Accent3 28 7 2 3 2 2" xfId="3448" xr:uid="{0F89F483-3DFA-41EE-B8F6-0D4EDC34B64F}"/>
    <cellStyle name="20% - Accent3 28 7 2 3 3" xfId="3449" xr:uid="{648F015D-1DA1-4B76-98D9-136B2B90F66B}"/>
    <cellStyle name="20% - Accent3 28 7 2 4" xfId="3450" xr:uid="{7B8C726F-6763-4A4E-90E4-2D1A7D39A08B}"/>
    <cellStyle name="20% - Accent3 28 7 2 4 2" xfId="3451" xr:uid="{3507D391-DD67-4EA5-819F-E2EE0C109323}"/>
    <cellStyle name="20% - Accent3 28 7 2 5" xfId="3452" xr:uid="{73EB167E-B527-4747-AFFD-D0038FAF7FA9}"/>
    <cellStyle name="20% - Accent3 28 7 3" xfId="3453" xr:uid="{D37D7241-2C07-477A-A9AC-065BD225CAB5}"/>
    <cellStyle name="20% - Accent3 28 7 3 2" xfId="3454" xr:uid="{568E47E6-ADC0-4932-B560-5C4BDBC24C9C}"/>
    <cellStyle name="20% - Accent3 28 7 3 2 2" xfId="3455" xr:uid="{D33627BC-2506-4BDF-9196-F4ABB58750E7}"/>
    <cellStyle name="20% - Accent3 28 7 3 3" xfId="3456" xr:uid="{E159741A-CCDC-4232-BC22-E065453D97B3}"/>
    <cellStyle name="20% - Accent3 28 7 4" xfId="3457" xr:uid="{404C889E-E026-4809-BCA3-5FFD0BC38B34}"/>
    <cellStyle name="20% - Accent3 28 7 4 2" xfId="3458" xr:uid="{8ED34E12-85B5-4A4B-BCD0-957E7D37A214}"/>
    <cellStyle name="20% - Accent3 28 7 4 2 2" xfId="3459" xr:uid="{DFB9BA6D-A519-4B89-9D6B-113B920D7550}"/>
    <cellStyle name="20% - Accent3 28 7 4 3" xfId="3460" xr:uid="{DAE27987-5073-4D9D-88CC-77605DF2D254}"/>
    <cellStyle name="20% - Accent3 28 7 5" xfId="3461" xr:uid="{7ED751FB-233C-4545-B79C-92D4AC78DE7A}"/>
    <cellStyle name="20% - Accent3 28 7 5 2" xfId="3462" xr:uid="{C8B49090-BAFD-4AA1-8C7E-C57AF05AADD6}"/>
    <cellStyle name="20% - Accent3 28 7 6" xfId="3463" xr:uid="{CDA2964B-465A-4979-B164-4C5E89951FF4}"/>
    <cellStyle name="20% - Accent3 28 8" xfId="3464" xr:uid="{A253729E-FFAC-4ED7-9D7A-D7DB0ADCBDD5}"/>
    <cellStyle name="20% - Accent3 28 8 2" xfId="3465" xr:uid="{D5F2CE19-DA7F-407C-A2C2-DAD264189A81}"/>
    <cellStyle name="20% - Accent3 28 8 2 2" xfId="3466" xr:uid="{CA6E75BB-AD76-4FDF-B893-385842B72B90}"/>
    <cellStyle name="20% - Accent3 28 8 2 2 2" xfId="3467" xr:uid="{B16424E7-C53A-47C2-9799-C8A8354C440C}"/>
    <cellStyle name="20% - Accent3 28 8 2 2 2 2" xfId="3468" xr:uid="{0FF83BC5-A9CB-49C7-A5FE-710A65FB5F17}"/>
    <cellStyle name="20% - Accent3 28 8 2 2 3" xfId="3469" xr:uid="{3CF26167-4AA6-4829-BD7B-5E55FF6807B4}"/>
    <cellStyle name="20% - Accent3 28 8 2 3" xfId="3470" xr:uid="{9CE9384C-BA57-4E4C-83ED-CD3A33DCF2E5}"/>
    <cellStyle name="20% - Accent3 28 8 2 3 2" xfId="3471" xr:uid="{92A8A9C3-DF86-4ABF-BC6E-93780ED3C604}"/>
    <cellStyle name="20% - Accent3 28 8 2 3 2 2" xfId="3472" xr:uid="{29288E22-805A-453C-BDCA-643659E4D883}"/>
    <cellStyle name="20% - Accent3 28 8 2 3 3" xfId="3473" xr:uid="{05EE1073-A25E-4A79-9918-75291217A741}"/>
    <cellStyle name="20% - Accent3 28 8 2 4" xfId="3474" xr:uid="{9018A624-7FFD-41B0-B05F-1106754E64B8}"/>
    <cellStyle name="20% - Accent3 28 8 2 4 2" xfId="3475" xr:uid="{49A9FBC9-23AA-4C82-9190-CD7099519576}"/>
    <cellStyle name="20% - Accent3 28 8 2 5" xfId="3476" xr:uid="{943D0AB0-95FC-44B2-9B15-3E9AA5811D48}"/>
    <cellStyle name="20% - Accent3 28 8 3" xfId="3477" xr:uid="{2C2DEB06-4F52-4105-8A62-340CC69DAD5F}"/>
    <cellStyle name="20% - Accent3 28 8 3 2" xfId="3478" xr:uid="{FB268FBC-D782-4000-9AC1-4E0B23A33CEE}"/>
    <cellStyle name="20% - Accent3 28 8 3 2 2" xfId="3479" xr:uid="{515E4CB5-A968-4535-A872-61B0C9A3DEC8}"/>
    <cellStyle name="20% - Accent3 28 8 3 3" xfId="3480" xr:uid="{CC0F0B94-6A95-41A8-B891-21B08378D279}"/>
    <cellStyle name="20% - Accent3 28 8 4" xfId="3481" xr:uid="{7630797F-8A3B-4644-B3DD-C70228AA5726}"/>
    <cellStyle name="20% - Accent3 28 8 4 2" xfId="3482" xr:uid="{7907E6C2-5DB2-4778-833D-996D8C412335}"/>
    <cellStyle name="20% - Accent3 28 8 4 2 2" xfId="3483" xr:uid="{C99729B8-795B-4B5F-B9B3-0ABF14EEC0B2}"/>
    <cellStyle name="20% - Accent3 28 8 4 3" xfId="3484" xr:uid="{4EEF6E43-5507-4E6B-900F-114918EC51B3}"/>
    <cellStyle name="20% - Accent3 28 8 5" xfId="3485" xr:uid="{503E545A-CC4E-440A-8DDC-4E29F850F6D9}"/>
    <cellStyle name="20% - Accent3 28 8 5 2" xfId="3486" xr:uid="{05E6CFDB-9713-48C7-B792-BCB409266FC7}"/>
    <cellStyle name="20% - Accent3 28 8 6" xfId="3487" xr:uid="{B3F906C1-DD76-480B-A7BB-B28CD6F004C7}"/>
    <cellStyle name="20% - Accent3 28 9" xfId="3488" xr:uid="{2A866356-9AC8-4B96-BBC2-BDC51CF28583}"/>
    <cellStyle name="20% - Accent3 28 9 2" xfId="3489" xr:uid="{0AEAAB2F-525A-470E-AF54-4E02E57F3EE2}"/>
    <cellStyle name="20% - Accent3 28 9 2 2" xfId="3490" xr:uid="{D7C0E004-CB76-45E4-8BD3-C1EAFC660D1A}"/>
    <cellStyle name="20% - Accent3 28 9 2 2 2" xfId="3491" xr:uid="{022D2D3B-4167-4999-BC24-8D6F6EE7F9C5}"/>
    <cellStyle name="20% - Accent3 28 9 2 2 2 2" xfId="3492" xr:uid="{621295A7-ED31-44D8-8759-51B2FE67E43A}"/>
    <cellStyle name="20% - Accent3 28 9 2 2 3" xfId="3493" xr:uid="{DFEFEB2B-E9D0-4FB4-AEF0-DB269F022EA8}"/>
    <cellStyle name="20% - Accent3 28 9 2 3" xfId="3494" xr:uid="{BCB3EA12-C4B9-4527-B1B9-8C28D2297203}"/>
    <cellStyle name="20% - Accent3 28 9 2 3 2" xfId="3495" xr:uid="{1D52CF58-704F-4F6A-AAE4-2B2D32757D1F}"/>
    <cellStyle name="20% - Accent3 28 9 2 3 2 2" xfId="3496" xr:uid="{C7F8F93A-DD21-4900-B4BF-B30F8056B97A}"/>
    <cellStyle name="20% - Accent3 28 9 2 3 3" xfId="3497" xr:uid="{B21D9AC7-80E1-478B-9600-8FC485C97CF1}"/>
    <cellStyle name="20% - Accent3 28 9 2 4" xfId="3498" xr:uid="{AE56EEF0-C312-459C-83AF-67CC394BEDD4}"/>
    <cellStyle name="20% - Accent3 28 9 2 4 2" xfId="3499" xr:uid="{06B9270F-A743-49DB-ADE6-EF3DFD73464F}"/>
    <cellStyle name="20% - Accent3 28 9 2 5" xfId="3500" xr:uid="{1FC400BE-338C-4BA1-BC96-8A0B40C069ED}"/>
    <cellStyle name="20% - Accent3 28 9 3" xfId="3501" xr:uid="{6867070D-9772-4855-8A1A-ED9F9DF43AD7}"/>
    <cellStyle name="20% - Accent3 28 9 3 2" xfId="3502" xr:uid="{A1EB00A9-E9B6-485E-B139-08D954C4F529}"/>
    <cellStyle name="20% - Accent3 28 9 3 2 2" xfId="3503" xr:uid="{43DA4F31-4B33-40E7-8805-1302F838DF54}"/>
    <cellStyle name="20% - Accent3 28 9 3 3" xfId="3504" xr:uid="{A2DA45C7-E3A5-4327-B8B8-873C1A0A9D73}"/>
    <cellStyle name="20% - Accent3 28 9 4" xfId="3505" xr:uid="{D44F77A5-9123-452B-A578-D9325B7C243F}"/>
    <cellStyle name="20% - Accent3 28 9 4 2" xfId="3506" xr:uid="{6A0C31FB-19A8-4B75-ADCD-7E4B2C649FD4}"/>
    <cellStyle name="20% - Accent3 28 9 4 2 2" xfId="3507" xr:uid="{E6A86AE4-AE9F-4388-ADD3-FBDEB3D83C82}"/>
    <cellStyle name="20% - Accent3 28 9 4 3" xfId="3508" xr:uid="{1F8F0FAA-4937-4722-85B1-581B4E1DD53B}"/>
    <cellStyle name="20% - Accent3 28 9 5" xfId="3509" xr:uid="{D1D55800-D16F-4F67-9F77-5CA2C087FBFE}"/>
    <cellStyle name="20% - Accent3 28 9 5 2" xfId="3510" xr:uid="{7FE5CA57-EDFD-432D-B649-3F8A56B50A6C}"/>
    <cellStyle name="20% - Accent3 28 9 6" xfId="3511" xr:uid="{EA442E6E-0F39-4FBD-A4CB-C7D67DA8DB24}"/>
    <cellStyle name="20% - Accent3 29" xfId="3512" xr:uid="{FA2163AD-BC36-44A9-A2EA-1728E253B829}"/>
    <cellStyle name="20% - Accent3 29 10" xfId="3513" xr:uid="{C6E11986-3EFC-49CC-B43D-DE0FECE11856}"/>
    <cellStyle name="20% - Accent3 29 10 2" xfId="3514" xr:uid="{48FC1366-EF1B-4705-8791-83CF9CCFF84A}"/>
    <cellStyle name="20% - Accent3 29 10 2 2" xfId="3515" xr:uid="{DD3B4983-631B-4136-B586-6B2208D6276D}"/>
    <cellStyle name="20% - Accent3 29 10 2 2 2" xfId="3516" xr:uid="{E4B4B00D-916D-4442-BAC4-9AFBBFFA4753}"/>
    <cellStyle name="20% - Accent3 29 10 2 2 2 2" xfId="3517" xr:uid="{67A24B86-378A-4C84-B3FA-9362318EB51D}"/>
    <cellStyle name="20% - Accent3 29 10 2 2 3" xfId="3518" xr:uid="{C9D0499B-9B3A-4945-BA35-241F5307E5D7}"/>
    <cellStyle name="20% - Accent3 29 10 2 3" xfId="3519" xr:uid="{4F6910EF-2103-4946-B6C7-68E4E1F19C04}"/>
    <cellStyle name="20% - Accent3 29 10 2 3 2" xfId="3520" xr:uid="{FE03C6E4-2661-40D5-BCC4-5C4F14434D0A}"/>
    <cellStyle name="20% - Accent3 29 10 2 3 2 2" xfId="3521" xr:uid="{7810F604-979E-465F-8BDE-D11DC571828C}"/>
    <cellStyle name="20% - Accent3 29 10 2 3 3" xfId="3522" xr:uid="{AE540682-AAA6-4076-A8D5-D1095B4E8621}"/>
    <cellStyle name="20% - Accent3 29 10 2 4" xfId="3523" xr:uid="{5DE8B1AC-3F60-4969-B6B6-B3CD2F972E5B}"/>
    <cellStyle name="20% - Accent3 29 10 2 4 2" xfId="3524" xr:uid="{D930E9FA-A289-481C-B7B3-FC56B878AC77}"/>
    <cellStyle name="20% - Accent3 29 10 2 5" xfId="3525" xr:uid="{8DB44419-C397-4153-A7DE-5716B8350726}"/>
    <cellStyle name="20% - Accent3 29 10 3" xfId="3526" xr:uid="{3C642ED6-9DEF-4D6D-9AA8-BC15BF3EC866}"/>
    <cellStyle name="20% - Accent3 29 10 3 2" xfId="3527" xr:uid="{2709BE48-E781-4450-9BB6-6540BDA242B2}"/>
    <cellStyle name="20% - Accent3 29 10 3 2 2" xfId="3528" xr:uid="{9B97E1CB-2FD5-44FE-BB4A-A6C69C7E9564}"/>
    <cellStyle name="20% - Accent3 29 10 3 3" xfId="3529" xr:uid="{BE339A5F-6BA0-4310-8063-EFF70399AB62}"/>
    <cellStyle name="20% - Accent3 29 10 4" xfId="3530" xr:uid="{0958531C-2EFC-4092-8B3A-3091085A67BE}"/>
    <cellStyle name="20% - Accent3 29 10 4 2" xfId="3531" xr:uid="{FB76B369-ED86-4517-A931-7065CFC348AB}"/>
    <cellStyle name="20% - Accent3 29 10 4 2 2" xfId="3532" xr:uid="{73C5CCDF-2D46-4DA8-990E-8A8F8439AE44}"/>
    <cellStyle name="20% - Accent3 29 10 4 3" xfId="3533" xr:uid="{F0DE35F9-930F-48A4-8E4B-58C09A403248}"/>
    <cellStyle name="20% - Accent3 29 10 5" xfId="3534" xr:uid="{23038804-E0F0-44FC-8C88-B15E6D23234A}"/>
    <cellStyle name="20% - Accent3 29 10 5 2" xfId="3535" xr:uid="{B7E1551F-EE4A-4E2D-89C0-5CF7ED99AD3D}"/>
    <cellStyle name="20% - Accent3 29 10 6" xfId="3536" xr:uid="{0E6AF90E-9CC6-495C-9CC9-A00CC3932046}"/>
    <cellStyle name="20% - Accent3 29 11" xfId="3537" xr:uid="{3919C4B0-D35B-4683-8A06-F531212A1D34}"/>
    <cellStyle name="20% - Accent3 29 11 2" xfId="3538" xr:uid="{45FBBE67-8D2D-4BFB-8574-8C82DD210124}"/>
    <cellStyle name="20% - Accent3 29 11 2 2" xfId="3539" xr:uid="{2DF865FF-496C-4F8F-8823-7E96BC0961EC}"/>
    <cellStyle name="20% - Accent3 29 11 2 2 2" xfId="3540" xr:uid="{BA129EEC-2016-4673-9FC6-EBA58A3789D7}"/>
    <cellStyle name="20% - Accent3 29 11 2 3" xfId="3541" xr:uid="{7BDA80D3-A6E8-403E-B91D-8719D1C4D33F}"/>
    <cellStyle name="20% - Accent3 29 11 3" xfId="3542" xr:uid="{F4E6E246-CE3B-4527-8D2F-415C2B5B0DA6}"/>
    <cellStyle name="20% - Accent3 29 11 3 2" xfId="3543" xr:uid="{421366B0-3FD1-421D-BF3B-61266512C78C}"/>
    <cellStyle name="20% - Accent3 29 11 3 2 2" xfId="3544" xr:uid="{F7710B09-ED64-4B27-B40F-EA69F371AF33}"/>
    <cellStyle name="20% - Accent3 29 11 3 3" xfId="3545" xr:uid="{C5439C83-EE05-4D75-8EB1-4F2611678174}"/>
    <cellStyle name="20% - Accent3 29 11 4" xfId="3546" xr:uid="{F12F5872-1F30-443C-8AE9-12274E917E2A}"/>
    <cellStyle name="20% - Accent3 29 11 4 2" xfId="3547" xr:uid="{E2D1CE1D-7BAF-4E0F-B4BE-34A78684AF87}"/>
    <cellStyle name="20% - Accent3 29 11 5" xfId="3548" xr:uid="{3A9921CF-9676-448B-A8B0-65C2290F97B4}"/>
    <cellStyle name="20% - Accent3 29 12" xfId="3549" xr:uid="{D130DDE0-605F-4D9F-9252-430B25E2BC15}"/>
    <cellStyle name="20% - Accent3 29 12 2" xfId="3550" xr:uid="{FC090EA5-90A4-4F1A-84FB-AE114FD5B6C4}"/>
    <cellStyle name="20% - Accent3 29 12 2 2" xfId="3551" xr:uid="{17E62FAE-9ABC-449E-8667-9005E08CC8F3}"/>
    <cellStyle name="20% - Accent3 29 12 3" xfId="3552" xr:uid="{20921114-A572-4AEE-9275-30E6587F53F4}"/>
    <cellStyle name="20% - Accent3 29 13" xfId="3553" xr:uid="{E18AFD46-50A1-4169-AF76-9FA7F8E7B230}"/>
    <cellStyle name="20% - Accent3 29 13 2" xfId="3554" xr:uid="{FFC1C9EB-6E5F-44A9-AD25-27C5219A82FD}"/>
    <cellStyle name="20% - Accent3 29 13 2 2" xfId="3555" xr:uid="{7EDC1DD2-D0B9-4BE3-BF75-E6616D028AAE}"/>
    <cellStyle name="20% - Accent3 29 13 3" xfId="3556" xr:uid="{81321599-4792-45FC-ADC8-B30585FD3510}"/>
    <cellStyle name="20% - Accent3 29 14" xfId="3557" xr:uid="{02158072-21E5-4174-9CBB-E867FAD2F2E8}"/>
    <cellStyle name="20% - Accent3 29 14 2" xfId="3558" xr:uid="{435D6C98-180A-4195-ADB4-76CC9616418E}"/>
    <cellStyle name="20% - Accent3 29 15" xfId="3559" xr:uid="{485DED8B-19A1-4074-AE37-AD77208F6CB0}"/>
    <cellStyle name="20% - Accent3 29 16" xfId="35966" xr:uid="{005C8FCC-5C01-4BEA-8954-402E2E840CFD}"/>
    <cellStyle name="20% - Accent3 29 2" xfId="3560" xr:uid="{67D94F74-23AE-466E-ADC5-F9ACBAFE7F55}"/>
    <cellStyle name="20% - Accent3 29 2 2" xfId="3561" xr:uid="{1EA1A8EA-3675-4448-8317-7092BE528FC4}"/>
    <cellStyle name="20% - Accent3 29 2 2 2" xfId="3562" xr:uid="{8D7576ED-1F82-41F7-A363-6A0721EF9B5A}"/>
    <cellStyle name="20% - Accent3 29 2 2 2 2" xfId="3563" xr:uid="{153E812E-C77B-4F3C-B3FC-8160F451CE69}"/>
    <cellStyle name="20% - Accent3 29 2 2 2 2 2" xfId="3564" xr:uid="{37D3C41E-4125-46F0-AA09-7946D36BFF54}"/>
    <cellStyle name="20% - Accent3 29 2 2 2 3" xfId="3565" xr:uid="{05BB5B49-DE17-4184-B4FA-5FAD7958F430}"/>
    <cellStyle name="20% - Accent3 29 2 2 3" xfId="3566" xr:uid="{1112C295-196F-4D40-A0CA-6E506FEA6BB2}"/>
    <cellStyle name="20% - Accent3 29 2 2 3 2" xfId="3567" xr:uid="{2B3C3015-AED2-4FF8-B367-EEBB30AA6960}"/>
    <cellStyle name="20% - Accent3 29 2 2 3 2 2" xfId="3568" xr:uid="{ED58ED08-E4F4-464E-B6EF-1810A4A7EFEA}"/>
    <cellStyle name="20% - Accent3 29 2 2 3 3" xfId="3569" xr:uid="{FE6B29A4-BF05-4EE0-A627-3AA08B99F1A4}"/>
    <cellStyle name="20% - Accent3 29 2 2 4" xfId="3570" xr:uid="{D6490475-11AE-4C1B-A340-82FBF615A1DB}"/>
    <cellStyle name="20% - Accent3 29 2 2 4 2" xfId="3571" xr:uid="{9B6D21D1-DE98-45CD-B48B-55B3DDCFAA38}"/>
    <cellStyle name="20% - Accent3 29 2 2 5" xfId="3572" xr:uid="{2FF73911-48D6-4225-92F6-4EF5651AE433}"/>
    <cellStyle name="20% - Accent3 29 2 3" xfId="3573" xr:uid="{3FAE630F-2D99-4E73-B692-DBA841F35FE3}"/>
    <cellStyle name="20% - Accent3 29 2 3 2" xfId="3574" xr:uid="{F4429430-7A20-417C-9B16-3823913D3C61}"/>
    <cellStyle name="20% - Accent3 29 2 3 2 2" xfId="3575" xr:uid="{E9E82295-728F-4C87-8988-D18387D333E9}"/>
    <cellStyle name="20% - Accent3 29 2 3 3" xfId="3576" xr:uid="{3A7124BB-8A95-4C53-A5C4-33A14459454B}"/>
    <cellStyle name="20% - Accent3 29 2 4" xfId="3577" xr:uid="{CF46FBC4-3357-4B0D-8337-D91E0389AB91}"/>
    <cellStyle name="20% - Accent3 29 2 4 2" xfId="3578" xr:uid="{5A611586-8B61-47C6-860E-37E669A170F0}"/>
    <cellStyle name="20% - Accent3 29 2 4 2 2" xfId="3579" xr:uid="{D7263235-CB4E-41D3-B4A9-FB3DA2B7600B}"/>
    <cellStyle name="20% - Accent3 29 2 4 3" xfId="3580" xr:uid="{1E616AD0-684B-47F4-BD35-C7DE10272EB6}"/>
    <cellStyle name="20% - Accent3 29 2 5" xfId="3581" xr:uid="{A2383D3D-506D-4398-BF82-DC406E0EB04D}"/>
    <cellStyle name="20% - Accent3 29 2 5 2" xfId="3582" xr:uid="{6EEE60AE-63DF-4CCD-8FE3-EDB6F120BA5A}"/>
    <cellStyle name="20% - Accent3 29 2 6" xfId="3583" xr:uid="{A54A201D-1A6A-4710-94CB-69FD716C901F}"/>
    <cellStyle name="20% - Accent3 29 3" xfId="3584" xr:uid="{C0570706-9B31-4C02-AACC-CDD086C53851}"/>
    <cellStyle name="20% - Accent3 29 3 2" xfId="3585" xr:uid="{A7764844-7721-484B-AE6A-173D32CD5A43}"/>
    <cellStyle name="20% - Accent3 29 3 2 2" xfId="3586" xr:uid="{28C536F7-7118-4A32-90B0-7C9BDE083FEA}"/>
    <cellStyle name="20% - Accent3 29 3 2 2 2" xfId="3587" xr:uid="{E0A24B0C-0086-400C-9F99-B5AD9B61BB31}"/>
    <cellStyle name="20% - Accent3 29 3 2 2 2 2" xfId="3588" xr:uid="{13E16348-62EF-4ADC-9364-4584A5A770B5}"/>
    <cellStyle name="20% - Accent3 29 3 2 2 3" xfId="3589" xr:uid="{090484B4-ECFA-466F-A14F-8CE83625ED1C}"/>
    <cellStyle name="20% - Accent3 29 3 2 3" xfId="3590" xr:uid="{0F293B34-DEE3-473E-8DA9-CB155EE59583}"/>
    <cellStyle name="20% - Accent3 29 3 2 3 2" xfId="3591" xr:uid="{5D6D39EC-40DF-4371-8EB9-CAC87BA2DD63}"/>
    <cellStyle name="20% - Accent3 29 3 2 3 2 2" xfId="3592" xr:uid="{69BFE003-100C-4D96-B088-92E74E136083}"/>
    <cellStyle name="20% - Accent3 29 3 2 3 3" xfId="3593" xr:uid="{7BDEB583-EEBA-42D5-9937-4616147D0773}"/>
    <cellStyle name="20% - Accent3 29 3 2 4" xfId="3594" xr:uid="{629B0567-69F5-4074-926E-F6A73DB9E4F1}"/>
    <cellStyle name="20% - Accent3 29 3 2 4 2" xfId="3595" xr:uid="{44F83A9B-3BC3-45F5-97E8-DDCA55F94028}"/>
    <cellStyle name="20% - Accent3 29 3 2 5" xfId="3596" xr:uid="{CAD292EC-4493-40C9-85E6-F40E18B77B8D}"/>
    <cellStyle name="20% - Accent3 29 3 3" xfId="3597" xr:uid="{002ED4C8-8402-447C-8828-C0F157A59448}"/>
    <cellStyle name="20% - Accent3 29 3 3 2" xfId="3598" xr:uid="{8768E9C2-BC0F-47FD-B16B-EBEBDAD892B1}"/>
    <cellStyle name="20% - Accent3 29 3 3 2 2" xfId="3599" xr:uid="{E7D57D44-9A61-4D72-B800-13F8F197D8B8}"/>
    <cellStyle name="20% - Accent3 29 3 3 3" xfId="3600" xr:uid="{4321F60E-E9EB-4FB3-BCE7-7B487CD82D9C}"/>
    <cellStyle name="20% - Accent3 29 3 4" xfId="3601" xr:uid="{1BE43529-3658-4645-9B87-1DA0F72C33C9}"/>
    <cellStyle name="20% - Accent3 29 3 4 2" xfId="3602" xr:uid="{08C522E0-EB62-47B2-B60C-41FB5325F6FD}"/>
    <cellStyle name="20% - Accent3 29 3 4 2 2" xfId="3603" xr:uid="{C9954E92-88AB-459F-A168-7C2EFF5D3462}"/>
    <cellStyle name="20% - Accent3 29 3 4 3" xfId="3604" xr:uid="{9158F410-9013-4DE8-80B7-86F7C15B9CF8}"/>
    <cellStyle name="20% - Accent3 29 3 5" xfId="3605" xr:uid="{61A76EB2-97F0-4861-BD95-E52B82FF3A1C}"/>
    <cellStyle name="20% - Accent3 29 3 5 2" xfId="3606" xr:uid="{7E669FDD-5AE1-4FDD-9391-38ECA5E19764}"/>
    <cellStyle name="20% - Accent3 29 3 6" xfId="3607" xr:uid="{FB7498EA-3588-4F82-A118-9C2EB927478C}"/>
    <cellStyle name="20% - Accent3 29 4" xfId="3608" xr:uid="{0F334FE8-2FED-445A-BF9B-C85B4C27DB4B}"/>
    <cellStyle name="20% - Accent3 29 4 2" xfId="3609" xr:uid="{2AFBDEEA-80A6-4E1D-8581-775E1C638DB9}"/>
    <cellStyle name="20% - Accent3 29 4 2 2" xfId="3610" xr:uid="{C9D5E2A2-47B8-462C-BD20-559049162B9B}"/>
    <cellStyle name="20% - Accent3 29 4 2 2 2" xfId="3611" xr:uid="{E9ECDD86-7D8E-439C-A3F2-589CDAD78620}"/>
    <cellStyle name="20% - Accent3 29 4 2 2 2 2" xfId="3612" xr:uid="{76D59B19-90DB-47FB-8B56-FA7F25487CA1}"/>
    <cellStyle name="20% - Accent3 29 4 2 2 3" xfId="3613" xr:uid="{7B0CD695-862C-485B-89A0-F9E04D83AFA5}"/>
    <cellStyle name="20% - Accent3 29 4 2 3" xfId="3614" xr:uid="{1239D694-92E1-4C6A-B2AB-E8DE9029688F}"/>
    <cellStyle name="20% - Accent3 29 4 2 3 2" xfId="3615" xr:uid="{6F7598F6-AF9D-4134-B854-E09FBE269AC1}"/>
    <cellStyle name="20% - Accent3 29 4 2 3 2 2" xfId="3616" xr:uid="{BAC05303-D214-4ACA-A9EE-2BEA36C7A23A}"/>
    <cellStyle name="20% - Accent3 29 4 2 3 3" xfId="3617" xr:uid="{79794967-585A-4ABE-AACF-76F5C82341AA}"/>
    <cellStyle name="20% - Accent3 29 4 2 4" xfId="3618" xr:uid="{7EE7A95A-AAD0-4378-857C-01B3E4771CC5}"/>
    <cellStyle name="20% - Accent3 29 4 2 4 2" xfId="3619" xr:uid="{A22290EA-646B-41C3-B202-399863142F48}"/>
    <cellStyle name="20% - Accent3 29 4 2 5" xfId="3620" xr:uid="{41ED850E-BB0B-48DA-8E2C-3DD245DA3F0D}"/>
    <cellStyle name="20% - Accent3 29 4 3" xfId="3621" xr:uid="{F3A4A37A-C495-4D21-A501-4257934B10A5}"/>
    <cellStyle name="20% - Accent3 29 4 3 2" xfId="3622" xr:uid="{B995E08B-259E-4911-8C7A-88D79A19555E}"/>
    <cellStyle name="20% - Accent3 29 4 3 2 2" xfId="3623" xr:uid="{EA62869B-77F3-494C-AC24-B860BE0952D6}"/>
    <cellStyle name="20% - Accent3 29 4 3 3" xfId="3624" xr:uid="{0E87FFFB-0064-4392-A62A-2342693386EB}"/>
    <cellStyle name="20% - Accent3 29 4 4" xfId="3625" xr:uid="{47CB8477-4165-48C6-8F3C-D053B4D48D5B}"/>
    <cellStyle name="20% - Accent3 29 4 4 2" xfId="3626" xr:uid="{30AA3866-B4CC-4367-979E-3BED0B3EA217}"/>
    <cellStyle name="20% - Accent3 29 4 4 2 2" xfId="3627" xr:uid="{B6EFF05A-7312-4F23-A35C-5F513B83AA28}"/>
    <cellStyle name="20% - Accent3 29 4 4 3" xfId="3628" xr:uid="{BB27BA14-9D6C-4E8A-AB8A-AF95BAE168EF}"/>
    <cellStyle name="20% - Accent3 29 4 5" xfId="3629" xr:uid="{41780D28-0B37-49FF-A2D8-F5A2FC23FCCC}"/>
    <cellStyle name="20% - Accent3 29 4 5 2" xfId="3630" xr:uid="{A255B7CC-0861-499C-8362-6DEDADF8A420}"/>
    <cellStyle name="20% - Accent3 29 4 6" xfId="3631" xr:uid="{FC0025CE-A2F6-4A82-B80E-510F0B783ECB}"/>
    <cellStyle name="20% - Accent3 29 5" xfId="3632" xr:uid="{A291BA1B-2BDB-415E-9C14-77200990C6D6}"/>
    <cellStyle name="20% - Accent3 29 5 2" xfId="3633" xr:uid="{03647F1D-569A-45D9-AD70-3ACE6B92E224}"/>
    <cellStyle name="20% - Accent3 29 5 2 2" xfId="3634" xr:uid="{B07DE936-7744-4B74-90DA-AB2632943E00}"/>
    <cellStyle name="20% - Accent3 29 5 2 2 2" xfId="3635" xr:uid="{D6C71B40-95E0-4CA0-BFAB-DDAF7FB6F353}"/>
    <cellStyle name="20% - Accent3 29 5 2 2 2 2" xfId="3636" xr:uid="{C25F8B4E-25DF-4825-93E0-C4B3CF375420}"/>
    <cellStyle name="20% - Accent3 29 5 2 2 3" xfId="3637" xr:uid="{6D8274B9-5BE3-47DB-8052-D6066E3204B4}"/>
    <cellStyle name="20% - Accent3 29 5 2 3" xfId="3638" xr:uid="{27477BF3-1801-4A79-B251-11A65BF12717}"/>
    <cellStyle name="20% - Accent3 29 5 2 3 2" xfId="3639" xr:uid="{5ED3D704-5D80-45E5-8F53-9DA8952E2843}"/>
    <cellStyle name="20% - Accent3 29 5 2 3 2 2" xfId="3640" xr:uid="{660E0931-B8F4-4D7A-9FAF-8D8D6F70A217}"/>
    <cellStyle name="20% - Accent3 29 5 2 3 3" xfId="3641" xr:uid="{D2F59906-8B38-464F-9972-3F3910D37E1B}"/>
    <cellStyle name="20% - Accent3 29 5 2 4" xfId="3642" xr:uid="{D3488CF5-F1FB-4CBF-A563-3E9164E1630D}"/>
    <cellStyle name="20% - Accent3 29 5 2 4 2" xfId="3643" xr:uid="{FEEFB5F0-FB4A-4A4B-AFF4-FA6BED3D6096}"/>
    <cellStyle name="20% - Accent3 29 5 2 5" xfId="3644" xr:uid="{648458FE-6F57-4A44-9672-60281C5AD798}"/>
    <cellStyle name="20% - Accent3 29 5 3" xfId="3645" xr:uid="{98ABEA38-BFA5-425E-9A5C-CCF41AED722F}"/>
    <cellStyle name="20% - Accent3 29 5 3 2" xfId="3646" xr:uid="{0B9E437A-7C82-49BF-8ECD-DFFB8B6B707E}"/>
    <cellStyle name="20% - Accent3 29 5 3 2 2" xfId="3647" xr:uid="{9AF1EE8B-EE82-426F-B22A-CBC8FADBB744}"/>
    <cellStyle name="20% - Accent3 29 5 3 3" xfId="3648" xr:uid="{9F0FAE9E-0474-49F0-8F6A-BB8DDD14A4A7}"/>
    <cellStyle name="20% - Accent3 29 5 4" xfId="3649" xr:uid="{DFF7E8F0-3806-49EA-B3AB-900C753D9CD8}"/>
    <cellStyle name="20% - Accent3 29 5 4 2" xfId="3650" xr:uid="{2DD0AE65-981B-477E-9D91-AA19A7551178}"/>
    <cellStyle name="20% - Accent3 29 5 4 2 2" xfId="3651" xr:uid="{B4F59561-0C50-48D9-8F35-5AAAADF5A535}"/>
    <cellStyle name="20% - Accent3 29 5 4 3" xfId="3652" xr:uid="{F5A80200-955C-40CD-85D3-1EC2825EC5A0}"/>
    <cellStyle name="20% - Accent3 29 5 5" xfId="3653" xr:uid="{E53BC5F3-00F8-48E0-81BC-E564A10DAF7D}"/>
    <cellStyle name="20% - Accent3 29 5 5 2" xfId="3654" xr:uid="{5F527090-002E-4EC5-B2EA-C5CEC4155A7A}"/>
    <cellStyle name="20% - Accent3 29 5 6" xfId="3655" xr:uid="{81E09DB8-02D8-498D-92C0-E32437750020}"/>
    <cellStyle name="20% - Accent3 29 6" xfId="3656" xr:uid="{71E5C3B7-11EF-4E22-B561-0C2AD5451AD9}"/>
    <cellStyle name="20% - Accent3 29 6 2" xfId="3657" xr:uid="{FE44C5C7-138B-44DF-B927-DD84440538FA}"/>
    <cellStyle name="20% - Accent3 29 6 2 2" xfId="3658" xr:uid="{EA412738-B10F-422B-BF4E-383207AF0F84}"/>
    <cellStyle name="20% - Accent3 29 6 2 2 2" xfId="3659" xr:uid="{12530F56-9399-4442-955D-6C47CEFD8260}"/>
    <cellStyle name="20% - Accent3 29 6 2 2 2 2" xfId="3660" xr:uid="{596FCE42-A1D5-49BA-8E34-FED2C52D77E4}"/>
    <cellStyle name="20% - Accent3 29 6 2 2 3" xfId="3661" xr:uid="{508FE94B-4271-4423-B5C4-EA3F474EF7D0}"/>
    <cellStyle name="20% - Accent3 29 6 2 3" xfId="3662" xr:uid="{80B033B9-2E34-4522-A465-E17223A4F098}"/>
    <cellStyle name="20% - Accent3 29 6 2 3 2" xfId="3663" xr:uid="{A75DC51C-69CF-462E-A905-54B179A74227}"/>
    <cellStyle name="20% - Accent3 29 6 2 3 2 2" xfId="3664" xr:uid="{2EF77AFC-8F11-4014-98E0-7488FE55D3AF}"/>
    <cellStyle name="20% - Accent3 29 6 2 3 3" xfId="3665" xr:uid="{47550F99-A370-4DED-AE4D-C038BC230B43}"/>
    <cellStyle name="20% - Accent3 29 6 2 4" xfId="3666" xr:uid="{04F1EEC6-CD93-4339-BC95-E523A22943E8}"/>
    <cellStyle name="20% - Accent3 29 6 2 4 2" xfId="3667" xr:uid="{7304729E-DF1F-4038-8D27-D72C3E6B1622}"/>
    <cellStyle name="20% - Accent3 29 6 2 5" xfId="3668" xr:uid="{A82479A6-FF20-4BF9-823C-3751E0853172}"/>
    <cellStyle name="20% - Accent3 29 6 3" xfId="3669" xr:uid="{96338A1F-A688-4347-A82C-A641CB6CF706}"/>
    <cellStyle name="20% - Accent3 29 6 3 2" xfId="3670" xr:uid="{46B546C4-0FD9-4DF4-B299-9E1803D25B8C}"/>
    <cellStyle name="20% - Accent3 29 6 3 2 2" xfId="3671" xr:uid="{4C43E1AF-3081-4A8D-B89D-869EB2E61CF3}"/>
    <cellStyle name="20% - Accent3 29 6 3 3" xfId="3672" xr:uid="{B8ADD8E5-E680-4D69-8902-2DE896511686}"/>
    <cellStyle name="20% - Accent3 29 6 4" xfId="3673" xr:uid="{D5BA28D1-7B53-4380-8177-7DE6E4E40917}"/>
    <cellStyle name="20% - Accent3 29 6 4 2" xfId="3674" xr:uid="{D9288573-4AA8-4D96-BC86-F448ABFEA608}"/>
    <cellStyle name="20% - Accent3 29 6 4 2 2" xfId="3675" xr:uid="{2C3348E3-EF32-4899-9773-C1BA9CC6FD33}"/>
    <cellStyle name="20% - Accent3 29 6 4 3" xfId="3676" xr:uid="{9B9E8B79-0321-4B2F-AD64-D9F86266249B}"/>
    <cellStyle name="20% - Accent3 29 6 5" xfId="3677" xr:uid="{90F9227B-B1AB-4590-B056-C75928EC115B}"/>
    <cellStyle name="20% - Accent3 29 6 5 2" xfId="3678" xr:uid="{CC5DFB7A-453E-4200-814F-83DA77D5BC33}"/>
    <cellStyle name="20% - Accent3 29 6 6" xfId="3679" xr:uid="{54832FF3-C564-4C3E-A356-E2C445F16B39}"/>
    <cellStyle name="20% - Accent3 29 7" xfId="3680" xr:uid="{DBD1E69A-4470-4C94-8C60-48E74FBC24A6}"/>
    <cellStyle name="20% - Accent3 29 7 2" xfId="3681" xr:uid="{71BB716D-E69A-4475-B643-CBCBDF39318F}"/>
    <cellStyle name="20% - Accent3 29 7 2 2" xfId="3682" xr:uid="{9168CBDF-7A7C-4477-A7CE-8CF241AE4C7D}"/>
    <cellStyle name="20% - Accent3 29 7 2 2 2" xfId="3683" xr:uid="{337D8ACA-59F9-463C-99D7-5BDD195829C1}"/>
    <cellStyle name="20% - Accent3 29 7 2 2 2 2" xfId="3684" xr:uid="{3161B2FE-42E4-49CC-92EC-8DC1B9A25D5F}"/>
    <cellStyle name="20% - Accent3 29 7 2 2 3" xfId="3685" xr:uid="{F093E030-1564-49CD-869A-373C3787206C}"/>
    <cellStyle name="20% - Accent3 29 7 2 3" xfId="3686" xr:uid="{4A0D3FF1-1029-490B-B186-F61B7BCF1A80}"/>
    <cellStyle name="20% - Accent3 29 7 2 3 2" xfId="3687" xr:uid="{A3DA384C-2FC4-4953-B7A9-083374329278}"/>
    <cellStyle name="20% - Accent3 29 7 2 3 2 2" xfId="3688" xr:uid="{435A9DAD-794F-422E-B176-4A3ED9D245C5}"/>
    <cellStyle name="20% - Accent3 29 7 2 3 3" xfId="3689" xr:uid="{C7588CD2-E515-469B-88C8-393E9B1742B3}"/>
    <cellStyle name="20% - Accent3 29 7 2 4" xfId="3690" xr:uid="{4B4994AB-6CAA-43E7-930E-D1FF51AEA2F8}"/>
    <cellStyle name="20% - Accent3 29 7 2 4 2" xfId="3691" xr:uid="{B12191DC-5917-481D-8635-1E75FFEDCAF0}"/>
    <cellStyle name="20% - Accent3 29 7 2 5" xfId="3692" xr:uid="{ADE5B42E-5B36-4894-AF26-91D27D25FCE9}"/>
    <cellStyle name="20% - Accent3 29 7 3" xfId="3693" xr:uid="{E565019D-78B1-4996-8BD1-6EDBFFAC9E4E}"/>
    <cellStyle name="20% - Accent3 29 7 3 2" xfId="3694" xr:uid="{567B55EA-1301-4727-BE34-F417F8DF4E9D}"/>
    <cellStyle name="20% - Accent3 29 7 3 2 2" xfId="3695" xr:uid="{6BA3B041-3713-4FDD-8D0C-FB0480AD035B}"/>
    <cellStyle name="20% - Accent3 29 7 3 3" xfId="3696" xr:uid="{5018D82D-B9B7-4EFB-94A8-62FC0B435635}"/>
    <cellStyle name="20% - Accent3 29 7 4" xfId="3697" xr:uid="{07AABD08-ECCA-46C8-BCEB-9977E852053A}"/>
    <cellStyle name="20% - Accent3 29 7 4 2" xfId="3698" xr:uid="{45DAA6D1-BD14-4291-AA61-648FFAE1A896}"/>
    <cellStyle name="20% - Accent3 29 7 4 2 2" xfId="3699" xr:uid="{655813E7-320B-495A-8B4E-18BB08C789B0}"/>
    <cellStyle name="20% - Accent3 29 7 4 3" xfId="3700" xr:uid="{E8700076-43D0-486C-8C29-F011137B27D7}"/>
    <cellStyle name="20% - Accent3 29 7 5" xfId="3701" xr:uid="{212C6AE7-5EF9-4D5D-B6D9-197EB5DB479E}"/>
    <cellStyle name="20% - Accent3 29 7 5 2" xfId="3702" xr:uid="{6B5C3041-6629-4A8F-82BE-8521B4573316}"/>
    <cellStyle name="20% - Accent3 29 7 6" xfId="3703" xr:uid="{86268744-724A-4177-B2A0-3D0B14FD35E4}"/>
    <cellStyle name="20% - Accent3 29 8" xfId="3704" xr:uid="{0F1521BF-B56E-4244-85ED-43DD99DC77D1}"/>
    <cellStyle name="20% - Accent3 29 8 2" xfId="3705" xr:uid="{0DC4043E-0061-4271-AF91-D15526CC5FDF}"/>
    <cellStyle name="20% - Accent3 29 8 2 2" xfId="3706" xr:uid="{1DBEC01C-5F35-4902-B726-53712B5932F9}"/>
    <cellStyle name="20% - Accent3 29 8 2 2 2" xfId="3707" xr:uid="{84763E6F-B0E7-4AF4-92EB-891364E232B8}"/>
    <cellStyle name="20% - Accent3 29 8 2 2 2 2" xfId="3708" xr:uid="{2C221E52-C6DE-4DE3-896E-5A07868465F7}"/>
    <cellStyle name="20% - Accent3 29 8 2 2 3" xfId="3709" xr:uid="{C14FD916-AB12-43AB-837E-6BF872C07B1F}"/>
    <cellStyle name="20% - Accent3 29 8 2 3" xfId="3710" xr:uid="{CE47DA66-F859-4D56-B9DE-DFD13E93BD02}"/>
    <cellStyle name="20% - Accent3 29 8 2 3 2" xfId="3711" xr:uid="{E076ACCF-367A-44C1-90D7-C71535B91109}"/>
    <cellStyle name="20% - Accent3 29 8 2 3 2 2" xfId="3712" xr:uid="{31D97123-643D-4DA3-B86F-9934C427A46C}"/>
    <cellStyle name="20% - Accent3 29 8 2 3 3" xfId="3713" xr:uid="{CCEED0EB-BFA9-473D-BEA4-80D239774ED0}"/>
    <cellStyle name="20% - Accent3 29 8 2 4" xfId="3714" xr:uid="{46F3D091-3D0C-4D29-9BD4-AEC960CFFEE2}"/>
    <cellStyle name="20% - Accent3 29 8 2 4 2" xfId="3715" xr:uid="{9FAF7F50-5AD3-40AE-828B-BDE6AF2768DF}"/>
    <cellStyle name="20% - Accent3 29 8 2 5" xfId="3716" xr:uid="{F036A4B6-FBB8-4BB2-914E-BA362C1AB04D}"/>
    <cellStyle name="20% - Accent3 29 8 3" xfId="3717" xr:uid="{3B2D1B13-6B44-4F44-B427-A41BB6516C3F}"/>
    <cellStyle name="20% - Accent3 29 8 3 2" xfId="3718" xr:uid="{03717DDF-596F-4061-9BDC-81938A5E6077}"/>
    <cellStyle name="20% - Accent3 29 8 3 2 2" xfId="3719" xr:uid="{5A2018A2-23A4-4E9D-A18F-59DB7CCEC441}"/>
    <cellStyle name="20% - Accent3 29 8 3 3" xfId="3720" xr:uid="{9F0951E2-F847-4D85-98AA-512A3717E84E}"/>
    <cellStyle name="20% - Accent3 29 8 4" xfId="3721" xr:uid="{5D7FBBF1-5BAE-402D-BDE3-AF1BC33C2225}"/>
    <cellStyle name="20% - Accent3 29 8 4 2" xfId="3722" xr:uid="{5413639C-B13B-4184-972C-23E76A02E404}"/>
    <cellStyle name="20% - Accent3 29 8 4 2 2" xfId="3723" xr:uid="{24D36E87-0427-4C73-B34B-ADEE9D965126}"/>
    <cellStyle name="20% - Accent3 29 8 4 3" xfId="3724" xr:uid="{30C1A4F7-696C-45F3-B12F-A505CAD2D48E}"/>
    <cellStyle name="20% - Accent3 29 8 5" xfId="3725" xr:uid="{91415D1D-B4C8-4B9B-8EDD-10DADAC7F271}"/>
    <cellStyle name="20% - Accent3 29 8 5 2" xfId="3726" xr:uid="{784D8F30-4EA8-4DF0-B130-299B6AAF3D63}"/>
    <cellStyle name="20% - Accent3 29 8 6" xfId="3727" xr:uid="{D9BA3002-9B0A-4AC9-B717-E64FCA0B9A1D}"/>
    <cellStyle name="20% - Accent3 29 9" xfId="3728" xr:uid="{2B8CB504-DC9B-47AF-90CE-8361B7B450D5}"/>
    <cellStyle name="20% - Accent3 29 9 2" xfId="3729" xr:uid="{8308165C-3C36-4D8C-A4EB-BFA97AF13B94}"/>
    <cellStyle name="20% - Accent3 29 9 2 2" xfId="3730" xr:uid="{2BB49198-CF92-46E4-B140-79D7C12B57FE}"/>
    <cellStyle name="20% - Accent3 29 9 2 2 2" xfId="3731" xr:uid="{B2917538-A8D9-4732-9466-FF0CF8367F9A}"/>
    <cellStyle name="20% - Accent3 29 9 2 2 2 2" xfId="3732" xr:uid="{13DD1BCF-84B3-43A6-8D36-A05A682B1DC1}"/>
    <cellStyle name="20% - Accent3 29 9 2 2 3" xfId="3733" xr:uid="{7B590DCD-E063-477E-85EC-67E960ECCCE5}"/>
    <cellStyle name="20% - Accent3 29 9 2 3" xfId="3734" xr:uid="{0DA89ADE-29E7-4D75-9390-FCB9275858EB}"/>
    <cellStyle name="20% - Accent3 29 9 2 3 2" xfId="3735" xr:uid="{B1E61AA0-52E0-4544-85D5-1DAF88D67C87}"/>
    <cellStyle name="20% - Accent3 29 9 2 3 2 2" xfId="3736" xr:uid="{6CA04266-47F4-44AD-9149-CFCA0436A101}"/>
    <cellStyle name="20% - Accent3 29 9 2 3 3" xfId="3737" xr:uid="{2752AFF0-F892-406A-ABFD-1975F151BB47}"/>
    <cellStyle name="20% - Accent3 29 9 2 4" xfId="3738" xr:uid="{373C24DD-082C-4E6F-862F-0CD881F34F71}"/>
    <cellStyle name="20% - Accent3 29 9 2 4 2" xfId="3739" xr:uid="{5E33B372-FFFC-4F35-A7EC-1F35A45B8E76}"/>
    <cellStyle name="20% - Accent3 29 9 2 5" xfId="3740" xr:uid="{52A57C73-F732-41D9-87B0-CAF0EA3E4986}"/>
    <cellStyle name="20% - Accent3 29 9 3" xfId="3741" xr:uid="{7323AA4F-FD97-4222-8D28-1C562129E66A}"/>
    <cellStyle name="20% - Accent3 29 9 3 2" xfId="3742" xr:uid="{C78D0FBC-8B04-461D-B78B-CA9C674ED89F}"/>
    <cellStyle name="20% - Accent3 29 9 3 2 2" xfId="3743" xr:uid="{D0ADCDE6-C4A1-4737-88D5-AE8345595110}"/>
    <cellStyle name="20% - Accent3 29 9 3 3" xfId="3744" xr:uid="{D58F4948-9DFB-4A4D-9D7F-F22793BE4785}"/>
    <cellStyle name="20% - Accent3 29 9 4" xfId="3745" xr:uid="{83EDFF5E-85D3-4462-A363-0FA19F4A35A3}"/>
    <cellStyle name="20% - Accent3 29 9 4 2" xfId="3746" xr:uid="{88FC26DE-F2ED-4B71-9FBA-A62D780543E0}"/>
    <cellStyle name="20% - Accent3 29 9 4 2 2" xfId="3747" xr:uid="{FCA854F7-858C-4D1F-8131-BBFF3CB12E0F}"/>
    <cellStyle name="20% - Accent3 29 9 4 3" xfId="3748" xr:uid="{E07BEC09-EAE6-4BEB-A6C0-B31015FDD51F}"/>
    <cellStyle name="20% - Accent3 29 9 5" xfId="3749" xr:uid="{C87ED8A0-47A3-42F9-8ADB-DB953EC617B7}"/>
    <cellStyle name="20% - Accent3 29 9 5 2" xfId="3750" xr:uid="{C38FF1D8-2115-4603-A586-BE2BE853FCE1}"/>
    <cellStyle name="20% - Accent3 29 9 6" xfId="3751" xr:uid="{1D377B37-5109-4F01-A3BA-6189A05BE13C}"/>
    <cellStyle name="20% - Accent3 3" xfId="3752" xr:uid="{A86F66CD-B2D4-44A1-830C-6CC1D99DD3F7}"/>
    <cellStyle name="20% - Accent3 3 2" xfId="3753" xr:uid="{B3292819-79FF-4C85-A8ED-6022E02A5110}"/>
    <cellStyle name="20% - Accent3 3 2 2" xfId="3754" xr:uid="{5195429E-D50C-4938-BAD0-B871AAF87489}"/>
    <cellStyle name="20% - Accent3 3 2 2 2" xfId="35967" xr:uid="{636823E1-8B37-4C75-8C42-8CA6EC87D6DC}"/>
    <cellStyle name="20% - Accent3 3 2 3" xfId="35968" xr:uid="{791C9AED-CFBF-4FC4-BFDD-57D97EA23D32}"/>
    <cellStyle name="20% - Accent3 3 2 4" xfId="35969" xr:uid="{83B2B520-2EC2-46B5-9515-D29B382DE637}"/>
    <cellStyle name="20% - Accent3 3 3" xfId="3755" xr:uid="{1AEB77F5-1857-4D17-B87A-90102F66B42A}"/>
    <cellStyle name="20% - Accent3 3 3 2" xfId="35970" xr:uid="{B9934059-AA73-42A1-8F33-9851E58C3BEE}"/>
    <cellStyle name="20% - Accent3 3 4" xfId="35971" xr:uid="{796D5C51-5392-40FE-86BD-F99874F5E27E}"/>
    <cellStyle name="20% - Accent3 3 5" xfId="35972" xr:uid="{FE52EAFD-0DE8-434E-B1DB-CB43CCAC8DAB}"/>
    <cellStyle name="20% - Accent3 3 6" xfId="35973" xr:uid="{8B26E9E5-4645-42AB-B62F-4BCC30731955}"/>
    <cellStyle name="20% - Accent3 30" xfId="3756" xr:uid="{5353D5AA-FF2F-47FB-A73B-9D22BBEA5DCF}"/>
    <cellStyle name="20% - Accent3 30 10" xfId="3757" xr:uid="{54A0D325-3E03-408F-8400-D69F69377B59}"/>
    <cellStyle name="20% - Accent3 30 10 2" xfId="3758" xr:uid="{C21C2C71-C7E2-4A07-8A96-6F77C4EAC846}"/>
    <cellStyle name="20% - Accent3 30 10 2 2" xfId="3759" xr:uid="{951CC168-E652-432A-9E5F-D10FBCA3B5B4}"/>
    <cellStyle name="20% - Accent3 30 10 2 2 2" xfId="3760" xr:uid="{451F8043-5927-49CF-8660-D21F24095F5F}"/>
    <cellStyle name="20% - Accent3 30 10 2 2 2 2" xfId="3761" xr:uid="{2AE6EA35-019E-4D2E-8B33-A8735478C132}"/>
    <cellStyle name="20% - Accent3 30 10 2 2 3" xfId="3762" xr:uid="{0DC72FF5-B56F-43D4-87F1-9183EF602931}"/>
    <cellStyle name="20% - Accent3 30 10 2 3" xfId="3763" xr:uid="{59A0DBD1-914C-4720-9985-6635F31922A1}"/>
    <cellStyle name="20% - Accent3 30 10 2 3 2" xfId="3764" xr:uid="{7456533F-7CA9-4394-92BB-82B8C15D7CC0}"/>
    <cellStyle name="20% - Accent3 30 10 2 3 2 2" xfId="3765" xr:uid="{E3385E7A-6BA5-435F-97C5-1FAB51039F8B}"/>
    <cellStyle name="20% - Accent3 30 10 2 3 3" xfId="3766" xr:uid="{41973ED8-7BBA-486D-A448-6DCA1035A22F}"/>
    <cellStyle name="20% - Accent3 30 10 2 4" xfId="3767" xr:uid="{799FF8F6-67E0-4317-A6A8-72F263E08775}"/>
    <cellStyle name="20% - Accent3 30 10 2 4 2" xfId="3768" xr:uid="{96354252-57CD-4341-9371-8849FD378EB7}"/>
    <cellStyle name="20% - Accent3 30 10 2 5" xfId="3769" xr:uid="{09053FEF-0BD7-461B-9E0A-F650A9B26D54}"/>
    <cellStyle name="20% - Accent3 30 10 3" xfId="3770" xr:uid="{4F1A222B-A6F7-4A34-9838-E3B437DDAA0C}"/>
    <cellStyle name="20% - Accent3 30 10 3 2" xfId="3771" xr:uid="{DC317D40-50C1-452D-B634-8450FB0B54B9}"/>
    <cellStyle name="20% - Accent3 30 10 3 2 2" xfId="3772" xr:uid="{F88CC348-7AD8-40AE-9535-9371AA88FE05}"/>
    <cellStyle name="20% - Accent3 30 10 3 3" xfId="3773" xr:uid="{3D49911E-5494-43AA-AF63-727F02F3FA9E}"/>
    <cellStyle name="20% - Accent3 30 10 4" xfId="3774" xr:uid="{88C58351-DBAB-471E-9015-105BAE2E699A}"/>
    <cellStyle name="20% - Accent3 30 10 4 2" xfId="3775" xr:uid="{6EA2D30B-610E-4873-910B-C3E2F294CDFB}"/>
    <cellStyle name="20% - Accent3 30 10 4 2 2" xfId="3776" xr:uid="{F01F84F8-3C15-42FA-B74B-896494B42878}"/>
    <cellStyle name="20% - Accent3 30 10 4 3" xfId="3777" xr:uid="{7A79D23C-9682-4B44-B8DE-844E9D4F05E4}"/>
    <cellStyle name="20% - Accent3 30 10 5" xfId="3778" xr:uid="{D0052C50-DCD4-4B38-AC05-1C1343B6526E}"/>
    <cellStyle name="20% - Accent3 30 10 5 2" xfId="3779" xr:uid="{D8D9C8BF-6CAE-4FF5-A91B-34E54962D5DB}"/>
    <cellStyle name="20% - Accent3 30 10 6" xfId="3780" xr:uid="{5228DD5C-1716-44AD-82BF-EA476CCA59BB}"/>
    <cellStyle name="20% - Accent3 30 11" xfId="3781" xr:uid="{183FC9B8-1AF2-4E09-9906-F383F5E35B36}"/>
    <cellStyle name="20% - Accent3 30 11 2" xfId="3782" xr:uid="{753E10A1-B446-4CF1-BE66-7B9157B302B9}"/>
    <cellStyle name="20% - Accent3 30 11 2 2" xfId="3783" xr:uid="{CC10FF02-54FB-45CC-A5CA-CE4554287168}"/>
    <cellStyle name="20% - Accent3 30 11 2 2 2" xfId="3784" xr:uid="{8E0C3BDE-CF4A-45D7-906E-0DD958013B2A}"/>
    <cellStyle name="20% - Accent3 30 11 2 3" xfId="3785" xr:uid="{78D5DC7B-EF0F-445B-A8B5-1D898FE9E3D3}"/>
    <cellStyle name="20% - Accent3 30 11 3" xfId="3786" xr:uid="{CB313AE0-E3C9-44F3-AD0D-A4F4A638C199}"/>
    <cellStyle name="20% - Accent3 30 11 3 2" xfId="3787" xr:uid="{33371CBA-DBD0-4FBF-839E-6AB9CCC3990F}"/>
    <cellStyle name="20% - Accent3 30 11 3 2 2" xfId="3788" xr:uid="{FD597038-2241-4245-9789-F347C399E840}"/>
    <cellStyle name="20% - Accent3 30 11 3 3" xfId="3789" xr:uid="{714126EE-27AE-4576-B207-26B7A3826766}"/>
    <cellStyle name="20% - Accent3 30 11 4" xfId="3790" xr:uid="{93ED88DD-1945-41A9-B150-FE915A211413}"/>
    <cellStyle name="20% - Accent3 30 11 4 2" xfId="3791" xr:uid="{DC96C856-7305-46E4-BF1D-79FEB5E264CE}"/>
    <cellStyle name="20% - Accent3 30 11 5" xfId="3792" xr:uid="{734F16BD-EBDE-49ED-AB93-358818CC2475}"/>
    <cellStyle name="20% - Accent3 30 12" xfId="3793" xr:uid="{0696BA41-7208-46DB-8DF0-26408D4F5EED}"/>
    <cellStyle name="20% - Accent3 30 12 2" xfId="3794" xr:uid="{843F1AF6-181B-485F-AED9-9E258BD6E4B6}"/>
    <cellStyle name="20% - Accent3 30 12 2 2" xfId="3795" xr:uid="{4D6BD3E1-DAD5-4252-B320-403BDF9AE8F9}"/>
    <cellStyle name="20% - Accent3 30 12 3" xfId="3796" xr:uid="{7814DB05-4984-40AE-83D9-853EA1C3F8DC}"/>
    <cellStyle name="20% - Accent3 30 13" xfId="3797" xr:uid="{7BCC13E0-F0EF-47B5-865F-C425F1D85FAB}"/>
    <cellStyle name="20% - Accent3 30 13 2" xfId="3798" xr:uid="{94C4FC61-49B6-4703-91DE-B440F7074128}"/>
    <cellStyle name="20% - Accent3 30 13 2 2" xfId="3799" xr:uid="{4B6DBA8D-A16D-4A30-AC71-11CD054ADAE5}"/>
    <cellStyle name="20% - Accent3 30 13 3" xfId="3800" xr:uid="{B07D2A0E-FB1F-4E7D-96A9-5EE8BE8E856D}"/>
    <cellStyle name="20% - Accent3 30 14" xfId="3801" xr:uid="{A30887FC-5C61-4106-9AAF-281BE1DD1639}"/>
    <cellStyle name="20% - Accent3 30 14 2" xfId="3802" xr:uid="{33A535CA-6E68-45C7-818F-1D55B89C4DFF}"/>
    <cellStyle name="20% - Accent3 30 15" xfId="3803" xr:uid="{60860040-92C2-4C6F-9AE9-050BC305943C}"/>
    <cellStyle name="20% - Accent3 30 16" xfId="35974" xr:uid="{C78E1A27-950D-4A80-B0B9-B9C8B3ED61F0}"/>
    <cellStyle name="20% - Accent3 30 2" xfId="3804" xr:uid="{BFEF12D2-97D6-4A0F-B00D-E2B72993C319}"/>
    <cellStyle name="20% - Accent3 30 2 2" xfId="3805" xr:uid="{D906A13D-FACD-4FCE-8CAF-900A93BD7F46}"/>
    <cellStyle name="20% - Accent3 30 2 2 2" xfId="3806" xr:uid="{46E9CC88-4F7C-435D-9CBB-43DA9428396F}"/>
    <cellStyle name="20% - Accent3 30 2 2 2 2" xfId="3807" xr:uid="{E293B7ED-1C73-4BF1-A295-9FF8DCAF6C94}"/>
    <cellStyle name="20% - Accent3 30 2 2 2 2 2" xfId="3808" xr:uid="{C7E6AA5A-904F-444E-B494-C2A9604E669C}"/>
    <cellStyle name="20% - Accent3 30 2 2 2 3" xfId="3809" xr:uid="{58D1E7AF-37F9-4CFF-BC93-8658DB2868B3}"/>
    <cellStyle name="20% - Accent3 30 2 2 3" xfId="3810" xr:uid="{59950F73-EBC7-4C88-91CA-672A2D22126C}"/>
    <cellStyle name="20% - Accent3 30 2 2 3 2" xfId="3811" xr:uid="{6EA4CCE9-FA76-4DE5-B6F8-FA248382EE48}"/>
    <cellStyle name="20% - Accent3 30 2 2 3 2 2" xfId="3812" xr:uid="{F7AE753D-C4C5-4568-89F1-BB55FA312EF2}"/>
    <cellStyle name="20% - Accent3 30 2 2 3 3" xfId="3813" xr:uid="{5B037213-E40B-4B23-82D4-C4DFCF35E6F9}"/>
    <cellStyle name="20% - Accent3 30 2 2 4" xfId="3814" xr:uid="{F1733229-34EB-4AF5-B24F-756603CFD74F}"/>
    <cellStyle name="20% - Accent3 30 2 2 4 2" xfId="3815" xr:uid="{C67B1BA1-FB2E-4C97-9645-F76D5BC7FD10}"/>
    <cellStyle name="20% - Accent3 30 2 2 5" xfId="3816" xr:uid="{A99E039C-FDBF-45F6-84C8-F419016345AC}"/>
    <cellStyle name="20% - Accent3 30 2 3" xfId="3817" xr:uid="{799415F1-4E16-4B84-B726-657C0A187533}"/>
    <cellStyle name="20% - Accent3 30 2 3 2" xfId="3818" xr:uid="{D0B7F532-7F1D-4FD0-931C-6EE912154184}"/>
    <cellStyle name="20% - Accent3 30 2 3 2 2" xfId="3819" xr:uid="{9913CB21-2C05-4054-B138-967275A0F940}"/>
    <cellStyle name="20% - Accent3 30 2 3 3" xfId="3820" xr:uid="{3D16C4AA-F5CB-42F0-A1EC-D2F620A317FE}"/>
    <cellStyle name="20% - Accent3 30 2 4" xfId="3821" xr:uid="{B6D8FBEF-C6EE-4CD6-BB14-66FF1522801D}"/>
    <cellStyle name="20% - Accent3 30 2 4 2" xfId="3822" xr:uid="{264C5245-E415-4162-A051-04FF17443FD4}"/>
    <cellStyle name="20% - Accent3 30 2 4 2 2" xfId="3823" xr:uid="{F050B3F2-366A-4308-B4BE-E9301AD0E81A}"/>
    <cellStyle name="20% - Accent3 30 2 4 3" xfId="3824" xr:uid="{9DCE205F-7A2E-4C86-91A9-286AD362FBCC}"/>
    <cellStyle name="20% - Accent3 30 2 5" xfId="3825" xr:uid="{7B672A29-01E6-44C9-9D78-D894BFF8E052}"/>
    <cellStyle name="20% - Accent3 30 2 5 2" xfId="3826" xr:uid="{A07DE14C-2758-4AAA-8270-8121A0131E2E}"/>
    <cellStyle name="20% - Accent3 30 2 6" xfId="3827" xr:uid="{98908270-124C-4311-B9FA-090645DEB59C}"/>
    <cellStyle name="20% - Accent3 30 3" xfId="3828" xr:uid="{B0796EDC-8E97-42B2-BD3E-446CC4BD423E}"/>
    <cellStyle name="20% - Accent3 30 3 2" xfId="3829" xr:uid="{92CE897E-6825-48F6-BA88-683606CABE45}"/>
    <cellStyle name="20% - Accent3 30 3 2 2" xfId="3830" xr:uid="{9FC0E13E-843F-4E26-8D5F-234A2C9B31DD}"/>
    <cellStyle name="20% - Accent3 30 3 2 2 2" xfId="3831" xr:uid="{1F001735-01EC-426C-B86B-C257B659A335}"/>
    <cellStyle name="20% - Accent3 30 3 2 2 2 2" xfId="3832" xr:uid="{886BF839-9E18-430C-A5C7-581056CC9AD3}"/>
    <cellStyle name="20% - Accent3 30 3 2 2 3" xfId="3833" xr:uid="{F71D9148-92A4-4136-BF94-5A01AF13FC02}"/>
    <cellStyle name="20% - Accent3 30 3 2 3" xfId="3834" xr:uid="{C5456DD3-3C51-4E2B-9A5A-8DA5CACA8A5C}"/>
    <cellStyle name="20% - Accent3 30 3 2 3 2" xfId="3835" xr:uid="{E1DE97FB-973B-4D99-8FF5-EEC064DA4E9D}"/>
    <cellStyle name="20% - Accent3 30 3 2 3 2 2" xfId="3836" xr:uid="{A78D73D9-AAD6-4AF3-8042-1DF736E03474}"/>
    <cellStyle name="20% - Accent3 30 3 2 3 3" xfId="3837" xr:uid="{D0BBA904-CCDC-4C38-9740-404A5F04B9CE}"/>
    <cellStyle name="20% - Accent3 30 3 2 4" xfId="3838" xr:uid="{F09EB148-C29C-48AF-93AB-392F97003F2C}"/>
    <cellStyle name="20% - Accent3 30 3 2 4 2" xfId="3839" xr:uid="{F2A352C6-F81A-4ABC-990B-97361613FDB8}"/>
    <cellStyle name="20% - Accent3 30 3 2 5" xfId="3840" xr:uid="{604A560D-A8EB-45AD-83A0-1EA6384CB556}"/>
    <cellStyle name="20% - Accent3 30 3 3" xfId="3841" xr:uid="{EE3017AE-5FCC-404A-8C1D-2DBE8E82AF76}"/>
    <cellStyle name="20% - Accent3 30 3 3 2" xfId="3842" xr:uid="{E4BAA906-1145-416E-9514-D7A55360C1B7}"/>
    <cellStyle name="20% - Accent3 30 3 3 2 2" xfId="3843" xr:uid="{4B02D052-0357-4807-B1B8-FCCFA4902AF1}"/>
    <cellStyle name="20% - Accent3 30 3 3 3" xfId="3844" xr:uid="{2B6D8F3D-ACB3-4DC6-A232-59F09813F3FA}"/>
    <cellStyle name="20% - Accent3 30 3 4" xfId="3845" xr:uid="{D0C8BF0A-577C-49DA-8646-1FB3464F3FE1}"/>
    <cellStyle name="20% - Accent3 30 3 4 2" xfId="3846" xr:uid="{C0EBC765-E811-4E8F-85F9-9951DF9DF5F7}"/>
    <cellStyle name="20% - Accent3 30 3 4 2 2" xfId="3847" xr:uid="{1FA3C2EC-FA1F-4331-B5D9-BB9BCAA5782D}"/>
    <cellStyle name="20% - Accent3 30 3 4 3" xfId="3848" xr:uid="{F9AF4194-AA4C-47CF-A072-EA20F39B3F50}"/>
    <cellStyle name="20% - Accent3 30 3 5" xfId="3849" xr:uid="{51679BD7-13DC-444D-9CC2-895787A6F93D}"/>
    <cellStyle name="20% - Accent3 30 3 5 2" xfId="3850" xr:uid="{52154E7E-CB64-4199-9D26-1F13F21758D7}"/>
    <cellStyle name="20% - Accent3 30 3 6" xfId="3851" xr:uid="{073A7305-D49A-4E0A-9C06-40D3F58D4B06}"/>
    <cellStyle name="20% - Accent3 30 4" xfId="3852" xr:uid="{B19A7337-1739-44CD-B1BD-191E6F390BD3}"/>
    <cellStyle name="20% - Accent3 30 4 2" xfId="3853" xr:uid="{85AF8B9E-9505-47EE-AFD0-D0492701616E}"/>
    <cellStyle name="20% - Accent3 30 4 2 2" xfId="3854" xr:uid="{66AE6A38-BFAC-4D51-9D80-3E9D909FE677}"/>
    <cellStyle name="20% - Accent3 30 4 2 2 2" xfId="3855" xr:uid="{300B5820-3DF9-466C-BFA0-76CC62B7D575}"/>
    <cellStyle name="20% - Accent3 30 4 2 2 2 2" xfId="3856" xr:uid="{161910D3-6883-4212-8947-963A43750848}"/>
    <cellStyle name="20% - Accent3 30 4 2 2 3" xfId="3857" xr:uid="{0287A337-922C-4313-A572-89C532C35EC0}"/>
    <cellStyle name="20% - Accent3 30 4 2 3" xfId="3858" xr:uid="{51D82D54-C586-41F9-9534-5DAC16C939BE}"/>
    <cellStyle name="20% - Accent3 30 4 2 3 2" xfId="3859" xr:uid="{9E983741-11EF-4A64-88B2-57E311FDA43E}"/>
    <cellStyle name="20% - Accent3 30 4 2 3 2 2" xfId="3860" xr:uid="{51BB64CC-86C0-4268-B213-617EBBEC89C6}"/>
    <cellStyle name="20% - Accent3 30 4 2 3 3" xfId="3861" xr:uid="{B31D943C-41BB-4334-A1F7-B07813D34FDC}"/>
    <cellStyle name="20% - Accent3 30 4 2 4" xfId="3862" xr:uid="{0CCF3D43-46FE-4B34-9B25-5973F7359992}"/>
    <cellStyle name="20% - Accent3 30 4 2 4 2" xfId="3863" xr:uid="{01DD8CC4-36AA-4091-8562-069771CA13AC}"/>
    <cellStyle name="20% - Accent3 30 4 2 5" xfId="3864" xr:uid="{0DC0D67D-B44C-4091-B58A-DECFC2C1E312}"/>
    <cellStyle name="20% - Accent3 30 4 3" xfId="3865" xr:uid="{98A5D436-1E70-483E-81F5-A991D389F11B}"/>
    <cellStyle name="20% - Accent3 30 4 3 2" xfId="3866" xr:uid="{F7518247-3195-42BA-9B21-A24DABAD05A0}"/>
    <cellStyle name="20% - Accent3 30 4 3 2 2" xfId="3867" xr:uid="{8B9A0F28-D77D-40F0-9A44-80973A534E3A}"/>
    <cellStyle name="20% - Accent3 30 4 3 3" xfId="3868" xr:uid="{FFA8FB95-27E7-4BC6-B782-5F0CE7C38C6C}"/>
    <cellStyle name="20% - Accent3 30 4 4" xfId="3869" xr:uid="{D18410B4-4F23-4115-9282-0B013C1CA87A}"/>
    <cellStyle name="20% - Accent3 30 4 4 2" xfId="3870" xr:uid="{D045D125-D3D6-4F27-94BF-223F41D6A904}"/>
    <cellStyle name="20% - Accent3 30 4 4 2 2" xfId="3871" xr:uid="{31481E32-408F-4E87-BF53-2469530A0A89}"/>
    <cellStyle name="20% - Accent3 30 4 4 3" xfId="3872" xr:uid="{849418E9-D981-4ACA-A393-262F69C25198}"/>
    <cellStyle name="20% - Accent3 30 4 5" xfId="3873" xr:uid="{4353A2FE-2421-4FC6-8287-274819B73468}"/>
    <cellStyle name="20% - Accent3 30 4 5 2" xfId="3874" xr:uid="{4217A55E-0E94-4CCD-B11B-F3D2265956C0}"/>
    <cellStyle name="20% - Accent3 30 4 6" xfId="3875" xr:uid="{56856C58-977C-4480-B9A0-56759C44E7B2}"/>
    <cellStyle name="20% - Accent3 30 5" xfId="3876" xr:uid="{53B692E8-F470-4039-AC62-2640EA5FD205}"/>
    <cellStyle name="20% - Accent3 30 5 2" xfId="3877" xr:uid="{D9940E1C-BC10-4369-899B-5C8CB5F447E9}"/>
    <cellStyle name="20% - Accent3 30 5 2 2" xfId="3878" xr:uid="{39A767B4-C2CD-4A0E-B807-AA4895434E67}"/>
    <cellStyle name="20% - Accent3 30 5 2 2 2" xfId="3879" xr:uid="{E4E1E871-D18E-46ED-AE94-5332F49AC069}"/>
    <cellStyle name="20% - Accent3 30 5 2 2 2 2" xfId="3880" xr:uid="{A3D9FD65-1468-4255-9FA5-31201B32E399}"/>
    <cellStyle name="20% - Accent3 30 5 2 2 3" xfId="3881" xr:uid="{65317DE6-8FD5-4CEC-A0F8-1E22FA240138}"/>
    <cellStyle name="20% - Accent3 30 5 2 3" xfId="3882" xr:uid="{D8743DCB-B6F1-4C72-8D7C-29F8C64F57CC}"/>
    <cellStyle name="20% - Accent3 30 5 2 3 2" xfId="3883" xr:uid="{5CCF861F-D376-424B-BE29-BFF6EEADC6AF}"/>
    <cellStyle name="20% - Accent3 30 5 2 3 2 2" xfId="3884" xr:uid="{C78DF27C-B9BA-457D-B3BB-9B55DB8F360E}"/>
    <cellStyle name="20% - Accent3 30 5 2 3 3" xfId="3885" xr:uid="{04111525-F6EF-49C3-9E18-3E5C2AFAD305}"/>
    <cellStyle name="20% - Accent3 30 5 2 4" xfId="3886" xr:uid="{D2F8B61A-D9FD-48EF-A8A7-8EF6AD274DF4}"/>
    <cellStyle name="20% - Accent3 30 5 2 4 2" xfId="3887" xr:uid="{F480E9AE-9E3F-457E-93BC-65C2415990C9}"/>
    <cellStyle name="20% - Accent3 30 5 2 5" xfId="3888" xr:uid="{8BBCD21F-090A-4AC8-990B-16D4690148CC}"/>
    <cellStyle name="20% - Accent3 30 5 3" xfId="3889" xr:uid="{3733FE2C-5636-43C7-8F2B-96DFF158EC2F}"/>
    <cellStyle name="20% - Accent3 30 5 3 2" xfId="3890" xr:uid="{214F7483-C045-4F64-9654-CD7DAF5E02E9}"/>
    <cellStyle name="20% - Accent3 30 5 3 2 2" xfId="3891" xr:uid="{679D4B60-44CF-4268-8656-74E0F31C3584}"/>
    <cellStyle name="20% - Accent3 30 5 3 3" xfId="3892" xr:uid="{A1C46497-F5F4-49DE-A0BD-B2DB5D3C7743}"/>
    <cellStyle name="20% - Accent3 30 5 4" xfId="3893" xr:uid="{A89311F0-9587-4B00-852B-5A9CDBB56E94}"/>
    <cellStyle name="20% - Accent3 30 5 4 2" xfId="3894" xr:uid="{72F12476-D69E-4F07-95D3-98DCB2E0E24B}"/>
    <cellStyle name="20% - Accent3 30 5 4 2 2" xfId="3895" xr:uid="{EC27ABE8-4C6E-439D-A9D9-1CDD204A6F47}"/>
    <cellStyle name="20% - Accent3 30 5 4 3" xfId="3896" xr:uid="{86DECA1C-0C81-4FEE-BBE7-11E3948EE926}"/>
    <cellStyle name="20% - Accent3 30 5 5" xfId="3897" xr:uid="{D355358E-914A-49A2-A48B-BBD7F5C2200C}"/>
    <cellStyle name="20% - Accent3 30 5 5 2" xfId="3898" xr:uid="{8A588F1C-2771-4604-86FA-E39B73513045}"/>
    <cellStyle name="20% - Accent3 30 5 6" xfId="3899" xr:uid="{B8A0460B-C41A-41C4-9CAE-D5E113E28A4A}"/>
    <cellStyle name="20% - Accent3 30 6" xfId="3900" xr:uid="{C32A2E21-3EE4-4E91-82DD-4A9426B67B64}"/>
    <cellStyle name="20% - Accent3 30 6 2" xfId="3901" xr:uid="{CF8E0D88-F7E1-444C-BF76-2837796F261F}"/>
    <cellStyle name="20% - Accent3 30 6 2 2" xfId="3902" xr:uid="{B1E8DD1E-F6EC-49D4-9B72-B373F0B5AF58}"/>
    <cellStyle name="20% - Accent3 30 6 2 2 2" xfId="3903" xr:uid="{6AC40769-BAD5-4E12-BCE6-92D52D365671}"/>
    <cellStyle name="20% - Accent3 30 6 2 2 2 2" xfId="3904" xr:uid="{A23C662E-3EE4-4A19-84F3-69E4CF2D6CC8}"/>
    <cellStyle name="20% - Accent3 30 6 2 2 3" xfId="3905" xr:uid="{D1BC7CB6-BBA2-420F-831A-8FCDB4ECC88B}"/>
    <cellStyle name="20% - Accent3 30 6 2 3" xfId="3906" xr:uid="{3BC6FCFD-A5F0-4E67-91CD-1B0A53F9D659}"/>
    <cellStyle name="20% - Accent3 30 6 2 3 2" xfId="3907" xr:uid="{E38EE0A1-1088-43AD-8196-57E4C9380A4A}"/>
    <cellStyle name="20% - Accent3 30 6 2 3 2 2" xfId="3908" xr:uid="{398EC4EB-031F-44BD-99A6-4A95114D29BC}"/>
    <cellStyle name="20% - Accent3 30 6 2 3 3" xfId="3909" xr:uid="{D7C8EBDA-842B-4784-9AD8-15A4C5B152B4}"/>
    <cellStyle name="20% - Accent3 30 6 2 4" xfId="3910" xr:uid="{72594FAB-C74B-48BB-B117-DC9FC8A3ECD5}"/>
    <cellStyle name="20% - Accent3 30 6 2 4 2" xfId="3911" xr:uid="{808B1D5C-8D39-423D-AACA-B40D43B39985}"/>
    <cellStyle name="20% - Accent3 30 6 2 5" xfId="3912" xr:uid="{88E86595-F48F-444D-A9DA-86616CCAD6B8}"/>
    <cellStyle name="20% - Accent3 30 6 3" xfId="3913" xr:uid="{66560272-7592-43FA-A034-002AE7638A9F}"/>
    <cellStyle name="20% - Accent3 30 6 3 2" xfId="3914" xr:uid="{B92F66C6-39D5-4AE5-B21E-DB2D98126005}"/>
    <cellStyle name="20% - Accent3 30 6 3 2 2" xfId="3915" xr:uid="{9C8A0F86-39B2-457D-8C7F-9F26CB0EAC2B}"/>
    <cellStyle name="20% - Accent3 30 6 3 3" xfId="3916" xr:uid="{EECA93ED-3B25-4AEB-9C77-B6BBC0B5A863}"/>
    <cellStyle name="20% - Accent3 30 6 4" xfId="3917" xr:uid="{EFB63180-1405-4330-B816-7B4C2A28308B}"/>
    <cellStyle name="20% - Accent3 30 6 4 2" xfId="3918" xr:uid="{4BAFE09D-934E-46A7-A093-81003CA1B11B}"/>
    <cellStyle name="20% - Accent3 30 6 4 2 2" xfId="3919" xr:uid="{CD86E8E3-7D12-4DA9-90BB-C90A62DBAB20}"/>
    <cellStyle name="20% - Accent3 30 6 4 3" xfId="3920" xr:uid="{F0C00E9F-E7D1-46CE-B9E3-92AFE52BAFEA}"/>
    <cellStyle name="20% - Accent3 30 6 5" xfId="3921" xr:uid="{AB669914-A621-4473-8BF7-B8FD4A6AC972}"/>
    <cellStyle name="20% - Accent3 30 6 5 2" xfId="3922" xr:uid="{6C269224-CD6B-4DAC-8FE5-4B2D1C85E555}"/>
    <cellStyle name="20% - Accent3 30 6 6" xfId="3923" xr:uid="{529CAB86-726A-482C-8EF4-36CAA80C8695}"/>
    <cellStyle name="20% - Accent3 30 7" xfId="3924" xr:uid="{2E9922E9-0588-4002-B76F-0C924C28560D}"/>
    <cellStyle name="20% - Accent3 30 7 2" xfId="3925" xr:uid="{41E59804-7051-4BEC-A2E7-AE8451CC1810}"/>
    <cellStyle name="20% - Accent3 30 7 2 2" xfId="3926" xr:uid="{8F9C60A7-C8A6-4DC8-9693-B5A42EE1D1CE}"/>
    <cellStyle name="20% - Accent3 30 7 2 2 2" xfId="3927" xr:uid="{C995FBEA-0370-4C20-9875-CABA12F1F80D}"/>
    <cellStyle name="20% - Accent3 30 7 2 2 2 2" xfId="3928" xr:uid="{D2A55C40-1FD4-4C54-ADAC-9ABD27808112}"/>
    <cellStyle name="20% - Accent3 30 7 2 2 3" xfId="3929" xr:uid="{99F561AC-24C9-4D2D-A9FA-067BD1E40224}"/>
    <cellStyle name="20% - Accent3 30 7 2 3" xfId="3930" xr:uid="{6A0800B2-F8B7-4738-A61E-BEB1FD5410CC}"/>
    <cellStyle name="20% - Accent3 30 7 2 3 2" xfId="3931" xr:uid="{F964C9E9-2F6C-4C09-9A6C-5BDD65D31BC3}"/>
    <cellStyle name="20% - Accent3 30 7 2 3 2 2" xfId="3932" xr:uid="{094F7FCE-1FC5-46DA-BD3C-B50259F4D9B6}"/>
    <cellStyle name="20% - Accent3 30 7 2 3 3" xfId="3933" xr:uid="{B2997501-AD12-4958-840A-DC30147E46AA}"/>
    <cellStyle name="20% - Accent3 30 7 2 4" xfId="3934" xr:uid="{463EDE97-B0DA-46CC-A3A4-663888C125F2}"/>
    <cellStyle name="20% - Accent3 30 7 2 4 2" xfId="3935" xr:uid="{D3C30330-B79D-4382-ACB7-DD9074E64AFD}"/>
    <cellStyle name="20% - Accent3 30 7 2 5" xfId="3936" xr:uid="{FBE350F3-AC15-4E41-866E-F8EF87E91363}"/>
    <cellStyle name="20% - Accent3 30 7 3" xfId="3937" xr:uid="{83903EC2-BE7D-4AC7-B35F-2A41ADC9CF2E}"/>
    <cellStyle name="20% - Accent3 30 7 3 2" xfId="3938" xr:uid="{3CDC75D5-A324-4208-ADD8-C668DC4D7ECB}"/>
    <cellStyle name="20% - Accent3 30 7 3 2 2" xfId="3939" xr:uid="{31BD0A78-022D-4CDB-99E2-BBE22EC85F6B}"/>
    <cellStyle name="20% - Accent3 30 7 3 3" xfId="3940" xr:uid="{C19D93E8-55D5-4A40-8A24-67064874960B}"/>
    <cellStyle name="20% - Accent3 30 7 4" xfId="3941" xr:uid="{74DBE59B-91B9-415B-B3DA-E41D0B7FA28B}"/>
    <cellStyle name="20% - Accent3 30 7 4 2" xfId="3942" xr:uid="{344820C5-F393-4AAF-A728-631352BA3E5D}"/>
    <cellStyle name="20% - Accent3 30 7 4 2 2" xfId="3943" xr:uid="{5178F4A8-FDB5-4126-A1C8-5D0BDC2815F2}"/>
    <cellStyle name="20% - Accent3 30 7 4 3" xfId="3944" xr:uid="{E81E0F10-A223-4C8E-81C8-3F06A010F8BD}"/>
    <cellStyle name="20% - Accent3 30 7 5" xfId="3945" xr:uid="{CE651115-FEAC-4CF8-A4F6-B22741E4D853}"/>
    <cellStyle name="20% - Accent3 30 7 5 2" xfId="3946" xr:uid="{618D5848-F3F0-46F7-88EF-1503DA582FAB}"/>
    <cellStyle name="20% - Accent3 30 7 6" xfId="3947" xr:uid="{9C43F894-391B-45B7-B988-923D24C52029}"/>
    <cellStyle name="20% - Accent3 30 8" xfId="3948" xr:uid="{EBFE0126-19EC-407E-8C21-C9A49C17915B}"/>
    <cellStyle name="20% - Accent3 30 8 2" xfId="3949" xr:uid="{5029298C-D4EB-4668-9B77-05CAD9498160}"/>
    <cellStyle name="20% - Accent3 30 8 2 2" xfId="3950" xr:uid="{A4EB81FA-3BDE-4672-8AB3-8697CF310A8D}"/>
    <cellStyle name="20% - Accent3 30 8 2 2 2" xfId="3951" xr:uid="{86D737B3-779C-413F-AD71-1987E999B338}"/>
    <cellStyle name="20% - Accent3 30 8 2 2 2 2" xfId="3952" xr:uid="{627ED16D-E61C-4E4D-A12E-8FCA4F44DCC4}"/>
    <cellStyle name="20% - Accent3 30 8 2 2 3" xfId="3953" xr:uid="{EDEB1DB1-B28E-427F-803E-6D4C08665089}"/>
    <cellStyle name="20% - Accent3 30 8 2 3" xfId="3954" xr:uid="{EEDFBE1D-BA2D-48B1-A95B-7D8CDBF8EDEC}"/>
    <cellStyle name="20% - Accent3 30 8 2 3 2" xfId="3955" xr:uid="{BB2F342B-3770-4B93-9989-84871F8C90C3}"/>
    <cellStyle name="20% - Accent3 30 8 2 3 2 2" xfId="3956" xr:uid="{6FEF2509-E7D1-401B-AF5F-AFE64CE4855D}"/>
    <cellStyle name="20% - Accent3 30 8 2 3 3" xfId="3957" xr:uid="{B7627C09-B0BD-4964-9562-61F40C0B02E3}"/>
    <cellStyle name="20% - Accent3 30 8 2 4" xfId="3958" xr:uid="{12A9F9BE-F63E-45B9-BBAF-E35BB2F96B2A}"/>
    <cellStyle name="20% - Accent3 30 8 2 4 2" xfId="3959" xr:uid="{91313765-45BA-4A5D-B9D2-08680FA311B3}"/>
    <cellStyle name="20% - Accent3 30 8 2 5" xfId="3960" xr:uid="{241570AF-0B6A-496C-A6E5-757C299AA5D1}"/>
    <cellStyle name="20% - Accent3 30 8 3" xfId="3961" xr:uid="{673686EB-C5D9-4EAA-9BB5-4C42076EA4C3}"/>
    <cellStyle name="20% - Accent3 30 8 3 2" xfId="3962" xr:uid="{7AA14490-D9B6-4BEE-BF88-79D137E49EBF}"/>
    <cellStyle name="20% - Accent3 30 8 3 2 2" xfId="3963" xr:uid="{FF6C737E-7979-43FF-8F7F-F067B3C0C2D9}"/>
    <cellStyle name="20% - Accent3 30 8 3 3" xfId="3964" xr:uid="{B8AC1B34-B75C-44B3-8B77-1DE57290C99C}"/>
    <cellStyle name="20% - Accent3 30 8 4" xfId="3965" xr:uid="{DF5ADBB2-201F-40B6-BDBA-45050A7156E9}"/>
    <cellStyle name="20% - Accent3 30 8 4 2" xfId="3966" xr:uid="{3EFC64F0-DE05-48E2-8DE7-041C36F05FAC}"/>
    <cellStyle name="20% - Accent3 30 8 4 2 2" xfId="3967" xr:uid="{12617C27-9FD7-4298-9E9D-0DD6E0693ABA}"/>
    <cellStyle name="20% - Accent3 30 8 4 3" xfId="3968" xr:uid="{1AE622D3-A886-45A6-9812-0E5F77E25BCB}"/>
    <cellStyle name="20% - Accent3 30 8 5" xfId="3969" xr:uid="{AEB8305A-5D09-4011-92D6-99C353D0B7C5}"/>
    <cellStyle name="20% - Accent3 30 8 5 2" xfId="3970" xr:uid="{92311A72-1F17-42C2-8787-822111689D65}"/>
    <cellStyle name="20% - Accent3 30 8 6" xfId="3971" xr:uid="{135E8776-0ADB-46C0-99B9-2B86FC717B01}"/>
    <cellStyle name="20% - Accent3 30 9" xfId="3972" xr:uid="{7156F6BB-F3EC-4A48-9871-C18CA9A6FB9D}"/>
    <cellStyle name="20% - Accent3 30 9 2" xfId="3973" xr:uid="{5EC81513-3ED0-498B-AA23-1F60214E41F6}"/>
    <cellStyle name="20% - Accent3 30 9 2 2" xfId="3974" xr:uid="{0C5E80B9-2A14-446E-AB63-B15B0A4C37D7}"/>
    <cellStyle name="20% - Accent3 30 9 2 2 2" xfId="3975" xr:uid="{4161C2C5-6E36-4727-8800-ACBF03E40047}"/>
    <cellStyle name="20% - Accent3 30 9 2 2 2 2" xfId="3976" xr:uid="{B77DD2C9-3B9B-4A43-A25E-42C00C6DC3E8}"/>
    <cellStyle name="20% - Accent3 30 9 2 2 3" xfId="3977" xr:uid="{33C6430C-C65E-496C-AFEC-50C411ECFBB6}"/>
    <cellStyle name="20% - Accent3 30 9 2 3" xfId="3978" xr:uid="{0D60E230-C2B2-473F-A81A-E89888F90A74}"/>
    <cellStyle name="20% - Accent3 30 9 2 3 2" xfId="3979" xr:uid="{7697B976-5443-42C3-AAA3-90A96E9458F0}"/>
    <cellStyle name="20% - Accent3 30 9 2 3 2 2" xfId="3980" xr:uid="{5AEE8F47-0803-404D-91A8-9FFE708044BF}"/>
    <cellStyle name="20% - Accent3 30 9 2 3 3" xfId="3981" xr:uid="{90ECA8D0-800A-4390-8BA4-568B34E851B7}"/>
    <cellStyle name="20% - Accent3 30 9 2 4" xfId="3982" xr:uid="{C3426ABE-106A-4F1F-9F39-80AFA023BA79}"/>
    <cellStyle name="20% - Accent3 30 9 2 4 2" xfId="3983" xr:uid="{ED73C341-3E5F-4AF9-A6ED-9858786678CA}"/>
    <cellStyle name="20% - Accent3 30 9 2 5" xfId="3984" xr:uid="{8F66E6AC-57F3-4AA3-8A91-D5C3DCCE5733}"/>
    <cellStyle name="20% - Accent3 30 9 3" xfId="3985" xr:uid="{5718FA7B-FB6B-418E-990A-1DBF834C9FD3}"/>
    <cellStyle name="20% - Accent3 30 9 3 2" xfId="3986" xr:uid="{D4F27700-DDD4-4D65-8A06-6617D161FA1A}"/>
    <cellStyle name="20% - Accent3 30 9 3 2 2" xfId="3987" xr:uid="{47230C4B-6900-4FAF-927C-E153FF03C36D}"/>
    <cellStyle name="20% - Accent3 30 9 3 3" xfId="3988" xr:uid="{E9E9147B-0C47-4B2E-A644-4017E9C83712}"/>
    <cellStyle name="20% - Accent3 30 9 4" xfId="3989" xr:uid="{64F8E60E-18BE-4D9E-93E8-9769DE961A9F}"/>
    <cellStyle name="20% - Accent3 30 9 4 2" xfId="3990" xr:uid="{C8380EB3-12B0-4E1B-B927-FFD196973845}"/>
    <cellStyle name="20% - Accent3 30 9 4 2 2" xfId="3991" xr:uid="{4A045712-8A2A-4BD3-A2FD-732A482F403D}"/>
    <cellStyle name="20% - Accent3 30 9 4 3" xfId="3992" xr:uid="{DD761AE2-E633-4745-BBDC-D68AEFE1DC3C}"/>
    <cellStyle name="20% - Accent3 30 9 5" xfId="3993" xr:uid="{76F7B50B-7E74-42AF-AD3B-1A1AEC59FD70}"/>
    <cellStyle name="20% - Accent3 30 9 5 2" xfId="3994" xr:uid="{F203E10C-44A1-4F46-8FA5-143AFAC6B7AE}"/>
    <cellStyle name="20% - Accent3 30 9 6" xfId="3995" xr:uid="{172F0B96-2C52-44E2-87D2-9C3BF783C3B3}"/>
    <cellStyle name="20% - Accent3 31" xfId="3996" xr:uid="{84BF9A77-F91A-4676-BA37-64BEDD4C22FC}"/>
    <cellStyle name="20% - Accent3 31 10" xfId="3997" xr:uid="{BA67801D-6255-42A1-832E-07C92509889F}"/>
    <cellStyle name="20% - Accent3 31 10 2" xfId="3998" xr:uid="{C5016A97-2B59-48C5-BAA3-D485FDFC1505}"/>
    <cellStyle name="20% - Accent3 31 10 2 2" xfId="3999" xr:uid="{7F9DA45D-8B7A-417F-B936-0C16B8D33DB8}"/>
    <cellStyle name="20% - Accent3 31 10 2 2 2" xfId="4000" xr:uid="{E163CD31-85FD-4CCB-A8CB-CA816F00F2B8}"/>
    <cellStyle name="20% - Accent3 31 10 2 2 2 2" xfId="4001" xr:uid="{5CD41A1D-222A-4BED-A76E-717E07A1297F}"/>
    <cellStyle name="20% - Accent3 31 10 2 2 3" xfId="4002" xr:uid="{F25A7152-7FB0-494F-B126-1B1AEB58F80E}"/>
    <cellStyle name="20% - Accent3 31 10 2 3" xfId="4003" xr:uid="{FA2079FA-7C48-4578-A8CF-1C5DFDE972EA}"/>
    <cellStyle name="20% - Accent3 31 10 2 3 2" xfId="4004" xr:uid="{F746C380-5DE1-4D0C-8B0B-2CF2602FB12B}"/>
    <cellStyle name="20% - Accent3 31 10 2 3 2 2" xfId="4005" xr:uid="{1D542751-E366-495B-86C2-2B78E9CD5022}"/>
    <cellStyle name="20% - Accent3 31 10 2 3 3" xfId="4006" xr:uid="{F9CF8069-9106-4EA2-84E9-22C725B0C2E4}"/>
    <cellStyle name="20% - Accent3 31 10 2 4" xfId="4007" xr:uid="{DCE6C217-7B62-46F3-8ABC-F849096D8991}"/>
    <cellStyle name="20% - Accent3 31 10 2 4 2" xfId="4008" xr:uid="{D5A205CC-3EDC-4610-A35B-2F254F18F563}"/>
    <cellStyle name="20% - Accent3 31 10 2 5" xfId="4009" xr:uid="{A4A1A48F-5314-4E2E-8710-89F733CC4F6B}"/>
    <cellStyle name="20% - Accent3 31 10 3" xfId="4010" xr:uid="{8ED5A175-4D5B-4D67-83C9-05DDF6679836}"/>
    <cellStyle name="20% - Accent3 31 10 3 2" xfId="4011" xr:uid="{0D6C0C55-1698-4438-993A-7189BD451213}"/>
    <cellStyle name="20% - Accent3 31 10 3 2 2" xfId="4012" xr:uid="{3C3EFABD-3746-4A4E-AAF0-9305D241CD78}"/>
    <cellStyle name="20% - Accent3 31 10 3 3" xfId="4013" xr:uid="{2EDE1961-21EB-48DA-A022-57FF820C2A35}"/>
    <cellStyle name="20% - Accent3 31 10 4" xfId="4014" xr:uid="{441CCB5E-6025-4816-9BFF-BAC0071BA6C0}"/>
    <cellStyle name="20% - Accent3 31 10 4 2" xfId="4015" xr:uid="{FBB2BF44-1055-4EE6-B09D-2C23B6E31BA1}"/>
    <cellStyle name="20% - Accent3 31 10 4 2 2" xfId="4016" xr:uid="{41AC30CE-B03E-4B2B-BD8A-B655FE6EEE73}"/>
    <cellStyle name="20% - Accent3 31 10 4 3" xfId="4017" xr:uid="{EA86D988-9314-4AFA-97D2-EEA078DB99F6}"/>
    <cellStyle name="20% - Accent3 31 10 5" xfId="4018" xr:uid="{1F7969D8-3B86-488D-8BD6-466DE231C00E}"/>
    <cellStyle name="20% - Accent3 31 10 5 2" xfId="4019" xr:uid="{039F5664-8E6A-427A-881E-3B8B2502BE99}"/>
    <cellStyle name="20% - Accent3 31 10 6" xfId="4020" xr:uid="{9D2454D3-2E95-4D92-BEEC-1A7C3AA76AEC}"/>
    <cellStyle name="20% - Accent3 31 11" xfId="4021" xr:uid="{19376357-0E59-46DC-853C-057A2806B0C1}"/>
    <cellStyle name="20% - Accent3 31 11 2" xfId="4022" xr:uid="{7E2B7CEA-E840-484B-BA69-34238E255987}"/>
    <cellStyle name="20% - Accent3 31 11 2 2" xfId="4023" xr:uid="{B356B751-7588-42D5-B39B-94E06448E3F7}"/>
    <cellStyle name="20% - Accent3 31 11 2 2 2" xfId="4024" xr:uid="{54D71F45-6651-44E3-B5FC-28AF54BC3E69}"/>
    <cellStyle name="20% - Accent3 31 11 2 3" xfId="4025" xr:uid="{AC16469B-3D7E-4630-A702-EFB7CC838DA9}"/>
    <cellStyle name="20% - Accent3 31 11 3" xfId="4026" xr:uid="{183A53DA-D298-4652-AC59-5928972D6C72}"/>
    <cellStyle name="20% - Accent3 31 11 3 2" xfId="4027" xr:uid="{287A422B-6C13-4BC3-8461-7DB7DC6563FA}"/>
    <cellStyle name="20% - Accent3 31 11 3 2 2" xfId="4028" xr:uid="{A26FD88B-359E-45AF-820D-1F0ADE62AAFE}"/>
    <cellStyle name="20% - Accent3 31 11 3 3" xfId="4029" xr:uid="{5170EA24-6597-4143-AC0F-CED9D58ADB84}"/>
    <cellStyle name="20% - Accent3 31 11 4" xfId="4030" xr:uid="{7EE25EDC-BEED-4388-A214-1101D7A0C238}"/>
    <cellStyle name="20% - Accent3 31 11 4 2" xfId="4031" xr:uid="{EC7C6337-934F-4B71-8A2F-5DF20AE7023D}"/>
    <cellStyle name="20% - Accent3 31 11 5" xfId="4032" xr:uid="{B7E183C2-DD20-487F-97AA-5F4F7482E40D}"/>
    <cellStyle name="20% - Accent3 31 12" xfId="4033" xr:uid="{C70F6095-F04B-4B0D-9C3D-C1D905474E09}"/>
    <cellStyle name="20% - Accent3 31 12 2" xfId="4034" xr:uid="{797DFBD1-84BC-4B8B-93F0-AC30D68E5D24}"/>
    <cellStyle name="20% - Accent3 31 12 2 2" xfId="4035" xr:uid="{4D300A29-0390-4AC5-96BB-2240EAAAC008}"/>
    <cellStyle name="20% - Accent3 31 12 3" xfId="4036" xr:uid="{BDB31719-344C-4A82-97C3-A34C8F4694D4}"/>
    <cellStyle name="20% - Accent3 31 13" xfId="4037" xr:uid="{896F25CF-6842-464A-9691-D33E44652123}"/>
    <cellStyle name="20% - Accent3 31 13 2" xfId="4038" xr:uid="{46AE6EBA-74F4-45B8-811F-9392D3684B1F}"/>
    <cellStyle name="20% - Accent3 31 13 2 2" xfId="4039" xr:uid="{CB08042D-1075-4357-ADD5-2C7FDFCCE466}"/>
    <cellStyle name="20% - Accent3 31 13 3" xfId="4040" xr:uid="{9AAE3366-2CFC-463C-8F63-36533E5BA491}"/>
    <cellStyle name="20% - Accent3 31 14" xfId="4041" xr:uid="{DB250B2B-BB85-412D-8057-0B9AE89FA9FF}"/>
    <cellStyle name="20% - Accent3 31 14 2" xfId="4042" xr:uid="{0EC9E84A-5E51-4161-975F-6A3B45904498}"/>
    <cellStyle name="20% - Accent3 31 15" xfId="4043" xr:uid="{D2F64758-BD11-45C7-96CD-FDBB7AA1032D}"/>
    <cellStyle name="20% - Accent3 31 16" xfId="35975" xr:uid="{16176161-DF72-4B39-ACED-9E4A666EF018}"/>
    <cellStyle name="20% - Accent3 31 2" xfId="4044" xr:uid="{7EC591F6-5179-4519-B053-97B70AC0EDB0}"/>
    <cellStyle name="20% - Accent3 31 2 2" xfId="4045" xr:uid="{6E0997E5-41BB-4F91-950F-13407C72BCCB}"/>
    <cellStyle name="20% - Accent3 31 2 2 2" xfId="4046" xr:uid="{F6001CFC-A478-4DDD-9747-A1E68FBAC900}"/>
    <cellStyle name="20% - Accent3 31 2 2 2 2" xfId="4047" xr:uid="{ACB698F3-F89F-45E9-BDF1-A985EE60C371}"/>
    <cellStyle name="20% - Accent3 31 2 2 2 2 2" xfId="4048" xr:uid="{C1485FDC-1E8A-49C5-A9C9-DFB2B457B1E0}"/>
    <cellStyle name="20% - Accent3 31 2 2 2 3" xfId="4049" xr:uid="{027CC2E5-7BCC-4161-AA6E-C8E48A36A6DF}"/>
    <cellStyle name="20% - Accent3 31 2 2 3" xfId="4050" xr:uid="{99850678-1E6B-4666-8FDD-2AD8C3A1EB0E}"/>
    <cellStyle name="20% - Accent3 31 2 2 3 2" xfId="4051" xr:uid="{301E3F44-B399-4D4F-B163-1A16AE6D8BE8}"/>
    <cellStyle name="20% - Accent3 31 2 2 3 2 2" xfId="4052" xr:uid="{9E167EDF-781C-4FCA-80A7-64A551F57118}"/>
    <cellStyle name="20% - Accent3 31 2 2 3 3" xfId="4053" xr:uid="{B3DD1D13-EC0F-4597-9AD8-1C4DBA53FC05}"/>
    <cellStyle name="20% - Accent3 31 2 2 4" xfId="4054" xr:uid="{E5C01603-B466-4087-99E2-23C6906A9C5B}"/>
    <cellStyle name="20% - Accent3 31 2 2 4 2" xfId="4055" xr:uid="{DDA2D57D-873D-41EE-8282-1AE07639048C}"/>
    <cellStyle name="20% - Accent3 31 2 2 5" xfId="4056" xr:uid="{5FD2CE8F-4E9C-4D71-B337-B5ABA3744694}"/>
    <cellStyle name="20% - Accent3 31 2 3" xfId="4057" xr:uid="{A19E066C-3368-4F76-A20D-0FB0DE214FD8}"/>
    <cellStyle name="20% - Accent3 31 2 3 2" xfId="4058" xr:uid="{98FDDF29-55A4-4E3D-8DFD-9F09C388A96A}"/>
    <cellStyle name="20% - Accent3 31 2 3 2 2" xfId="4059" xr:uid="{BC9EFF53-A386-4E8D-B11D-914C3DF09E9E}"/>
    <cellStyle name="20% - Accent3 31 2 3 3" xfId="4060" xr:uid="{F9236D82-B186-43F7-974B-09880F49DE06}"/>
    <cellStyle name="20% - Accent3 31 2 4" xfId="4061" xr:uid="{8FC3036E-FC9F-41EE-B3B6-516666DFF3D6}"/>
    <cellStyle name="20% - Accent3 31 2 4 2" xfId="4062" xr:uid="{A0DFC32F-ED58-46B2-8927-9EE42AF73332}"/>
    <cellStyle name="20% - Accent3 31 2 4 2 2" xfId="4063" xr:uid="{4B95184F-B04B-4CD7-907D-AEA0A1401849}"/>
    <cellStyle name="20% - Accent3 31 2 4 3" xfId="4064" xr:uid="{85455367-E80A-4C05-A932-C1C820173132}"/>
    <cellStyle name="20% - Accent3 31 2 5" xfId="4065" xr:uid="{CE53F269-6C9A-40AA-8878-B5897567EDB6}"/>
    <cellStyle name="20% - Accent3 31 2 5 2" xfId="4066" xr:uid="{4CF7B3C3-C8DF-4771-9CEC-A7355591FF66}"/>
    <cellStyle name="20% - Accent3 31 2 6" xfId="4067" xr:uid="{A123AF9D-0DA0-4B2E-B679-5A7A60156802}"/>
    <cellStyle name="20% - Accent3 31 3" xfId="4068" xr:uid="{3C9E4309-BC69-4525-936A-C457813C1671}"/>
    <cellStyle name="20% - Accent3 31 3 2" xfId="4069" xr:uid="{0E080C00-DBFB-4BB3-A91A-119A1792FAE0}"/>
    <cellStyle name="20% - Accent3 31 3 2 2" xfId="4070" xr:uid="{439A375A-F398-4E13-870E-67F0E62217E9}"/>
    <cellStyle name="20% - Accent3 31 3 2 2 2" xfId="4071" xr:uid="{81DC3FCB-E307-4F7B-8E75-8F5E7C44F242}"/>
    <cellStyle name="20% - Accent3 31 3 2 2 2 2" xfId="4072" xr:uid="{86589799-5326-4D94-8991-E8F91D265951}"/>
    <cellStyle name="20% - Accent3 31 3 2 2 3" xfId="4073" xr:uid="{1E06CB2C-7CEE-48C5-B3A7-D58DB42C566F}"/>
    <cellStyle name="20% - Accent3 31 3 2 3" xfId="4074" xr:uid="{9B2A3FDC-4868-4C40-A1A2-6FF687707D1F}"/>
    <cellStyle name="20% - Accent3 31 3 2 3 2" xfId="4075" xr:uid="{F16DB0EE-FA19-419E-B610-04B3E3FF79D1}"/>
    <cellStyle name="20% - Accent3 31 3 2 3 2 2" xfId="4076" xr:uid="{DF68002F-CE2E-417B-B90B-801F3DA0DFF9}"/>
    <cellStyle name="20% - Accent3 31 3 2 3 3" xfId="4077" xr:uid="{DC8E4AF1-E94C-43F1-BC66-82BE062639CE}"/>
    <cellStyle name="20% - Accent3 31 3 2 4" xfId="4078" xr:uid="{CCA33AD6-9DFE-4F77-A423-4E1BC39EBA6B}"/>
    <cellStyle name="20% - Accent3 31 3 2 4 2" xfId="4079" xr:uid="{BCEA05D0-1015-44FB-9738-8127C3FE1657}"/>
    <cellStyle name="20% - Accent3 31 3 2 5" xfId="4080" xr:uid="{8AA39DC5-98FF-4FF4-AB3A-E7544E6DC7CF}"/>
    <cellStyle name="20% - Accent3 31 3 3" xfId="4081" xr:uid="{D163A0AB-8D9F-49CB-8E92-BFFDFBCF494C}"/>
    <cellStyle name="20% - Accent3 31 3 3 2" xfId="4082" xr:uid="{E4B4F1F3-90C2-4568-A6E4-B7F1A4694F27}"/>
    <cellStyle name="20% - Accent3 31 3 3 2 2" xfId="4083" xr:uid="{06BFDD18-9CCF-4A50-8871-AF4563C0CDEC}"/>
    <cellStyle name="20% - Accent3 31 3 3 3" xfId="4084" xr:uid="{68DF76EE-EAED-48DF-8882-FB8976BF75DF}"/>
    <cellStyle name="20% - Accent3 31 3 4" xfId="4085" xr:uid="{F0D2FA8D-4153-42BC-B2A0-825EDF6D56B1}"/>
    <cellStyle name="20% - Accent3 31 3 4 2" xfId="4086" xr:uid="{2D3863C2-5864-4258-8E2B-0BA22B21E3CA}"/>
    <cellStyle name="20% - Accent3 31 3 4 2 2" xfId="4087" xr:uid="{660F220E-7648-4089-BD8A-C2433BB8D8C6}"/>
    <cellStyle name="20% - Accent3 31 3 4 3" xfId="4088" xr:uid="{E32F7E96-3F61-40EE-993C-F2626CABE2C0}"/>
    <cellStyle name="20% - Accent3 31 3 5" xfId="4089" xr:uid="{6AD77FE7-3DA9-4C49-9D72-0EA3BD27C14F}"/>
    <cellStyle name="20% - Accent3 31 3 5 2" xfId="4090" xr:uid="{61841AE8-CDB7-45DD-A64A-CE9E4D4A12CF}"/>
    <cellStyle name="20% - Accent3 31 3 6" xfId="4091" xr:uid="{5AD015AD-8225-4CDD-BD48-29F147E4C9D3}"/>
    <cellStyle name="20% - Accent3 31 4" xfId="4092" xr:uid="{E77CA8F2-E418-47C6-955E-E086001F0A63}"/>
    <cellStyle name="20% - Accent3 31 4 2" xfId="4093" xr:uid="{E623AC6B-DBA1-4174-B5DB-80B42B523D35}"/>
    <cellStyle name="20% - Accent3 31 4 2 2" xfId="4094" xr:uid="{D9978801-62F8-408A-8B91-5AE36ADF8638}"/>
    <cellStyle name="20% - Accent3 31 4 2 2 2" xfId="4095" xr:uid="{3FDC308C-D813-4B77-BF84-522185E225B9}"/>
    <cellStyle name="20% - Accent3 31 4 2 2 2 2" xfId="4096" xr:uid="{4D460C40-02F0-40D6-8CC5-92000FDBBCB9}"/>
    <cellStyle name="20% - Accent3 31 4 2 2 3" xfId="4097" xr:uid="{B7D41F9D-56FA-4E98-A275-AD6A89B4F523}"/>
    <cellStyle name="20% - Accent3 31 4 2 3" xfId="4098" xr:uid="{1A431D34-3494-46FD-BC69-66A86FF20954}"/>
    <cellStyle name="20% - Accent3 31 4 2 3 2" xfId="4099" xr:uid="{2C10C5A1-C855-44ED-A419-C426F71623A2}"/>
    <cellStyle name="20% - Accent3 31 4 2 3 2 2" xfId="4100" xr:uid="{75BF2DA2-66EA-4AA6-8AF5-4540DA3E3844}"/>
    <cellStyle name="20% - Accent3 31 4 2 3 3" xfId="4101" xr:uid="{E29401FD-6F7B-4D00-BA3C-2F46736AA0BD}"/>
    <cellStyle name="20% - Accent3 31 4 2 4" xfId="4102" xr:uid="{1F891A03-3125-48D3-8428-34EC11D0E032}"/>
    <cellStyle name="20% - Accent3 31 4 2 4 2" xfId="4103" xr:uid="{F555A4AF-C67B-4E14-B3AF-E38BEC0EF1AE}"/>
    <cellStyle name="20% - Accent3 31 4 2 5" xfId="4104" xr:uid="{CB9CC378-7EAE-409F-8E29-FEDC0695A288}"/>
    <cellStyle name="20% - Accent3 31 4 3" xfId="4105" xr:uid="{BC9C2310-24BF-4A76-AD4B-42404288E332}"/>
    <cellStyle name="20% - Accent3 31 4 3 2" xfId="4106" xr:uid="{07702332-3809-408B-B79A-FD7ED2D3CEC3}"/>
    <cellStyle name="20% - Accent3 31 4 3 2 2" xfId="4107" xr:uid="{870F78AB-7083-49CA-9848-F48B1CCBE242}"/>
    <cellStyle name="20% - Accent3 31 4 3 3" xfId="4108" xr:uid="{24541BF9-382A-426D-9A34-A6974784CAC4}"/>
    <cellStyle name="20% - Accent3 31 4 4" xfId="4109" xr:uid="{3FBDF878-8C6D-4A8A-ADEB-257BCC3084AA}"/>
    <cellStyle name="20% - Accent3 31 4 4 2" xfId="4110" xr:uid="{3806EF66-4053-400D-B2EE-5293BFF3D4C7}"/>
    <cellStyle name="20% - Accent3 31 4 4 2 2" xfId="4111" xr:uid="{5488A146-9B30-47E5-9C90-D222BBE9C806}"/>
    <cellStyle name="20% - Accent3 31 4 4 3" xfId="4112" xr:uid="{0EF20D34-BD70-4FC9-A5DD-DB4E8FA31425}"/>
    <cellStyle name="20% - Accent3 31 4 5" xfId="4113" xr:uid="{5C186F51-97B6-4931-AF15-E9C869EFFDC7}"/>
    <cellStyle name="20% - Accent3 31 4 5 2" xfId="4114" xr:uid="{EA03DB75-2D67-4CF9-8795-86C20547BC2F}"/>
    <cellStyle name="20% - Accent3 31 4 6" xfId="4115" xr:uid="{D31781D2-73B2-46F3-8DD5-78698EFF2B99}"/>
    <cellStyle name="20% - Accent3 31 5" xfId="4116" xr:uid="{A0C0134D-3B3B-4109-B494-ACBE8BB57BD6}"/>
    <cellStyle name="20% - Accent3 31 5 2" xfId="4117" xr:uid="{58DC5991-7D18-4C51-A855-8FE2922FC664}"/>
    <cellStyle name="20% - Accent3 31 5 2 2" xfId="4118" xr:uid="{7DC04D54-5849-48AB-AC6F-751FCADFF206}"/>
    <cellStyle name="20% - Accent3 31 5 2 2 2" xfId="4119" xr:uid="{2C0A8158-BA92-4941-BD5A-271642621040}"/>
    <cellStyle name="20% - Accent3 31 5 2 2 2 2" xfId="4120" xr:uid="{C990A174-CF7A-40C0-B642-0F472031C26C}"/>
    <cellStyle name="20% - Accent3 31 5 2 2 3" xfId="4121" xr:uid="{5B3CE2CA-D4DF-43BA-87ED-E2ADE6E5CBD4}"/>
    <cellStyle name="20% - Accent3 31 5 2 3" xfId="4122" xr:uid="{71A330A0-3972-43C5-B4D2-86AB0AD2F333}"/>
    <cellStyle name="20% - Accent3 31 5 2 3 2" xfId="4123" xr:uid="{91C551EE-81D8-4B5B-BDB0-4CDE73B0F443}"/>
    <cellStyle name="20% - Accent3 31 5 2 3 2 2" xfId="4124" xr:uid="{0337C45A-74DF-4F0F-9899-030459201D0A}"/>
    <cellStyle name="20% - Accent3 31 5 2 3 3" xfId="4125" xr:uid="{2774FCBC-4A85-48B3-8C9F-0C05A2270237}"/>
    <cellStyle name="20% - Accent3 31 5 2 4" xfId="4126" xr:uid="{2A101146-1944-43D6-8952-A3CFDD2E6977}"/>
    <cellStyle name="20% - Accent3 31 5 2 4 2" xfId="4127" xr:uid="{94ABEB11-4DA4-4EDD-B6B2-F21194055F7C}"/>
    <cellStyle name="20% - Accent3 31 5 2 5" xfId="4128" xr:uid="{536CB466-2E53-47A1-8B53-1C76AD4ADB23}"/>
    <cellStyle name="20% - Accent3 31 5 3" xfId="4129" xr:uid="{16FD7E91-CA1B-44B9-9778-EAF71BF421D4}"/>
    <cellStyle name="20% - Accent3 31 5 3 2" xfId="4130" xr:uid="{D62EDFBB-B2BE-4E3E-809B-E492ABC9973E}"/>
    <cellStyle name="20% - Accent3 31 5 3 2 2" xfId="4131" xr:uid="{C45F7105-C605-4DD2-B22B-9FCD438EF72F}"/>
    <cellStyle name="20% - Accent3 31 5 3 3" xfId="4132" xr:uid="{E245EC44-A7B0-41F1-8535-9D10D9FA64B8}"/>
    <cellStyle name="20% - Accent3 31 5 4" xfId="4133" xr:uid="{CAEA4A58-DE09-4D8D-A243-80FE553CC708}"/>
    <cellStyle name="20% - Accent3 31 5 4 2" xfId="4134" xr:uid="{D5D6C7D2-D726-4C57-9C61-3349120607FD}"/>
    <cellStyle name="20% - Accent3 31 5 4 2 2" xfId="4135" xr:uid="{6209D8D8-FFEA-44F1-BC66-4239BBC93EF3}"/>
    <cellStyle name="20% - Accent3 31 5 4 3" xfId="4136" xr:uid="{394E2798-B8D9-40C0-BEA6-CC3B130976BB}"/>
    <cellStyle name="20% - Accent3 31 5 5" xfId="4137" xr:uid="{DBEE2F82-BAB8-498F-A93A-6737C40D74A2}"/>
    <cellStyle name="20% - Accent3 31 5 5 2" xfId="4138" xr:uid="{1888584B-CE48-4553-A66B-BA19890AE8AF}"/>
    <cellStyle name="20% - Accent3 31 5 6" xfId="4139" xr:uid="{AEDC24F2-DD37-4A5E-A23F-992414B13CB5}"/>
    <cellStyle name="20% - Accent3 31 6" xfId="4140" xr:uid="{1A17F2C3-7C30-4E2A-87E4-0F3B87B2E653}"/>
    <cellStyle name="20% - Accent3 31 6 2" xfId="4141" xr:uid="{C9EE034F-71DE-4155-A348-B0A622A1BD1B}"/>
    <cellStyle name="20% - Accent3 31 6 2 2" xfId="4142" xr:uid="{5CCFB389-FFB2-42A4-91F9-04A1B2510099}"/>
    <cellStyle name="20% - Accent3 31 6 2 2 2" xfId="4143" xr:uid="{678DC7B4-2AE0-431F-A576-9643CDD9802E}"/>
    <cellStyle name="20% - Accent3 31 6 2 2 2 2" xfId="4144" xr:uid="{F167A6FC-B508-4245-B295-613F25B38E7D}"/>
    <cellStyle name="20% - Accent3 31 6 2 2 3" xfId="4145" xr:uid="{891BD03C-78EB-4966-B7A8-6C48E64F39BC}"/>
    <cellStyle name="20% - Accent3 31 6 2 3" xfId="4146" xr:uid="{7C51A66A-FE83-4DAA-B122-9447BF955CB5}"/>
    <cellStyle name="20% - Accent3 31 6 2 3 2" xfId="4147" xr:uid="{CFE28D41-12CB-4490-9E77-97D4DA4A4681}"/>
    <cellStyle name="20% - Accent3 31 6 2 3 2 2" xfId="4148" xr:uid="{6553C56B-745E-401D-9411-5BB1EFA7CC00}"/>
    <cellStyle name="20% - Accent3 31 6 2 3 3" xfId="4149" xr:uid="{6E475203-3C62-4F2F-9C38-4B28ECFDA599}"/>
    <cellStyle name="20% - Accent3 31 6 2 4" xfId="4150" xr:uid="{2922B570-8544-4AB7-B3B5-918C7FE197B5}"/>
    <cellStyle name="20% - Accent3 31 6 2 4 2" xfId="4151" xr:uid="{1FCC9007-77B3-4519-B8C5-5D2AA4163F29}"/>
    <cellStyle name="20% - Accent3 31 6 2 5" xfId="4152" xr:uid="{3A0C9D99-7C52-47EB-B3AB-FFBDD970C831}"/>
    <cellStyle name="20% - Accent3 31 6 3" xfId="4153" xr:uid="{BD98F897-D2B4-4889-94AA-EF98DF705FE3}"/>
    <cellStyle name="20% - Accent3 31 6 3 2" xfId="4154" xr:uid="{F467EE0B-A1F3-4504-865D-4E05F9C80523}"/>
    <cellStyle name="20% - Accent3 31 6 3 2 2" xfId="4155" xr:uid="{6FC265D0-B2C9-492F-B501-0F365BC284B4}"/>
    <cellStyle name="20% - Accent3 31 6 3 3" xfId="4156" xr:uid="{161B557D-4050-40E6-AE19-9963CBD941B6}"/>
    <cellStyle name="20% - Accent3 31 6 4" xfId="4157" xr:uid="{901A8C41-5E42-4D45-8466-7553DEFB0D32}"/>
    <cellStyle name="20% - Accent3 31 6 4 2" xfId="4158" xr:uid="{E0A89F3C-406A-4CA1-BB9D-8E9F6C6367F2}"/>
    <cellStyle name="20% - Accent3 31 6 4 2 2" xfId="4159" xr:uid="{D9FE6BBA-2815-4A93-9EA1-CF09C043A5AA}"/>
    <cellStyle name="20% - Accent3 31 6 4 3" xfId="4160" xr:uid="{67FFD487-E7FF-4994-80DB-8CCEEB472D6D}"/>
    <cellStyle name="20% - Accent3 31 6 5" xfId="4161" xr:uid="{BD73A592-5CEA-4A51-BC43-F5EDED89272F}"/>
    <cellStyle name="20% - Accent3 31 6 5 2" xfId="4162" xr:uid="{35BD736A-F0D9-4943-967A-8791C21151DA}"/>
    <cellStyle name="20% - Accent3 31 6 6" xfId="4163" xr:uid="{47F37833-D303-4FB8-8BD0-98141669C463}"/>
    <cellStyle name="20% - Accent3 31 7" xfId="4164" xr:uid="{396DB235-3D68-4683-B962-D8D7399FB5CE}"/>
    <cellStyle name="20% - Accent3 31 7 2" xfId="4165" xr:uid="{0357FEC9-11FD-44F6-96E3-13A7036F5597}"/>
    <cellStyle name="20% - Accent3 31 7 2 2" xfId="4166" xr:uid="{34CDE8D5-586C-4145-A79F-FF30CA05E7CD}"/>
    <cellStyle name="20% - Accent3 31 7 2 2 2" xfId="4167" xr:uid="{952953FF-234C-48EE-BB69-56C9AE8D9C16}"/>
    <cellStyle name="20% - Accent3 31 7 2 2 2 2" xfId="4168" xr:uid="{93C96832-0E15-4715-A3A5-A67438EC59FE}"/>
    <cellStyle name="20% - Accent3 31 7 2 2 3" xfId="4169" xr:uid="{CBEA044D-9CF4-4C5A-ADE3-F45EE7B7E309}"/>
    <cellStyle name="20% - Accent3 31 7 2 3" xfId="4170" xr:uid="{63DBD1CB-D6A2-44D1-B8EC-1AB803EACDAC}"/>
    <cellStyle name="20% - Accent3 31 7 2 3 2" xfId="4171" xr:uid="{909FAF5B-0E36-4CFC-859A-7C57AD629EDE}"/>
    <cellStyle name="20% - Accent3 31 7 2 3 2 2" xfId="4172" xr:uid="{7F6932BD-44CC-4530-9031-25FBFC4F152A}"/>
    <cellStyle name="20% - Accent3 31 7 2 3 3" xfId="4173" xr:uid="{0A33B850-9B10-4829-88B8-A4D04AC9C2DB}"/>
    <cellStyle name="20% - Accent3 31 7 2 4" xfId="4174" xr:uid="{858D76C9-2A01-4F9D-A5BF-1AF42475F314}"/>
    <cellStyle name="20% - Accent3 31 7 2 4 2" xfId="4175" xr:uid="{5D4F0947-CFFB-47E1-B9A4-2F98C328A80F}"/>
    <cellStyle name="20% - Accent3 31 7 2 5" xfId="4176" xr:uid="{7056EE1E-C08B-4FCD-B13B-D00085CD79D4}"/>
    <cellStyle name="20% - Accent3 31 7 3" xfId="4177" xr:uid="{51491D45-3350-46B2-B00A-4C985BD46612}"/>
    <cellStyle name="20% - Accent3 31 7 3 2" xfId="4178" xr:uid="{34EE0CCB-41BE-4030-8256-6EC4C27B8DCB}"/>
    <cellStyle name="20% - Accent3 31 7 3 2 2" xfId="4179" xr:uid="{D5EE9A29-9D9F-4663-830F-E12E8CD80C92}"/>
    <cellStyle name="20% - Accent3 31 7 3 3" xfId="4180" xr:uid="{1B5FA12B-1D50-4694-8C62-41169F9FA5BA}"/>
    <cellStyle name="20% - Accent3 31 7 4" xfId="4181" xr:uid="{780C457B-167E-4847-829A-79F5DABC6641}"/>
    <cellStyle name="20% - Accent3 31 7 4 2" xfId="4182" xr:uid="{507CA18E-3453-4809-BC99-297CC14FDC4B}"/>
    <cellStyle name="20% - Accent3 31 7 4 2 2" xfId="4183" xr:uid="{EA5519A4-A120-4B38-950D-B752ED8A974E}"/>
    <cellStyle name="20% - Accent3 31 7 4 3" xfId="4184" xr:uid="{021584DC-685A-433F-BE9A-A5B26EBBB33C}"/>
    <cellStyle name="20% - Accent3 31 7 5" xfId="4185" xr:uid="{3ED46A3B-8BAA-4FDE-8654-987B2F167EA2}"/>
    <cellStyle name="20% - Accent3 31 7 5 2" xfId="4186" xr:uid="{38E2A47B-3005-4EAF-880D-8F91DD40C558}"/>
    <cellStyle name="20% - Accent3 31 7 6" xfId="4187" xr:uid="{5839C8E0-83F5-4F30-B7BA-5C2DB35F936A}"/>
    <cellStyle name="20% - Accent3 31 8" xfId="4188" xr:uid="{508E9C08-97EF-40FA-8BB7-7DFFBB83BEDB}"/>
    <cellStyle name="20% - Accent3 31 8 2" xfId="4189" xr:uid="{AAD6B735-C099-4E57-8211-8682F584AEBE}"/>
    <cellStyle name="20% - Accent3 31 8 2 2" xfId="4190" xr:uid="{39109090-359B-4EBC-843A-E47EDCA386AB}"/>
    <cellStyle name="20% - Accent3 31 8 2 2 2" xfId="4191" xr:uid="{A9C4E612-8659-4030-937A-BA6E69700FC3}"/>
    <cellStyle name="20% - Accent3 31 8 2 2 2 2" xfId="4192" xr:uid="{70D552E1-BADC-4E3C-94E1-6C6C6F1CE1C0}"/>
    <cellStyle name="20% - Accent3 31 8 2 2 3" xfId="4193" xr:uid="{B46F1DA9-35F8-41ED-9B1D-0E7D3F2E6D43}"/>
    <cellStyle name="20% - Accent3 31 8 2 3" xfId="4194" xr:uid="{032A52B1-15F2-472C-958E-F578EE77436D}"/>
    <cellStyle name="20% - Accent3 31 8 2 3 2" xfId="4195" xr:uid="{4B1772FA-3BE6-48B4-A43C-94E62B968E32}"/>
    <cellStyle name="20% - Accent3 31 8 2 3 2 2" xfId="4196" xr:uid="{95236B5F-0942-42BA-AB72-221C9469089C}"/>
    <cellStyle name="20% - Accent3 31 8 2 3 3" xfId="4197" xr:uid="{43ED3B89-EE07-451E-85A6-71BBE6B9C8AC}"/>
    <cellStyle name="20% - Accent3 31 8 2 4" xfId="4198" xr:uid="{9903AC15-60C8-4C9D-B56B-A500CFD859AF}"/>
    <cellStyle name="20% - Accent3 31 8 2 4 2" xfId="4199" xr:uid="{AB6A8899-D995-4FB1-9330-8413A061CD1E}"/>
    <cellStyle name="20% - Accent3 31 8 2 5" xfId="4200" xr:uid="{63685D6C-4A4E-4FE7-AC44-06780FBEB5CB}"/>
    <cellStyle name="20% - Accent3 31 8 3" xfId="4201" xr:uid="{2F0DC3B4-8514-4958-A4C7-9B096C23D1F9}"/>
    <cellStyle name="20% - Accent3 31 8 3 2" xfId="4202" xr:uid="{225A9845-AF61-4D69-A0A0-3F5A1FBD2953}"/>
    <cellStyle name="20% - Accent3 31 8 3 2 2" xfId="4203" xr:uid="{D96B74CE-78CB-4E77-99FE-E65300E9FBE2}"/>
    <cellStyle name="20% - Accent3 31 8 3 3" xfId="4204" xr:uid="{318CB08B-D72E-4733-A91B-D4EC2ACE4A1F}"/>
    <cellStyle name="20% - Accent3 31 8 4" xfId="4205" xr:uid="{A85D6D28-C6EC-480E-A6A8-7CC085D293C9}"/>
    <cellStyle name="20% - Accent3 31 8 4 2" xfId="4206" xr:uid="{A728989C-380F-4074-BC78-18C74EA820D7}"/>
    <cellStyle name="20% - Accent3 31 8 4 2 2" xfId="4207" xr:uid="{5085EFE2-0660-4739-9ED8-CD10D42298C9}"/>
    <cellStyle name="20% - Accent3 31 8 4 3" xfId="4208" xr:uid="{47059030-9628-4556-BFA0-06DA49068FE0}"/>
    <cellStyle name="20% - Accent3 31 8 5" xfId="4209" xr:uid="{A49DEE61-CB5A-4642-9D1D-EC4F83B68AEE}"/>
    <cellStyle name="20% - Accent3 31 8 5 2" xfId="4210" xr:uid="{2C7A4461-38BB-4909-9F34-D41DBC46BD83}"/>
    <cellStyle name="20% - Accent3 31 8 6" xfId="4211" xr:uid="{13A84510-4F95-4E50-8934-6A42C180AD55}"/>
    <cellStyle name="20% - Accent3 31 9" xfId="4212" xr:uid="{AD58EAB7-05D7-4F4F-9D10-D15F0C1F4552}"/>
    <cellStyle name="20% - Accent3 31 9 2" xfId="4213" xr:uid="{FC61C0D0-0E73-4A48-AA1E-20A7DD78C78E}"/>
    <cellStyle name="20% - Accent3 31 9 2 2" xfId="4214" xr:uid="{F09E963D-3894-4C41-8C46-8AF24FA75F37}"/>
    <cellStyle name="20% - Accent3 31 9 2 2 2" xfId="4215" xr:uid="{52DD0B25-0233-4516-A1E8-FEDE4EFC5BCE}"/>
    <cellStyle name="20% - Accent3 31 9 2 2 2 2" xfId="4216" xr:uid="{D1DFF3E7-CF86-4B30-932A-94E810E6C459}"/>
    <cellStyle name="20% - Accent3 31 9 2 2 3" xfId="4217" xr:uid="{8217D740-6E27-438C-92A0-FE9D70FB5161}"/>
    <cellStyle name="20% - Accent3 31 9 2 3" xfId="4218" xr:uid="{571D35D5-38FF-4841-BA96-1DD6E40CCE2B}"/>
    <cellStyle name="20% - Accent3 31 9 2 3 2" xfId="4219" xr:uid="{8D715003-7CFE-489C-8844-72B88121B7CB}"/>
    <cellStyle name="20% - Accent3 31 9 2 3 2 2" xfId="4220" xr:uid="{09083E20-7D86-458F-9BEB-F709ACBC80B3}"/>
    <cellStyle name="20% - Accent3 31 9 2 3 3" xfId="4221" xr:uid="{733C6808-846F-4B80-8A84-CD0532205675}"/>
    <cellStyle name="20% - Accent3 31 9 2 4" xfId="4222" xr:uid="{D875682E-DFA1-478E-ADF9-4BB0B7750E00}"/>
    <cellStyle name="20% - Accent3 31 9 2 4 2" xfId="4223" xr:uid="{F8233638-9A99-405F-BB5D-F17061E4E023}"/>
    <cellStyle name="20% - Accent3 31 9 2 5" xfId="4224" xr:uid="{5E1EBC29-FB41-4667-8B17-699D8CB49E16}"/>
    <cellStyle name="20% - Accent3 31 9 3" xfId="4225" xr:uid="{F8609E7A-24E2-4EAA-AA16-FECD0E6D7EC6}"/>
    <cellStyle name="20% - Accent3 31 9 3 2" xfId="4226" xr:uid="{63235245-0BA4-4148-9B51-4FC1874382A9}"/>
    <cellStyle name="20% - Accent3 31 9 3 2 2" xfId="4227" xr:uid="{A0899A0C-BDD2-4669-A6DF-EFC363A2A7A8}"/>
    <cellStyle name="20% - Accent3 31 9 3 3" xfId="4228" xr:uid="{2826F104-705F-4528-81B9-73395CA063AA}"/>
    <cellStyle name="20% - Accent3 31 9 4" xfId="4229" xr:uid="{46E6F38B-9012-466A-9C68-3ED33539B35D}"/>
    <cellStyle name="20% - Accent3 31 9 4 2" xfId="4230" xr:uid="{A7DEDBDD-5116-4639-85C6-F31AB10978E6}"/>
    <cellStyle name="20% - Accent3 31 9 4 2 2" xfId="4231" xr:uid="{F11AEF8D-FC2B-470C-8366-4B82BCE6FFFF}"/>
    <cellStyle name="20% - Accent3 31 9 4 3" xfId="4232" xr:uid="{8873C8BE-6DF0-4453-A331-6089C39CC510}"/>
    <cellStyle name="20% - Accent3 31 9 5" xfId="4233" xr:uid="{3AC6CDE5-770A-4BD2-9795-296CFBF0F685}"/>
    <cellStyle name="20% - Accent3 31 9 5 2" xfId="4234" xr:uid="{497C7CDB-FEF0-499C-9CD1-DE856D6E6A35}"/>
    <cellStyle name="20% - Accent3 31 9 6" xfId="4235" xr:uid="{E917F8D5-7A43-47CF-A02B-8E3BEBD81D4C}"/>
    <cellStyle name="20% - Accent3 32" xfId="4236" xr:uid="{A611B2A5-5F04-4D4F-ACED-075ADD7E4429}"/>
    <cellStyle name="20% - Accent3 32 2" xfId="4237" xr:uid="{66D84E4D-773A-47C2-B73C-A83ADE0045A2}"/>
    <cellStyle name="20% - Accent3 32 2 2" xfId="4238" xr:uid="{53D52592-0218-4DAA-9B5E-C867C9B9A595}"/>
    <cellStyle name="20% - Accent3 32 2 2 2" xfId="4239" xr:uid="{41F791C8-0423-4EE5-B47E-208B124BF5A3}"/>
    <cellStyle name="20% - Accent3 32 2 2 2 2" xfId="4240" xr:uid="{F9552A33-1F18-4F9B-91C1-3BCDBFA9FC25}"/>
    <cellStyle name="20% - Accent3 32 2 2 3" xfId="4241" xr:uid="{4FF39D67-8E5F-4E8C-9262-00C307447F46}"/>
    <cellStyle name="20% - Accent3 32 2 3" xfId="4242" xr:uid="{B1391921-1439-4DF0-A73F-E90812226994}"/>
    <cellStyle name="20% - Accent3 32 2 3 2" xfId="4243" xr:uid="{6C34D52C-15C0-42CF-BB0A-BC195CB7DFA9}"/>
    <cellStyle name="20% - Accent3 32 2 3 2 2" xfId="4244" xr:uid="{28F9FFDA-631B-4D02-90E9-5AA36FC2FD14}"/>
    <cellStyle name="20% - Accent3 32 2 3 3" xfId="4245" xr:uid="{E7BA63AB-FD13-4612-9D2E-691165747B22}"/>
    <cellStyle name="20% - Accent3 32 2 4" xfId="4246" xr:uid="{550397BB-A3BA-4A31-97BA-EFD8B1612FD6}"/>
    <cellStyle name="20% - Accent3 32 2 4 2" xfId="4247" xr:uid="{84E8ADC9-F3D5-4A39-A2F5-75AD14866791}"/>
    <cellStyle name="20% - Accent3 32 2 5" xfId="4248" xr:uid="{8E659A13-44F4-4B46-A7A4-3DBE1FC2D61F}"/>
    <cellStyle name="20% - Accent3 32 3" xfId="4249" xr:uid="{FAAFABF7-C32E-40B8-A83C-8B75AB9341CC}"/>
    <cellStyle name="20% - Accent3 32 3 2" xfId="4250" xr:uid="{1B603D26-D53E-4C1A-9DFE-81A21A85B305}"/>
    <cellStyle name="20% - Accent3 32 3 2 2" xfId="4251" xr:uid="{2166FF59-C9F9-482F-AEA7-6B572A8E4033}"/>
    <cellStyle name="20% - Accent3 32 3 3" xfId="4252" xr:uid="{DB9590F3-868F-45C0-A35F-87377F3FFF89}"/>
    <cellStyle name="20% - Accent3 32 4" xfId="4253" xr:uid="{7794390D-1F4F-4FE5-B588-E2A5C6FEAA7E}"/>
    <cellStyle name="20% - Accent3 32 4 2" xfId="4254" xr:uid="{FEE1A747-D23D-45E8-AFB6-D221E05A6470}"/>
    <cellStyle name="20% - Accent3 32 4 2 2" xfId="4255" xr:uid="{2C060D6B-E922-4128-9A1A-0890452241C3}"/>
    <cellStyle name="20% - Accent3 32 4 3" xfId="4256" xr:uid="{8AFC7203-E727-41F5-8302-33FE1C136C2D}"/>
    <cellStyle name="20% - Accent3 32 5" xfId="4257" xr:uid="{683F40ED-44EC-4BE2-8F28-699270BF84C1}"/>
    <cellStyle name="20% - Accent3 32 5 2" xfId="4258" xr:uid="{255B08D3-9341-43F7-AC60-0B2E93A23F7F}"/>
    <cellStyle name="20% - Accent3 32 6" xfId="4259" xr:uid="{91EC1870-AA0B-43F5-87CB-CFF101A00F35}"/>
    <cellStyle name="20% - Accent3 32 7" xfId="35976" xr:uid="{8ED97A40-EE14-4474-A487-C755054DE063}"/>
    <cellStyle name="20% - Accent3 33" xfId="4260" xr:uid="{FA7C0BC9-78C8-47A1-8526-AF677F91E9E0}"/>
    <cellStyle name="20% - Accent3 33 2" xfId="4261" xr:uid="{DF1C6602-B659-48CB-8B1C-C0BACD736FDF}"/>
    <cellStyle name="20% - Accent3 33 2 2" xfId="4262" xr:uid="{0258474C-3EDE-4833-8CD1-648E8D1627A3}"/>
    <cellStyle name="20% - Accent3 33 2 2 2" xfId="4263" xr:uid="{4956FE1B-FB13-4936-936B-4BF36F704A16}"/>
    <cellStyle name="20% - Accent3 33 2 2 2 2" xfId="4264" xr:uid="{48200749-698B-45AD-A736-50B98B8F0F1E}"/>
    <cellStyle name="20% - Accent3 33 2 2 3" xfId="4265" xr:uid="{3A43CB25-3EBD-4A58-AC4B-7F3A9F0C6A30}"/>
    <cellStyle name="20% - Accent3 33 2 3" xfId="4266" xr:uid="{4FAB649D-8EE5-4E81-9BEF-54B613461687}"/>
    <cellStyle name="20% - Accent3 33 2 3 2" xfId="4267" xr:uid="{FDF4154F-E020-46B9-B6D0-BB8368E23BF3}"/>
    <cellStyle name="20% - Accent3 33 2 3 2 2" xfId="4268" xr:uid="{68ED0075-8696-4FAD-BB8E-3E3A2811EE37}"/>
    <cellStyle name="20% - Accent3 33 2 3 3" xfId="4269" xr:uid="{F6FF4694-2905-4D46-92CD-C93EC3020CB4}"/>
    <cellStyle name="20% - Accent3 33 2 4" xfId="4270" xr:uid="{638CFB43-8D0F-48A4-836D-3B43102BDC8F}"/>
    <cellStyle name="20% - Accent3 33 2 4 2" xfId="4271" xr:uid="{2823B146-1695-45B4-986C-8D72128ABE6F}"/>
    <cellStyle name="20% - Accent3 33 2 5" xfId="4272" xr:uid="{988DE14C-F197-4B17-AD9A-30C4D2D9E11C}"/>
    <cellStyle name="20% - Accent3 33 3" xfId="4273" xr:uid="{733142EE-85FC-41F6-BB46-5D38F3C0FDC0}"/>
    <cellStyle name="20% - Accent3 33 3 2" xfId="4274" xr:uid="{21E30ADB-1069-4508-80BC-AC50D0653C13}"/>
    <cellStyle name="20% - Accent3 33 3 2 2" xfId="4275" xr:uid="{1BB08400-C3B1-49E1-95A6-6AC2286FC807}"/>
    <cellStyle name="20% - Accent3 33 3 3" xfId="4276" xr:uid="{36DF425B-209A-447F-AA5B-E37BEB7CC0E5}"/>
    <cellStyle name="20% - Accent3 33 4" xfId="4277" xr:uid="{06814AD2-F64E-4780-8572-62372AC7B311}"/>
    <cellStyle name="20% - Accent3 33 4 2" xfId="4278" xr:uid="{5BC93594-C462-4130-8365-890307FAC4F2}"/>
    <cellStyle name="20% - Accent3 33 4 2 2" xfId="4279" xr:uid="{F72592CF-A2EC-46C8-AA93-D1A69DB803B4}"/>
    <cellStyle name="20% - Accent3 33 4 3" xfId="4280" xr:uid="{A9735C24-B0FE-4CDC-B706-0008A8A22DB3}"/>
    <cellStyle name="20% - Accent3 33 5" xfId="4281" xr:uid="{0DA58B41-1526-4E17-B1A4-C8EC36002522}"/>
    <cellStyle name="20% - Accent3 33 5 2" xfId="4282" xr:uid="{A3E2312D-669F-4BD8-AAAB-751BAAA89594}"/>
    <cellStyle name="20% - Accent3 33 6" xfId="35977" xr:uid="{5DE97EE4-7651-480E-9CC4-82592FC090D3}"/>
    <cellStyle name="20% - Accent3 34" xfId="4283" xr:uid="{5006500F-8688-4C8E-ABEA-982A7BFF93AB}"/>
    <cellStyle name="20% - Accent3 34 2" xfId="4284" xr:uid="{E6990C4E-9DD1-4316-B1F1-36D21EA79886}"/>
    <cellStyle name="20% - Accent3 34 2 2" xfId="4285" xr:uid="{E4DE9D97-CAE8-435A-AA22-1C842C1EF3BA}"/>
    <cellStyle name="20% - Accent3 34 2 2 2" xfId="4286" xr:uid="{336EA76A-3CEE-4B40-ADDF-DC4AE983AB57}"/>
    <cellStyle name="20% - Accent3 34 2 2 2 2" xfId="4287" xr:uid="{B508D525-6778-49A0-9B97-61EC251B5FA9}"/>
    <cellStyle name="20% - Accent3 34 2 2 3" xfId="4288" xr:uid="{E7914758-A45F-4EB8-B5E0-0CD0D869C56F}"/>
    <cellStyle name="20% - Accent3 34 2 3" xfId="4289" xr:uid="{5249FDA6-6816-4DA3-B689-324BB5B3007A}"/>
    <cellStyle name="20% - Accent3 34 2 3 2" xfId="4290" xr:uid="{50E795E8-8E12-4285-933D-424CAF35B389}"/>
    <cellStyle name="20% - Accent3 34 2 3 2 2" xfId="4291" xr:uid="{92BED0E7-77D1-4187-AE6E-7A54C6E0D821}"/>
    <cellStyle name="20% - Accent3 34 2 3 3" xfId="4292" xr:uid="{3AD3639E-45C3-4608-8EBD-68640A72A6C8}"/>
    <cellStyle name="20% - Accent3 34 2 4" xfId="4293" xr:uid="{206F73C4-F127-449A-9730-CBE4621B176C}"/>
    <cellStyle name="20% - Accent3 34 2 4 2" xfId="4294" xr:uid="{CC28D78A-A714-4EED-BE20-4C3ED58E5A74}"/>
    <cellStyle name="20% - Accent3 34 2 5" xfId="4295" xr:uid="{EFF1B1BD-4D5A-443B-8B59-039D31A8757C}"/>
    <cellStyle name="20% - Accent3 34 3" xfId="4296" xr:uid="{179154DF-FF3B-4415-85B0-5729F8BAE529}"/>
    <cellStyle name="20% - Accent3 34 3 2" xfId="4297" xr:uid="{E800C472-CE8D-4054-9878-865AF38B96FF}"/>
    <cellStyle name="20% - Accent3 34 3 2 2" xfId="4298" xr:uid="{CCBBBF4C-C63E-410D-8664-98C83BF89855}"/>
    <cellStyle name="20% - Accent3 34 3 3" xfId="4299" xr:uid="{26FCE028-A507-4D78-A13B-8B4C8368591A}"/>
    <cellStyle name="20% - Accent3 34 4" xfId="4300" xr:uid="{3380EDCC-5ABB-4B50-A89C-7B68BAC9C473}"/>
    <cellStyle name="20% - Accent3 34 4 2" xfId="4301" xr:uid="{715C2879-A713-46FC-8DBE-B72A73BFC254}"/>
    <cellStyle name="20% - Accent3 34 4 2 2" xfId="4302" xr:uid="{C42B8ADC-5D03-44C2-8639-0954DF8E9CC6}"/>
    <cellStyle name="20% - Accent3 34 4 3" xfId="4303" xr:uid="{7BD28041-B456-4E37-BEEC-77921114BBBC}"/>
    <cellStyle name="20% - Accent3 34 5" xfId="4304" xr:uid="{9A8E1A85-69A0-470E-9996-1FD025F43944}"/>
    <cellStyle name="20% - Accent3 34 5 2" xfId="4305" xr:uid="{F4E31280-EC80-40EF-98E1-4BC2C3317565}"/>
    <cellStyle name="20% - Accent3 34 6" xfId="35978" xr:uid="{9AFD9D06-186A-40C4-943B-7C846E647D51}"/>
    <cellStyle name="20% - Accent3 35" xfId="4306" xr:uid="{7B23F186-9869-4661-8FE4-DDD5E9F7CF2F}"/>
    <cellStyle name="20% - Accent3 35 2" xfId="4307" xr:uid="{14CE0A00-8953-4DA0-94F4-FCBBE8A7B356}"/>
    <cellStyle name="20% - Accent3 35 2 2" xfId="4308" xr:uid="{44BBE0D4-709E-402D-8D77-D1F9F3A48563}"/>
    <cellStyle name="20% - Accent3 35 2 2 2" xfId="4309" xr:uid="{F7A9041E-A437-409F-AEF0-CEB37B4E8C9A}"/>
    <cellStyle name="20% - Accent3 35 2 2 2 2" xfId="4310" xr:uid="{B7EB262F-ED1C-4048-BFFE-7AAFCC72DF17}"/>
    <cellStyle name="20% - Accent3 35 2 2 3" xfId="4311" xr:uid="{AF5E50D5-268D-4198-98CE-62794DB4D1E6}"/>
    <cellStyle name="20% - Accent3 35 2 3" xfId="4312" xr:uid="{B8E4FC01-A992-40F2-B87B-60C1992AFBA5}"/>
    <cellStyle name="20% - Accent3 35 2 3 2" xfId="4313" xr:uid="{2FBC57EE-A901-4E10-9F37-FD2A30E24FFF}"/>
    <cellStyle name="20% - Accent3 35 2 3 2 2" xfId="4314" xr:uid="{DB50AB73-F751-4550-9FB6-2A178F7FC0B2}"/>
    <cellStyle name="20% - Accent3 35 2 3 3" xfId="4315" xr:uid="{AFBB1791-A6BF-486B-A94B-815108776DDD}"/>
    <cellStyle name="20% - Accent3 35 2 4" xfId="4316" xr:uid="{F192FD6D-8E0F-4581-BEF7-329ECEAF5CDF}"/>
    <cellStyle name="20% - Accent3 35 2 4 2" xfId="4317" xr:uid="{FB096217-B9C0-41BF-8B8B-3790D72CB910}"/>
    <cellStyle name="20% - Accent3 35 2 5" xfId="4318" xr:uid="{53582EC8-6B2F-4831-8061-9B330A198B95}"/>
    <cellStyle name="20% - Accent3 35 3" xfId="4319" xr:uid="{6CD7AE58-45D1-4B24-98ED-66B8B6D49193}"/>
    <cellStyle name="20% - Accent3 35 3 2" xfId="4320" xr:uid="{D3248075-38A8-4549-A85B-E0B65207EDCF}"/>
    <cellStyle name="20% - Accent3 35 3 2 2" xfId="4321" xr:uid="{965A7811-DFF4-4D47-9C3D-225813008D67}"/>
    <cellStyle name="20% - Accent3 35 3 3" xfId="4322" xr:uid="{FB50FECC-849C-4FE5-B698-81B50C63D0FE}"/>
    <cellStyle name="20% - Accent3 35 4" xfId="4323" xr:uid="{72C959A9-41EB-43F6-AB7A-235D4A24EE4E}"/>
    <cellStyle name="20% - Accent3 35 4 2" xfId="4324" xr:uid="{E399CAA8-1DB0-4F78-A9CF-5D2FA431842C}"/>
    <cellStyle name="20% - Accent3 35 4 2 2" xfId="4325" xr:uid="{93E34F75-66F8-40BC-9E51-C5F008FDDC0F}"/>
    <cellStyle name="20% - Accent3 35 4 3" xfId="4326" xr:uid="{1B544F04-0DA0-43B9-BFF8-48766B50F889}"/>
    <cellStyle name="20% - Accent3 35 5" xfId="4327" xr:uid="{66AE3B13-3D2A-4D3E-9CFC-C60CE2E9AC27}"/>
    <cellStyle name="20% - Accent3 35 5 2" xfId="4328" xr:uid="{11135D0F-2506-4DEA-81FD-8D2D030F4ACF}"/>
    <cellStyle name="20% - Accent3 35 6" xfId="35979" xr:uid="{1FC959C4-4081-477F-AE09-49FA4387A90E}"/>
    <cellStyle name="20% - Accent3 36" xfId="4329" xr:uid="{D7A87891-713A-449E-8B40-DCD9044B3835}"/>
    <cellStyle name="20% - Accent3 36 2" xfId="4330" xr:uid="{EFF257DD-DD22-473B-8A38-1C85FB2D5B00}"/>
    <cellStyle name="20% - Accent3 36 2 2" xfId="4331" xr:uid="{19BA97AE-4B19-4CFF-B37E-F0887D93C022}"/>
    <cellStyle name="20% - Accent3 36 2 2 2" xfId="4332" xr:uid="{0437AAF5-F095-4943-ACA5-BA6A7ACD6454}"/>
    <cellStyle name="20% - Accent3 36 2 2 2 2" xfId="4333" xr:uid="{8E746DE0-2C37-4017-AECB-28BD4422A64A}"/>
    <cellStyle name="20% - Accent3 36 2 2 3" xfId="4334" xr:uid="{68510473-1FDD-4274-B6B7-4B9D7C74E9C4}"/>
    <cellStyle name="20% - Accent3 36 2 3" xfId="4335" xr:uid="{0ABFD2D9-41B1-42B2-97ED-3929A0AD9AE8}"/>
    <cellStyle name="20% - Accent3 36 2 3 2" xfId="4336" xr:uid="{90D843C9-4D2D-49D4-8760-23A341AA7C5F}"/>
    <cellStyle name="20% - Accent3 36 2 3 2 2" xfId="4337" xr:uid="{4EB2E288-BA87-4485-B066-852614B12DD5}"/>
    <cellStyle name="20% - Accent3 36 2 3 3" xfId="4338" xr:uid="{AC24EEBF-5AFE-450B-83ED-4F6ADF437DEB}"/>
    <cellStyle name="20% - Accent3 36 2 4" xfId="4339" xr:uid="{4F062D67-482F-4A36-81AF-C8F2C2C67522}"/>
    <cellStyle name="20% - Accent3 36 2 4 2" xfId="4340" xr:uid="{A6586E65-19A2-4E16-AC16-7AD17EBCEED9}"/>
    <cellStyle name="20% - Accent3 36 2 5" xfId="4341" xr:uid="{BB6A150D-C939-491F-A406-54AB6E729439}"/>
    <cellStyle name="20% - Accent3 36 3" xfId="4342" xr:uid="{8665C002-204E-47D3-928A-79C942344C43}"/>
    <cellStyle name="20% - Accent3 36 3 2" xfId="4343" xr:uid="{2F494672-6731-4EDD-B836-6CCFE8007EBE}"/>
    <cellStyle name="20% - Accent3 36 3 2 2" xfId="4344" xr:uid="{ED5665DF-499F-4611-8E35-CF2227B11CA8}"/>
    <cellStyle name="20% - Accent3 36 3 3" xfId="4345" xr:uid="{B4BE653C-F7EC-49C2-BEF0-239829F9B0C3}"/>
    <cellStyle name="20% - Accent3 36 4" xfId="4346" xr:uid="{46F29682-E694-464C-BE3C-38B91FED681E}"/>
    <cellStyle name="20% - Accent3 36 4 2" xfId="4347" xr:uid="{5DF9F49F-F132-42D7-8CD3-A6650666450C}"/>
    <cellStyle name="20% - Accent3 36 4 2 2" xfId="4348" xr:uid="{64B0FBE2-121A-4EFF-A6CD-815D0186EDB8}"/>
    <cellStyle name="20% - Accent3 36 4 3" xfId="4349" xr:uid="{A8B8F75C-20F2-4357-B1C0-924BC5689405}"/>
    <cellStyle name="20% - Accent3 36 5" xfId="4350" xr:uid="{526236DE-B3CC-4667-9F9A-C14EF57C6A42}"/>
    <cellStyle name="20% - Accent3 36 5 2" xfId="4351" xr:uid="{CCBA0FFC-0AFE-4273-A745-CEE328B74474}"/>
    <cellStyle name="20% - Accent3 36 6" xfId="35980" xr:uid="{C696A233-C5DD-4470-883E-5D23CC897DDA}"/>
    <cellStyle name="20% - Accent3 37" xfId="4352" xr:uid="{9F0D95C7-1110-4417-B818-A90350D19341}"/>
    <cellStyle name="20% - Accent3 37 2" xfId="4353" xr:uid="{D578B86E-67BE-42AB-A480-34D2018C8B0A}"/>
    <cellStyle name="20% - Accent3 37 2 2" xfId="4354" xr:uid="{2DF9E872-17EF-4302-8446-3C8D3116DF3F}"/>
    <cellStyle name="20% - Accent3 37 2 2 2" xfId="4355" xr:uid="{BA2DF43F-D36F-4E5B-9E08-127745CE6E2A}"/>
    <cellStyle name="20% - Accent3 37 2 2 2 2" xfId="4356" xr:uid="{543CCA81-A5B2-4F69-A617-6F875FBDE6BC}"/>
    <cellStyle name="20% - Accent3 37 2 2 3" xfId="4357" xr:uid="{09CECF3D-8663-4C34-9D59-6EEC859F2305}"/>
    <cellStyle name="20% - Accent3 37 2 3" xfId="4358" xr:uid="{1D99F85E-0566-4413-A531-3BA27853BB48}"/>
    <cellStyle name="20% - Accent3 37 2 3 2" xfId="4359" xr:uid="{2DAB5197-8CBD-427B-9263-961F798A2863}"/>
    <cellStyle name="20% - Accent3 37 2 3 2 2" xfId="4360" xr:uid="{C9B796B2-59BC-446B-A6BE-9471EAF08DA8}"/>
    <cellStyle name="20% - Accent3 37 2 3 3" xfId="4361" xr:uid="{4BACB877-A893-4987-A3D5-970D1F27DDD6}"/>
    <cellStyle name="20% - Accent3 37 2 4" xfId="4362" xr:uid="{06B5955A-5A7A-4AB8-B7C1-3227EF374125}"/>
    <cellStyle name="20% - Accent3 37 2 4 2" xfId="4363" xr:uid="{0BCE773B-B9DE-464A-B360-42411AD34675}"/>
    <cellStyle name="20% - Accent3 37 2 5" xfId="4364" xr:uid="{88E56E00-E089-4525-86AD-84DECA3FCF7C}"/>
    <cellStyle name="20% - Accent3 37 3" xfId="4365" xr:uid="{D036EB05-4AC9-4420-ABDE-D7256D8DC752}"/>
    <cellStyle name="20% - Accent3 37 3 2" xfId="4366" xr:uid="{1A65BE14-2472-4CAF-A156-4F1253FEEE18}"/>
    <cellStyle name="20% - Accent3 37 3 2 2" xfId="4367" xr:uid="{BD9D2CF8-83EA-4042-9F8D-CCDA3795CA08}"/>
    <cellStyle name="20% - Accent3 37 3 3" xfId="4368" xr:uid="{620D4FAD-7699-4C2B-A3AF-776CCCFA66ED}"/>
    <cellStyle name="20% - Accent3 37 4" xfId="4369" xr:uid="{872EB126-4005-41C2-9786-01EAFD65C232}"/>
    <cellStyle name="20% - Accent3 37 4 2" xfId="4370" xr:uid="{C858C459-85D2-428F-8233-BBCC74D94EFE}"/>
    <cellStyle name="20% - Accent3 37 4 2 2" xfId="4371" xr:uid="{5535EE3B-1E02-430E-ADA1-B0108D110791}"/>
    <cellStyle name="20% - Accent3 37 4 3" xfId="4372" xr:uid="{89B362B8-B9B6-454B-93C5-620D24B08B9B}"/>
    <cellStyle name="20% - Accent3 37 5" xfId="4373" xr:uid="{96181842-9B12-4B3D-9425-5A24D20B774C}"/>
    <cellStyle name="20% - Accent3 37 5 2" xfId="4374" xr:uid="{936B8024-993B-4995-94C9-465BDF8A56A3}"/>
    <cellStyle name="20% - Accent3 37 6" xfId="35981" xr:uid="{8DB2171C-B4C0-48B8-81D5-3832FC75F8EC}"/>
    <cellStyle name="20% - Accent3 38" xfId="4375" xr:uid="{DE6908CE-38A6-4100-9910-EF34490179E4}"/>
    <cellStyle name="20% - Accent3 38 2" xfId="4376" xr:uid="{9528708A-DD61-4AE8-B15B-DB665E69E8D2}"/>
    <cellStyle name="20% - Accent3 38 2 2" xfId="4377" xr:uid="{E09CD128-DA57-4044-88F9-C14CAF92B44E}"/>
    <cellStyle name="20% - Accent3 38 2 2 2" xfId="4378" xr:uid="{B42F84EF-8AB8-46A0-9500-573C016E49BB}"/>
    <cellStyle name="20% - Accent3 38 2 2 2 2" xfId="4379" xr:uid="{43C14E70-8A96-4F50-BCB4-293E637BCCBE}"/>
    <cellStyle name="20% - Accent3 38 2 2 3" xfId="4380" xr:uid="{AB4BDE34-A654-4BF2-AD29-8F62AF6AB537}"/>
    <cellStyle name="20% - Accent3 38 2 3" xfId="4381" xr:uid="{A0671987-6020-4315-B83D-83430B623E01}"/>
    <cellStyle name="20% - Accent3 38 2 3 2" xfId="4382" xr:uid="{BA796B1C-FE50-4B5C-A70D-F6C90260240D}"/>
    <cellStyle name="20% - Accent3 38 2 3 2 2" xfId="4383" xr:uid="{BB180584-023D-46BD-AD17-BA98CDD1F4C0}"/>
    <cellStyle name="20% - Accent3 38 2 3 3" xfId="4384" xr:uid="{270FE4BE-2FE1-447D-9463-25A68E26D13B}"/>
    <cellStyle name="20% - Accent3 38 2 4" xfId="4385" xr:uid="{55818AFF-F5D2-4953-8BAA-5D263981DEBB}"/>
    <cellStyle name="20% - Accent3 38 2 4 2" xfId="4386" xr:uid="{6A8D9332-8A1C-4A90-A879-2E91943FCAC4}"/>
    <cellStyle name="20% - Accent3 38 2 5" xfId="4387" xr:uid="{8A61B232-165E-4EF1-8A1D-134623396F32}"/>
    <cellStyle name="20% - Accent3 38 3" xfId="4388" xr:uid="{EB7C24D7-6DBC-48F1-996D-7845C4DAEB24}"/>
    <cellStyle name="20% - Accent3 38 3 2" xfId="4389" xr:uid="{B5C3A16E-0B3A-4B13-B3C2-EFBD8F53EDEA}"/>
    <cellStyle name="20% - Accent3 38 3 2 2" xfId="4390" xr:uid="{10F23CB6-C174-4241-A35A-179310DEB438}"/>
    <cellStyle name="20% - Accent3 38 3 3" xfId="4391" xr:uid="{BA976101-1FE7-4B9F-A305-22FEB1546B4B}"/>
    <cellStyle name="20% - Accent3 38 4" xfId="4392" xr:uid="{F1E531C2-4DF0-4F85-9290-8AB2DA81C06C}"/>
    <cellStyle name="20% - Accent3 38 4 2" xfId="4393" xr:uid="{660B6200-1113-489D-AFAE-B2A3C9FCBE23}"/>
    <cellStyle name="20% - Accent3 38 4 2 2" xfId="4394" xr:uid="{59F48B68-9FFB-403A-AB08-96600BF66E3F}"/>
    <cellStyle name="20% - Accent3 38 4 3" xfId="4395" xr:uid="{4066C45E-A712-41C5-99CE-C5DAA608A8D8}"/>
    <cellStyle name="20% - Accent3 38 5" xfId="4396" xr:uid="{14E25A88-DFDC-45A6-9765-509245A880AC}"/>
    <cellStyle name="20% - Accent3 38 5 2" xfId="4397" xr:uid="{D75FBEDD-0269-442A-85D0-1DDB90639536}"/>
    <cellStyle name="20% - Accent3 38 6" xfId="35982" xr:uid="{128CCF96-EFDE-4079-A327-D176AF85C4AA}"/>
    <cellStyle name="20% - Accent3 39" xfId="4398" xr:uid="{4CA72013-1F30-4010-BCA5-2BDD988F9872}"/>
    <cellStyle name="20% - Accent3 39 2" xfId="4399" xr:uid="{C69A7681-96BC-4ADC-A095-18CB8FCEBCDD}"/>
    <cellStyle name="20% - Accent3 39 2 2" xfId="4400" xr:uid="{373AA0B4-D359-4265-A971-7498FDDDA9DF}"/>
    <cellStyle name="20% - Accent3 39 2 2 2" xfId="4401" xr:uid="{7E1D76E1-F131-427C-8F33-FE2140578E9F}"/>
    <cellStyle name="20% - Accent3 39 2 2 2 2" xfId="4402" xr:uid="{CECCAC4E-3BE7-4774-ACAE-3C31A57E0E49}"/>
    <cellStyle name="20% - Accent3 39 2 2 3" xfId="4403" xr:uid="{856B9853-AC1A-4F2C-B71D-B5B573D1B464}"/>
    <cellStyle name="20% - Accent3 39 2 3" xfId="4404" xr:uid="{DC6A179E-6CE7-4926-87EE-6973CF9D0694}"/>
    <cellStyle name="20% - Accent3 39 2 3 2" xfId="4405" xr:uid="{8A11C626-8F01-42D0-9F52-060558964C90}"/>
    <cellStyle name="20% - Accent3 39 2 3 2 2" xfId="4406" xr:uid="{9390D9C4-C907-442D-ACA0-F5F68BF09458}"/>
    <cellStyle name="20% - Accent3 39 2 3 3" xfId="4407" xr:uid="{63D8A8DD-8FC3-4D1D-8714-8FDB326FECF9}"/>
    <cellStyle name="20% - Accent3 39 2 4" xfId="4408" xr:uid="{7F70264D-9292-4E81-85DB-06CC223BB72A}"/>
    <cellStyle name="20% - Accent3 39 2 4 2" xfId="4409" xr:uid="{BA6D83A5-8485-4181-B2AF-CAA6CF6B3FD4}"/>
    <cellStyle name="20% - Accent3 39 2 5" xfId="4410" xr:uid="{51ABB8B8-9DAD-4EC8-8B10-98A384296CBF}"/>
    <cellStyle name="20% - Accent3 39 3" xfId="4411" xr:uid="{46F3AC73-2040-43FD-B962-25843F555F12}"/>
    <cellStyle name="20% - Accent3 39 3 2" xfId="4412" xr:uid="{EA2B9DA0-47B9-47CE-BA9A-5BA8C636D2FE}"/>
    <cellStyle name="20% - Accent3 39 3 2 2" xfId="4413" xr:uid="{90ED45A0-E895-47D9-B60B-BF6C11F16E8D}"/>
    <cellStyle name="20% - Accent3 39 3 3" xfId="4414" xr:uid="{774FA01E-A905-40C2-9DD3-838CDE77C9A8}"/>
    <cellStyle name="20% - Accent3 39 4" xfId="4415" xr:uid="{EF0A7C5D-7E45-424E-946C-EE82E836D0B5}"/>
    <cellStyle name="20% - Accent3 39 4 2" xfId="4416" xr:uid="{806568CD-4246-4DA6-8CC3-3CABFDB6211F}"/>
    <cellStyle name="20% - Accent3 39 4 2 2" xfId="4417" xr:uid="{84FC0398-59A7-4F9D-857C-5416C0FEA566}"/>
    <cellStyle name="20% - Accent3 39 4 3" xfId="4418" xr:uid="{BAEE645E-828D-4F1E-9E8A-A04C685A5433}"/>
    <cellStyle name="20% - Accent3 39 5" xfId="4419" xr:uid="{8D7D97D8-4A5A-488E-B7F5-34508D815193}"/>
    <cellStyle name="20% - Accent3 39 5 2" xfId="4420" xr:uid="{A569E217-90FC-4476-AFD7-E5E8E59DDE46}"/>
    <cellStyle name="20% - Accent3 39 6" xfId="35983" xr:uid="{2B9211E2-0E6B-4ADC-B24E-52922A4D1B72}"/>
    <cellStyle name="20% - Accent3 4" xfId="4421" xr:uid="{39BC9C51-0AA9-4D8F-8358-18BD9B0ED54E}"/>
    <cellStyle name="20% - Accent3 4 2" xfId="4422" xr:uid="{EB91A4AA-F0A9-4F8E-A618-0EB281C2FCFC}"/>
    <cellStyle name="20% - Accent3 4 2 2" xfId="4423" xr:uid="{8CB49DFD-A4FC-4778-A26E-5086759E815C}"/>
    <cellStyle name="20% - Accent3 4 2 2 2" xfId="35984" xr:uid="{D7ACAA35-CE4C-4B39-8F29-90333698FC6A}"/>
    <cellStyle name="20% - Accent3 4 2 3" xfId="35985" xr:uid="{F966E198-A041-4684-8E10-D592C0983DD0}"/>
    <cellStyle name="20% - Accent3 4 2 4" xfId="35986" xr:uid="{67E29776-94CD-4399-B8CE-65D98151965A}"/>
    <cellStyle name="20% - Accent3 4 3" xfId="4424" xr:uid="{0B527736-7F86-483F-8DBC-888D5316A1BF}"/>
    <cellStyle name="20% - Accent3 4 3 2" xfId="35987" xr:uid="{D79A5522-7DCF-4BF1-B69E-4AEC6C17C4FC}"/>
    <cellStyle name="20% - Accent3 4 4" xfId="35988" xr:uid="{AE5BDDDB-F113-497D-94D4-09B6D1700D9F}"/>
    <cellStyle name="20% - Accent3 4 5" xfId="35989" xr:uid="{7824917C-99F4-4B1D-9E86-2E7A5AC099C1}"/>
    <cellStyle name="20% - Accent3 40" xfId="4425" xr:uid="{ABA2DACC-BDCE-48BB-A3DB-2CAE33F14745}"/>
    <cellStyle name="20% - Accent3 40 2" xfId="4426" xr:uid="{B277B74F-3659-4F9D-BA1D-A92C6FF772F2}"/>
    <cellStyle name="20% - Accent3 40 2 2" xfId="4427" xr:uid="{12F1EBA3-E913-44A2-BE47-58206B2C5A14}"/>
    <cellStyle name="20% - Accent3 40 2 2 2" xfId="4428" xr:uid="{61BB9FBC-0196-44C9-8BF1-6C51FADD4BBD}"/>
    <cellStyle name="20% - Accent3 40 2 2 2 2" xfId="4429" xr:uid="{B5B145E8-6572-4261-9CA9-EAC7327CCBD9}"/>
    <cellStyle name="20% - Accent3 40 2 2 3" xfId="4430" xr:uid="{B64492AE-6037-441B-B1B7-40C88DF5F771}"/>
    <cellStyle name="20% - Accent3 40 2 3" xfId="4431" xr:uid="{B9898C04-FE9E-441E-9777-AE4DFDE6810C}"/>
    <cellStyle name="20% - Accent3 40 2 3 2" xfId="4432" xr:uid="{805C7D48-A1C4-4E0F-B53C-5CD1DCD39794}"/>
    <cellStyle name="20% - Accent3 40 2 3 2 2" xfId="4433" xr:uid="{D21A049D-CB1B-4B2C-9671-D7CA70E1F605}"/>
    <cellStyle name="20% - Accent3 40 2 3 3" xfId="4434" xr:uid="{35B5736D-509C-4777-BB97-4C79F7ED5A7F}"/>
    <cellStyle name="20% - Accent3 40 2 4" xfId="4435" xr:uid="{C1897665-2FED-49D5-B176-1CEC2D226D8B}"/>
    <cellStyle name="20% - Accent3 40 2 4 2" xfId="4436" xr:uid="{58937677-948B-45E2-8144-52617AFF3F83}"/>
    <cellStyle name="20% - Accent3 40 2 5" xfId="4437" xr:uid="{75D4A0A6-ADAB-4A03-9BFF-C9AFD0480BA7}"/>
    <cellStyle name="20% - Accent3 40 3" xfId="4438" xr:uid="{BA2396BD-D746-4D7E-B7AC-DA4DE6845C18}"/>
    <cellStyle name="20% - Accent3 40 3 2" xfId="4439" xr:uid="{D0A88C89-C0A1-48A3-9B77-9BA8B3D3B3F0}"/>
    <cellStyle name="20% - Accent3 40 3 2 2" xfId="4440" xr:uid="{678C8691-B4EF-4A35-BCC0-DE4ED37E6D1A}"/>
    <cellStyle name="20% - Accent3 40 3 3" xfId="4441" xr:uid="{337CF718-4821-43DF-94AF-B1FCE0CA6CDE}"/>
    <cellStyle name="20% - Accent3 40 4" xfId="4442" xr:uid="{87161016-0DFC-4C1A-8B8C-ABD711D96C54}"/>
    <cellStyle name="20% - Accent3 40 4 2" xfId="4443" xr:uid="{4706E140-3D8A-49B1-957A-E2E0FF4FB175}"/>
    <cellStyle name="20% - Accent3 40 4 2 2" xfId="4444" xr:uid="{306F9590-3053-4C53-80CE-82FE3965A060}"/>
    <cellStyle name="20% - Accent3 40 4 3" xfId="4445" xr:uid="{35C6C041-2D1F-4450-B18C-DAA6DEE65D92}"/>
    <cellStyle name="20% - Accent3 40 5" xfId="4446" xr:uid="{4550BD22-6C65-4B7D-8706-CD7E9BC538E7}"/>
    <cellStyle name="20% - Accent3 40 5 2" xfId="4447" xr:uid="{C94953ED-9B38-47E6-AB96-74AED108A1E4}"/>
    <cellStyle name="20% - Accent3 40 6" xfId="35990" xr:uid="{FD0D3E60-DB73-491F-A542-3615BF03020F}"/>
    <cellStyle name="20% - Accent3 41" xfId="4448" xr:uid="{8049C214-8DDB-4F07-B308-B0EB9921708D}"/>
    <cellStyle name="20% - Accent3 41 2" xfId="4449" xr:uid="{524263D0-0208-4315-8432-A72864A1C590}"/>
    <cellStyle name="20% - Accent3 41 2 2" xfId="4450" xr:uid="{18344B56-CCDB-4A9E-A665-F73A041874C6}"/>
    <cellStyle name="20% - Accent3 41 2 2 2" xfId="4451" xr:uid="{85282109-2BEF-40C2-8C17-F3B2923AD59C}"/>
    <cellStyle name="20% - Accent3 41 2 2 2 2" xfId="4452" xr:uid="{89AD529D-A0FD-4065-96FD-9943E032A6E3}"/>
    <cellStyle name="20% - Accent3 41 2 2 3" xfId="4453" xr:uid="{8DA57395-6F62-4FE9-9776-53423665A529}"/>
    <cellStyle name="20% - Accent3 41 2 3" xfId="4454" xr:uid="{4C0FEBC1-88EC-45C9-AC3D-A22E709CDE33}"/>
    <cellStyle name="20% - Accent3 41 2 3 2" xfId="4455" xr:uid="{B81AA186-0F3D-44DC-B5F3-2181ED53B25A}"/>
    <cellStyle name="20% - Accent3 41 2 3 2 2" xfId="4456" xr:uid="{9C4CFC26-31F4-4556-9184-F41EB8A8C7B5}"/>
    <cellStyle name="20% - Accent3 41 2 3 3" xfId="4457" xr:uid="{8755D608-B8C0-4965-B56C-98DC2FFC23B5}"/>
    <cellStyle name="20% - Accent3 41 2 4" xfId="4458" xr:uid="{48DAA7BA-CC5D-482C-95A4-7FC15A0C980A}"/>
    <cellStyle name="20% - Accent3 41 2 4 2" xfId="4459" xr:uid="{1709D4C5-CF01-4E82-B8B4-ECEFA06B4928}"/>
    <cellStyle name="20% - Accent3 41 2 5" xfId="4460" xr:uid="{35C1CC80-00A4-4B15-B614-B782ACAD7BAE}"/>
    <cellStyle name="20% - Accent3 41 3" xfId="4461" xr:uid="{2E47B61B-1959-49E2-AFEC-3A32C994A808}"/>
    <cellStyle name="20% - Accent3 41 3 2" xfId="4462" xr:uid="{24BB257E-BC7E-4956-BA31-CF78D269E88E}"/>
    <cellStyle name="20% - Accent3 41 3 2 2" xfId="4463" xr:uid="{7B1135DF-6BD3-4A43-8F79-6D481E2B81A1}"/>
    <cellStyle name="20% - Accent3 41 3 3" xfId="4464" xr:uid="{3BAD2791-A65D-4743-BE41-C8EBA82ECECC}"/>
    <cellStyle name="20% - Accent3 41 4" xfId="4465" xr:uid="{3EE794E2-476E-4FC2-9CA6-83A24CDA32E0}"/>
    <cellStyle name="20% - Accent3 41 4 2" xfId="4466" xr:uid="{0AB9BFD1-605E-4995-AE4A-2A3C817678D6}"/>
    <cellStyle name="20% - Accent3 41 4 2 2" xfId="4467" xr:uid="{F26D6D68-2ACE-4373-A65B-5C421AC72EA8}"/>
    <cellStyle name="20% - Accent3 41 4 3" xfId="4468" xr:uid="{88D468A5-4572-4DFC-A140-9507DC490B67}"/>
    <cellStyle name="20% - Accent3 41 5" xfId="4469" xr:uid="{F743F0C6-A569-4A8C-A3F4-D7DC9FDCB69A}"/>
    <cellStyle name="20% - Accent3 41 5 2" xfId="4470" xr:uid="{9432127D-6B62-48A8-B487-A24F5A2DABE7}"/>
    <cellStyle name="20% - Accent3 41 6" xfId="35991" xr:uid="{F8847F88-0162-4B67-BD15-201C9DC32850}"/>
    <cellStyle name="20% - Accent3 42" xfId="4471" xr:uid="{4CAF850D-4070-479D-BB5B-1A3EF8962588}"/>
    <cellStyle name="20% - Accent3 42 2" xfId="4472" xr:uid="{7662C440-AA41-42AB-A02E-826CC97FBE31}"/>
    <cellStyle name="20% - Accent3 42 2 2" xfId="4473" xr:uid="{D1BBB7CD-D1F4-4BD6-BFBD-92F860A7FDE2}"/>
    <cellStyle name="20% - Accent3 42 2 2 2" xfId="4474" xr:uid="{4232876A-99B2-461E-918B-A237BAD00A7F}"/>
    <cellStyle name="20% - Accent3 42 2 2 2 2" xfId="4475" xr:uid="{434DBFC1-6A7E-4FAF-A8AE-545CF546C6AF}"/>
    <cellStyle name="20% - Accent3 42 2 2 3" xfId="4476" xr:uid="{035ADAB6-4FFD-47C4-9A09-42497FBCDB6D}"/>
    <cellStyle name="20% - Accent3 42 2 3" xfId="4477" xr:uid="{B4941E25-B687-480E-A770-D40715DB3B08}"/>
    <cellStyle name="20% - Accent3 42 2 3 2" xfId="4478" xr:uid="{AB63A496-52C2-4365-8C7B-B7DE5EA04FCE}"/>
    <cellStyle name="20% - Accent3 42 2 3 2 2" xfId="4479" xr:uid="{51FD8AE2-7866-4CC2-98A2-65327BFE6C4B}"/>
    <cellStyle name="20% - Accent3 42 2 3 3" xfId="4480" xr:uid="{82E88AFF-59FA-4219-8241-645E7B90637D}"/>
    <cellStyle name="20% - Accent3 42 2 4" xfId="4481" xr:uid="{CFE59C79-8133-41BA-B65B-8B4559632E19}"/>
    <cellStyle name="20% - Accent3 42 2 4 2" xfId="4482" xr:uid="{E05332F1-6F9D-4827-98EE-982993B9C84B}"/>
    <cellStyle name="20% - Accent3 42 2 5" xfId="4483" xr:uid="{249A76C1-1433-47E5-9AD3-8AD5FF3EB9E9}"/>
    <cellStyle name="20% - Accent3 42 3" xfId="4484" xr:uid="{236BD737-F804-42F8-96F8-F2505FBEA670}"/>
    <cellStyle name="20% - Accent3 42 3 2" xfId="4485" xr:uid="{A54B5994-5DE3-4595-B71C-52F7E25FC974}"/>
    <cellStyle name="20% - Accent3 42 3 2 2" xfId="4486" xr:uid="{9E83A1A9-2716-47AD-9B51-889AC673AB05}"/>
    <cellStyle name="20% - Accent3 42 3 3" xfId="4487" xr:uid="{9D981B7D-791B-457C-93FD-1583479D6FEF}"/>
    <cellStyle name="20% - Accent3 42 4" xfId="4488" xr:uid="{5B238843-1565-4DDF-8328-F490D9158770}"/>
    <cellStyle name="20% - Accent3 42 4 2" xfId="4489" xr:uid="{F2DAFB1A-E76C-47B3-B78B-C735225388BD}"/>
    <cellStyle name="20% - Accent3 42 4 2 2" xfId="4490" xr:uid="{96CFE892-D6F1-4F4B-8C10-EA27DE693FBD}"/>
    <cellStyle name="20% - Accent3 42 4 3" xfId="4491" xr:uid="{AE2D4401-EEE9-4328-8C2C-AF3BC739DD7B}"/>
    <cellStyle name="20% - Accent3 42 5" xfId="4492" xr:uid="{8BF76657-D9D3-4E5B-AA48-8E1971DE0184}"/>
    <cellStyle name="20% - Accent3 42 5 2" xfId="4493" xr:uid="{4E9F4B0C-CB87-4E46-8EEE-5B4BE95F4866}"/>
    <cellStyle name="20% - Accent3 42 6" xfId="35992" xr:uid="{9C57C7D6-141F-41D7-9201-198353BB5106}"/>
    <cellStyle name="20% - Accent3 43" xfId="4494" xr:uid="{00E3F315-027F-4D79-A6C3-10CE96298623}"/>
    <cellStyle name="20% - Accent3 43 2" xfId="4495" xr:uid="{F623A1AD-4283-4052-9FDF-E0B741FFE73E}"/>
    <cellStyle name="20% - Accent3 43 3" xfId="35993" xr:uid="{2ABA6528-E879-45B5-A551-EB82D245AAF4}"/>
    <cellStyle name="20% - Accent3 44" xfId="4496" xr:uid="{650036C1-5933-46D0-B0FB-68CB3B087555}"/>
    <cellStyle name="20% - Accent3 44 2" xfId="4497" xr:uid="{85049C42-7FA8-4D4E-A576-80337F66630C}"/>
    <cellStyle name="20% - Accent3 44 3" xfId="35994" xr:uid="{47BCBCE7-74C9-43E1-AFF7-551FB1A43590}"/>
    <cellStyle name="20% - Accent3 45" xfId="4498" xr:uid="{AE596714-0908-4957-B23C-08B6E203F3B9}"/>
    <cellStyle name="20% - Accent3 45 2" xfId="4499" xr:uid="{1AC40AFC-6626-4DCF-BE76-507E4941EF9C}"/>
    <cellStyle name="20% - Accent3 45 3" xfId="35995" xr:uid="{7A3E434A-47A6-49E8-9C6F-8736027FCC6B}"/>
    <cellStyle name="20% - Accent3 46" xfId="4500" xr:uid="{C307AB71-AB26-44E0-A975-4AA03EE8B96E}"/>
    <cellStyle name="20% - Accent3 46 2" xfId="4501" xr:uid="{D67EE21D-C36D-48E4-AE08-35DA0A9A89C9}"/>
    <cellStyle name="20% - Accent3 46 3" xfId="35996" xr:uid="{8CAC64B5-43CC-4D10-8D18-24D722C485CB}"/>
    <cellStyle name="20% - Accent3 47" xfId="4502" xr:uid="{A01EBEA8-F896-4210-AFFC-C0DC45FD5D3A}"/>
    <cellStyle name="20% - Accent3 47 2" xfId="4503" xr:uid="{0F85861C-6FA9-4653-BF03-783A74D0F0EE}"/>
    <cellStyle name="20% - Accent3 47 3" xfId="35997" xr:uid="{6C6BBD38-4B4F-4B94-A419-BE53FA243E8B}"/>
    <cellStyle name="20% - Accent3 48" xfId="4504" xr:uid="{79184213-388F-4BE9-9B01-C6BC480E4A27}"/>
    <cellStyle name="20% - Accent3 48 2" xfId="4505" xr:uid="{8ADB7E1B-FDB4-4CF0-B954-35A036CBDACE}"/>
    <cellStyle name="20% - Accent3 48 3" xfId="35998" xr:uid="{7401E0AB-3E85-4EE3-8529-73954B5BAFE7}"/>
    <cellStyle name="20% - Accent3 49" xfId="4506" xr:uid="{9280B126-8360-4B89-8AF0-0CC75D80F3BA}"/>
    <cellStyle name="20% - Accent3 49 2" xfId="4507" xr:uid="{9806D222-939B-44EC-B92B-B9DFE3B27F6B}"/>
    <cellStyle name="20% - Accent3 49 3" xfId="35999" xr:uid="{E02486FD-E9AB-46B8-9783-39EE44EE1668}"/>
    <cellStyle name="20% - Accent3 5" xfId="4508" xr:uid="{D2AB9F43-75E0-49FE-AD0B-5EAE8E1242D1}"/>
    <cellStyle name="20% - Accent3 5 2" xfId="4509" xr:uid="{95248BD7-0453-41ED-823A-B1E8E71874B6}"/>
    <cellStyle name="20% - Accent3 5 2 2" xfId="4510" xr:uid="{95A36AD2-725F-46BC-937B-D2A61A38F25B}"/>
    <cellStyle name="20% - Accent3 5 2 2 2" xfId="36000" xr:uid="{074857DE-C03A-426F-9756-83E9BDFACDAB}"/>
    <cellStyle name="20% - Accent3 5 2 3" xfId="36001" xr:uid="{7A74F329-B83C-4F56-974B-380DC2483F04}"/>
    <cellStyle name="20% - Accent3 5 2 4" xfId="36002" xr:uid="{DBC84C52-FA5C-40ED-AA48-BF4EE790304D}"/>
    <cellStyle name="20% - Accent3 5 3" xfId="4511" xr:uid="{65DD6803-8FC5-4CB7-ACE9-468647B51414}"/>
    <cellStyle name="20% - Accent3 5 3 2" xfId="36003" xr:uid="{070B1ABC-F9DB-4802-8769-14A25E1FBC35}"/>
    <cellStyle name="20% - Accent3 5 4" xfId="36004" xr:uid="{CB84BA3E-15EE-4C11-A558-8FAE19FD0C2C}"/>
    <cellStyle name="20% - Accent3 5 5" xfId="36005" xr:uid="{BD294776-DF96-49DB-B01A-37F31E91DE7E}"/>
    <cellStyle name="20% - Accent3 50" xfId="4512" xr:uid="{D802C967-E418-4A79-A831-11EB6B5C3DA7}"/>
    <cellStyle name="20% - Accent3 50 2" xfId="4513" xr:uid="{777F2333-A7BE-4865-B91A-B3BB945F26F4}"/>
    <cellStyle name="20% - Accent3 50 3" xfId="36006" xr:uid="{BAF86215-4388-4ADF-B2D3-18FD12446042}"/>
    <cellStyle name="20% - Accent3 51" xfId="4514" xr:uid="{C3BF4637-DE13-4452-B527-02283BF1ED12}"/>
    <cellStyle name="20% - Accent3 51 2" xfId="36007" xr:uid="{3B6E89A0-2356-4C17-B5AB-4C1B0788DF14}"/>
    <cellStyle name="20% - Accent3 52" xfId="4515" xr:uid="{E82E2482-6593-49B9-B4D5-8AE687961C23}"/>
    <cellStyle name="20% - Accent3 52 2" xfId="36008" xr:uid="{09276640-A065-4466-A471-7F92F7A66DB2}"/>
    <cellStyle name="20% - Accent3 53" xfId="4516" xr:uid="{A3D2BC99-6332-4EE0-BD24-8C77A2A4DD27}"/>
    <cellStyle name="20% - Accent3 53 2" xfId="36009" xr:uid="{ACF2CBCF-01BD-45F7-A7B4-7D5BD06BC16F}"/>
    <cellStyle name="20% - Accent3 54" xfId="4517" xr:uid="{8960F054-A7D5-4173-858B-E0A659CE9C35}"/>
    <cellStyle name="20% - Accent3 54 2" xfId="36010" xr:uid="{F3BFF4D5-94EE-48EF-AE91-F95DBB8F507E}"/>
    <cellStyle name="20% - Accent3 55" xfId="4518" xr:uid="{9647A706-B0AB-45EB-9818-784B0C432034}"/>
    <cellStyle name="20% - Accent3 55 2" xfId="36011" xr:uid="{CCB22F57-7FCA-4C97-8CE3-F31A8E329A15}"/>
    <cellStyle name="20% - Accent3 56" xfId="4519" xr:uid="{A95DCB2F-529E-4A7F-A491-99E880FD4C49}"/>
    <cellStyle name="20% - Accent3 56 2" xfId="36012" xr:uid="{3B2752FC-1512-40F7-959D-486D27E2BCAB}"/>
    <cellStyle name="20% - Accent3 57" xfId="4520" xr:uid="{342EB684-1CA4-4ED2-ADE1-53E2EB0971CF}"/>
    <cellStyle name="20% - Accent3 57 2" xfId="36013" xr:uid="{3B985C70-CB66-44E1-B3DF-0B4903ABFB7C}"/>
    <cellStyle name="20% - Accent3 58" xfId="4521" xr:uid="{F3B6DB42-8757-4071-87CD-3BB147683135}"/>
    <cellStyle name="20% - Accent3 58 2" xfId="36014" xr:uid="{A8C5107C-9CF7-4A45-940C-9A989BD8BA93}"/>
    <cellStyle name="20% - Accent3 59" xfId="4522" xr:uid="{C88BF36A-36C7-41A5-B6F5-07380E574271}"/>
    <cellStyle name="20% - Accent3 59 2" xfId="36015" xr:uid="{AD3CA716-7A29-46FA-8754-AAE6B5B967BC}"/>
    <cellStyle name="20% - Accent3 6" xfId="4523" xr:uid="{A158C9D2-6177-4ED2-9E7B-A436286ABACC}"/>
    <cellStyle name="20% - Accent3 6 2" xfId="4524" xr:uid="{AEC6F8DA-55EE-4516-9197-8355A2FD3BC1}"/>
    <cellStyle name="20% - Accent3 6 2 2" xfId="4525" xr:uid="{278BEA7D-F4C6-4D99-A2A8-AB3524DFBF23}"/>
    <cellStyle name="20% - Accent3 6 2 2 2" xfId="36016" xr:uid="{8C698D88-314A-4103-A0C9-CEDFDFDEC92E}"/>
    <cellStyle name="20% - Accent3 6 2 3" xfId="36017" xr:uid="{89965139-C787-46E4-A6F1-73A752ABFFF4}"/>
    <cellStyle name="20% - Accent3 6 2 4" xfId="36018" xr:uid="{9CE15801-2612-4859-B571-73C495162C3E}"/>
    <cellStyle name="20% - Accent3 6 3" xfId="4526" xr:uid="{F66953AD-3A8A-4BD7-9221-8170AA453C68}"/>
    <cellStyle name="20% - Accent3 6 3 2" xfId="36019" xr:uid="{2D150671-4834-46EF-978B-6BFE6EB52C39}"/>
    <cellStyle name="20% - Accent3 6 4" xfId="36020" xr:uid="{A1F3DD55-461C-4EB5-9F2F-A2305E01A679}"/>
    <cellStyle name="20% - Accent3 6 5" xfId="36021" xr:uid="{82C9B0C8-626A-46F4-9C49-36A3BB53DBE0}"/>
    <cellStyle name="20% - Accent3 60" xfId="4527" xr:uid="{518E2930-1EFC-4CC6-A855-3F3EFD5FDAA9}"/>
    <cellStyle name="20% - Accent3 60 2" xfId="36022" xr:uid="{ABCF99FD-9097-4470-90E0-E81819F7D3C2}"/>
    <cellStyle name="20% - Accent3 61" xfId="4528" xr:uid="{EC7AB536-CEA8-46C1-9600-CA6BF6042056}"/>
    <cellStyle name="20% - Accent3 61 2" xfId="36023" xr:uid="{3674715C-4366-4860-A6DF-4EE55CE5335B}"/>
    <cellStyle name="20% - Accent3 62" xfId="4529" xr:uid="{77739A35-41DE-464D-8709-83977A8D66B4}"/>
    <cellStyle name="20% - Accent3 62 2" xfId="36024" xr:uid="{0102DD6B-4DE8-46BB-8EC0-E989F8778435}"/>
    <cellStyle name="20% - Accent3 63" xfId="4530" xr:uid="{AA084955-8CFC-4AF6-8D49-9FA8286CAF62}"/>
    <cellStyle name="20% - Accent3 63 2" xfId="36025" xr:uid="{B31B4BC1-A4CB-4687-9A6E-5858E25CE132}"/>
    <cellStyle name="20% - Accent3 64" xfId="4531" xr:uid="{C38B0A20-A0C8-4EC9-95C2-2E832C43B413}"/>
    <cellStyle name="20% - Accent3 64 2" xfId="36026" xr:uid="{89510057-ECEA-4A72-9D20-CDE1E584E338}"/>
    <cellStyle name="20% - Accent3 65" xfId="4532" xr:uid="{0E99C6F7-FF98-4CBC-82A8-843E88292BAD}"/>
    <cellStyle name="20% - Accent3 65 2" xfId="36027" xr:uid="{38403701-1ECE-48DE-9228-61FEB1DC0941}"/>
    <cellStyle name="20% - Accent3 66" xfId="4533" xr:uid="{5016C572-1CD6-4698-B502-E060ACD8F515}"/>
    <cellStyle name="20% - Accent3 66 2" xfId="4534" xr:uid="{C053E25E-1078-4515-B557-643F16C03A71}"/>
    <cellStyle name="20% - Accent3 66 2 2" xfId="4535" xr:uid="{A5B383B4-2EA2-4F85-A8AB-28AF0461EC9E}"/>
    <cellStyle name="20% - Accent3 66 3" xfId="4536" xr:uid="{B2C5F761-6901-4109-B6CE-A4D6295E4C26}"/>
    <cellStyle name="20% - Accent3 66 3 2" xfId="4537" xr:uid="{F584FC0C-F183-4EBA-8A93-2A73FE961437}"/>
    <cellStyle name="20% - Accent3 66 4" xfId="4538" xr:uid="{60D8CBD7-2459-4B71-BAFE-507E09283411}"/>
    <cellStyle name="20% - Accent3 66 5" xfId="36028" xr:uid="{4AB7CCA9-A0A6-40D3-AC9C-BA76EFA82B7D}"/>
    <cellStyle name="20% - Accent3 67" xfId="4539" xr:uid="{24DD1729-BF6E-4614-919F-81DD5B8DDFA4}"/>
    <cellStyle name="20% - Accent3 67 2" xfId="4540" xr:uid="{67D729C2-5265-4C41-B804-AC5697C8BBCA}"/>
    <cellStyle name="20% - Accent3 67 2 2" xfId="4541" xr:uid="{372DAFA9-35C5-4971-8126-F02AFD38F638}"/>
    <cellStyle name="20% - Accent3 67 3" xfId="4542" xr:uid="{E35B6BA3-E258-400C-A81F-73BCDF4A8BFC}"/>
    <cellStyle name="20% - Accent3 67 3 2" xfId="4543" xr:uid="{D029C4C0-B695-49F9-BDAC-04A9FC5B3D2D}"/>
    <cellStyle name="20% - Accent3 67 4" xfId="4544" xr:uid="{B37616C6-2142-4B87-B9CD-6BAB9BA1AFDB}"/>
    <cellStyle name="20% - Accent3 67 5" xfId="36029" xr:uid="{0123F1D5-25B6-4284-901E-B7271B307786}"/>
    <cellStyle name="20% - Accent3 68" xfId="4545" xr:uid="{9C79D949-9F16-4AC9-8358-F9146D0B072E}"/>
    <cellStyle name="20% - Accent3 68 2" xfId="4546" xr:uid="{988D10A9-4800-4881-80E3-0753115987B9}"/>
    <cellStyle name="20% - Accent3 68 2 2" xfId="4547" xr:uid="{098B95C6-B0A1-41EA-B6A7-00D81FC3CE9B}"/>
    <cellStyle name="20% - Accent3 68 3" xfId="4548" xr:uid="{B5F1A35C-6C16-4C7E-A61F-ABEFA09183F8}"/>
    <cellStyle name="20% - Accent3 68 3 2" xfId="4549" xr:uid="{65CB880D-3543-40E2-9A90-07828079FAE4}"/>
    <cellStyle name="20% - Accent3 68 4" xfId="4550" xr:uid="{CABB0C70-64A3-4D2E-9D28-41CF3CC92813}"/>
    <cellStyle name="20% - Accent3 68 5" xfId="36030" xr:uid="{839FDC9D-EE4F-4AB8-8DA4-0E52AC73D442}"/>
    <cellStyle name="20% - Accent3 69" xfId="4551" xr:uid="{D0E8EF58-9C8B-414F-AB47-215B32D07A88}"/>
    <cellStyle name="20% - Accent3 69 2" xfId="4552" xr:uid="{00F1F78B-BB1E-4E85-9311-EB3D709E8222}"/>
    <cellStyle name="20% - Accent3 69 2 2" xfId="4553" xr:uid="{BCC3722E-80DD-4252-9B15-A3E8E4085C2A}"/>
    <cellStyle name="20% - Accent3 69 3" xfId="4554" xr:uid="{4824660B-AB66-4403-8F92-C7A156C128D3}"/>
    <cellStyle name="20% - Accent3 69 4" xfId="36031" xr:uid="{BB563805-EABA-4F8F-AAAE-7F19C943FF36}"/>
    <cellStyle name="20% - Accent3 7" xfId="4555" xr:uid="{2B29056A-3F91-480D-98F9-D56ECBA50BB6}"/>
    <cellStyle name="20% - Accent3 7 2" xfId="4556" xr:uid="{11C4FF45-C288-4DC3-9205-707B766530A3}"/>
    <cellStyle name="20% - Accent3 7 2 2" xfId="4557" xr:uid="{4F8A915C-0418-4883-906C-F10FC24E2E60}"/>
    <cellStyle name="20% - Accent3 7 2 2 2" xfId="36032" xr:uid="{E7F3F58F-BCF6-44A4-B151-3AE48F9FC6DE}"/>
    <cellStyle name="20% - Accent3 7 2 3" xfId="36033" xr:uid="{353CD676-5D4B-44D7-A9F1-F4E5E3D182FB}"/>
    <cellStyle name="20% - Accent3 7 2 4" xfId="36034" xr:uid="{ADBE8831-E7E8-4E8F-8A04-4E4A4697EDD6}"/>
    <cellStyle name="20% - Accent3 7 3" xfId="4558" xr:uid="{2E6E69BA-7279-41C7-B703-4EB9AEDFCA0A}"/>
    <cellStyle name="20% - Accent3 7 3 2" xfId="36035" xr:uid="{8BFC3968-F1AD-41D9-8633-237A86FEBA53}"/>
    <cellStyle name="20% - Accent3 7 4" xfId="36036" xr:uid="{FD2D2A52-4A9B-4A60-AA71-15021CF5EB36}"/>
    <cellStyle name="20% - Accent3 7 5" xfId="36037" xr:uid="{BF607E51-7377-441F-8B6B-EA2F61EF1B58}"/>
    <cellStyle name="20% - Accent3 70" xfId="4559" xr:uid="{87591949-63AF-4B87-BBE8-B6BD7C9EB040}"/>
    <cellStyle name="20% - Accent3 70 2" xfId="4560" xr:uid="{1D54D328-69E1-419C-B578-E450916DAF1B}"/>
    <cellStyle name="20% - Accent3 70 2 2" xfId="4561" xr:uid="{37CA3AE7-E4BB-4C9E-AEB9-7F81A3C5A5F2}"/>
    <cellStyle name="20% - Accent3 70 3" xfId="4562" xr:uid="{F953BF6F-B949-47DB-B726-C044456A2D81}"/>
    <cellStyle name="20% - Accent3 70 4" xfId="36038" xr:uid="{73609B89-BF45-4A2A-8ACD-6B79A957FECC}"/>
    <cellStyle name="20% - Accent3 71" xfId="4563" xr:uid="{D8F8E94C-F375-45E2-BBA5-8C95D16E49EE}"/>
    <cellStyle name="20% - Accent3 71 2" xfId="4564" xr:uid="{DEC34CF2-B4F2-444A-B062-551D81F17320}"/>
    <cellStyle name="20% - Accent3 71 2 2" xfId="4565" xr:uid="{7458A82D-EE38-499B-B7BC-1F9C56979544}"/>
    <cellStyle name="20% - Accent3 71 3" xfId="4566" xr:uid="{63FD2ADB-FD6A-4C3F-817B-97C94D754967}"/>
    <cellStyle name="20% - Accent3 71 4" xfId="36039" xr:uid="{33848FC0-E416-4404-A811-21431CFE1D61}"/>
    <cellStyle name="20% - Accent3 72" xfId="4567" xr:uid="{898154B1-198F-4416-9D28-EAA188708A4A}"/>
    <cellStyle name="20% - Accent3 72 2" xfId="4568" xr:uid="{E74F7C2D-08ED-46F8-A086-9B4BE5FBF645}"/>
    <cellStyle name="20% - Accent3 72 2 2" xfId="4569" xr:uid="{04AD39BF-6B2C-4CAB-AD67-92A29B612E20}"/>
    <cellStyle name="20% - Accent3 72 3" xfId="4570" xr:uid="{5196B100-604D-420A-84EC-46D42639A1A3}"/>
    <cellStyle name="20% - Accent3 72 4" xfId="36040" xr:uid="{A05F4C0B-43CA-4751-A576-70990CC6D71D}"/>
    <cellStyle name="20% - Accent3 73" xfId="4571" xr:uid="{A9B8BE1D-56F4-4AD1-A954-E3168F966BB2}"/>
    <cellStyle name="20% - Accent3 73 2" xfId="4572" xr:uid="{B7BAF945-70BC-4C04-B0DE-34030DA87071}"/>
    <cellStyle name="20% - Accent3 73 2 2" xfId="4573" xr:uid="{11C210FF-EB26-4FD3-A6EA-643622137810}"/>
    <cellStyle name="20% - Accent3 73 3" xfId="4574" xr:uid="{DD5033AB-3AC4-4E4B-8950-128D0043A47F}"/>
    <cellStyle name="20% - Accent3 73 4" xfId="36041" xr:uid="{C080E3A8-F93E-4A33-8D85-989D1B1F6625}"/>
    <cellStyle name="20% - Accent3 74" xfId="4575" xr:uid="{FBDFB6BC-49E3-4DFF-9BAC-17B624F333D4}"/>
    <cellStyle name="20% - Accent3 74 2" xfId="4576" xr:uid="{967AA2F9-6A9C-456D-9DB8-E2D43574E774}"/>
    <cellStyle name="20% - Accent3 74 2 2" xfId="4577" xr:uid="{815B2DA0-D3B8-4044-8890-C1DAE354EEDD}"/>
    <cellStyle name="20% - Accent3 74 3" xfId="4578" xr:uid="{741BAE36-BE99-44C8-BDCB-A4F1D0A0AE8C}"/>
    <cellStyle name="20% - Accent3 74 4" xfId="36042" xr:uid="{AE720163-20B8-4180-B92D-B465E059108E}"/>
    <cellStyle name="20% - Accent3 75" xfId="4579" xr:uid="{B9CB0EAD-2E62-4E9A-B573-12265C70A662}"/>
    <cellStyle name="20% - Accent3 75 2" xfId="4580" xr:uid="{41D52122-C20D-4497-BF13-C7D733A7FB8F}"/>
    <cellStyle name="20% - Accent3 75 2 2" xfId="4581" xr:uid="{4ADB24FB-F833-46D7-B914-A964FF87B46F}"/>
    <cellStyle name="20% - Accent3 75 3" xfId="4582" xr:uid="{F0BB2049-2E07-4E06-94D5-BE2178FA3117}"/>
    <cellStyle name="20% - Accent3 75 4" xfId="36043" xr:uid="{FD715CD1-5361-4E7D-91ED-0303814276AF}"/>
    <cellStyle name="20% - Accent3 76" xfId="4583" xr:uid="{1F2BD6A4-6DB0-4C12-B7CA-A2FD7EB527A3}"/>
    <cellStyle name="20% - Accent3 76 2" xfId="4584" xr:uid="{E7143E33-D0AE-4B0D-A3F3-11D317ACE19B}"/>
    <cellStyle name="20% - Accent3 76 2 2" xfId="4585" xr:uid="{BDD56995-6E28-46F6-9171-C1D2AF909A0A}"/>
    <cellStyle name="20% - Accent3 76 3" xfId="4586" xr:uid="{31769338-F3BD-4328-A5EF-58FFD626352F}"/>
    <cellStyle name="20% - Accent3 76 4" xfId="36044" xr:uid="{43ED0895-BA44-4981-B27C-DEAAAE1AFEEA}"/>
    <cellStyle name="20% - Accent3 77" xfId="4587" xr:uid="{FAB6B680-E778-4ADE-BA43-325DF7AB3ECC}"/>
    <cellStyle name="20% - Accent3 77 2" xfId="4588" xr:uid="{9306474D-633F-4609-9403-3C829D2ACB5A}"/>
    <cellStyle name="20% - Accent3 77 2 2" xfId="4589" xr:uid="{E1FAC5D4-048E-4B3B-A9EE-F38B3F64C7AE}"/>
    <cellStyle name="20% - Accent3 77 3" xfId="4590" xr:uid="{EA93E101-2A24-41D9-8211-544A263A9F58}"/>
    <cellStyle name="20% - Accent3 77 4" xfId="36045" xr:uid="{29F0848C-4623-40E3-8BD1-9EA90459555B}"/>
    <cellStyle name="20% - Accent3 78" xfId="4591" xr:uid="{EB45E687-1FE1-4A48-B094-DE9B3764C460}"/>
    <cellStyle name="20% - Accent3 78 2" xfId="4592" xr:uid="{71B99B9A-A751-4C6B-A166-4C6E0E6D6F15}"/>
    <cellStyle name="20% - Accent3 78 2 2" xfId="4593" xr:uid="{AE2E5BBC-AADE-4188-A1A9-6D7D4FC6C4AF}"/>
    <cellStyle name="20% - Accent3 78 3" xfId="4594" xr:uid="{B370F57F-FF10-408D-851D-839B74BA0FC6}"/>
    <cellStyle name="20% - Accent3 78 4" xfId="36046" xr:uid="{5FA2A94E-9C94-4CF7-877A-C415A9A7C9B5}"/>
    <cellStyle name="20% - Accent3 79" xfId="4595" xr:uid="{BA691287-A63C-4AEF-B862-52D6F98C0468}"/>
    <cellStyle name="20% - Accent3 79 2" xfId="4596" xr:uid="{F644CCC3-28AD-46B6-B008-40D1AB1F93B3}"/>
    <cellStyle name="20% - Accent3 79 3" xfId="36047" xr:uid="{EDC27A7A-5E99-40B4-9D7C-4214A798FB14}"/>
    <cellStyle name="20% - Accent3 8" xfId="4597" xr:uid="{4AFCA93D-8424-47EE-ADC7-334C131733EE}"/>
    <cellStyle name="20% - Accent3 8 2" xfId="4598" xr:uid="{FA3AA933-BAA1-4E97-BEFD-FEA1AD5ED0DA}"/>
    <cellStyle name="20% - Accent3 8 2 2" xfId="4599" xr:uid="{54B46D7E-3E81-4E51-8C41-485CD5EF68CC}"/>
    <cellStyle name="20% - Accent3 8 2 2 2" xfId="36048" xr:uid="{993B2AC0-F718-45E4-B00D-C03623FB73C8}"/>
    <cellStyle name="20% - Accent3 8 2 3" xfId="36049" xr:uid="{BF3C7909-34A7-41EA-9A82-39ECFF6C70EB}"/>
    <cellStyle name="20% - Accent3 8 3" xfId="4600" xr:uid="{749077F8-6341-4BF2-B201-D0015F88DF67}"/>
    <cellStyle name="20% - Accent3 8 3 2" xfId="36050" xr:uid="{35F4D37A-6E2D-4688-AE29-1D9642AAD030}"/>
    <cellStyle name="20% - Accent3 8 4" xfId="36051" xr:uid="{F2E5C680-A889-48F2-99F1-85CCC1B01AD7}"/>
    <cellStyle name="20% - Accent3 8 5" xfId="36052" xr:uid="{6D6A57F0-7F70-4BFB-B022-5344B259AF41}"/>
    <cellStyle name="20% - Accent3 8 6" xfId="36053" xr:uid="{24EC4252-C23F-4700-85B1-0F59E09DA3BC}"/>
    <cellStyle name="20% - Accent3 8 7" xfId="36054" xr:uid="{95084A5C-CF57-4DC7-81E2-E32CE8A09534}"/>
    <cellStyle name="20% - Accent3 80" xfId="4601" xr:uid="{EDDB669B-62D4-47F0-B64C-29943C848A6C}"/>
    <cellStyle name="20% - Accent3 80 2" xfId="4602" xr:uid="{F81D3F09-F51A-40AC-8F82-93C09D4C1695}"/>
    <cellStyle name="20% - Accent3 80 3" xfId="36055" xr:uid="{A8D5D56A-052D-4477-885F-5FC949B414AF}"/>
    <cellStyle name="20% - Accent3 81" xfId="4603" xr:uid="{4D2BC5C5-7104-40D2-A8B9-7D955D163B3B}"/>
    <cellStyle name="20% - Accent3 81 2" xfId="4604" xr:uid="{628638A5-1453-4EB5-B288-2CCCB291730B}"/>
    <cellStyle name="20% - Accent3 81 3" xfId="36056" xr:uid="{981DE2FB-6225-4924-8996-C7702753DA10}"/>
    <cellStyle name="20% - Accent3 82" xfId="4605" xr:uid="{CF9DEB65-2AE1-40A4-A98B-EE62F922C5BF}"/>
    <cellStyle name="20% - Accent3 82 2" xfId="4606" xr:uid="{7E46E79A-8913-4DB1-9BBA-9F5AB15204A9}"/>
    <cellStyle name="20% - Accent3 82 3" xfId="36057" xr:uid="{0D153B75-A066-4DB9-AC44-E03F14C87AC4}"/>
    <cellStyle name="20% - Accent3 83" xfId="4607" xr:uid="{0EADEF6A-544B-45F5-B930-92716D0EB66B}"/>
    <cellStyle name="20% - Accent3 83 2" xfId="4608" xr:uid="{85CDE108-2A7A-4DD5-8E20-57130F8DC595}"/>
    <cellStyle name="20% - Accent3 83 3" xfId="36058" xr:uid="{C542926F-2D5F-4AA8-B3DB-8CA8EB41858B}"/>
    <cellStyle name="20% - Accent3 84" xfId="4609" xr:uid="{62C5DBC3-C52E-47F5-9BFB-A4416AFA4978}"/>
    <cellStyle name="20% - Accent3 84 2" xfId="4610" xr:uid="{FCC26B69-1A39-4B2C-BC0C-F2937DDE9AAF}"/>
    <cellStyle name="20% - Accent3 84 3" xfId="36059" xr:uid="{AEDC3523-741C-4B46-8DFA-A98EFD8374B2}"/>
    <cellStyle name="20% - Accent3 85" xfId="4611" xr:uid="{A236112E-87FC-4749-9C6B-D459042A3E5B}"/>
    <cellStyle name="20% - Accent3 85 2" xfId="4612" xr:uid="{8F8D379E-9A29-4A8C-9946-F3DAD00104B6}"/>
    <cellStyle name="20% - Accent3 85 3" xfId="36060" xr:uid="{554BE127-F2ED-447A-9F7D-EBBED7EAE142}"/>
    <cellStyle name="20% - Accent3 86" xfId="4613" xr:uid="{3882BA53-C83E-479D-B30A-5F8ADF46869B}"/>
    <cellStyle name="20% - Accent3 86 2" xfId="4614" xr:uid="{DB5E765A-8D36-4F61-AA12-EB827D216322}"/>
    <cellStyle name="20% - Accent3 86 3" xfId="36061" xr:uid="{430F16F6-450C-4CFC-9190-6269D6760246}"/>
    <cellStyle name="20% - Accent3 87" xfId="4615" xr:uid="{0F7D61A1-3310-412B-AF5A-2EC815142891}"/>
    <cellStyle name="20% - Accent3 87 2" xfId="4616" xr:uid="{88A355D7-B2AD-488D-A8E5-5A4D0F694615}"/>
    <cellStyle name="20% - Accent3 87 3" xfId="36062" xr:uid="{34460A66-EE1F-4628-A4AF-59F912744A62}"/>
    <cellStyle name="20% - Accent3 88" xfId="4617" xr:uid="{60D906FF-AF54-4D23-B307-57C6B3284CFE}"/>
    <cellStyle name="20% - Accent3 88 2" xfId="4618" xr:uid="{E4A8DCA3-2B2F-47C7-9A78-0525D3DC1DF4}"/>
    <cellStyle name="20% - Accent3 88 3" xfId="36063" xr:uid="{413F4E5E-DACC-4EFD-BAAB-133CCD1CE5C0}"/>
    <cellStyle name="20% - Accent3 89" xfId="4619" xr:uid="{2CD1A10B-D2A2-461C-8B75-91FF39A7E658}"/>
    <cellStyle name="20% - Accent3 89 2" xfId="4620" xr:uid="{A1B52DBA-495C-4DA8-8844-90DA9B74FFB3}"/>
    <cellStyle name="20% - Accent3 89 3" xfId="36064" xr:uid="{8E94C8DA-A54D-495F-84B9-C71E44341E22}"/>
    <cellStyle name="20% - Accent3 9" xfId="4621" xr:uid="{AB95A833-9B28-472C-A710-88FA62234FF0}"/>
    <cellStyle name="20% - Accent3 9 2" xfId="4622" xr:uid="{EF0BD410-8249-4F1A-89B7-FBD67D29113C}"/>
    <cellStyle name="20% - Accent3 9 2 2" xfId="4623" xr:uid="{37ED6DF7-F3B0-4B38-802B-437BAB46CB3D}"/>
    <cellStyle name="20% - Accent3 9 2 2 2" xfId="36065" xr:uid="{49E59643-DD0D-4B52-B921-E03156B63280}"/>
    <cellStyle name="20% - Accent3 9 2 3" xfId="36066" xr:uid="{6D8BB355-7D67-4FA6-A71B-E9F6A8684554}"/>
    <cellStyle name="20% - Accent3 9 3" xfId="4624" xr:uid="{5EE19D94-70FF-4EB4-84EF-9138627B52EB}"/>
    <cellStyle name="20% - Accent3 9 3 2" xfId="36067" xr:uid="{B7088410-9F9B-4417-9918-F3CF0AE10550}"/>
    <cellStyle name="20% - Accent3 9 4" xfId="36068" xr:uid="{88FC99DF-7C25-4865-91F3-ACCCA0683F01}"/>
    <cellStyle name="20% - Accent3 9 5" xfId="36069" xr:uid="{CDFEE793-CAAC-4A81-BD9B-C0755C400E89}"/>
    <cellStyle name="20% - Accent3 9 6" xfId="36070" xr:uid="{975F067E-11F3-4C99-A93B-2EC3E84ADFAE}"/>
    <cellStyle name="20% - Accent3 90" xfId="4625" xr:uid="{704A6969-6B88-4C3C-8769-2E961BE76223}"/>
    <cellStyle name="20% - Accent3 90 2" xfId="4626" xr:uid="{7673145A-A4B5-48E3-8307-FFB5F6A186EC}"/>
    <cellStyle name="20% - Accent3 90 3" xfId="36071" xr:uid="{18BEE7C0-E0B3-40E8-AD4F-D9CB68320CF0}"/>
    <cellStyle name="20% - Accent3 91" xfId="4627" xr:uid="{17BF90FD-A698-426C-BB06-8A6655C5FA69}"/>
    <cellStyle name="20% - Accent3 91 2" xfId="4628" xr:uid="{A54E7D67-2680-4F38-A7E3-C7D0AA606826}"/>
    <cellStyle name="20% - Accent3 91 3" xfId="36072" xr:uid="{CC4EF94A-C635-4B51-8810-E20ED6011FF4}"/>
    <cellStyle name="20% - Accent3 92" xfId="4629" xr:uid="{4B5DC344-E5A8-4E9E-BA3D-8BD5DB3FCB5C}"/>
    <cellStyle name="20% - Accent3 92 2" xfId="4630" xr:uid="{699BCDF5-A458-4602-97A2-3971DC796586}"/>
    <cellStyle name="20% - Accent3 92 3" xfId="36073" xr:uid="{54B4E5C1-8E47-4902-9AF9-ABAB8CD05D11}"/>
    <cellStyle name="20% - Accent3 93" xfId="4631" xr:uid="{CE3AB310-5B6D-4379-8E9D-F67EE1B2C1C8}"/>
    <cellStyle name="20% - Accent3 93 2" xfId="4632" xr:uid="{75F0153B-A3EB-48C8-8047-C03CC5B7CFB6}"/>
    <cellStyle name="20% - Accent3 93 3" xfId="36074" xr:uid="{BA6AFDE5-4257-4C7C-9E19-80678451B087}"/>
    <cellStyle name="20% - Accent3 94" xfId="4633" xr:uid="{9C3EA7F0-E462-4053-94FB-3C13BDBF8163}"/>
    <cellStyle name="20% - Accent3 94 2" xfId="4634" xr:uid="{155CD4F2-178F-494E-A37B-17B94B3AF244}"/>
    <cellStyle name="20% - Accent3 94 3" xfId="36075" xr:uid="{05BB2696-4624-4A7F-9AA3-9E4A205FF8B2}"/>
    <cellStyle name="20% - Accent3 95" xfId="4635" xr:uid="{550D93B7-8744-477C-B7BF-3CC14868AF22}"/>
    <cellStyle name="20% - Accent3 95 2" xfId="4636" xr:uid="{A14CFBEB-731D-4CD3-872F-89DBC528F2DC}"/>
    <cellStyle name="20% - Accent3 95 3" xfId="36076" xr:uid="{6C1FA94C-9B29-4C41-A1A0-77E621B7A5B8}"/>
    <cellStyle name="20% - Accent3 96" xfId="4637" xr:uid="{BAAB64EA-3D9E-4627-AE02-93A5614EBD6E}"/>
    <cellStyle name="20% - Accent3 96 2" xfId="4638" xr:uid="{BE78DD9B-EE3A-4321-87BB-35E02750B54A}"/>
    <cellStyle name="20% - Accent3 96 3" xfId="36077" xr:uid="{98E306A9-6292-4D31-9017-3EB0C775EAE8}"/>
    <cellStyle name="20% - Accent3 97" xfId="4639" xr:uid="{B85F1EDA-66BF-43F1-A843-18FBB9B2961E}"/>
    <cellStyle name="20% - Accent3 97 2" xfId="4640" xr:uid="{82E47220-7104-4828-94C9-A05A7C19A54A}"/>
    <cellStyle name="20% - Accent3 97 3" xfId="36078" xr:uid="{9B655279-E7DD-48BA-9CAD-B2B56891452B}"/>
    <cellStyle name="20% - Accent3 98" xfId="4641" xr:uid="{8D204AD5-59E4-4588-9953-40DD6335086C}"/>
    <cellStyle name="20% - Accent3 98 2" xfId="4642" xr:uid="{F5354891-D9C9-400A-9984-A8004BD9F541}"/>
    <cellStyle name="20% - Accent3 98 3" xfId="36079" xr:uid="{791147CE-17D8-4ABA-ACB1-EA5A38136EE2}"/>
    <cellStyle name="20% - Accent3 99" xfId="4643" xr:uid="{987E6B52-8309-45E9-9D7D-A3727E823BD9}"/>
    <cellStyle name="20% - Accent3 99 2" xfId="4644" xr:uid="{A0462DF7-671F-4D28-89AB-DF1571881A60}"/>
    <cellStyle name="20% - Accent3 99 3" xfId="36080" xr:uid="{14829867-6CB2-41DA-B807-047DA62B2ED4}"/>
    <cellStyle name="20% - Accent4" xfId="43" builtinId="42" hidden="1"/>
    <cellStyle name="20% - Accent4" xfId="117" builtinId="42" customBuiltin="1"/>
    <cellStyle name="20% - Accent4 10" xfId="4645" xr:uid="{50FF1651-2886-427E-A536-0F594373073D}"/>
    <cellStyle name="20% - Accent4 10 2" xfId="4646" xr:uid="{A9155BE9-0A34-4C69-AAD9-3F62B719EBB1}"/>
    <cellStyle name="20% - Accent4 10 2 2" xfId="4647" xr:uid="{2AD322C8-C918-4B3D-A725-CE636F380C8E}"/>
    <cellStyle name="20% - Accent4 10 2 2 2" xfId="36081" xr:uid="{E7D231B6-D733-4FA0-BD77-B646E4E53CDE}"/>
    <cellStyle name="20% - Accent4 10 2 3" xfId="36082" xr:uid="{AC9DB165-DE60-477A-8EC6-60D295926A91}"/>
    <cellStyle name="20% - Accent4 10 3" xfId="4648" xr:uid="{1D85D5DB-E2A5-47C9-A821-7B211C255C99}"/>
    <cellStyle name="20% - Accent4 10 3 2" xfId="36083" xr:uid="{33314A94-BFE6-4EC2-BCCD-19091A78060A}"/>
    <cellStyle name="20% - Accent4 10 4" xfId="36084" xr:uid="{15C82264-3FD1-4A4D-BE5E-E363CCB859F8}"/>
    <cellStyle name="20% - Accent4 10 5" xfId="36085" xr:uid="{0279950A-7323-4CD7-8F5B-6944F7FED347}"/>
    <cellStyle name="20% - Accent4 10 6" xfId="36086" xr:uid="{8E8F885F-431D-4FD7-B37B-524BE630B40D}"/>
    <cellStyle name="20% - Accent4 100" xfId="4649" xr:uid="{EEE48A61-EA4E-4E5A-8833-A38D0C4D935A}"/>
    <cellStyle name="20% - Accent4 100 2" xfId="4650" xr:uid="{EBAABB32-B728-45AF-8735-58C5999AF35B}"/>
    <cellStyle name="20% - Accent4 100 3" xfId="36087" xr:uid="{6D00C881-FAC3-4598-BD0C-503971B1A562}"/>
    <cellStyle name="20% - Accent4 101" xfId="4651" xr:uid="{0160314B-731B-4A94-A7F2-AF624634F43D}"/>
    <cellStyle name="20% - Accent4 102" xfId="4652" xr:uid="{11EA9CA1-E6F2-4A5D-87AB-D8B9496599B2}"/>
    <cellStyle name="20% - Accent4 103" xfId="4653" xr:uid="{AEA80106-067D-425A-BE0A-D39F27529273}"/>
    <cellStyle name="20% - Accent4 104" xfId="4654" xr:uid="{FB57A176-1768-40CE-A309-23348ADAEAEB}"/>
    <cellStyle name="20% - Accent4 105" xfId="4655" xr:uid="{E8BF702F-4B74-48A8-A810-2766FA0FFF89}"/>
    <cellStyle name="20% - Accent4 106" xfId="4656" xr:uid="{D86ABC2B-B461-4039-A013-0AFB5AAF89D9}"/>
    <cellStyle name="20% - Accent4 107" xfId="4657" xr:uid="{2285951A-EC7E-4E92-B531-F72DDCACE9BB}"/>
    <cellStyle name="20% - Accent4 108" xfId="4658" xr:uid="{EF03FC53-7005-495B-A45C-62A250AC6B9E}"/>
    <cellStyle name="20% - Accent4 109" xfId="4659" xr:uid="{D4B0F988-52C6-4D4F-B6F8-693DDFE0DA60}"/>
    <cellStyle name="20% - Accent4 11" xfId="4660" xr:uid="{DBD8075C-7A71-4140-811C-C332DB0924AC}"/>
    <cellStyle name="20% - Accent4 11 2" xfId="4661" xr:uid="{494BB7FB-3956-4C1A-BADE-2FE8C9D767A2}"/>
    <cellStyle name="20% - Accent4 11 2 2" xfId="4662" xr:uid="{C823B79D-05A0-449E-BC2A-F4B0CE36911F}"/>
    <cellStyle name="20% - Accent4 11 2 2 2" xfId="36088" xr:uid="{3EAA6251-2D5B-419D-90D0-F55D43999FAB}"/>
    <cellStyle name="20% - Accent4 11 2 3" xfId="36089" xr:uid="{DCA6E1E1-3CBF-47C6-9E55-B24B3D3F749B}"/>
    <cellStyle name="20% - Accent4 11 3" xfId="4663" xr:uid="{20E9A85E-E3D9-4503-B8DE-8A8771751E91}"/>
    <cellStyle name="20% - Accent4 11 3 2" xfId="36090" xr:uid="{C9D1F11F-2CEA-4D34-9ACB-4B4300167533}"/>
    <cellStyle name="20% - Accent4 11 4" xfId="36091" xr:uid="{5AE29FDE-4706-4B7A-A80C-04302A1C2BF5}"/>
    <cellStyle name="20% - Accent4 11 5" xfId="36092" xr:uid="{3703CC9F-CC84-4725-B82D-E071E74D03F2}"/>
    <cellStyle name="20% - Accent4 11 6" xfId="36093" xr:uid="{AF0897B8-1CFC-4C83-8ED5-4AAFB46A7952}"/>
    <cellStyle name="20% - Accent4 110" xfId="4664" xr:uid="{5C4558BD-0E41-40C9-BFEF-BE1D3980BC95}"/>
    <cellStyle name="20% - Accent4 111" xfId="4665" xr:uid="{D10ED1C5-3DE5-48CE-8332-D7167BAB3B0D}"/>
    <cellStyle name="20% - Accent4 112" xfId="4666" xr:uid="{6031B81A-626F-45FF-ABA4-B6B5825BC847}"/>
    <cellStyle name="20% - Accent4 113" xfId="4667" xr:uid="{F551E7F5-D41A-42EF-AF86-B1A7DCF3128F}"/>
    <cellStyle name="20% - Accent4 114" xfId="4668" xr:uid="{A4C73F14-7A6E-4145-A835-FF8F018EF190}"/>
    <cellStyle name="20% - Accent4 115" xfId="4669" xr:uid="{AFE60637-D4FC-4CF4-AD30-D5B474D49893}"/>
    <cellStyle name="20% - Accent4 116" xfId="4670" xr:uid="{86A3B2B1-024B-4591-9115-8B4B72A30BDA}"/>
    <cellStyle name="20% - Accent4 117" xfId="4671" xr:uid="{12E0300D-BA53-42E0-93BF-C8119EC55336}"/>
    <cellStyle name="20% - Accent4 118" xfId="4672" xr:uid="{4C39C4DC-B957-4ED1-A53F-99ADD8CE49BA}"/>
    <cellStyle name="20% - Accent4 119" xfId="4673" xr:uid="{9E466B16-C1B5-4485-A8FA-1951E9A257A0}"/>
    <cellStyle name="20% - Accent4 12" xfId="4674" xr:uid="{53A528D6-0081-4366-A273-B318BB5674FE}"/>
    <cellStyle name="20% - Accent4 12 2" xfId="4675" xr:uid="{7DF1695C-9289-4987-9421-EAB815D21C57}"/>
    <cellStyle name="20% - Accent4 12 2 2" xfId="4676" xr:uid="{26B3C4B0-8F03-4DD4-A470-5014D64CA0E0}"/>
    <cellStyle name="20% - Accent4 12 2 2 2" xfId="36094" xr:uid="{96F0CDFE-8808-4F34-AFD3-5E0F740A417F}"/>
    <cellStyle name="20% - Accent4 12 2 3" xfId="36095" xr:uid="{486EA08F-C6B2-4C2F-B424-4BCFDDE8A3D3}"/>
    <cellStyle name="20% - Accent4 12 3" xfId="4677" xr:uid="{6126BA74-B1A0-44B8-AF09-6F81A691708E}"/>
    <cellStyle name="20% - Accent4 12 3 2" xfId="36096" xr:uid="{BD013DF8-B7A2-42C6-97D4-A40EC70AE071}"/>
    <cellStyle name="20% - Accent4 12 4" xfId="36097" xr:uid="{A0B17CF2-AE3E-4935-9DB1-38211C6108B8}"/>
    <cellStyle name="20% - Accent4 12 5" xfId="36098" xr:uid="{A8453C01-B6D4-46E7-9733-729FD0184856}"/>
    <cellStyle name="20% - Accent4 12 6" xfId="36099" xr:uid="{1DCBEF86-01E6-4C4F-B07F-EC5805B9B5A0}"/>
    <cellStyle name="20% - Accent4 120" xfId="4678" xr:uid="{54D13970-6BB2-4535-9B1F-121D8DAF851A}"/>
    <cellStyle name="20% - Accent4 121" xfId="4679" xr:uid="{0E545848-38B9-4980-AAC6-6EA187C12270}"/>
    <cellStyle name="20% - Accent4 122" xfId="4680" xr:uid="{C866C659-DF0B-4C75-87B8-CD7530CD2CCF}"/>
    <cellStyle name="20% - Accent4 123" xfId="4681" xr:uid="{AE09C55C-A3DE-4224-95FE-F83FE27D2440}"/>
    <cellStyle name="20% - Accent4 124" xfId="4682" xr:uid="{BFB01FD5-8061-4FAD-94B9-73883C860C77}"/>
    <cellStyle name="20% - Accent4 125" xfId="4683" xr:uid="{B73BCAF2-6FC5-489E-9508-D8428BEB9A29}"/>
    <cellStyle name="20% - Accent4 126" xfId="4684" xr:uid="{F0DEC6CF-E143-49AB-A681-4A5CF1EEE844}"/>
    <cellStyle name="20% - Accent4 127" xfId="4685" xr:uid="{7109E1CC-797B-4A7A-BA21-646CD74C3E92}"/>
    <cellStyle name="20% - Accent4 128" xfId="4686" xr:uid="{366D86C0-003F-46DC-91ED-3CE61FEC2C84}"/>
    <cellStyle name="20% - Accent4 129" xfId="4687" xr:uid="{C8A89587-6444-4626-800E-806D23A4DB41}"/>
    <cellStyle name="20% - Accent4 13" xfId="4688" xr:uid="{CB36F545-A360-4067-B8ED-EDB9CB3AA49F}"/>
    <cellStyle name="20% - Accent4 13 2" xfId="4689" xr:uid="{DCB05645-0056-4624-A5DD-1F705736BCC5}"/>
    <cellStyle name="20% - Accent4 13 2 2" xfId="4690" xr:uid="{7DB69CF1-2BEA-4EA1-BFC6-558D56B96DE4}"/>
    <cellStyle name="20% - Accent4 13 2 2 2" xfId="36100" xr:uid="{3496E89D-C92E-471D-BF3C-4CFA6BE3880F}"/>
    <cellStyle name="20% - Accent4 13 2 3" xfId="36101" xr:uid="{055570C5-E5CD-4A72-AFAE-723F8CB0DB57}"/>
    <cellStyle name="20% - Accent4 13 3" xfId="4691" xr:uid="{F421DA90-C819-47A9-8A13-2AB1276239D4}"/>
    <cellStyle name="20% - Accent4 13 3 2" xfId="36102" xr:uid="{4AC18A67-F164-4233-BD85-1C33A28BBEBA}"/>
    <cellStyle name="20% - Accent4 13 4" xfId="36103" xr:uid="{74BC2672-7A99-47AB-928E-0A1696AF35A7}"/>
    <cellStyle name="20% - Accent4 13 5" xfId="36104" xr:uid="{51FD155F-D3FE-4530-A8D7-1AA72E0D449B}"/>
    <cellStyle name="20% - Accent4 13 6" xfId="36105" xr:uid="{F86B6FE5-7A05-4955-A4FF-360C09B91FE3}"/>
    <cellStyle name="20% - Accent4 130" xfId="4692" xr:uid="{A921ABC2-ED28-4BEF-B4CD-645CF21867BB}"/>
    <cellStyle name="20% - Accent4 131" xfId="4693" xr:uid="{C053E1CD-8719-4F36-AE30-9A95B9995D92}"/>
    <cellStyle name="20% - Accent4 132" xfId="4694" xr:uid="{36EAEE78-AE28-4058-BB86-DEAA0573653F}"/>
    <cellStyle name="20% - Accent4 133" xfId="4695" xr:uid="{36FE2678-3DA5-46A3-9FBF-BBF5F0C177B4}"/>
    <cellStyle name="20% - Accent4 134" xfId="4696" xr:uid="{467F5D85-574C-48A6-9696-311774C862CF}"/>
    <cellStyle name="20% - Accent4 135" xfId="4697" xr:uid="{A5142C90-4087-4004-9F00-548D02D756B9}"/>
    <cellStyle name="20% - Accent4 136" xfId="4698" xr:uid="{7004DD0B-E2EF-4094-AFD5-C514E511A2BB}"/>
    <cellStyle name="20% - Accent4 137" xfId="4699" xr:uid="{E10109D9-1AFE-4D43-853F-48A92FBB9BD2}"/>
    <cellStyle name="20% - Accent4 138" xfId="4700" xr:uid="{7C27B594-9EA9-4123-827B-984524D6204C}"/>
    <cellStyle name="20% - Accent4 139" xfId="4701" xr:uid="{3B84A817-BE5C-4521-B100-BE62391AC654}"/>
    <cellStyle name="20% - Accent4 14" xfId="4702" xr:uid="{B39B6E14-123F-40DA-BA3E-503D1FF278EF}"/>
    <cellStyle name="20% - Accent4 14 2" xfId="4703" xr:uid="{92F3B707-12B4-45C5-B1CF-B0697B904D44}"/>
    <cellStyle name="20% - Accent4 14 2 2" xfId="4704" xr:uid="{2FE7103C-31C0-4037-883A-5281ACA8CF43}"/>
    <cellStyle name="20% - Accent4 14 2 2 2" xfId="36106" xr:uid="{57E19FD9-96B5-432C-9E20-9BEED66A0EEC}"/>
    <cellStyle name="20% - Accent4 14 2 3" xfId="36107" xr:uid="{B7783C49-90DF-48E5-984B-8E1873D2ECF1}"/>
    <cellStyle name="20% - Accent4 14 3" xfId="4705" xr:uid="{0D6C7D4D-9C55-4051-AC00-B2E50046B8BF}"/>
    <cellStyle name="20% - Accent4 14 3 2" xfId="36108" xr:uid="{8135F96B-D802-40DD-9214-85D45C5F866F}"/>
    <cellStyle name="20% - Accent4 14 4" xfId="36109" xr:uid="{6D109790-FC26-4A86-897A-BCD2D3858017}"/>
    <cellStyle name="20% - Accent4 14 5" xfId="36110" xr:uid="{E4931264-91BC-44C6-8C39-426F3BCAD212}"/>
    <cellStyle name="20% - Accent4 14 6" xfId="36111" xr:uid="{2F014989-3756-4549-9A6E-B2C1065D74E0}"/>
    <cellStyle name="20% - Accent4 140" xfId="4706" xr:uid="{EBDDE308-1CC6-4DF9-9DD7-5E5A7DB6F27B}"/>
    <cellStyle name="20% - Accent4 141" xfId="4707" xr:uid="{EA3F80EB-034F-4FC4-BFA0-CB8FFE4FBA40}"/>
    <cellStyle name="20% - Accent4 142" xfId="4708" xr:uid="{266F8121-599B-4BEC-8F23-1794A40413F4}"/>
    <cellStyle name="20% - Accent4 143" xfId="4709" xr:uid="{E1F719CB-AF85-42AB-97C8-BCB54FC43235}"/>
    <cellStyle name="20% - Accent4 144" xfId="4710" xr:uid="{B2C12C49-8EB3-4001-89AE-BA7535DB9932}"/>
    <cellStyle name="20% - Accent4 145" xfId="4711" xr:uid="{AFAD204D-7C3D-43B2-8213-1C48B4AF63FB}"/>
    <cellStyle name="20% - Accent4 146" xfId="4712" xr:uid="{23190DF8-62E5-4D70-B59E-AC098F9024C9}"/>
    <cellStyle name="20% - Accent4 147" xfId="4713" xr:uid="{A1E1454F-1D0C-442E-87A6-FB124E838FDE}"/>
    <cellStyle name="20% - Accent4 148" xfId="4714" xr:uid="{7966C792-A21A-47BF-A748-E8DCB0122765}"/>
    <cellStyle name="20% - Accent4 149" xfId="4715" xr:uid="{CCD77F28-B025-4C28-BE13-6B2C1E80ADD2}"/>
    <cellStyle name="20% - Accent4 15" xfId="4716" xr:uid="{5CADF59B-FB58-4FEE-8317-BE24DB1227E7}"/>
    <cellStyle name="20% - Accent4 15 2" xfId="4717" xr:uid="{C637A557-771D-4D07-9E27-D4F4BA3D78F6}"/>
    <cellStyle name="20% - Accent4 15 2 2" xfId="4718" xr:uid="{88A01008-34CD-494F-8003-C7C59D0E47C0}"/>
    <cellStyle name="20% - Accent4 15 2 2 2" xfId="36112" xr:uid="{B7BE481E-CA3E-4853-BD3A-61C46009D194}"/>
    <cellStyle name="20% - Accent4 15 2 3" xfId="36113" xr:uid="{BF083220-5A53-4103-B3D1-48F5455B59DD}"/>
    <cellStyle name="20% - Accent4 15 3" xfId="4719" xr:uid="{3130C7D0-6506-498F-AEB4-0EA035AA3F3D}"/>
    <cellStyle name="20% - Accent4 15 3 2" xfId="36114" xr:uid="{7BD4D660-C5A2-4A10-8773-DEFF63E2116E}"/>
    <cellStyle name="20% - Accent4 15 4" xfId="36115" xr:uid="{2B0EF779-FB1D-4ED4-BF1F-5C1F4CCEA97B}"/>
    <cellStyle name="20% - Accent4 15 5" xfId="36116" xr:uid="{11354EDD-618E-4EB3-B5D9-8F9CF292EB48}"/>
    <cellStyle name="20% - Accent4 15 6" xfId="36117" xr:uid="{C2D7184B-FAC1-44BD-8D5F-3DC455BF705B}"/>
    <cellStyle name="20% - Accent4 150" xfId="4720" xr:uid="{20901FFD-8D0E-48CD-8584-DCA4ED4929C0}"/>
    <cellStyle name="20% - Accent4 151" xfId="4721" xr:uid="{34833EE2-5DA5-4A52-A569-4AED8F64825E}"/>
    <cellStyle name="20% - Accent4 152" xfId="4722" xr:uid="{BF3B700C-00DF-4B28-8190-034BEF094D67}"/>
    <cellStyle name="20% - Accent4 153" xfId="4723" xr:uid="{1D5EB34D-4B86-4E47-9586-A79AA83BC20A}"/>
    <cellStyle name="20% - Accent4 154" xfId="4724" xr:uid="{4CA946E9-BC9D-45BB-81C7-3B54BB0F56A1}"/>
    <cellStyle name="20% - Accent4 155" xfId="4725" xr:uid="{AA33D615-3DD5-45AC-851C-EA0B90C22A7F}"/>
    <cellStyle name="20% - Accent4 156" xfId="4726" xr:uid="{31E8A5B9-B759-48D1-A46A-2DD692D0F647}"/>
    <cellStyle name="20% - Accent4 157" xfId="4727" xr:uid="{AFB993D0-0C72-4716-A982-4280F7598249}"/>
    <cellStyle name="20% - Accent4 158" xfId="4728" xr:uid="{A5710171-FA31-41CF-9245-E8699B7AF00F}"/>
    <cellStyle name="20% - Accent4 159" xfId="4729" xr:uid="{8B314F33-F281-4A8B-BED1-BD3F63841887}"/>
    <cellStyle name="20% - Accent4 16" xfId="4730" xr:uid="{315E6A87-9B83-4F08-991E-6249278E1F2A}"/>
    <cellStyle name="20% - Accent4 16 2" xfId="4731" xr:uid="{32F45A0A-1619-4E6C-BA10-8501C82254B7}"/>
    <cellStyle name="20% - Accent4 16 2 2" xfId="4732" xr:uid="{3C75814E-A4FC-4735-9F53-F99DD72BB46E}"/>
    <cellStyle name="20% - Accent4 16 2 2 2" xfId="36118" xr:uid="{38C77200-89B7-4697-86CB-190FBB2E9C44}"/>
    <cellStyle name="20% - Accent4 16 2 3" xfId="36119" xr:uid="{34BF59C5-F28A-438C-85C2-8018C47C1BF4}"/>
    <cellStyle name="20% - Accent4 16 3" xfId="4733" xr:uid="{DA73C559-DAD0-46F8-876B-720B3F01BAA5}"/>
    <cellStyle name="20% - Accent4 16 3 2" xfId="36120" xr:uid="{2495CE63-831B-4A9C-ADD9-DABA7719A9C6}"/>
    <cellStyle name="20% - Accent4 16 4" xfId="36121" xr:uid="{E2BCE67C-8FE7-4812-AA86-3706FC6C6B15}"/>
    <cellStyle name="20% - Accent4 16 5" xfId="36122" xr:uid="{A646CE8F-5E02-4645-8E74-16B6FAFA45FF}"/>
    <cellStyle name="20% - Accent4 16 6" xfId="36123" xr:uid="{56D212B5-EE9E-4CB5-87E5-F58DC46CB800}"/>
    <cellStyle name="20% - Accent4 160" xfId="4734" xr:uid="{DA89A583-F0B4-48F8-987F-E19912FA4DA4}"/>
    <cellStyle name="20% - Accent4 17" xfId="4735" xr:uid="{60ED7E1C-EB87-45AE-8243-7DE8109E9ABB}"/>
    <cellStyle name="20% - Accent4 17 2" xfId="4736" xr:uid="{D2BE19A3-A8D6-4642-9B8F-A4D0B82138CE}"/>
    <cellStyle name="20% - Accent4 17 2 2" xfId="4737" xr:uid="{89E828F3-F72E-4F4E-9366-9A794C630925}"/>
    <cellStyle name="20% - Accent4 17 2 2 2" xfId="36124" xr:uid="{C738C557-21AD-4A57-90D2-6C94A57F9EE4}"/>
    <cellStyle name="20% - Accent4 17 2 3" xfId="36125" xr:uid="{5F9F04CE-F8FA-444E-BCA2-F11BB61A46DB}"/>
    <cellStyle name="20% - Accent4 17 3" xfId="4738" xr:uid="{93A5E5E9-0FE1-410B-96B0-B85F4478E58A}"/>
    <cellStyle name="20% - Accent4 17 3 2" xfId="36126" xr:uid="{7D8A79C6-ACCF-4719-9C21-B942364B4416}"/>
    <cellStyle name="20% - Accent4 17 4" xfId="36127" xr:uid="{377EA418-C2D0-4CCC-87FF-65A5FBC5CF8E}"/>
    <cellStyle name="20% - Accent4 17 5" xfId="36128" xr:uid="{663470CC-53F7-4402-AE47-1311D9D77D64}"/>
    <cellStyle name="20% - Accent4 17 6" xfId="36129" xr:uid="{A18D0060-EEFC-47C3-9C80-BB77630C114E}"/>
    <cellStyle name="20% - Accent4 18" xfId="4739" xr:uid="{560E7867-23DA-4A80-8C5C-D940AFAE8E54}"/>
    <cellStyle name="20% - Accent4 18 2" xfId="4740" xr:uid="{436B4C86-15CA-47A6-99E8-3CC1F8917FE6}"/>
    <cellStyle name="20% - Accent4 18 2 2" xfId="4741" xr:uid="{1420CF84-6B27-44AD-95F5-51C731ED7C54}"/>
    <cellStyle name="20% - Accent4 18 2 2 2" xfId="36130" xr:uid="{A4942F09-A51E-499C-A43D-9FEC1B4408AD}"/>
    <cellStyle name="20% - Accent4 18 2 3" xfId="36131" xr:uid="{AE286CD9-D61E-474A-9327-A155B2B64B60}"/>
    <cellStyle name="20% - Accent4 18 3" xfId="4742" xr:uid="{7E48EEC1-6789-4A22-BC76-37FC80DD7E29}"/>
    <cellStyle name="20% - Accent4 18 3 2" xfId="36132" xr:uid="{71B319A6-84E1-4818-A46A-1D8E4E90D65A}"/>
    <cellStyle name="20% - Accent4 18 4" xfId="36133" xr:uid="{82723C3C-0FC5-4B2E-B755-028F43A9BF2A}"/>
    <cellStyle name="20% - Accent4 18 5" xfId="36134" xr:uid="{CB0DADA8-A2EF-4D89-8366-C32EF6ABE512}"/>
    <cellStyle name="20% - Accent4 18 6" xfId="36135" xr:uid="{6A6A1F0F-50E6-48D0-8BED-81229C1452AD}"/>
    <cellStyle name="20% - Accent4 19" xfId="4743" xr:uid="{2A470182-85AF-4CA4-98F8-B8B29E094F26}"/>
    <cellStyle name="20% - Accent4 19 2" xfId="4744" xr:uid="{F2767DA6-50E6-4C29-B703-B794FA7CB303}"/>
    <cellStyle name="20% - Accent4 19 2 2" xfId="36136" xr:uid="{DDD254E6-6645-4DD2-84BE-58B550C15F6C}"/>
    <cellStyle name="20% - Accent4 19 3" xfId="36137" xr:uid="{5B447682-6E26-48B1-BEF8-8D3ED697A314}"/>
    <cellStyle name="20% - Accent4 19 4" xfId="36138" xr:uid="{1F955BDC-1D50-4FB5-A7F6-3FE341180264}"/>
    <cellStyle name="20% - Accent4 19 5" xfId="36139" xr:uid="{347B82CB-F306-45FD-87C0-B988E88E78AE}"/>
    <cellStyle name="20% - Accent4 2" xfId="4745" xr:uid="{EE104694-81E5-4CEB-8604-3D568AEFD65A}"/>
    <cellStyle name="20% - Accent4 2 2" xfId="4746" xr:uid="{AF17D05A-44C3-42D8-BB48-BB57D979854D}"/>
    <cellStyle name="20% - Accent4 2 2 2" xfId="4747" xr:uid="{15807EDE-793D-40C2-AC1F-F5A6B36F94FE}"/>
    <cellStyle name="20% - Accent4 2 2 2 2" xfId="36140" xr:uid="{89C42372-35BE-4994-B0E3-B566F48AE296}"/>
    <cellStyle name="20% - Accent4 2 2 3" xfId="36141" xr:uid="{98593157-6E00-4EE7-A514-244BDEDAE5C0}"/>
    <cellStyle name="20% - Accent4 2 2 4" xfId="36142" xr:uid="{67C5E0E5-9A87-4516-BBE4-4766C60E2DA5}"/>
    <cellStyle name="20% - Accent4 2 3" xfId="4748" xr:uid="{983E4887-0AC2-4C38-A831-E0B5B5D15BEE}"/>
    <cellStyle name="20% - Accent4 2 3 2" xfId="36143" xr:uid="{55621AB2-38EE-49E3-BF3D-46897796CCC1}"/>
    <cellStyle name="20% - Accent4 2 3 3" xfId="36144" xr:uid="{A837462E-8CEF-42A5-88BA-52224A40B526}"/>
    <cellStyle name="20% - Accent4 2 3 4" xfId="36145" xr:uid="{19C487D5-7C3A-441C-903B-2ED5C3AF05F1}"/>
    <cellStyle name="20% - Accent4 2 4" xfId="4749" xr:uid="{91E71607-4CE0-4D6D-B265-B03522A859DE}"/>
    <cellStyle name="20% - Accent4 2 4 2" xfId="36146" xr:uid="{CFE59232-1E99-4943-AB2D-A1D370173C04}"/>
    <cellStyle name="20% - Accent4 2 5" xfId="36147" xr:uid="{8DF6D97D-CF23-4D19-A5CC-3D9C84991331}"/>
    <cellStyle name="20% - Accent4 2 6" xfId="36148" xr:uid="{2F91BB3F-77A5-4C70-9469-CEEA491852A8}"/>
    <cellStyle name="20% - Accent4 2_Jun 11 details" xfId="4750" xr:uid="{43E3977A-55E0-4204-B287-4A6DEFAD077D}"/>
    <cellStyle name="20% - Accent4 20" xfId="4751" xr:uid="{C0CB0E54-4DC9-4CFD-8106-9F9FF9C7A3AC}"/>
    <cellStyle name="20% - Accent4 20 2" xfId="36149" xr:uid="{7730F868-A135-428A-A2C7-D5C67A9AF2FE}"/>
    <cellStyle name="20% - Accent4 20 3" xfId="36150" xr:uid="{01B5469A-264F-4CF7-B464-E1DCFE6AE4BB}"/>
    <cellStyle name="20% - Accent4 20 4" xfId="36151" xr:uid="{9EFC38DD-E3E8-4791-80E3-5825447B04C6}"/>
    <cellStyle name="20% - Accent4 21" xfId="4752" xr:uid="{03760C90-EA08-434F-AC56-C80A332EA6E5}"/>
    <cellStyle name="20% - Accent4 21 2" xfId="36152" xr:uid="{7B064DD1-22D0-4FC2-9FD8-33AE31F174CE}"/>
    <cellStyle name="20% - Accent4 21 3" xfId="36153" xr:uid="{54815378-24D8-4E34-B8E5-A3D5339215C8}"/>
    <cellStyle name="20% - Accent4 22" xfId="4753" xr:uid="{392D2B05-E63D-49D2-ADD2-81321705DFAC}"/>
    <cellStyle name="20% - Accent4 22 2" xfId="36154" xr:uid="{FB44726D-F9F6-4B22-BCFB-D012406339B5}"/>
    <cellStyle name="20% - Accent4 22 3" xfId="36155" xr:uid="{71D9C2BC-043F-47B8-9F0E-9A017AE3083D}"/>
    <cellStyle name="20% - Accent4 23" xfId="4754" xr:uid="{8FA0DC7C-53BA-4238-A1EA-48C1C401ABEE}"/>
    <cellStyle name="20% - Accent4 23 2" xfId="36156" xr:uid="{5B84F5BC-C5D5-4C69-B520-A1D1EACF6EE4}"/>
    <cellStyle name="20% - Accent4 24" xfId="4755" xr:uid="{81F832F6-18B8-416E-BE70-907248C16EC5}"/>
    <cellStyle name="20% - Accent4 24 2" xfId="36157" xr:uid="{04FEE84F-7A70-4F3D-A40D-705B678C1FF0}"/>
    <cellStyle name="20% - Accent4 25" xfId="4756" xr:uid="{9DE094DF-4B91-4529-A574-BC8196A205F7}"/>
    <cellStyle name="20% - Accent4 25 2" xfId="36158" xr:uid="{9D9AE84C-7C76-4A74-B102-ECD433D09D22}"/>
    <cellStyle name="20% - Accent4 26" xfId="4757" xr:uid="{D1CD52D2-03C3-40A8-9EA8-7581E99E73DA}"/>
    <cellStyle name="20% - Accent4 26 2" xfId="36159" xr:uid="{B72F4AD9-5AFE-4319-9982-BE9654A847D3}"/>
    <cellStyle name="20% - Accent4 27" xfId="4758" xr:uid="{63B334D2-FED7-472A-933A-7ED6D6FA169B}"/>
    <cellStyle name="20% - Accent4 27 2" xfId="36160" xr:uid="{827B19F5-155D-4D2B-A874-6920632BB630}"/>
    <cellStyle name="20% - Accent4 28" xfId="4759" xr:uid="{96360CE0-97AF-4DD8-B524-E0BF213DA075}"/>
    <cellStyle name="20% - Accent4 28 10" xfId="4760" xr:uid="{DD2AF446-8653-469A-BD68-DD79BA6A24BF}"/>
    <cellStyle name="20% - Accent4 28 10 2" xfId="4761" xr:uid="{A8CCE0E9-740F-4BBD-97E6-ED43AB68AEEE}"/>
    <cellStyle name="20% - Accent4 28 10 2 2" xfId="4762" xr:uid="{1504939C-A13A-4CC0-967D-F22316DF9A31}"/>
    <cellStyle name="20% - Accent4 28 10 2 2 2" xfId="4763" xr:uid="{D2256005-6A11-4A3D-99BC-B28D496406B3}"/>
    <cellStyle name="20% - Accent4 28 10 2 2 2 2" xfId="4764" xr:uid="{C841BD5B-B6A6-4A57-A1DB-E179043B69CC}"/>
    <cellStyle name="20% - Accent4 28 10 2 2 3" xfId="4765" xr:uid="{CD71C81B-8C4B-4782-9F47-53EDFCA0A790}"/>
    <cellStyle name="20% - Accent4 28 10 2 3" xfId="4766" xr:uid="{2CB5D2A4-B952-4976-A91C-3BB895CC2C3B}"/>
    <cellStyle name="20% - Accent4 28 10 2 3 2" xfId="4767" xr:uid="{871ECD89-0A64-4381-87C2-06D08339D780}"/>
    <cellStyle name="20% - Accent4 28 10 2 3 2 2" xfId="4768" xr:uid="{82F11CC6-071D-4C10-8905-FF340CF4D706}"/>
    <cellStyle name="20% - Accent4 28 10 2 3 3" xfId="4769" xr:uid="{AF8CB963-16A4-4E6B-88BC-DD3F26EA892F}"/>
    <cellStyle name="20% - Accent4 28 10 2 4" xfId="4770" xr:uid="{4FAAD6D8-00D7-46A7-A956-62638A5E0E18}"/>
    <cellStyle name="20% - Accent4 28 10 2 4 2" xfId="4771" xr:uid="{EECB14A1-A5A6-4F8C-B043-421E2ED3CA49}"/>
    <cellStyle name="20% - Accent4 28 10 2 5" xfId="4772" xr:uid="{46D9A259-3555-49E8-8099-6943FC060D5D}"/>
    <cellStyle name="20% - Accent4 28 10 3" xfId="4773" xr:uid="{442E73F4-2727-4325-B82C-3E7908723AE4}"/>
    <cellStyle name="20% - Accent4 28 10 3 2" xfId="4774" xr:uid="{B2A7E672-74F9-4D46-B846-E4A09E2117B8}"/>
    <cellStyle name="20% - Accent4 28 10 3 2 2" xfId="4775" xr:uid="{5F3B2E1C-4905-4D5F-B3E8-8C8C3528ACA6}"/>
    <cellStyle name="20% - Accent4 28 10 3 3" xfId="4776" xr:uid="{EF329A32-8C12-4597-A01C-7855542D16A0}"/>
    <cellStyle name="20% - Accent4 28 10 4" xfId="4777" xr:uid="{10DCDAC6-1FB4-43E5-8F91-EB4A5B34BD6D}"/>
    <cellStyle name="20% - Accent4 28 10 4 2" xfId="4778" xr:uid="{D61BD3C3-299A-4EEC-8024-5A2895347C31}"/>
    <cellStyle name="20% - Accent4 28 10 4 2 2" xfId="4779" xr:uid="{71B28B4D-12A2-4AD9-A46B-C93D955CCB06}"/>
    <cellStyle name="20% - Accent4 28 10 4 3" xfId="4780" xr:uid="{D339E1D9-B7BA-4479-A2A5-8F553315E801}"/>
    <cellStyle name="20% - Accent4 28 10 5" xfId="4781" xr:uid="{4FC938D9-F61A-4310-8DB0-FB20048CD597}"/>
    <cellStyle name="20% - Accent4 28 10 5 2" xfId="4782" xr:uid="{AE9D0ACD-261F-4DB1-88C3-E55CBA2E9A6D}"/>
    <cellStyle name="20% - Accent4 28 10 6" xfId="4783" xr:uid="{3D61509F-036E-41DE-AD66-F20CFA49D695}"/>
    <cellStyle name="20% - Accent4 28 11" xfId="4784" xr:uid="{C8476104-0923-40FE-94B7-B6519E592939}"/>
    <cellStyle name="20% - Accent4 28 11 2" xfId="4785" xr:uid="{A5801B13-86F4-47D2-BCE0-894F956AF6C1}"/>
    <cellStyle name="20% - Accent4 28 11 2 2" xfId="4786" xr:uid="{CF5F5786-B32B-4578-A3F9-837015543466}"/>
    <cellStyle name="20% - Accent4 28 11 2 2 2" xfId="4787" xr:uid="{F1274BCD-624C-4137-AFA6-BFC67F338158}"/>
    <cellStyle name="20% - Accent4 28 11 2 3" xfId="4788" xr:uid="{80B8A056-8F14-45EC-94F7-4AE4BC8366F0}"/>
    <cellStyle name="20% - Accent4 28 11 3" xfId="4789" xr:uid="{B732292C-C32C-4115-B716-D1A04C0BAA43}"/>
    <cellStyle name="20% - Accent4 28 11 3 2" xfId="4790" xr:uid="{7A9603B1-7337-4E4E-99B9-55CF0081DD66}"/>
    <cellStyle name="20% - Accent4 28 11 3 2 2" xfId="4791" xr:uid="{04AB3CE5-4C5F-4BA8-87C0-75DBB44CA6AC}"/>
    <cellStyle name="20% - Accent4 28 11 3 3" xfId="4792" xr:uid="{B78AC386-BA89-441D-AD7E-711ACD18F9AE}"/>
    <cellStyle name="20% - Accent4 28 11 4" xfId="4793" xr:uid="{B006BC8D-4483-4646-93E8-1CA3455BDACF}"/>
    <cellStyle name="20% - Accent4 28 11 4 2" xfId="4794" xr:uid="{1BBF985D-A1B6-4873-9FA4-F4A8BCC9777C}"/>
    <cellStyle name="20% - Accent4 28 11 5" xfId="4795" xr:uid="{DA21C17F-C2B0-4604-8FDE-6ACB6AC88E14}"/>
    <cellStyle name="20% - Accent4 28 12" xfId="4796" xr:uid="{CE7D0AD9-DF84-427F-89B6-96AC35D0A0C7}"/>
    <cellStyle name="20% - Accent4 28 12 2" xfId="4797" xr:uid="{0F7568AD-CA47-4FAD-8A27-13C33C0F3402}"/>
    <cellStyle name="20% - Accent4 28 12 2 2" xfId="4798" xr:uid="{F3EDB3AE-B99C-472D-BE30-FBADB6BBD620}"/>
    <cellStyle name="20% - Accent4 28 12 3" xfId="4799" xr:uid="{1E974289-1E60-4657-8FCD-A97D0765CB45}"/>
    <cellStyle name="20% - Accent4 28 13" xfId="4800" xr:uid="{EFC75E82-558E-4631-8FFE-23B61562BA06}"/>
    <cellStyle name="20% - Accent4 28 13 2" xfId="4801" xr:uid="{F6DC52D1-C62B-40CC-BD82-D52C31C83046}"/>
    <cellStyle name="20% - Accent4 28 13 2 2" xfId="4802" xr:uid="{CE1BB359-9C60-4F6D-9E5D-DA104B821D75}"/>
    <cellStyle name="20% - Accent4 28 13 3" xfId="4803" xr:uid="{02AF7470-1249-4799-9A56-1B74B4CEBC20}"/>
    <cellStyle name="20% - Accent4 28 14" xfId="4804" xr:uid="{33FDF1F5-77AA-4918-8513-1C756044155C}"/>
    <cellStyle name="20% - Accent4 28 14 2" xfId="4805" xr:uid="{27964829-D7FF-4B77-8194-19C38B58896E}"/>
    <cellStyle name="20% - Accent4 28 15" xfId="4806" xr:uid="{CE010049-94AE-4494-94B6-F4B779B46B13}"/>
    <cellStyle name="20% - Accent4 28 16" xfId="36161" xr:uid="{B37B35DA-75E9-417E-B33C-AE71D2960B16}"/>
    <cellStyle name="20% - Accent4 28 2" xfId="4807" xr:uid="{7C5B67FF-FFDE-4959-A841-6538697A81A7}"/>
    <cellStyle name="20% - Accent4 28 2 2" xfId="4808" xr:uid="{426FF25C-6E53-4645-8DD5-3BFDC558B60D}"/>
    <cellStyle name="20% - Accent4 28 2 2 2" xfId="4809" xr:uid="{0680A5CC-AE08-4918-8776-F994820F3807}"/>
    <cellStyle name="20% - Accent4 28 2 2 2 2" xfId="4810" xr:uid="{75DF39E0-A7B8-4092-BE82-922F67F1F88A}"/>
    <cellStyle name="20% - Accent4 28 2 2 2 2 2" xfId="4811" xr:uid="{79279FAF-FD5B-4F53-B865-E3878136E6E7}"/>
    <cellStyle name="20% - Accent4 28 2 2 2 3" xfId="4812" xr:uid="{AF98B0C8-F515-46D8-9C4D-4CA4FBCAB1AC}"/>
    <cellStyle name="20% - Accent4 28 2 2 3" xfId="4813" xr:uid="{4BBE7858-1B21-4297-93B3-FC5E1091CD83}"/>
    <cellStyle name="20% - Accent4 28 2 2 3 2" xfId="4814" xr:uid="{7152FC52-8C38-4F6F-95B3-BB2202181D3C}"/>
    <cellStyle name="20% - Accent4 28 2 2 3 2 2" xfId="4815" xr:uid="{C3EE1B79-B12B-4DB9-A3C8-34CF314D79CA}"/>
    <cellStyle name="20% - Accent4 28 2 2 3 3" xfId="4816" xr:uid="{D58A10CD-DA40-46B6-9D06-1D246D8177EC}"/>
    <cellStyle name="20% - Accent4 28 2 2 4" xfId="4817" xr:uid="{CB1DB34F-A3A9-4501-892F-99F4331B106A}"/>
    <cellStyle name="20% - Accent4 28 2 2 4 2" xfId="4818" xr:uid="{2F0B1648-B16D-47D0-B672-FDEB7AFDCF60}"/>
    <cellStyle name="20% - Accent4 28 2 2 5" xfId="4819" xr:uid="{870AD54D-26CD-416C-BBB6-F664F0955CED}"/>
    <cellStyle name="20% - Accent4 28 2 3" xfId="4820" xr:uid="{1EF97B11-AB69-4581-9A12-8E54F17CF03A}"/>
    <cellStyle name="20% - Accent4 28 2 3 2" xfId="4821" xr:uid="{95CD2F3A-DD88-4A30-B11D-2E0B2BAC2C2F}"/>
    <cellStyle name="20% - Accent4 28 2 3 2 2" xfId="4822" xr:uid="{02276F9F-238A-4E03-95DA-2A19EEB86911}"/>
    <cellStyle name="20% - Accent4 28 2 3 3" xfId="4823" xr:uid="{DEFD4520-7D23-4131-872A-F558B12CF043}"/>
    <cellStyle name="20% - Accent4 28 2 4" xfId="4824" xr:uid="{4B4E3A72-C288-4469-909B-F113073144EC}"/>
    <cellStyle name="20% - Accent4 28 2 4 2" xfId="4825" xr:uid="{431A2222-6009-47DA-BF15-0301657F7B60}"/>
    <cellStyle name="20% - Accent4 28 2 4 2 2" xfId="4826" xr:uid="{EBA0F53A-87FA-4C2E-8D9A-460EC75EF011}"/>
    <cellStyle name="20% - Accent4 28 2 4 3" xfId="4827" xr:uid="{03FB8E9F-1C5D-4572-8576-4CB1688DB2FE}"/>
    <cellStyle name="20% - Accent4 28 2 5" xfId="4828" xr:uid="{27D3604E-D0EA-4E1E-B7DD-F7B2744B9C52}"/>
    <cellStyle name="20% - Accent4 28 2 5 2" xfId="4829" xr:uid="{03A9C833-551C-4611-9171-7A56D039F8C6}"/>
    <cellStyle name="20% - Accent4 28 2 6" xfId="4830" xr:uid="{E23C1C93-1317-409F-98EE-6FB6A8940808}"/>
    <cellStyle name="20% - Accent4 28 3" xfId="4831" xr:uid="{618C7481-58ED-491D-9169-E46EC04D48CA}"/>
    <cellStyle name="20% - Accent4 28 3 2" xfId="4832" xr:uid="{320991D8-6CC2-41B1-9726-379F0E53AD9D}"/>
    <cellStyle name="20% - Accent4 28 3 2 2" xfId="4833" xr:uid="{86224E1C-DBB2-444A-87E8-894D8B65C25E}"/>
    <cellStyle name="20% - Accent4 28 3 2 2 2" xfId="4834" xr:uid="{E45AE39A-3D55-4F96-813E-DC43FBAB76D9}"/>
    <cellStyle name="20% - Accent4 28 3 2 2 2 2" xfId="4835" xr:uid="{9462F070-C8A1-47B3-9F4C-97E1818CD84F}"/>
    <cellStyle name="20% - Accent4 28 3 2 2 3" xfId="4836" xr:uid="{8DA9E5E4-F417-4347-9D19-37797FC3CA70}"/>
    <cellStyle name="20% - Accent4 28 3 2 3" xfId="4837" xr:uid="{3B014EEA-9A87-431C-A963-8D612EF30E61}"/>
    <cellStyle name="20% - Accent4 28 3 2 3 2" xfId="4838" xr:uid="{2AC1C400-D747-480A-B853-685BFF000210}"/>
    <cellStyle name="20% - Accent4 28 3 2 3 2 2" xfId="4839" xr:uid="{3B69AF8F-D331-4071-A4E6-F74C2A7B8E59}"/>
    <cellStyle name="20% - Accent4 28 3 2 3 3" xfId="4840" xr:uid="{3FA52CD3-A9ED-4CF5-BDD8-01F6A0A21560}"/>
    <cellStyle name="20% - Accent4 28 3 2 4" xfId="4841" xr:uid="{22FC644D-BFC5-46C5-B83F-9FE328286C8D}"/>
    <cellStyle name="20% - Accent4 28 3 2 4 2" xfId="4842" xr:uid="{96CEF7D4-B3A7-40E0-A89E-2BBA4552D747}"/>
    <cellStyle name="20% - Accent4 28 3 2 5" xfId="4843" xr:uid="{CA725924-F50D-4170-8A8C-3B63F497ED3B}"/>
    <cellStyle name="20% - Accent4 28 3 3" xfId="4844" xr:uid="{6FC367D9-9B09-4C8F-A2D1-7C9FD130707C}"/>
    <cellStyle name="20% - Accent4 28 3 3 2" xfId="4845" xr:uid="{D3893334-B0B3-4FF8-B832-6FD077AF0A2B}"/>
    <cellStyle name="20% - Accent4 28 3 3 2 2" xfId="4846" xr:uid="{0B071295-D219-4A26-AFFE-560E616C5A9B}"/>
    <cellStyle name="20% - Accent4 28 3 3 3" xfId="4847" xr:uid="{1952DA6E-D230-4BD8-ACE1-4E8F3AF5FD49}"/>
    <cellStyle name="20% - Accent4 28 3 4" xfId="4848" xr:uid="{C58AE552-2CD8-4B87-B7FD-FBC88617172E}"/>
    <cellStyle name="20% - Accent4 28 3 4 2" xfId="4849" xr:uid="{E27C5870-824B-4FF0-9FAA-38578BAD2491}"/>
    <cellStyle name="20% - Accent4 28 3 4 2 2" xfId="4850" xr:uid="{5BF0AC48-F030-41F2-B860-7D09B4C61CEC}"/>
    <cellStyle name="20% - Accent4 28 3 4 3" xfId="4851" xr:uid="{74923B6F-2860-426A-916D-FE5E5EDB4AE9}"/>
    <cellStyle name="20% - Accent4 28 3 5" xfId="4852" xr:uid="{ECE34795-AB5F-426C-BF2E-8EBA979A8F8F}"/>
    <cellStyle name="20% - Accent4 28 3 5 2" xfId="4853" xr:uid="{59A183F6-5B6E-4ED5-BE93-4E932DFB93C5}"/>
    <cellStyle name="20% - Accent4 28 3 6" xfId="4854" xr:uid="{BAE733F6-1674-4196-A139-DC315FBC2CE8}"/>
    <cellStyle name="20% - Accent4 28 4" xfId="4855" xr:uid="{CBDC1B8F-6293-46D6-AAC6-2CBEA432CFA8}"/>
    <cellStyle name="20% - Accent4 28 4 2" xfId="4856" xr:uid="{6E7D0F4B-4356-4A16-BB3A-382D0B819ED0}"/>
    <cellStyle name="20% - Accent4 28 4 2 2" xfId="4857" xr:uid="{803005BC-F6B5-46AB-AEBF-2F0E3C3D3C9C}"/>
    <cellStyle name="20% - Accent4 28 4 2 2 2" xfId="4858" xr:uid="{F83FA230-B9A4-4965-8AF2-8FA66695A5C6}"/>
    <cellStyle name="20% - Accent4 28 4 2 2 2 2" xfId="4859" xr:uid="{DE7C021E-1187-4DC3-8E57-65E9CFBAC890}"/>
    <cellStyle name="20% - Accent4 28 4 2 2 3" xfId="4860" xr:uid="{7BB77F19-8090-4656-8E36-087BE03C9DD6}"/>
    <cellStyle name="20% - Accent4 28 4 2 3" xfId="4861" xr:uid="{AC9277F1-D77C-4913-9593-2F8EEAE1A623}"/>
    <cellStyle name="20% - Accent4 28 4 2 3 2" xfId="4862" xr:uid="{7655AFCF-B9A1-4E31-9EB9-16055B4B26C0}"/>
    <cellStyle name="20% - Accent4 28 4 2 3 2 2" xfId="4863" xr:uid="{E0C8F8CE-BB45-43D1-A5B1-24293766C579}"/>
    <cellStyle name="20% - Accent4 28 4 2 3 3" xfId="4864" xr:uid="{3F32E9D3-712D-4C7E-8516-253886092F45}"/>
    <cellStyle name="20% - Accent4 28 4 2 4" xfId="4865" xr:uid="{54C26489-D6CA-4DBF-BF94-CDA59E2F1F26}"/>
    <cellStyle name="20% - Accent4 28 4 2 4 2" xfId="4866" xr:uid="{1782371D-0DAD-42B7-ADD2-0F262E295BC6}"/>
    <cellStyle name="20% - Accent4 28 4 2 5" xfId="4867" xr:uid="{BE9621C9-800B-48B7-82D8-1291E189251C}"/>
    <cellStyle name="20% - Accent4 28 4 3" xfId="4868" xr:uid="{453BA56D-ED6A-4015-A949-CA045036C998}"/>
    <cellStyle name="20% - Accent4 28 4 3 2" xfId="4869" xr:uid="{C1003BFC-0B76-48C5-9C96-1EA012F51F50}"/>
    <cellStyle name="20% - Accent4 28 4 3 2 2" xfId="4870" xr:uid="{A2AB03A8-BE66-4C45-B405-64C192D4B077}"/>
    <cellStyle name="20% - Accent4 28 4 3 3" xfId="4871" xr:uid="{EF041483-6AAB-441D-832D-B982CF7B2A83}"/>
    <cellStyle name="20% - Accent4 28 4 4" xfId="4872" xr:uid="{1BD9E540-3396-4F00-8246-F98C96BEA40E}"/>
    <cellStyle name="20% - Accent4 28 4 4 2" xfId="4873" xr:uid="{7E61E096-A23F-456A-92CF-2C6E217AE1A7}"/>
    <cellStyle name="20% - Accent4 28 4 4 2 2" xfId="4874" xr:uid="{66D1FF25-6F0E-4A37-AC2C-19BD561110F1}"/>
    <cellStyle name="20% - Accent4 28 4 4 3" xfId="4875" xr:uid="{C3E2610C-4330-4E0B-B2EC-A00B3DBCD2B2}"/>
    <cellStyle name="20% - Accent4 28 4 5" xfId="4876" xr:uid="{9D1F0033-6866-490E-9C89-0CFE43A8C238}"/>
    <cellStyle name="20% - Accent4 28 4 5 2" xfId="4877" xr:uid="{D1FD9F5A-B583-4712-9759-28C32FAA519E}"/>
    <cellStyle name="20% - Accent4 28 4 6" xfId="4878" xr:uid="{CA0E7EA7-E278-4DAD-9199-4A74D2A5E1B1}"/>
    <cellStyle name="20% - Accent4 28 5" xfId="4879" xr:uid="{60F7A2FD-A270-44BF-915C-F50790E10E85}"/>
    <cellStyle name="20% - Accent4 28 5 2" xfId="4880" xr:uid="{EB0333E0-2369-42EE-899A-A4C2B5A780F3}"/>
    <cellStyle name="20% - Accent4 28 5 2 2" xfId="4881" xr:uid="{8C685CE3-B48B-4BC4-AA2C-8529B35E28D8}"/>
    <cellStyle name="20% - Accent4 28 5 2 2 2" xfId="4882" xr:uid="{EAA02A9F-9E06-402A-95EC-44441BD3BE0A}"/>
    <cellStyle name="20% - Accent4 28 5 2 2 2 2" xfId="4883" xr:uid="{8D70C387-4C34-4A49-AC94-09B1CA95E363}"/>
    <cellStyle name="20% - Accent4 28 5 2 2 3" xfId="4884" xr:uid="{22406747-528A-49AA-AED8-5255430D59E9}"/>
    <cellStyle name="20% - Accent4 28 5 2 3" xfId="4885" xr:uid="{9C288DF3-ED36-4D4E-A024-1100AE84C5D2}"/>
    <cellStyle name="20% - Accent4 28 5 2 3 2" xfId="4886" xr:uid="{36B7B76C-7219-4F9D-964A-573CF3E7B7BA}"/>
    <cellStyle name="20% - Accent4 28 5 2 3 2 2" xfId="4887" xr:uid="{3D993C97-E76A-4CCA-A8AA-F4AFA4EE15DD}"/>
    <cellStyle name="20% - Accent4 28 5 2 3 3" xfId="4888" xr:uid="{B5BCD336-55B7-433F-8D5F-37033414BE08}"/>
    <cellStyle name="20% - Accent4 28 5 2 4" xfId="4889" xr:uid="{63E75046-1205-4A65-8C33-FB4054B9AD75}"/>
    <cellStyle name="20% - Accent4 28 5 2 4 2" xfId="4890" xr:uid="{F7C17CDA-730F-43F2-BF33-D8CEB954790F}"/>
    <cellStyle name="20% - Accent4 28 5 2 5" xfId="4891" xr:uid="{875D10C3-BDDE-49EE-9C0E-8240D855D76D}"/>
    <cellStyle name="20% - Accent4 28 5 3" xfId="4892" xr:uid="{AA85C861-440C-4F9C-B6BA-B1A2BC3269D3}"/>
    <cellStyle name="20% - Accent4 28 5 3 2" xfId="4893" xr:uid="{547BE426-4D40-4350-A6A0-4DE028BA9E6F}"/>
    <cellStyle name="20% - Accent4 28 5 3 2 2" xfId="4894" xr:uid="{0ED7C9E1-8496-4C6C-B62F-658B69CF2D30}"/>
    <cellStyle name="20% - Accent4 28 5 3 3" xfId="4895" xr:uid="{792AA315-5223-4B0E-A879-F79BF2843A8F}"/>
    <cellStyle name="20% - Accent4 28 5 4" xfId="4896" xr:uid="{35896C8D-8E09-4F39-B343-968F8EEB9100}"/>
    <cellStyle name="20% - Accent4 28 5 4 2" xfId="4897" xr:uid="{D8731706-3D21-4FE1-9FFC-C7A4CADC8335}"/>
    <cellStyle name="20% - Accent4 28 5 4 2 2" xfId="4898" xr:uid="{8AED91A2-144D-485D-AD08-FFF64780CB01}"/>
    <cellStyle name="20% - Accent4 28 5 4 3" xfId="4899" xr:uid="{9D459206-F0CA-4A6C-889F-B0E73E007F77}"/>
    <cellStyle name="20% - Accent4 28 5 5" xfId="4900" xr:uid="{9C1C597C-81D4-4303-9503-9FC5D7259666}"/>
    <cellStyle name="20% - Accent4 28 5 5 2" xfId="4901" xr:uid="{2B76C62D-D6E3-46F1-8982-9A0A71490923}"/>
    <cellStyle name="20% - Accent4 28 5 6" xfId="4902" xr:uid="{DAF0C569-0000-4AB6-8BF1-AC739C873494}"/>
    <cellStyle name="20% - Accent4 28 6" xfId="4903" xr:uid="{02724461-BD65-42FD-9675-D2F77FFE27A6}"/>
    <cellStyle name="20% - Accent4 28 6 2" xfId="4904" xr:uid="{0B6029AE-7B71-4108-BB03-DCB409A0BDA3}"/>
    <cellStyle name="20% - Accent4 28 6 2 2" xfId="4905" xr:uid="{2A3D6A46-0854-4042-AD73-F1ED03FFA2F8}"/>
    <cellStyle name="20% - Accent4 28 6 2 2 2" xfId="4906" xr:uid="{0656911E-CC1D-40AA-B90E-0F6DBB30298E}"/>
    <cellStyle name="20% - Accent4 28 6 2 2 2 2" xfId="4907" xr:uid="{A3D911A1-F20F-4705-B5DE-AA4BC4C77DA7}"/>
    <cellStyle name="20% - Accent4 28 6 2 2 3" xfId="4908" xr:uid="{2C4A7CF3-7423-4D39-B69F-1EDAE7EA31D5}"/>
    <cellStyle name="20% - Accent4 28 6 2 3" xfId="4909" xr:uid="{3B00147C-3EAC-4C8B-AC37-B3D99D4AAE5E}"/>
    <cellStyle name="20% - Accent4 28 6 2 3 2" xfId="4910" xr:uid="{DD3962C2-CE6C-4EE3-BF70-5DEF5D9B6FB6}"/>
    <cellStyle name="20% - Accent4 28 6 2 3 2 2" xfId="4911" xr:uid="{AE9AF253-6465-4F47-96FD-5994BE90ACAB}"/>
    <cellStyle name="20% - Accent4 28 6 2 3 3" xfId="4912" xr:uid="{3F2C7F38-504E-47CD-99AF-CEE48AF2B193}"/>
    <cellStyle name="20% - Accent4 28 6 2 4" xfId="4913" xr:uid="{08B4D6F3-5D8B-4F18-91DD-90C72372B872}"/>
    <cellStyle name="20% - Accent4 28 6 2 4 2" xfId="4914" xr:uid="{34057BD5-2DD1-4247-AA28-E8939A4B57F1}"/>
    <cellStyle name="20% - Accent4 28 6 2 5" xfId="4915" xr:uid="{C2ABC814-1C7E-4535-8C11-304681CD3C82}"/>
    <cellStyle name="20% - Accent4 28 6 3" xfId="4916" xr:uid="{2EA1BF06-73FF-4E4D-8335-E8871251F4E1}"/>
    <cellStyle name="20% - Accent4 28 6 3 2" xfId="4917" xr:uid="{9B17B404-0AD9-41ED-AAC0-4E6D7E3003D2}"/>
    <cellStyle name="20% - Accent4 28 6 3 2 2" xfId="4918" xr:uid="{38016782-48A6-43CF-AB5E-F200E74B58A4}"/>
    <cellStyle name="20% - Accent4 28 6 3 3" xfId="4919" xr:uid="{76FBB335-D34C-4B1F-9E2B-9D61A2958620}"/>
    <cellStyle name="20% - Accent4 28 6 4" xfId="4920" xr:uid="{71F597FC-033E-455F-8CEA-7FAE618363DA}"/>
    <cellStyle name="20% - Accent4 28 6 4 2" xfId="4921" xr:uid="{ECC8F537-67C9-423C-BF27-C190042343B1}"/>
    <cellStyle name="20% - Accent4 28 6 4 2 2" xfId="4922" xr:uid="{DFB8471E-A5FE-4505-97CD-1DFC96FE5AB5}"/>
    <cellStyle name="20% - Accent4 28 6 4 3" xfId="4923" xr:uid="{D8A94658-B88A-4335-BCC1-D6961FC05347}"/>
    <cellStyle name="20% - Accent4 28 6 5" xfId="4924" xr:uid="{1EEAEA00-CA58-4C40-AFA6-9316960D0F89}"/>
    <cellStyle name="20% - Accent4 28 6 5 2" xfId="4925" xr:uid="{3E676EAA-3DA8-46D3-A5EB-D608C39D0145}"/>
    <cellStyle name="20% - Accent4 28 6 6" xfId="4926" xr:uid="{04318386-D0C9-4F4D-9036-4BDDCAC10BBF}"/>
    <cellStyle name="20% - Accent4 28 7" xfId="4927" xr:uid="{C4EEB8D5-0EE8-4F0E-A4FD-AFC7F5D45A01}"/>
    <cellStyle name="20% - Accent4 28 7 2" xfId="4928" xr:uid="{FAAFFEBD-8C7C-4CE8-9803-33422228131B}"/>
    <cellStyle name="20% - Accent4 28 7 2 2" xfId="4929" xr:uid="{2C750A8A-4DDA-4EA5-983F-7C7723B38010}"/>
    <cellStyle name="20% - Accent4 28 7 2 2 2" xfId="4930" xr:uid="{E749AFC1-23D5-49F1-9F1B-797DC7F72E44}"/>
    <cellStyle name="20% - Accent4 28 7 2 2 2 2" xfId="4931" xr:uid="{DCEBF9E2-C654-4104-85ED-0ED29937306A}"/>
    <cellStyle name="20% - Accent4 28 7 2 2 3" xfId="4932" xr:uid="{79B9F5F1-AD0A-4DCC-A8E8-CE1C67434FF8}"/>
    <cellStyle name="20% - Accent4 28 7 2 3" xfId="4933" xr:uid="{1719358F-72BE-43A0-8EEA-936085B3D33E}"/>
    <cellStyle name="20% - Accent4 28 7 2 3 2" xfId="4934" xr:uid="{26107EA4-1253-426B-B987-B560B33529B0}"/>
    <cellStyle name="20% - Accent4 28 7 2 3 2 2" xfId="4935" xr:uid="{B17E497B-4ED3-44FE-AC05-B62B1E464BFB}"/>
    <cellStyle name="20% - Accent4 28 7 2 3 3" xfId="4936" xr:uid="{6B1365BC-C642-4A39-A790-C320352810E8}"/>
    <cellStyle name="20% - Accent4 28 7 2 4" xfId="4937" xr:uid="{49A9496D-C16B-496D-941C-3AF12909BAD7}"/>
    <cellStyle name="20% - Accent4 28 7 2 4 2" xfId="4938" xr:uid="{F2A1D36A-E671-4191-965F-ABA9AD99600F}"/>
    <cellStyle name="20% - Accent4 28 7 2 5" xfId="4939" xr:uid="{F6D3DB4B-D31F-482E-A57A-AF355F822F8F}"/>
    <cellStyle name="20% - Accent4 28 7 3" xfId="4940" xr:uid="{A6579CA6-2D1A-437D-A0F6-50CFC62B9A97}"/>
    <cellStyle name="20% - Accent4 28 7 3 2" xfId="4941" xr:uid="{F3D9B165-509C-4228-905E-DBFEFB45337B}"/>
    <cellStyle name="20% - Accent4 28 7 3 2 2" xfId="4942" xr:uid="{348E0D01-B1BE-4364-9F35-1B12DCEED47F}"/>
    <cellStyle name="20% - Accent4 28 7 3 3" xfId="4943" xr:uid="{FEBC6E65-637B-42FB-9EA4-C5526B121453}"/>
    <cellStyle name="20% - Accent4 28 7 4" xfId="4944" xr:uid="{6DE4E6B2-7BFB-48BE-8636-6AE04238FFD4}"/>
    <cellStyle name="20% - Accent4 28 7 4 2" xfId="4945" xr:uid="{D50AC2E3-02D1-436D-B60F-895EE22216A0}"/>
    <cellStyle name="20% - Accent4 28 7 4 2 2" xfId="4946" xr:uid="{F2ACBF40-241A-4C31-83BD-6A21EFF0EEEE}"/>
    <cellStyle name="20% - Accent4 28 7 4 3" xfId="4947" xr:uid="{D0A2BC27-BD4C-4CA6-A341-5F00C1E37CD2}"/>
    <cellStyle name="20% - Accent4 28 7 5" xfId="4948" xr:uid="{151F9EAE-FA19-47BF-9C13-88F71A7B8BAF}"/>
    <cellStyle name="20% - Accent4 28 7 5 2" xfId="4949" xr:uid="{26107F51-73EA-4572-8F3F-A2C1EEA51FED}"/>
    <cellStyle name="20% - Accent4 28 7 6" xfId="4950" xr:uid="{0BBD6F0B-361E-4E3E-A631-F35A01941B54}"/>
    <cellStyle name="20% - Accent4 28 8" xfId="4951" xr:uid="{E6E193C4-4ECB-4923-BC28-CF3F49E1ACB4}"/>
    <cellStyle name="20% - Accent4 28 8 2" xfId="4952" xr:uid="{AF67C161-40C2-40D9-8F59-010D9B539528}"/>
    <cellStyle name="20% - Accent4 28 8 2 2" xfId="4953" xr:uid="{59DB6D5F-14A7-423C-BEA3-667AE2C02F1E}"/>
    <cellStyle name="20% - Accent4 28 8 2 2 2" xfId="4954" xr:uid="{E90EB22C-36CA-456B-A547-9BDD80725D1E}"/>
    <cellStyle name="20% - Accent4 28 8 2 2 2 2" xfId="4955" xr:uid="{0EDCC97D-88FF-4052-AD00-94E5F75642BA}"/>
    <cellStyle name="20% - Accent4 28 8 2 2 3" xfId="4956" xr:uid="{0B629CD3-A000-4245-A054-3CB5FFF98C6E}"/>
    <cellStyle name="20% - Accent4 28 8 2 3" xfId="4957" xr:uid="{6BFBD2A9-36D7-4879-8411-DB7900001788}"/>
    <cellStyle name="20% - Accent4 28 8 2 3 2" xfId="4958" xr:uid="{20C55F4E-514E-4307-BBA1-B891FC1F3B2F}"/>
    <cellStyle name="20% - Accent4 28 8 2 3 2 2" xfId="4959" xr:uid="{3734870A-19AA-4933-BB12-1B4B34E2A879}"/>
    <cellStyle name="20% - Accent4 28 8 2 3 3" xfId="4960" xr:uid="{04DED1E8-0D6F-4910-9754-B93B19147CD2}"/>
    <cellStyle name="20% - Accent4 28 8 2 4" xfId="4961" xr:uid="{77782767-7C15-4194-9744-39DDBF26BFCA}"/>
    <cellStyle name="20% - Accent4 28 8 2 4 2" xfId="4962" xr:uid="{D90DF60D-3C88-4239-B9B5-04EED0411230}"/>
    <cellStyle name="20% - Accent4 28 8 2 5" xfId="4963" xr:uid="{08A13EC0-5CDE-4734-A606-96CB5DE3924B}"/>
    <cellStyle name="20% - Accent4 28 8 3" xfId="4964" xr:uid="{30608B18-A16D-4759-B840-20461F72D965}"/>
    <cellStyle name="20% - Accent4 28 8 3 2" xfId="4965" xr:uid="{B7C941A5-5502-46E5-A624-66937B960829}"/>
    <cellStyle name="20% - Accent4 28 8 3 2 2" xfId="4966" xr:uid="{4573EE85-AE9D-4A79-96A1-2E8F684A7143}"/>
    <cellStyle name="20% - Accent4 28 8 3 3" xfId="4967" xr:uid="{9B06CF59-75F1-4E45-ADEB-7F1955835DC7}"/>
    <cellStyle name="20% - Accent4 28 8 4" xfId="4968" xr:uid="{CEEB9E75-BA86-4429-A4C0-D165689A31E0}"/>
    <cellStyle name="20% - Accent4 28 8 4 2" xfId="4969" xr:uid="{2EEB48A8-4286-4171-8906-12EE389A20BD}"/>
    <cellStyle name="20% - Accent4 28 8 4 2 2" xfId="4970" xr:uid="{F861B3EB-0C6B-44FE-9DD6-574B978260C7}"/>
    <cellStyle name="20% - Accent4 28 8 4 3" xfId="4971" xr:uid="{7E78822A-8208-49CC-9CF9-BE46881A35CA}"/>
    <cellStyle name="20% - Accent4 28 8 5" xfId="4972" xr:uid="{3126B133-A4F2-475B-B8F2-253CC3D07653}"/>
    <cellStyle name="20% - Accent4 28 8 5 2" xfId="4973" xr:uid="{A263ADFA-6E65-4C42-8B5E-7D70803A4B3D}"/>
    <cellStyle name="20% - Accent4 28 8 6" xfId="4974" xr:uid="{C3D4DEC3-9E5D-449D-A780-40F55315883F}"/>
    <cellStyle name="20% - Accent4 28 9" xfId="4975" xr:uid="{56B09CCD-0D89-41E2-BC6F-26C631F9D454}"/>
    <cellStyle name="20% - Accent4 28 9 2" xfId="4976" xr:uid="{2AFB06A7-678C-439D-B270-72F9F3B73082}"/>
    <cellStyle name="20% - Accent4 28 9 2 2" xfId="4977" xr:uid="{C0E3179B-B39D-43C9-8494-535ECADF9CB3}"/>
    <cellStyle name="20% - Accent4 28 9 2 2 2" xfId="4978" xr:uid="{30C1A280-E852-4471-858A-928472C1A939}"/>
    <cellStyle name="20% - Accent4 28 9 2 2 2 2" xfId="4979" xr:uid="{BA7F3754-C7FF-4880-935A-1B5F03C13782}"/>
    <cellStyle name="20% - Accent4 28 9 2 2 3" xfId="4980" xr:uid="{77DF91E8-10C9-4C09-93CA-A33CFBF66EA2}"/>
    <cellStyle name="20% - Accent4 28 9 2 3" xfId="4981" xr:uid="{BA2E1B36-F250-45A2-9366-9D2E526ACB89}"/>
    <cellStyle name="20% - Accent4 28 9 2 3 2" xfId="4982" xr:uid="{7A0F200E-4AA0-4EAE-BD27-AEB3C09FCAC6}"/>
    <cellStyle name="20% - Accent4 28 9 2 3 2 2" xfId="4983" xr:uid="{C1963D96-2A6F-499F-9E0A-40DA3A26D5CB}"/>
    <cellStyle name="20% - Accent4 28 9 2 3 3" xfId="4984" xr:uid="{0DF493D2-2C83-444B-8C23-57A582C06717}"/>
    <cellStyle name="20% - Accent4 28 9 2 4" xfId="4985" xr:uid="{E54EFFEF-EF78-442F-B16B-4CC3090CA6E4}"/>
    <cellStyle name="20% - Accent4 28 9 2 4 2" xfId="4986" xr:uid="{2E2E1CBB-264B-4C45-AE32-9F6389960002}"/>
    <cellStyle name="20% - Accent4 28 9 2 5" xfId="4987" xr:uid="{9CF70A1F-D931-4ACD-8267-AF1BB0E7B487}"/>
    <cellStyle name="20% - Accent4 28 9 3" xfId="4988" xr:uid="{AB5F456B-C7C5-4041-BDCB-DE5A6FE1FCC1}"/>
    <cellStyle name="20% - Accent4 28 9 3 2" xfId="4989" xr:uid="{5DC157BE-6DCC-41DA-9EFA-29E67448BD45}"/>
    <cellStyle name="20% - Accent4 28 9 3 2 2" xfId="4990" xr:uid="{3D536591-D035-411B-BB0D-AB848F8F469C}"/>
    <cellStyle name="20% - Accent4 28 9 3 3" xfId="4991" xr:uid="{A6F309F0-FBA7-41BC-9E13-3184C30CF16A}"/>
    <cellStyle name="20% - Accent4 28 9 4" xfId="4992" xr:uid="{07E08B77-5A59-4AD1-9DF2-33C0AC346977}"/>
    <cellStyle name="20% - Accent4 28 9 4 2" xfId="4993" xr:uid="{1A3D35B9-B35C-43F6-BD3E-77A2670425D2}"/>
    <cellStyle name="20% - Accent4 28 9 4 2 2" xfId="4994" xr:uid="{1F93A8FF-8946-4A5C-8A81-BB460B8ED96E}"/>
    <cellStyle name="20% - Accent4 28 9 4 3" xfId="4995" xr:uid="{73D63541-ED13-4AE5-B52E-786F802C2229}"/>
    <cellStyle name="20% - Accent4 28 9 5" xfId="4996" xr:uid="{0AF105F0-01BC-4B5F-A801-BA8262AF864C}"/>
    <cellStyle name="20% - Accent4 28 9 5 2" xfId="4997" xr:uid="{34610E84-D59A-4E7D-9845-25EED4ACE994}"/>
    <cellStyle name="20% - Accent4 28 9 6" xfId="4998" xr:uid="{FF43F1E6-19C7-49C4-A1C5-594B32E52FBF}"/>
    <cellStyle name="20% - Accent4 29" xfId="4999" xr:uid="{54EFCD4A-BFC8-4DDC-A858-5BEFCE1F3BEB}"/>
    <cellStyle name="20% - Accent4 29 10" xfId="5000" xr:uid="{EEC8AEE0-F31A-46AA-9BED-7C31E8564452}"/>
    <cellStyle name="20% - Accent4 29 10 2" xfId="5001" xr:uid="{5AA7A824-F95D-4E93-B686-B79A6261E5C6}"/>
    <cellStyle name="20% - Accent4 29 10 2 2" xfId="5002" xr:uid="{9D40A91C-7545-493E-8680-0F5FB80E368F}"/>
    <cellStyle name="20% - Accent4 29 10 2 2 2" xfId="5003" xr:uid="{D2A80136-56D6-4979-90C4-29888EA6618C}"/>
    <cellStyle name="20% - Accent4 29 10 2 2 2 2" xfId="5004" xr:uid="{D7461F99-8200-4D5E-B825-C27D3FB8A5D6}"/>
    <cellStyle name="20% - Accent4 29 10 2 2 3" xfId="5005" xr:uid="{397E9640-FB84-45D7-9895-A54AF3824C95}"/>
    <cellStyle name="20% - Accent4 29 10 2 3" xfId="5006" xr:uid="{70B9D7FF-A59E-4E9C-90F1-9CE865DD657B}"/>
    <cellStyle name="20% - Accent4 29 10 2 3 2" xfId="5007" xr:uid="{B46CF2C7-18AE-49B6-8FC7-4A7E4DC4A7B0}"/>
    <cellStyle name="20% - Accent4 29 10 2 3 2 2" xfId="5008" xr:uid="{73C2E729-CFBF-45CE-95E7-E76E02F0F86B}"/>
    <cellStyle name="20% - Accent4 29 10 2 3 3" xfId="5009" xr:uid="{796AC68E-8B1A-4468-918F-1C128CD5E16B}"/>
    <cellStyle name="20% - Accent4 29 10 2 4" xfId="5010" xr:uid="{EC59178D-2179-40BD-84D7-C699E421CA5B}"/>
    <cellStyle name="20% - Accent4 29 10 2 4 2" xfId="5011" xr:uid="{82DF99CB-A740-41A5-B0EE-934B06846D14}"/>
    <cellStyle name="20% - Accent4 29 10 2 5" xfId="5012" xr:uid="{CD6F00D3-89FE-4AF0-B031-5177B3866A13}"/>
    <cellStyle name="20% - Accent4 29 10 3" xfId="5013" xr:uid="{268B47B9-70EB-44EC-A37D-BD553EAA3A4E}"/>
    <cellStyle name="20% - Accent4 29 10 3 2" xfId="5014" xr:uid="{9718D395-DBAC-4E32-968C-CBAABE425254}"/>
    <cellStyle name="20% - Accent4 29 10 3 2 2" xfId="5015" xr:uid="{FAF7064E-E858-47EB-9275-92C9936ED2E1}"/>
    <cellStyle name="20% - Accent4 29 10 3 3" xfId="5016" xr:uid="{5135759D-350D-4132-B231-262C08C06D46}"/>
    <cellStyle name="20% - Accent4 29 10 4" xfId="5017" xr:uid="{8CB578A1-7FB9-4C17-9E44-EEED0F03E765}"/>
    <cellStyle name="20% - Accent4 29 10 4 2" xfId="5018" xr:uid="{C9F96A6B-CDB9-4ABC-88A2-3B09463B68E5}"/>
    <cellStyle name="20% - Accent4 29 10 4 2 2" xfId="5019" xr:uid="{E4C89E14-0367-411C-B776-291A7E0F60F7}"/>
    <cellStyle name="20% - Accent4 29 10 4 3" xfId="5020" xr:uid="{DC64D108-AA9C-4397-B1A6-28BE72CFEFD1}"/>
    <cellStyle name="20% - Accent4 29 10 5" xfId="5021" xr:uid="{19253231-794D-46FB-9256-71739C53819F}"/>
    <cellStyle name="20% - Accent4 29 10 5 2" xfId="5022" xr:uid="{F263E60C-C58F-407B-9135-9C7E84F33EFB}"/>
    <cellStyle name="20% - Accent4 29 10 6" xfId="5023" xr:uid="{B14E3C76-CAAC-458D-8F02-A90C62A541B1}"/>
    <cellStyle name="20% - Accent4 29 11" xfId="5024" xr:uid="{BC3F30AD-FB90-4D31-8643-62D020734BE8}"/>
    <cellStyle name="20% - Accent4 29 11 2" xfId="5025" xr:uid="{530F0009-52E0-4DCA-9722-C83056DC982C}"/>
    <cellStyle name="20% - Accent4 29 11 2 2" xfId="5026" xr:uid="{A6803249-1AC8-48B2-A7E6-1A3C955EAB9A}"/>
    <cellStyle name="20% - Accent4 29 11 2 2 2" xfId="5027" xr:uid="{EAD74C44-4B2B-41F9-A0A8-6D2D374885F3}"/>
    <cellStyle name="20% - Accent4 29 11 2 3" xfId="5028" xr:uid="{2F36A308-F20D-4715-8E95-566F1911E539}"/>
    <cellStyle name="20% - Accent4 29 11 3" xfId="5029" xr:uid="{3755363E-E132-4682-A74B-8E179E979BC8}"/>
    <cellStyle name="20% - Accent4 29 11 3 2" xfId="5030" xr:uid="{3812533B-7EF8-4E84-A776-70883842945A}"/>
    <cellStyle name="20% - Accent4 29 11 3 2 2" xfId="5031" xr:uid="{15DA50D4-AC0F-4AEF-BFD1-5C667475E903}"/>
    <cellStyle name="20% - Accent4 29 11 3 3" xfId="5032" xr:uid="{DB176AEA-FAFC-403C-851E-7D4C346CEBCB}"/>
    <cellStyle name="20% - Accent4 29 11 4" xfId="5033" xr:uid="{50E4CE93-E4BA-4D7B-BF22-BBAC03313422}"/>
    <cellStyle name="20% - Accent4 29 11 4 2" xfId="5034" xr:uid="{597913E0-AA1F-460E-AA55-AC171438AB4A}"/>
    <cellStyle name="20% - Accent4 29 11 5" xfId="5035" xr:uid="{7B9716F1-51E0-4E44-9FCD-AA0BD135EF6C}"/>
    <cellStyle name="20% - Accent4 29 12" xfId="5036" xr:uid="{0091885E-B9FA-4FC9-9477-09B2AEA10EC6}"/>
    <cellStyle name="20% - Accent4 29 12 2" xfId="5037" xr:uid="{1F1A87AA-DEF2-4442-8141-456930B6074E}"/>
    <cellStyle name="20% - Accent4 29 12 2 2" xfId="5038" xr:uid="{66E3C13C-6E8E-4036-9D06-E95D555AA3DE}"/>
    <cellStyle name="20% - Accent4 29 12 3" xfId="5039" xr:uid="{F2A10CA1-92B6-4022-94CB-3D7B758829E8}"/>
    <cellStyle name="20% - Accent4 29 13" xfId="5040" xr:uid="{106D8B25-A11B-429B-9DC6-57807F65BD48}"/>
    <cellStyle name="20% - Accent4 29 13 2" xfId="5041" xr:uid="{00AF7577-2CAC-4464-B5DA-898B8995EAB4}"/>
    <cellStyle name="20% - Accent4 29 13 2 2" xfId="5042" xr:uid="{E9DCA2A7-1DD8-4E62-938B-FC6CB578DB6A}"/>
    <cellStyle name="20% - Accent4 29 13 3" xfId="5043" xr:uid="{146003E6-85B7-4858-9FA3-37CA159AF28D}"/>
    <cellStyle name="20% - Accent4 29 14" xfId="5044" xr:uid="{C27E2382-896F-4224-AECE-17430852F29A}"/>
    <cellStyle name="20% - Accent4 29 14 2" xfId="5045" xr:uid="{8A65E65A-544A-4DE7-8179-F196ADB359D9}"/>
    <cellStyle name="20% - Accent4 29 15" xfId="5046" xr:uid="{5430C214-1591-46B5-BC96-C44953D72392}"/>
    <cellStyle name="20% - Accent4 29 16" xfId="36162" xr:uid="{102101EF-FAFA-4ABB-A456-9CCC24C3DF1A}"/>
    <cellStyle name="20% - Accent4 29 2" xfId="5047" xr:uid="{502286DB-5048-4C19-82E4-4558626389D5}"/>
    <cellStyle name="20% - Accent4 29 2 2" xfId="5048" xr:uid="{457BC49D-8DBA-46BB-B05C-857CC0ACE813}"/>
    <cellStyle name="20% - Accent4 29 2 2 2" xfId="5049" xr:uid="{8A8657F2-C169-4680-B4C8-DE71AC2B515C}"/>
    <cellStyle name="20% - Accent4 29 2 2 2 2" xfId="5050" xr:uid="{A19D2133-35E9-47DF-A89B-7B3BECAF6E97}"/>
    <cellStyle name="20% - Accent4 29 2 2 2 2 2" xfId="5051" xr:uid="{3AEDD3B7-87D0-474F-B799-7CA13EE07741}"/>
    <cellStyle name="20% - Accent4 29 2 2 2 3" xfId="5052" xr:uid="{72951A09-5BE5-4196-8F08-3DDF273DF477}"/>
    <cellStyle name="20% - Accent4 29 2 2 3" xfId="5053" xr:uid="{2424B921-5386-4566-8539-B0AA1951FE93}"/>
    <cellStyle name="20% - Accent4 29 2 2 3 2" xfId="5054" xr:uid="{E97CB1DC-AA1C-42E4-AC38-FD425039FA3C}"/>
    <cellStyle name="20% - Accent4 29 2 2 3 2 2" xfId="5055" xr:uid="{1B0A745D-442C-4BA8-AA65-30FF74EFE080}"/>
    <cellStyle name="20% - Accent4 29 2 2 3 3" xfId="5056" xr:uid="{7D17A402-B796-488C-A643-E78A8DD59439}"/>
    <cellStyle name="20% - Accent4 29 2 2 4" xfId="5057" xr:uid="{6357B758-F23C-4C4B-B1BE-EA32889960AA}"/>
    <cellStyle name="20% - Accent4 29 2 2 4 2" xfId="5058" xr:uid="{270475F0-FBCE-4997-B5FB-DE8C56F3FBC5}"/>
    <cellStyle name="20% - Accent4 29 2 2 5" xfId="5059" xr:uid="{378D5242-F501-4863-87B4-30746E907F83}"/>
    <cellStyle name="20% - Accent4 29 2 3" xfId="5060" xr:uid="{C1E2A5F2-2E50-474D-A95B-172F74FD2CBF}"/>
    <cellStyle name="20% - Accent4 29 2 3 2" xfId="5061" xr:uid="{67B8BF2E-63E6-47F9-8524-C1B8EE181F09}"/>
    <cellStyle name="20% - Accent4 29 2 3 2 2" xfId="5062" xr:uid="{CE3B60C1-5F62-4300-B606-DEF21F529C94}"/>
    <cellStyle name="20% - Accent4 29 2 3 3" xfId="5063" xr:uid="{5189AFBF-245E-4962-B93C-65BC553928C5}"/>
    <cellStyle name="20% - Accent4 29 2 4" xfId="5064" xr:uid="{D42F1DC9-D9D2-47AE-A5C8-85163A0D0CAA}"/>
    <cellStyle name="20% - Accent4 29 2 4 2" xfId="5065" xr:uid="{49BB8C9E-4B40-4305-9CCE-19128F6C3F23}"/>
    <cellStyle name="20% - Accent4 29 2 4 2 2" xfId="5066" xr:uid="{823977BC-BAE0-49B0-BC70-8F2ED0E8B1CF}"/>
    <cellStyle name="20% - Accent4 29 2 4 3" xfId="5067" xr:uid="{D1522E04-7608-4AED-A68E-15EEF955DE2B}"/>
    <cellStyle name="20% - Accent4 29 2 5" xfId="5068" xr:uid="{5DDA0822-1184-4819-9366-CE7B436AD2AE}"/>
    <cellStyle name="20% - Accent4 29 2 5 2" xfId="5069" xr:uid="{3286B6CB-7E57-4F68-A107-2C09A0E8D61D}"/>
    <cellStyle name="20% - Accent4 29 2 6" xfId="5070" xr:uid="{DA4F18C9-2921-413E-BA24-BC03AA6ED831}"/>
    <cellStyle name="20% - Accent4 29 3" xfId="5071" xr:uid="{DC8DC669-28C1-4399-9737-043D368E3C6E}"/>
    <cellStyle name="20% - Accent4 29 3 2" xfId="5072" xr:uid="{78C8253F-AE98-4B4C-BF4D-A1CA7D29FDCF}"/>
    <cellStyle name="20% - Accent4 29 3 2 2" xfId="5073" xr:uid="{3A64617F-4C87-4870-AB5D-A5493534F1C7}"/>
    <cellStyle name="20% - Accent4 29 3 2 2 2" xfId="5074" xr:uid="{43937F6B-DE3D-4310-8D7D-189B4189FFD0}"/>
    <cellStyle name="20% - Accent4 29 3 2 2 2 2" xfId="5075" xr:uid="{09815AD6-215B-45BA-849A-F417C7357D66}"/>
    <cellStyle name="20% - Accent4 29 3 2 2 3" xfId="5076" xr:uid="{32229AED-65AD-4FE5-B023-46DC194BA2E6}"/>
    <cellStyle name="20% - Accent4 29 3 2 3" xfId="5077" xr:uid="{E3E26FEC-60AF-4164-BAEA-A3EAD5119FA3}"/>
    <cellStyle name="20% - Accent4 29 3 2 3 2" xfId="5078" xr:uid="{328A3370-0BFC-4F43-A9DF-398F5622C5B5}"/>
    <cellStyle name="20% - Accent4 29 3 2 3 2 2" xfId="5079" xr:uid="{89806ABF-80B1-4CCB-B323-1B158F2520CF}"/>
    <cellStyle name="20% - Accent4 29 3 2 3 3" xfId="5080" xr:uid="{A6868742-DA4A-4364-BE95-8260FB522D1A}"/>
    <cellStyle name="20% - Accent4 29 3 2 4" xfId="5081" xr:uid="{7D5A0BDC-F527-4202-AB6D-906349AC074E}"/>
    <cellStyle name="20% - Accent4 29 3 2 4 2" xfId="5082" xr:uid="{0A3BA55F-8D27-43D4-AB1D-7FAC5684A542}"/>
    <cellStyle name="20% - Accent4 29 3 2 5" xfId="5083" xr:uid="{48EF32D2-9B11-447C-9D49-D82420B1D55B}"/>
    <cellStyle name="20% - Accent4 29 3 3" xfId="5084" xr:uid="{7E0F8B36-9793-4C8A-913F-9B5E31EA3E7C}"/>
    <cellStyle name="20% - Accent4 29 3 3 2" xfId="5085" xr:uid="{BFF92B4D-7DDB-4E2D-8B0B-F18BB6FC89FB}"/>
    <cellStyle name="20% - Accent4 29 3 3 2 2" xfId="5086" xr:uid="{AFDF9B7C-A921-4B03-9F13-AB8D043A23BC}"/>
    <cellStyle name="20% - Accent4 29 3 3 3" xfId="5087" xr:uid="{7078DA19-28A6-464F-8EE3-AD34A9C58D84}"/>
    <cellStyle name="20% - Accent4 29 3 4" xfId="5088" xr:uid="{518BDD4D-D130-457F-A9BF-D48977A8EA9A}"/>
    <cellStyle name="20% - Accent4 29 3 4 2" xfId="5089" xr:uid="{DAE093D7-717C-4441-A250-F7DC23539418}"/>
    <cellStyle name="20% - Accent4 29 3 4 2 2" xfId="5090" xr:uid="{5C08F671-CF4D-49C0-A76F-11FEDFFD3E34}"/>
    <cellStyle name="20% - Accent4 29 3 4 3" xfId="5091" xr:uid="{81F6B8B9-343F-4572-984B-953282644DF6}"/>
    <cellStyle name="20% - Accent4 29 3 5" xfId="5092" xr:uid="{3891114B-DD5B-4D94-B908-E834DE3CB0FC}"/>
    <cellStyle name="20% - Accent4 29 3 5 2" xfId="5093" xr:uid="{5DDD736B-C522-45A4-856D-C53C86B55F64}"/>
    <cellStyle name="20% - Accent4 29 3 6" xfId="5094" xr:uid="{AD78F95A-7292-4FF3-A7C2-397BCAC393FB}"/>
    <cellStyle name="20% - Accent4 29 4" xfId="5095" xr:uid="{3F480BFE-90A9-4B40-8DCC-511960484060}"/>
    <cellStyle name="20% - Accent4 29 4 2" xfId="5096" xr:uid="{E286A7F6-FB4F-4E4F-94AD-B8EA63EC9153}"/>
    <cellStyle name="20% - Accent4 29 4 2 2" xfId="5097" xr:uid="{896C61E8-0A1A-4922-959F-13685448ACA6}"/>
    <cellStyle name="20% - Accent4 29 4 2 2 2" xfId="5098" xr:uid="{09F83D89-887C-4ADC-824B-4016AEB954BF}"/>
    <cellStyle name="20% - Accent4 29 4 2 2 2 2" xfId="5099" xr:uid="{98855676-9572-489A-90F1-06FB2558E675}"/>
    <cellStyle name="20% - Accent4 29 4 2 2 3" xfId="5100" xr:uid="{B4E03002-4DAE-405D-820F-44F5EFCF27E7}"/>
    <cellStyle name="20% - Accent4 29 4 2 3" xfId="5101" xr:uid="{167266FB-4C9C-48FE-8BEF-73E98A27646C}"/>
    <cellStyle name="20% - Accent4 29 4 2 3 2" xfId="5102" xr:uid="{6357DF16-4E5B-4E77-AB47-DAC324FE2560}"/>
    <cellStyle name="20% - Accent4 29 4 2 3 2 2" xfId="5103" xr:uid="{21085AF2-49E4-41E5-BE6C-EBBD8C4EEAEF}"/>
    <cellStyle name="20% - Accent4 29 4 2 3 3" xfId="5104" xr:uid="{D16131E7-2F28-4738-B328-FF621E815F20}"/>
    <cellStyle name="20% - Accent4 29 4 2 4" xfId="5105" xr:uid="{DE0F4E09-7FC1-476D-8876-2133BEF8863C}"/>
    <cellStyle name="20% - Accent4 29 4 2 4 2" xfId="5106" xr:uid="{D0F6F0FA-7B51-476B-98D2-47B611AAD3CB}"/>
    <cellStyle name="20% - Accent4 29 4 2 5" xfId="5107" xr:uid="{EFDC9C16-0EFB-400F-B61C-29A84282FE6B}"/>
    <cellStyle name="20% - Accent4 29 4 3" xfId="5108" xr:uid="{7762470F-07DF-4B77-9A59-3FA37F138151}"/>
    <cellStyle name="20% - Accent4 29 4 3 2" xfId="5109" xr:uid="{E65FDF01-D9AC-4217-B0BD-2EF44C969F71}"/>
    <cellStyle name="20% - Accent4 29 4 3 2 2" xfId="5110" xr:uid="{F5DEB513-95AD-4E06-8F5D-357C7D46CCA3}"/>
    <cellStyle name="20% - Accent4 29 4 3 3" xfId="5111" xr:uid="{7ABDFDD4-8409-4E7E-B88D-BDD698EB8CAB}"/>
    <cellStyle name="20% - Accent4 29 4 4" xfId="5112" xr:uid="{9C10E581-590B-4B05-8302-B71A960C0576}"/>
    <cellStyle name="20% - Accent4 29 4 4 2" xfId="5113" xr:uid="{1D552917-C68A-4E57-A10C-18D3F4B5C1AA}"/>
    <cellStyle name="20% - Accent4 29 4 4 2 2" xfId="5114" xr:uid="{A2BE54EA-CB2A-4D6C-A916-E28FFC74D244}"/>
    <cellStyle name="20% - Accent4 29 4 4 3" xfId="5115" xr:uid="{678E7352-A865-498D-8AC7-1B8F6DF2CAA0}"/>
    <cellStyle name="20% - Accent4 29 4 5" xfId="5116" xr:uid="{7F9CA645-4283-4965-9178-82BCE90A8D73}"/>
    <cellStyle name="20% - Accent4 29 4 5 2" xfId="5117" xr:uid="{8E2A6FDA-0C83-460A-9B7C-C322BE9391B2}"/>
    <cellStyle name="20% - Accent4 29 4 6" xfId="5118" xr:uid="{8B00DFCD-5573-4EA6-95CB-0E965E46F6A4}"/>
    <cellStyle name="20% - Accent4 29 5" xfId="5119" xr:uid="{A9353ED3-A240-4553-9EEE-040DAC7E5529}"/>
    <cellStyle name="20% - Accent4 29 5 2" xfId="5120" xr:uid="{D618F7CC-AACD-4125-8604-B909881F874E}"/>
    <cellStyle name="20% - Accent4 29 5 2 2" xfId="5121" xr:uid="{AB99D2CE-B5C2-4333-9713-A8AEA44A3C7B}"/>
    <cellStyle name="20% - Accent4 29 5 2 2 2" xfId="5122" xr:uid="{0C7D206F-B636-41DF-B884-127B362C10F2}"/>
    <cellStyle name="20% - Accent4 29 5 2 2 2 2" xfId="5123" xr:uid="{D5011B63-3589-4AF8-95F2-63C95C0C1687}"/>
    <cellStyle name="20% - Accent4 29 5 2 2 3" xfId="5124" xr:uid="{B7B8CF4F-BE2F-4DBA-89F6-134E785684C5}"/>
    <cellStyle name="20% - Accent4 29 5 2 3" xfId="5125" xr:uid="{9C5F1C30-E2CF-4A93-9A0C-C95BC88D380C}"/>
    <cellStyle name="20% - Accent4 29 5 2 3 2" xfId="5126" xr:uid="{49209DF1-1619-4C8A-8687-82BE2CF0FF39}"/>
    <cellStyle name="20% - Accent4 29 5 2 3 2 2" xfId="5127" xr:uid="{05623DF1-ADED-40B4-9885-055A26C0CB7C}"/>
    <cellStyle name="20% - Accent4 29 5 2 3 3" xfId="5128" xr:uid="{71DCF56E-12E5-4030-BDDB-035245AECF3B}"/>
    <cellStyle name="20% - Accent4 29 5 2 4" xfId="5129" xr:uid="{091406A0-B8F3-4513-AB73-848F59043F90}"/>
    <cellStyle name="20% - Accent4 29 5 2 4 2" xfId="5130" xr:uid="{F52B4394-0F46-4B77-BA10-63BA85EF0E9E}"/>
    <cellStyle name="20% - Accent4 29 5 2 5" xfId="5131" xr:uid="{C057B5E7-17B2-401F-9FD1-236E412333D8}"/>
    <cellStyle name="20% - Accent4 29 5 3" xfId="5132" xr:uid="{80876EDB-0E42-4CFA-90C0-31A4709FDE7F}"/>
    <cellStyle name="20% - Accent4 29 5 3 2" xfId="5133" xr:uid="{0DE18453-F500-4019-B8C0-D3388FDE8263}"/>
    <cellStyle name="20% - Accent4 29 5 3 2 2" xfId="5134" xr:uid="{DCFEDFC7-1825-4B21-B55B-D2EF59D13C22}"/>
    <cellStyle name="20% - Accent4 29 5 3 3" xfId="5135" xr:uid="{78140042-455F-4328-B7A1-4FB519A82AC6}"/>
    <cellStyle name="20% - Accent4 29 5 4" xfId="5136" xr:uid="{FB937D19-60A7-4CE0-9C74-F51ED67C724E}"/>
    <cellStyle name="20% - Accent4 29 5 4 2" xfId="5137" xr:uid="{3A5BEEC7-0AA1-4E2A-9688-5286A9E232C0}"/>
    <cellStyle name="20% - Accent4 29 5 4 2 2" xfId="5138" xr:uid="{A2E37112-2506-4520-801D-97F33056D613}"/>
    <cellStyle name="20% - Accent4 29 5 4 3" xfId="5139" xr:uid="{FC576969-BE1A-49A3-9B26-46E2226ED53B}"/>
    <cellStyle name="20% - Accent4 29 5 5" xfId="5140" xr:uid="{A0772C13-0FCA-4BA3-89AC-1746F8050DF0}"/>
    <cellStyle name="20% - Accent4 29 5 5 2" xfId="5141" xr:uid="{67304BAE-6CCC-4F11-93A9-76C8D67835A4}"/>
    <cellStyle name="20% - Accent4 29 5 6" xfId="5142" xr:uid="{4ED742B2-8FA0-4D56-A410-D1EFEC23EA7F}"/>
    <cellStyle name="20% - Accent4 29 6" xfId="5143" xr:uid="{C2B2A68D-47FD-4E63-8A1E-01A74508FFBC}"/>
    <cellStyle name="20% - Accent4 29 6 2" xfId="5144" xr:uid="{EF8D6D83-FCBE-4BF5-A27F-C8633CA1BEC0}"/>
    <cellStyle name="20% - Accent4 29 6 2 2" xfId="5145" xr:uid="{91C520A6-C0DA-46B6-9859-37275DF83006}"/>
    <cellStyle name="20% - Accent4 29 6 2 2 2" xfId="5146" xr:uid="{529A0EBD-DAD6-4E54-95C2-931904D2F48C}"/>
    <cellStyle name="20% - Accent4 29 6 2 2 2 2" xfId="5147" xr:uid="{3E4F7CA0-4608-4E7B-85F0-054066B10BDA}"/>
    <cellStyle name="20% - Accent4 29 6 2 2 3" xfId="5148" xr:uid="{D9D02D4F-3FE2-4194-AFF9-6FBAF4B8DEA0}"/>
    <cellStyle name="20% - Accent4 29 6 2 3" xfId="5149" xr:uid="{69BDFECC-4AAA-47E3-93FC-FB47197C41A1}"/>
    <cellStyle name="20% - Accent4 29 6 2 3 2" xfId="5150" xr:uid="{C5524F96-7CEB-4ADC-8D92-B242A3BF4967}"/>
    <cellStyle name="20% - Accent4 29 6 2 3 2 2" xfId="5151" xr:uid="{E6553EAF-B4D2-4987-96D7-B38FAD30903B}"/>
    <cellStyle name="20% - Accent4 29 6 2 3 3" xfId="5152" xr:uid="{99B79028-55F0-4AA2-9B98-4D27E40137F6}"/>
    <cellStyle name="20% - Accent4 29 6 2 4" xfId="5153" xr:uid="{986D4513-6E81-4566-BA40-E290AC280A5F}"/>
    <cellStyle name="20% - Accent4 29 6 2 4 2" xfId="5154" xr:uid="{09F431BC-AA57-4390-8527-8BDFEDD8C1D7}"/>
    <cellStyle name="20% - Accent4 29 6 2 5" xfId="5155" xr:uid="{9ABAAA87-C07E-4DB8-A758-4BABAC6C16AE}"/>
    <cellStyle name="20% - Accent4 29 6 3" xfId="5156" xr:uid="{C317BD52-E3CB-4AEB-A48B-5E550762758C}"/>
    <cellStyle name="20% - Accent4 29 6 3 2" xfId="5157" xr:uid="{75CDBD7D-B1B8-4CB5-93C9-B112AD375F30}"/>
    <cellStyle name="20% - Accent4 29 6 3 2 2" xfId="5158" xr:uid="{6FC25C69-0BB9-4A3E-A578-4CF4A6EAA99E}"/>
    <cellStyle name="20% - Accent4 29 6 3 3" xfId="5159" xr:uid="{8373562E-A742-424E-A315-F9B3CE934377}"/>
    <cellStyle name="20% - Accent4 29 6 4" xfId="5160" xr:uid="{9AA3EFCB-32AD-4D3D-9120-E624846D24BC}"/>
    <cellStyle name="20% - Accent4 29 6 4 2" xfId="5161" xr:uid="{9E4C5EE7-6129-4128-AB38-DB314EC20FCE}"/>
    <cellStyle name="20% - Accent4 29 6 4 2 2" xfId="5162" xr:uid="{7D336A70-1F42-4A22-9AD2-05FC95443AAD}"/>
    <cellStyle name="20% - Accent4 29 6 4 3" xfId="5163" xr:uid="{6BDEFE32-64E2-408E-BFBF-8FC76CC083FF}"/>
    <cellStyle name="20% - Accent4 29 6 5" xfId="5164" xr:uid="{6E90FD41-767C-4FE8-A088-86DB617AB083}"/>
    <cellStyle name="20% - Accent4 29 6 5 2" xfId="5165" xr:uid="{135A3456-51FB-446B-81C4-F7496715020D}"/>
    <cellStyle name="20% - Accent4 29 6 6" xfId="5166" xr:uid="{B745BAE1-C8A9-4D0B-B6C3-B6201EA64531}"/>
    <cellStyle name="20% - Accent4 29 7" xfId="5167" xr:uid="{63953D1E-D604-4A21-B370-0BE2BD27C1FF}"/>
    <cellStyle name="20% - Accent4 29 7 2" xfId="5168" xr:uid="{2135E136-DC42-4DA1-8161-580706FB8B50}"/>
    <cellStyle name="20% - Accent4 29 7 2 2" xfId="5169" xr:uid="{38DB4AFA-724D-4267-A38D-7A80F3D478B5}"/>
    <cellStyle name="20% - Accent4 29 7 2 2 2" xfId="5170" xr:uid="{7AF0BB7B-1641-4A00-92B0-A3044626368C}"/>
    <cellStyle name="20% - Accent4 29 7 2 2 2 2" xfId="5171" xr:uid="{A1814D58-6D88-478F-A795-F4760EADDA83}"/>
    <cellStyle name="20% - Accent4 29 7 2 2 3" xfId="5172" xr:uid="{75DE90F8-55E5-4FBB-888A-F6C77EC3D72E}"/>
    <cellStyle name="20% - Accent4 29 7 2 3" xfId="5173" xr:uid="{F3DE3416-0B4C-40DC-B0C4-39E67B0F7F10}"/>
    <cellStyle name="20% - Accent4 29 7 2 3 2" xfId="5174" xr:uid="{9E9FF588-CF1E-4C98-BEAD-028583D6EA92}"/>
    <cellStyle name="20% - Accent4 29 7 2 3 2 2" xfId="5175" xr:uid="{0F8963AF-03E1-47AB-97F7-4E48959FAB6F}"/>
    <cellStyle name="20% - Accent4 29 7 2 3 3" xfId="5176" xr:uid="{34FE564E-911E-4031-84D0-3575D713C725}"/>
    <cellStyle name="20% - Accent4 29 7 2 4" xfId="5177" xr:uid="{5C13A3CC-C1E9-42EB-8E9B-2C3C900ADEEA}"/>
    <cellStyle name="20% - Accent4 29 7 2 4 2" xfId="5178" xr:uid="{2075B540-135C-461A-9247-1715861212B1}"/>
    <cellStyle name="20% - Accent4 29 7 2 5" xfId="5179" xr:uid="{7B8952F9-AABA-46A1-A9CE-005C2E46317F}"/>
    <cellStyle name="20% - Accent4 29 7 3" xfId="5180" xr:uid="{D6363557-A5F0-4D79-A372-FD88EE273E79}"/>
    <cellStyle name="20% - Accent4 29 7 3 2" xfId="5181" xr:uid="{17F70AFF-499C-4817-8A90-E9ECBA21E8B4}"/>
    <cellStyle name="20% - Accent4 29 7 3 2 2" xfId="5182" xr:uid="{C049D96A-653C-477E-8E58-65161B0518A6}"/>
    <cellStyle name="20% - Accent4 29 7 3 3" xfId="5183" xr:uid="{E16095C6-5B9B-465C-8A3F-081EC6264EAE}"/>
    <cellStyle name="20% - Accent4 29 7 4" xfId="5184" xr:uid="{66C2365E-7BC9-448C-9CF5-A37EA893F288}"/>
    <cellStyle name="20% - Accent4 29 7 4 2" xfId="5185" xr:uid="{D87B24B2-0CDB-4ED2-86D1-AA7D09C384E9}"/>
    <cellStyle name="20% - Accent4 29 7 4 2 2" xfId="5186" xr:uid="{3DBCBFC7-D113-46BE-AF31-248B4B6B4F61}"/>
    <cellStyle name="20% - Accent4 29 7 4 3" xfId="5187" xr:uid="{D1E1B555-7A30-4E1E-B784-77175DEDB7F3}"/>
    <cellStyle name="20% - Accent4 29 7 5" xfId="5188" xr:uid="{A277D2D1-E106-41E2-B61A-5405C00C9AE8}"/>
    <cellStyle name="20% - Accent4 29 7 5 2" xfId="5189" xr:uid="{6047C6A5-374B-4430-83B8-BE416226C4D5}"/>
    <cellStyle name="20% - Accent4 29 7 6" xfId="5190" xr:uid="{D978AA75-17D2-448E-BCDC-097874B4B4FD}"/>
    <cellStyle name="20% - Accent4 29 8" xfId="5191" xr:uid="{CDD143F5-C6C0-4E21-A597-2637B6336BF8}"/>
    <cellStyle name="20% - Accent4 29 8 2" xfId="5192" xr:uid="{DCCA2BB6-F9A4-470C-9309-EEC6EC1B0597}"/>
    <cellStyle name="20% - Accent4 29 8 2 2" xfId="5193" xr:uid="{FF6BF356-E7C7-4D64-913F-E01A50B4F99A}"/>
    <cellStyle name="20% - Accent4 29 8 2 2 2" xfId="5194" xr:uid="{B2E50972-0F6B-415A-BB76-4EBC183EF1F4}"/>
    <cellStyle name="20% - Accent4 29 8 2 2 2 2" xfId="5195" xr:uid="{0128C737-E27E-4FAE-B957-9C7510F0448A}"/>
    <cellStyle name="20% - Accent4 29 8 2 2 3" xfId="5196" xr:uid="{F5C04E86-ACA7-452A-885E-E251480F9528}"/>
    <cellStyle name="20% - Accent4 29 8 2 3" xfId="5197" xr:uid="{DE0AA994-2701-44D4-89A0-E9B692693AA9}"/>
    <cellStyle name="20% - Accent4 29 8 2 3 2" xfId="5198" xr:uid="{6831931A-B37A-47ED-BD73-581C9BBE3D04}"/>
    <cellStyle name="20% - Accent4 29 8 2 3 2 2" xfId="5199" xr:uid="{131AD4B7-76C3-4D1F-8AA8-7CB62CEAC109}"/>
    <cellStyle name="20% - Accent4 29 8 2 3 3" xfId="5200" xr:uid="{646A447C-2835-477C-8122-80357F02C0AE}"/>
    <cellStyle name="20% - Accent4 29 8 2 4" xfId="5201" xr:uid="{96013AC9-C16D-4A67-8662-7BB682DB9C52}"/>
    <cellStyle name="20% - Accent4 29 8 2 4 2" xfId="5202" xr:uid="{5CFD0BC1-DB40-4F73-BCAB-217BC930D250}"/>
    <cellStyle name="20% - Accent4 29 8 2 5" xfId="5203" xr:uid="{E6723EEF-5147-4D6B-B6F6-38548200D1DA}"/>
    <cellStyle name="20% - Accent4 29 8 3" xfId="5204" xr:uid="{2EB91288-3726-4176-9609-BD5D952EF6F6}"/>
    <cellStyle name="20% - Accent4 29 8 3 2" xfId="5205" xr:uid="{D9E59DEF-B585-4BB3-8BBA-CE4AFCFE0ED8}"/>
    <cellStyle name="20% - Accent4 29 8 3 2 2" xfId="5206" xr:uid="{74D3F8C8-A38D-46FB-8F8C-905FD36B066E}"/>
    <cellStyle name="20% - Accent4 29 8 3 3" xfId="5207" xr:uid="{04BC1B7A-D603-48B2-83E1-E64182AD868E}"/>
    <cellStyle name="20% - Accent4 29 8 4" xfId="5208" xr:uid="{EAA6FF89-8A89-49EA-AB53-729D7695CAF2}"/>
    <cellStyle name="20% - Accent4 29 8 4 2" xfId="5209" xr:uid="{9750CE1B-1115-4F86-B1E4-806FD13E50C8}"/>
    <cellStyle name="20% - Accent4 29 8 4 2 2" xfId="5210" xr:uid="{AA2BE8E0-205F-4347-924B-63E677CFF748}"/>
    <cellStyle name="20% - Accent4 29 8 4 3" xfId="5211" xr:uid="{186E30FF-56A3-43CF-A27D-F9388815FD27}"/>
    <cellStyle name="20% - Accent4 29 8 5" xfId="5212" xr:uid="{E345B9D1-7D05-4488-9788-7EC73CE1BB12}"/>
    <cellStyle name="20% - Accent4 29 8 5 2" xfId="5213" xr:uid="{9395353C-E8DC-487C-BF40-FE16465FDCF8}"/>
    <cellStyle name="20% - Accent4 29 8 6" xfId="5214" xr:uid="{C71F2BB2-8205-4304-9706-D5899B477FF4}"/>
    <cellStyle name="20% - Accent4 29 9" xfId="5215" xr:uid="{DBDFEE58-1BD4-4F9B-81DB-847EB6E3422A}"/>
    <cellStyle name="20% - Accent4 29 9 2" xfId="5216" xr:uid="{012AFEE7-05A4-48E6-B5E1-90941AC06983}"/>
    <cellStyle name="20% - Accent4 29 9 2 2" xfId="5217" xr:uid="{836C9008-755F-4C4A-8AF8-94445506C11E}"/>
    <cellStyle name="20% - Accent4 29 9 2 2 2" xfId="5218" xr:uid="{EA95E6BF-4FC7-4D33-A7F1-3C54CDA2B509}"/>
    <cellStyle name="20% - Accent4 29 9 2 2 2 2" xfId="5219" xr:uid="{25EA65AD-4D2A-4E62-97C6-F19B95714CA4}"/>
    <cellStyle name="20% - Accent4 29 9 2 2 3" xfId="5220" xr:uid="{8AD81FCA-9BE9-4E68-A964-2671E5F4C832}"/>
    <cellStyle name="20% - Accent4 29 9 2 3" xfId="5221" xr:uid="{F8005C33-D677-4ACA-A88F-1C61BBD6463E}"/>
    <cellStyle name="20% - Accent4 29 9 2 3 2" xfId="5222" xr:uid="{737D45C8-72B2-4248-B7C3-54F724F4B4BD}"/>
    <cellStyle name="20% - Accent4 29 9 2 3 2 2" xfId="5223" xr:uid="{66FBB729-9244-4553-A736-F69769C93991}"/>
    <cellStyle name="20% - Accent4 29 9 2 3 3" xfId="5224" xr:uid="{148A4EDB-5882-4537-96AA-2FC48E307790}"/>
    <cellStyle name="20% - Accent4 29 9 2 4" xfId="5225" xr:uid="{F6B02598-A206-4774-BC35-1D4A5D9DC6CB}"/>
    <cellStyle name="20% - Accent4 29 9 2 4 2" xfId="5226" xr:uid="{294440B2-B763-4450-8CB6-037BBE2C9370}"/>
    <cellStyle name="20% - Accent4 29 9 2 5" xfId="5227" xr:uid="{A29F26B0-49A6-46DB-BA34-5C871DCD49C8}"/>
    <cellStyle name="20% - Accent4 29 9 3" xfId="5228" xr:uid="{24602930-E68C-40FC-B1C1-9895F7F73588}"/>
    <cellStyle name="20% - Accent4 29 9 3 2" xfId="5229" xr:uid="{349A0F2A-9A1D-48EE-8981-606C934B727C}"/>
    <cellStyle name="20% - Accent4 29 9 3 2 2" xfId="5230" xr:uid="{535786F3-D37B-4E8E-A4CE-770AE1163373}"/>
    <cellStyle name="20% - Accent4 29 9 3 3" xfId="5231" xr:uid="{08A698A1-9F35-4642-94FD-01D7D14D2369}"/>
    <cellStyle name="20% - Accent4 29 9 4" xfId="5232" xr:uid="{63440E2E-9C8E-49FD-A549-603DAE9A10E2}"/>
    <cellStyle name="20% - Accent4 29 9 4 2" xfId="5233" xr:uid="{1B081595-9F8A-41E4-BA8B-E5DF7514D3F7}"/>
    <cellStyle name="20% - Accent4 29 9 4 2 2" xfId="5234" xr:uid="{92F53B8A-386E-4E92-BED2-FD73ABB1D859}"/>
    <cellStyle name="20% - Accent4 29 9 4 3" xfId="5235" xr:uid="{AB171F32-3007-477A-8DBA-B777B23CE478}"/>
    <cellStyle name="20% - Accent4 29 9 5" xfId="5236" xr:uid="{441DA59E-4887-4EA0-9D35-89EC4CD156CC}"/>
    <cellStyle name="20% - Accent4 29 9 5 2" xfId="5237" xr:uid="{380AB131-EC4E-4BCB-9A9B-AF070C25CBBB}"/>
    <cellStyle name="20% - Accent4 29 9 6" xfId="5238" xr:uid="{9E695946-8965-4DF5-AED8-924FC56C5F1C}"/>
    <cellStyle name="20% - Accent4 3" xfId="5239" xr:uid="{CB2A1B09-92D4-4211-BE0E-3D15144FD37F}"/>
    <cellStyle name="20% - Accent4 3 2" xfId="5240" xr:uid="{401CA265-0360-4B9A-BE51-24942444753A}"/>
    <cellStyle name="20% - Accent4 3 2 2" xfId="5241" xr:uid="{493A5256-F4DD-4129-AA2D-DDA80E6B8079}"/>
    <cellStyle name="20% - Accent4 3 2 2 2" xfId="36163" xr:uid="{23D5D0CB-D80A-40B0-960B-9A2796E09CFC}"/>
    <cellStyle name="20% - Accent4 3 2 3" xfId="36164" xr:uid="{996A0C17-D8CE-40B4-8800-5A1711800DD4}"/>
    <cellStyle name="20% - Accent4 3 2 4" xfId="36165" xr:uid="{39DD67A1-9E1B-458A-9367-63C141ADF2B5}"/>
    <cellStyle name="20% - Accent4 3 3" xfId="5242" xr:uid="{1E5762B7-8878-4D88-B605-04128328BCBC}"/>
    <cellStyle name="20% - Accent4 3 3 2" xfId="36166" xr:uid="{8F21A3E2-2A4C-4F8A-BDED-A1B55C5C81DD}"/>
    <cellStyle name="20% - Accent4 3 4" xfId="36167" xr:uid="{C3404E46-54B9-460B-A811-FA24E2C7FD97}"/>
    <cellStyle name="20% - Accent4 3 5" xfId="36168" xr:uid="{94F29265-70F4-49FC-B993-B5DC8F7D17B9}"/>
    <cellStyle name="20% - Accent4 3 6" xfId="36169" xr:uid="{EBEF0FE2-9BB7-49DF-8FBD-8EBB93696960}"/>
    <cellStyle name="20% - Accent4 30" xfId="5243" xr:uid="{6800D41A-3639-4E61-B0E3-6CBAE3A351DC}"/>
    <cellStyle name="20% - Accent4 30 10" xfId="5244" xr:uid="{A1192DF9-3673-43DA-B75E-FD45D8A7D419}"/>
    <cellStyle name="20% - Accent4 30 10 2" xfId="5245" xr:uid="{868D72F1-9762-439B-840F-E8E8E8AAB459}"/>
    <cellStyle name="20% - Accent4 30 10 2 2" xfId="5246" xr:uid="{A4E046B2-5AEA-4C96-A1DC-C8AC0884174F}"/>
    <cellStyle name="20% - Accent4 30 10 2 2 2" xfId="5247" xr:uid="{2C845B93-5601-477B-B298-D1F3888AE567}"/>
    <cellStyle name="20% - Accent4 30 10 2 2 2 2" xfId="5248" xr:uid="{E05E2DA3-274A-4301-96E9-14728DD91A50}"/>
    <cellStyle name="20% - Accent4 30 10 2 2 3" xfId="5249" xr:uid="{3E4098E1-B6AA-4546-A7B3-FAEFCA855D6A}"/>
    <cellStyle name="20% - Accent4 30 10 2 3" xfId="5250" xr:uid="{A1608515-DD74-4EF3-9241-6C191E22C1C0}"/>
    <cellStyle name="20% - Accent4 30 10 2 3 2" xfId="5251" xr:uid="{59F2D0FC-8A04-40E3-A3BE-D792D3BCC340}"/>
    <cellStyle name="20% - Accent4 30 10 2 3 2 2" xfId="5252" xr:uid="{A7A61683-C782-4562-94D9-C68C5BE0B562}"/>
    <cellStyle name="20% - Accent4 30 10 2 3 3" xfId="5253" xr:uid="{E73900F1-B6FC-4BDC-B8A4-CDF250B08CEB}"/>
    <cellStyle name="20% - Accent4 30 10 2 4" xfId="5254" xr:uid="{EA854EE7-6FCA-49D6-987A-99F4F1008A47}"/>
    <cellStyle name="20% - Accent4 30 10 2 4 2" xfId="5255" xr:uid="{0689E790-9A83-41B9-8957-5A652598A47C}"/>
    <cellStyle name="20% - Accent4 30 10 2 5" xfId="5256" xr:uid="{BB71DFE6-CBA9-43E9-AC39-E137F96BD34F}"/>
    <cellStyle name="20% - Accent4 30 10 3" xfId="5257" xr:uid="{0B163F54-0057-439A-A073-CE229AE43AF8}"/>
    <cellStyle name="20% - Accent4 30 10 3 2" xfId="5258" xr:uid="{A1134DFB-44C8-4E73-B190-728B6A0343AE}"/>
    <cellStyle name="20% - Accent4 30 10 3 2 2" xfId="5259" xr:uid="{ACCC4493-0742-4830-8265-79F2633A63B4}"/>
    <cellStyle name="20% - Accent4 30 10 3 3" xfId="5260" xr:uid="{EB883AE2-4F76-4516-BFB9-9A1C9C3E55D4}"/>
    <cellStyle name="20% - Accent4 30 10 4" xfId="5261" xr:uid="{C4A525E2-BC76-4BC0-868A-D5E747CA5428}"/>
    <cellStyle name="20% - Accent4 30 10 4 2" xfId="5262" xr:uid="{A92E3175-BE76-48D0-B67A-1C07D8603170}"/>
    <cellStyle name="20% - Accent4 30 10 4 2 2" xfId="5263" xr:uid="{78AA1DCF-F880-45C9-ABD5-D695D4ADD4D6}"/>
    <cellStyle name="20% - Accent4 30 10 4 3" xfId="5264" xr:uid="{C3EED1C3-D879-4E52-A3A7-2F471054B8DA}"/>
    <cellStyle name="20% - Accent4 30 10 5" xfId="5265" xr:uid="{98A5306D-EEC1-4573-A6E0-E3F0106CFA64}"/>
    <cellStyle name="20% - Accent4 30 10 5 2" xfId="5266" xr:uid="{CE75897E-0136-4CE6-9E74-56BE38FA9F2B}"/>
    <cellStyle name="20% - Accent4 30 10 6" xfId="5267" xr:uid="{1E9A41BE-F4FC-4334-870D-EC6B70F7411A}"/>
    <cellStyle name="20% - Accent4 30 11" xfId="5268" xr:uid="{5346FE2B-254F-45B1-AC1B-0460C77B8026}"/>
    <cellStyle name="20% - Accent4 30 11 2" xfId="5269" xr:uid="{12CD8EC0-8A31-46E2-85B1-0F05ACD9AC46}"/>
    <cellStyle name="20% - Accent4 30 11 2 2" xfId="5270" xr:uid="{373B8800-CC6C-40FD-8274-2049A9F0564C}"/>
    <cellStyle name="20% - Accent4 30 11 2 2 2" xfId="5271" xr:uid="{74799534-623C-4F7B-8C2F-D7226346A4E7}"/>
    <cellStyle name="20% - Accent4 30 11 2 3" xfId="5272" xr:uid="{4F317759-1D89-423F-B59E-A06F2AC6C9C8}"/>
    <cellStyle name="20% - Accent4 30 11 3" xfId="5273" xr:uid="{183C0700-6186-4D9B-8C73-AF272D79DC5E}"/>
    <cellStyle name="20% - Accent4 30 11 3 2" xfId="5274" xr:uid="{C3B50B46-9B0F-44C7-8C6B-BC5756A6DECF}"/>
    <cellStyle name="20% - Accent4 30 11 3 2 2" xfId="5275" xr:uid="{EE3474BB-85B6-4AFA-BBEE-6B783C26CD82}"/>
    <cellStyle name="20% - Accent4 30 11 3 3" xfId="5276" xr:uid="{423ED453-2871-47D0-95BE-AFF7DC0DBAD1}"/>
    <cellStyle name="20% - Accent4 30 11 4" xfId="5277" xr:uid="{44506C51-57FB-4C95-8771-27A523B5E6DA}"/>
    <cellStyle name="20% - Accent4 30 11 4 2" xfId="5278" xr:uid="{06147488-1878-4631-9718-C96CA976CAC6}"/>
    <cellStyle name="20% - Accent4 30 11 5" xfId="5279" xr:uid="{438E8DE2-0E0C-497D-90F9-B6416B6AA02C}"/>
    <cellStyle name="20% - Accent4 30 12" xfId="5280" xr:uid="{8E7E5F9C-5955-4DD5-9C8C-ED4D273E6390}"/>
    <cellStyle name="20% - Accent4 30 12 2" xfId="5281" xr:uid="{C224089B-DEB1-4EF1-B53F-17891EA19666}"/>
    <cellStyle name="20% - Accent4 30 12 2 2" xfId="5282" xr:uid="{360991BC-96D8-4057-9584-544671B854A6}"/>
    <cellStyle name="20% - Accent4 30 12 3" xfId="5283" xr:uid="{3D1C12AB-DB5D-4001-9D4A-DF684B77CE02}"/>
    <cellStyle name="20% - Accent4 30 13" xfId="5284" xr:uid="{B9CE95F0-1CC0-4E6B-AB5A-26EB437EB928}"/>
    <cellStyle name="20% - Accent4 30 13 2" xfId="5285" xr:uid="{345D2D32-777C-4BEB-917A-D993ABF97DBA}"/>
    <cellStyle name="20% - Accent4 30 13 2 2" xfId="5286" xr:uid="{D14CF59C-0331-47BE-BBBB-1EFB596B0B0C}"/>
    <cellStyle name="20% - Accent4 30 13 3" xfId="5287" xr:uid="{8DBEBF43-F9CF-4FB2-8339-E8B390EC29D8}"/>
    <cellStyle name="20% - Accent4 30 14" xfId="5288" xr:uid="{D13DE733-BABF-47B9-9405-C9F8A55F5C88}"/>
    <cellStyle name="20% - Accent4 30 14 2" xfId="5289" xr:uid="{730F5FE3-3FF4-4D61-856A-86668D3473EC}"/>
    <cellStyle name="20% - Accent4 30 15" xfId="5290" xr:uid="{A290585F-B865-4CC7-BD73-3805B1A2E98E}"/>
    <cellStyle name="20% - Accent4 30 16" xfId="36170" xr:uid="{830F5881-069C-43A9-8E21-F3EBE6C67C32}"/>
    <cellStyle name="20% - Accent4 30 2" xfId="5291" xr:uid="{F0F4957D-3F08-4890-B298-DE66634A45DE}"/>
    <cellStyle name="20% - Accent4 30 2 2" xfId="5292" xr:uid="{9E79F9AA-5856-44DA-9A41-C6ADBB651EBF}"/>
    <cellStyle name="20% - Accent4 30 2 2 2" xfId="5293" xr:uid="{B955367B-7946-4B7D-8CDA-1BF8B6D63BE1}"/>
    <cellStyle name="20% - Accent4 30 2 2 2 2" xfId="5294" xr:uid="{27325D15-D5AE-4890-9596-3072CA75C686}"/>
    <cellStyle name="20% - Accent4 30 2 2 2 2 2" xfId="5295" xr:uid="{356D765D-900C-4811-A112-95BA6BEC44DE}"/>
    <cellStyle name="20% - Accent4 30 2 2 2 3" xfId="5296" xr:uid="{C4CF85F0-D1AD-4867-91A3-BEA8E7F08A78}"/>
    <cellStyle name="20% - Accent4 30 2 2 3" xfId="5297" xr:uid="{630AFDB0-FBA5-48DB-9396-10461BB27BD3}"/>
    <cellStyle name="20% - Accent4 30 2 2 3 2" xfId="5298" xr:uid="{795E6A18-0090-4AF6-ACD1-83D38E765192}"/>
    <cellStyle name="20% - Accent4 30 2 2 3 2 2" xfId="5299" xr:uid="{898F3C34-FF11-4A63-B32A-E5E94EDF9C7A}"/>
    <cellStyle name="20% - Accent4 30 2 2 3 3" xfId="5300" xr:uid="{629BD0FE-6C17-40F4-AA66-BE7128328E03}"/>
    <cellStyle name="20% - Accent4 30 2 2 4" xfId="5301" xr:uid="{A21E667A-2C1B-442B-BCCA-00F83239AB69}"/>
    <cellStyle name="20% - Accent4 30 2 2 4 2" xfId="5302" xr:uid="{34727CFE-03D0-44A8-877D-16323D6AABE3}"/>
    <cellStyle name="20% - Accent4 30 2 2 5" xfId="5303" xr:uid="{4E8B4736-4C5E-4379-BC08-B12069C137F0}"/>
    <cellStyle name="20% - Accent4 30 2 3" xfId="5304" xr:uid="{F61DB3B7-0D66-48C2-A9FC-AB4D1E9DB4C0}"/>
    <cellStyle name="20% - Accent4 30 2 3 2" xfId="5305" xr:uid="{932B5928-8F50-4BA1-B9DD-6881599A9DBA}"/>
    <cellStyle name="20% - Accent4 30 2 3 2 2" xfId="5306" xr:uid="{6FE0BE3F-C89B-4EB8-A53D-2BD2D8214AF5}"/>
    <cellStyle name="20% - Accent4 30 2 3 3" xfId="5307" xr:uid="{3BC84F2E-0113-4B36-A752-E4C1F31B4C5A}"/>
    <cellStyle name="20% - Accent4 30 2 4" xfId="5308" xr:uid="{4DB5F433-50CA-40E5-9D02-2D596B51BF0E}"/>
    <cellStyle name="20% - Accent4 30 2 4 2" xfId="5309" xr:uid="{58EDC5F6-4264-4643-81AC-01BF4518D7A6}"/>
    <cellStyle name="20% - Accent4 30 2 4 2 2" xfId="5310" xr:uid="{EC26B9B4-B3AB-4783-AA74-A3642F90EECB}"/>
    <cellStyle name="20% - Accent4 30 2 4 3" xfId="5311" xr:uid="{062B5E4C-D9DE-4516-8995-E55A03860390}"/>
    <cellStyle name="20% - Accent4 30 2 5" xfId="5312" xr:uid="{71A9BDFD-6067-4817-91E6-F7F4B33F29A7}"/>
    <cellStyle name="20% - Accent4 30 2 5 2" xfId="5313" xr:uid="{091ABA91-001D-4271-8EA2-6DCAE234AC7A}"/>
    <cellStyle name="20% - Accent4 30 2 6" xfId="5314" xr:uid="{829F8674-FA96-4BDF-952A-8CA7F14FD1C5}"/>
    <cellStyle name="20% - Accent4 30 3" xfId="5315" xr:uid="{87436EE1-C90A-4603-A0C0-40B4DC30F6D6}"/>
    <cellStyle name="20% - Accent4 30 3 2" xfId="5316" xr:uid="{9D3EB63F-CDE3-48DD-96E3-D8398DDBF39B}"/>
    <cellStyle name="20% - Accent4 30 3 2 2" xfId="5317" xr:uid="{3A6F8267-B8A5-46B4-BD57-5CFE5F17DE43}"/>
    <cellStyle name="20% - Accent4 30 3 2 2 2" xfId="5318" xr:uid="{8901C65E-4A20-47A7-8E84-4CFD0C3F4F48}"/>
    <cellStyle name="20% - Accent4 30 3 2 2 2 2" xfId="5319" xr:uid="{F2DB988A-F753-466E-AB61-4ADBE5B44225}"/>
    <cellStyle name="20% - Accent4 30 3 2 2 3" xfId="5320" xr:uid="{A248C8BF-31BC-40F1-9C16-7D50F99EBBBC}"/>
    <cellStyle name="20% - Accent4 30 3 2 3" xfId="5321" xr:uid="{43D9068C-9B35-4C28-9ADB-C66D051CFBD5}"/>
    <cellStyle name="20% - Accent4 30 3 2 3 2" xfId="5322" xr:uid="{A47103CB-6EDB-46E7-819C-689FAFEE1F85}"/>
    <cellStyle name="20% - Accent4 30 3 2 3 2 2" xfId="5323" xr:uid="{CA1D387A-FBE6-488E-8094-D8F29CF9781E}"/>
    <cellStyle name="20% - Accent4 30 3 2 3 3" xfId="5324" xr:uid="{ECF51815-5909-493F-BBC5-BFE955256FC6}"/>
    <cellStyle name="20% - Accent4 30 3 2 4" xfId="5325" xr:uid="{D0CE68EB-90F4-41CA-B0CD-8FCCA29CF71E}"/>
    <cellStyle name="20% - Accent4 30 3 2 4 2" xfId="5326" xr:uid="{A7197EB9-E86A-4C40-92ED-94354E057449}"/>
    <cellStyle name="20% - Accent4 30 3 2 5" xfId="5327" xr:uid="{41F38FB4-21E6-4AA4-8DBB-D26A0B08B218}"/>
    <cellStyle name="20% - Accent4 30 3 3" xfId="5328" xr:uid="{EA5EB119-F480-42E0-9AE2-BB0077CEC26D}"/>
    <cellStyle name="20% - Accent4 30 3 3 2" xfId="5329" xr:uid="{F46DCFAD-38B5-441A-83F9-12C391EB84FB}"/>
    <cellStyle name="20% - Accent4 30 3 3 2 2" xfId="5330" xr:uid="{61FBB619-7BA4-4BA7-983F-BFE77A22981B}"/>
    <cellStyle name="20% - Accent4 30 3 3 3" xfId="5331" xr:uid="{EBFB3EA1-B7A6-4042-B3A4-C24003965A17}"/>
    <cellStyle name="20% - Accent4 30 3 4" xfId="5332" xr:uid="{4843949D-CE27-4FE9-BDF7-3AFF0D8859DB}"/>
    <cellStyle name="20% - Accent4 30 3 4 2" xfId="5333" xr:uid="{58847239-B442-47FB-92C9-01B64CCB799A}"/>
    <cellStyle name="20% - Accent4 30 3 4 2 2" xfId="5334" xr:uid="{14D19EDB-3096-4412-AB4F-1E2D3E8C5FC3}"/>
    <cellStyle name="20% - Accent4 30 3 4 3" xfId="5335" xr:uid="{90795B8F-265F-4EFF-BF99-379245E31332}"/>
    <cellStyle name="20% - Accent4 30 3 5" xfId="5336" xr:uid="{154F1594-060B-4465-BC4B-4A75B49D27C9}"/>
    <cellStyle name="20% - Accent4 30 3 5 2" xfId="5337" xr:uid="{6D7A2711-33C2-4D68-875B-55DC2C544C76}"/>
    <cellStyle name="20% - Accent4 30 3 6" xfId="5338" xr:uid="{E40C9A6C-80A4-41D9-A74B-4E9C7E68300E}"/>
    <cellStyle name="20% - Accent4 30 4" xfId="5339" xr:uid="{C12052B8-5E0B-45B6-B29E-7F312A0CCDB7}"/>
    <cellStyle name="20% - Accent4 30 4 2" xfId="5340" xr:uid="{64E6C449-9E98-4A5A-98A0-C8461EDCD9B6}"/>
    <cellStyle name="20% - Accent4 30 4 2 2" xfId="5341" xr:uid="{F456A3FF-7AE7-4EFA-8E44-62AF0F625583}"/>
    <cellStyle name="20% - Accent4 30 4 2 2 2" xfId="5342" xr:uid="{1222A0C5-7FFF-4C83-88F8-CADA19092BC8}"/>
    <cellStyle name="20% - Accent4 30 4 2 2 2 2" xfId="5343" xr:uid="{15A67A57-AA1C-4B1F-8AA5-8958C15BCF6F}"/>
    <cellStyle name="20% - Accent4 30 4 2 2 3" xfId="5344" xr:uid="{9874BD7D-8735-4CD5-809F-E9101541E0B9}"/>
    <cellStyle name="20% - Accent4 30 4 2 3" xfId="5345" xr:uid="{C49869F4-2CCF-47C5-A696-CCD82D84D698}"/>
    <cellStyle name="20% - Accent4 30 4 2 3 2" xfId="5346" xr:uid="{7E244ED9-1FD3-4288-A132-2E948154C19A}"/>
    <cellStyle name="20% - Accent4 30 4 2 3 2 2" xfId="5347" xr:uid="{30627FB6-458C-4035-8D27-A8C86A417226}"/>
    <cellStyle name="20% - Accent4 30 4 2 3 3" xfId="5348" xr:uid="{AB503A96-234F-412C-8C2E-934F00990705}"/>
    <cellStyle name="20% - Accent4 30 4 2 4" xfId="5349" xr:uid="{5D2A51CD-C243-4ABA-A3C2-CDF72F35A0CF}"/>
    <cellStyle name="20% - Accent4 30 4 2 4 2" xfId="5350" xr:uid="{95A8DFC2-8D3B-4FFE-92CE-52DC359D334A}"/>
    <cellStyle name="20% - Accent4 30 4 2 5" xfId="5351" xr:uid="{1F1E6E33-53A7-4FA6-8417-AD991049AAD1}"/>
    <cellStyle name="20% - Accent4 30 4 3" xfId="5352" xr:uid="{28496348-BA54-48D0-901A-3EC382DE4CE8}"/>
    <cellStyle name="20% - Accent4 30 4 3 2" xfId="5353" xr:uid="{31B43F08-9EE4-4F52-BB11-5A9D4CC93591}"/>
    <cellStyle name="20% - Accent4 30 4 3 2 2" xfId="5354" xr:uid="{9909BED5-D42F-4406-9100-084386075F7A}"/>
    <cellStyle name="20% - Accent4 30 4 3 3" xfId="5355" xr:uid="{27E70B63-8C3E-4652-B769-9ACDDDCB85D9}"/>
    <cellStyle name="20% - Accent4 30 4 4" xfId="5356" xr:uid="{9E97FC69-FB9F-4570-A887-9BECD85D0D56}"/>
    <cellStyle name="20% - Accent4 30 4 4 2" xfId="5357" xr:uid="{8DF82FE1-4059-4F3F-8AC8-7E94614AD133}"/>
    <cellStyle name="20% - Accent4 30 4 4 2 2" xfId="5358" xr:uid="{7342750B-96F3-42EB-A528-15108DBF3FC3}"/>
    <cellStyle name="20% - Accent4 30 4 4 3" xfId="5359" xr:uid="{0A990194-9D2B-429B-A283-194C445FAFF1}"/>
    <cellStyle name="20% - Accent4 30 4 5" xfId="5360" xr:uid="{2A31CB95-FF0A-4608-BA8E-85BE3B9A6166}"/>
    <cellStyle name="20% - Accent4 30 4 5 2" xfId="5361" xr:uid="{301ED6BD-96BF-4851-AE4D-1C91943E702C}"/>
    <cellStyle name="20% - Accent4 30 4 6" xfId="5362" xr:uid="{077EE567-1286-4B3C-8251-E0A7A164C057}"/>
    <cellStyle name="20% - Accent4 30 5" xfId="5363" xr:uid="{573CAD8E-2AC0-4FA7-A388-1AA35070D923}"/>
    <cellStyle name="20% - Accent4 30 5 2" xfId="5364" xr:uid="{3A1A81F7-F638-4770-A544-5DB58CEAB116}"/>
    <cellStyle name="20% - Accent4 30 5 2 2" xfId="5365" xr:uid="{BBF9EF67-00F6-4444-8511-A375ED7A332F}"/>
    <cellStyle name="20% - Accent4 30 5 2 2 2" xfId="5366" xr:uid="{832ED3C1-D0BE-4B9D-8BB0-9BDEE62983EA}"/>
    <cellStyle name="20% - Accent4 30 5 2 2 2 2" xfId="5367" xr:uid="{EE81B684-873B-4A8B-BF74-408537DD6ADD}"/>
    <cellStyle name="20% - Accent4 30 5 2 2 3" xfId="5368" xr:uid="{1807D5D6-2464-44FE-9C79-3C46F8CB4D61}"/>
    <cellStyle name="20% - Accent4 30 5 2 3" xfId="5369" xr:uid="{10563B54-DF31-4102-BDC5-85F76AAB34DD}"/>
    <cellStyle name="20% - Accent4 30 5 2 3 2" xfId="5370" xr:uid="{7128A37E-BBCC-4606-A79B-1BC62B31FAC3}"/>
    <cellStyle name="20% - Accent4 30 5 2 3 2 2" xfId="5371" xr:uid="{428C8430-B2E0-44ED-BA97-AE7662DE0AE0}"/>
    <cellStyle name="20% - Accent4 30 5 2 3 3" xfId="5372" xr:uid="{52E3BFA4-6DFE-4B34-8EC7-07CCC5056812}"/>
    <cellStyle name="20% - Accent4 30 5 2 4" xfId="5373" xr:uid="{6C93278A-C4F8-4787-AFB9-5BADB6F55596}"/>
    <cellStyle name="20% - Accent4 30 5 2 4 2" xfId="5374" xr:uid="{1FAADB84-06B5-4BFC-A28A-31FD2306D106}"/>
    <cellStyle name="20% - Accent4 30 5 2 5" xfId="5375" xr:uid="{E0B54B97-34B4-4D03-B88D-29A5ADED1A39}"/>
    <cellStyle name="20% - Accent4 30 5 3" xfId="5376" xr:uid="{D9EF7BDC-E069-4A6A-8BC1-D471B9C5C529}"/>
    <cellStyle name="20% - Accent4 30 5 3 2" xfId="5377" xr:uid="{BC98392A-3B0B-4406-90E2-E523CCBC29C0}"/>
    <cellStyle name="20% - Accent4 30 5 3 2 2" xfId="5378" xr:uid="{36AF29BB-D99C-4A31-8577-997B3A65E758}"/>
    <cellStyle name="20% - Accent4 30 5 3 3" xfId="5379" xr:uid="{58C24AC1-85BC-44B1-A4FA-95CCAC43E302}"/>
    <cellStyle name="20% - Accent4 30 5 4" xfId="5380" xr:uid="{58B2FF05-FFAA-4EC8-8B8A-0090D9DC93E0}"/>
    <cellStyle name="20% - Accent4 30 5 4 2" xfId="5381" xr:uid="{689A6FA4-1735-43E3-B65B-FD8386326AE7}"/>
    <cellStyle name="20% - Accent4 30 5 4 2 2" xfId="5382" xr:uid="{08D27E80-3DE6-45C1-9C2F-CF92A31AE9E7}"/>
    <cellStyle name="20% - Accent4 30 5 4 3" xfId="5383" xr:uid="{E49AB77B-BF45-4F3E-8D76-367ACC1B2ED1}"/>
    <cellStyle name="20% - Accent4 30 5 5" xfId="5384" xr:uid="{7301E1F9-2036-4216-B805-5019B0A5B4BD}"/>
    <cellStyle name="20% - Accent4 30 5 5 2" xfId="5385" xr:uid="{DBBFE25D-FCAE-4923-B0EB-0A18C766FB3D}"/>
    <cellStyle name="20% - Accent4 30 5 6" xfId="5386" xr:uid="{A3344F89-B5A8-4885-849B-ADCB1F33A872}"/>
    <cellStyle name="20% - Accent4 30 6" xfId="5387" xr:uid="{BDD71036-8254-43CF-972B-BEC28F19F1F9}"/>
    <cellStyle name="20% - Accent4 30 6 2" xfId="5388" xr:uid="{699FC3AC-DBF4-4A33-BD2A-704FD6A9F032}"/>
    <cellStyle name="20% - Accent4 30 6 2 2" xfId="5389" xr:uid="{B37BBC9A-61B1-42D1-A087-46CD0D3ECA33}"/>
    <cellStyle name="20% - Accent4 30 6 2 2 2" xfId="5390" xr:uid="{F426A85B-F7E7-4018-A9E0-0418128E7FBF}"/>
    <cellStyle name="20% - Accent4 30 6 2 2 2 2" xfId="5391" xr:uid="{AC71727D-AE80-44B0-B99C-0254D47A1CF4}"/>
    <cellStyle name="20% - Accent4 30 6 2 2 3" xfId="5392" xr:uid="{7294299C-91B2-4FCC-B270-AE0E56EF0DDF}"/>
    <cellStyle name="20% - Accent4 30 6 2 3" xfId="5393" xr:uid="{3A9BA338-5ACB-4ADE-BE2C-DD7CF07177D5}"/>
    <cellStyle name="20% - Accent4 30 6 2 3 2" xfId="5394" xr:uid="{4AB3473D-6F42-42EB-A399-8A171E4904C0}"/>
    <cellStyle name="20% - Accent4 30 6 2 3 2 2" xfId="5395" xr:uid="{11381F42-D7FD-4F25-9E9E-FEBB5E9C2E72}"/>
    <cellStyle name="20% - Accent4 30 6 2 3 3" xfId="5396" xr:uid="{EF815C20-2ED6-4429-A45F-99BF7D4F402F}"/>
    <cellStyle name="20% - Accent4 30 6 2 4" xfId="5397" xr:uid="{9F8F8371-4F63-434A-887E-B568B39365AB}"/>
    <cellStyle name="20% - Accent4 30 6 2 4 2" xfId="5398" xr:uid="{41A0C57C-0715-494A-85FE-7C06CC87BBB8}"/>
    <cellStyle name="20% - Accent4 30 6 2 5" xfId="5399" xr:uid="{23631993-5D09-440E-9A9C-8B39E3AA40FA}"/>
    <cellStyle name="20% - Accent4 30 6 3" xfId="5400" xr:uid="{556B4CC7-CB3E-4134-9073-5D438ABB21C1}"/>
    <cellStyle name="20% - Accent4 30 6 3 2" xfId="5401" xr:uid="{58F85091-6BE2-4C6F-90F5-18A7222D2A29}"/>
    <cellStyle name="20% - Accent4 30 6 3 2 2" xfId="5402" xr:uid="{A9696996-3226-4B1E-844A-6DB93B9BCF26}"/>
    <cellStyle name="20% - Accent4 30 6 3 3" xfId="5403" xr:uid="{F3A98949-82CB-4225-B7CE-702D4B8F49BA}"/>
    <cellStyle name="20% - Accent4 30 6 4" xfId="5404" xr:uid="{2F1EB694-B15A-4234-AE23-6A0D5E79BD02}"/>
    <cellStyle name="20% - Accent4 30 6 4 2" xfId="5405" xr:uid="{671E3883-F46F-423A-9E53-096E6F32DE2E}"/>
    <cellStyle name="20% - Accent4 30 6 4 2 2" xfId="5406" xr:uid="{48BF1F18-6B8A-47F4-A8CA-8F81AFBFC166}"/>
    <cellStyle name="20% - Accent4 30 6 4 3" xfId="5407" xr:uid="{C2B09E89-A4B9-467E-9AC4-1AFDA8F175BA}"/>
    <cellStyle name="20% - Accent4 30 6 5" xfId="5408" xr:uid="{5269F6DA-7B84-4F1B-946A-270AD8A82E65}"/>
    <cellStyle name="20% - Accent4 30 6 5 2" xfId="5409" xr:uid="{ACB81B68-89F6-4E74-B502-3D23D71DD8C4}"/>
    <cellStyle name="20% - Accent4 30 6 6" xfId="5410" xr:uid="{1E9B04B4-411F-40CD-A9C6-C45324C83D51}"/>
    <cellStyle name="20% - Accent4 30 7" xfId="5411" xr:uid="{D7F7FAFB-295D-49DD-95BD-4373585118BC}"/>
    <cellStyle name="20% - Accent4 30 7 2" xfId="5412" xr:uid="{F5EDF223-5387-48CA-B5F0-ABC6AEB46759}"/>
    <cellStyle name="20% - Accent4 30 7 2 2" xfId="5413" xr:uid="{7ACAF57A-ADB1-4465-83A7-C63F166DB704}"/>
    <cellStyle name="20% - Accent4 30 7 2 2 2" xfId="5414" xr:uid="{868184A5-CDC9-42F4-9847-157D16BC9E9E}"/>
    <cellStyle name="20% - Accent4 30 7 2 2 2 2" xfId="5415" xr:uid="{97176437-8EAF-4F71-BCBC-006EE1B2C3F8}"/>
    <cellStyle name="20% - Accent4 30 7 2 2 3" xfId="5416" xr:uid="{0CE39863-9184-4399-B209-1E3867C238BA}"/>
    <cellStyle name="20% - Accent4 30 7 2 3" xfId="5417" xr:uid="{6EEC37CE-896D-426C-8F32-E8C35494EBD6}"/>
    <cellStyle name="20% - Accent4 30 7 2 3 2" xfId="5418" xr:uid="{1AAEF867-7C40-432B-9E35-717072016DDE}"/>
    <cellStyle name="20% - Accent4 30 7 2 3 2 2" xfId="5419" xr:uid="{5EF23A76-FA3C-4BEF-8259-B7106A400041}"/>
    <cellStyle name="20% - Accent4 30 7 2 3 3" xfId="5420" xr:uid="{0065FFFF-D03E-4A59-AF97-FC68EDE95EAE}"/>
    <cellStyle name="20% - Accent4 30 7 2 4" xfId="5421" xr:uid="{4541CD93-56FB-45D4-973D-5CFECB099FF6}"/>
    <cellStyle name="20% - Accent4 30 7 2 4 2" xfId="5422" xr:uid="{12C8F570-F5E9-4E4C-ABDA-B647E25699A0}"/>
    <cellStyle name="20% - Accent4 30 7 2 5" xfId="5423" xr:uid="{497A02B3-74A6-4126-B738-75FA3A5E3937}"/>
    <cellStyle name="20% - Accent4 30 7 3" xfId="5424" xr:uid="{BC196CC6-3F95-49ED-8260-74FC11DF1010}"/>
    <cellStyle name="20% - Accent4 30 7 3 2" xfId="5425" xr:uid="{5F0ADFEC-17E5-446D-99C2-71F488BD1D18}"/>
    <cellStyle name="20% - Accent4 30 7 3 2 2" xfId="5426" xr:uid="{AB6B9339-BF2D-4C64-812F-4BF82954999A}"/>
    <cellStyle name="20% - Accent4 30 7 3 3" xfId="5427" xr:uid="{9D6F6F30-803F-4FCC-8ED9-2BDC475F6C10}"/>
    <cellStyle name="20% - Accent4 30 7 4" xfId="5428" xr:uid="{048CC5CF-D326-4696-B8E8-E5B6867EB2CA}"/>
    <cellStyle name="20% - Accent4 30 7 4 2" xfId="5429" xr:uid="{093754F7-C3A5-4152-BCED-419C451EADCB}"/>
    <cellStyle name="20% - Accent4 30 7 4 2 2" xfId="5430" xr:uid="{D2C1D567-8139-4868-BDC1-96104C1A1580}"/>
    <cellStyle name="20% - Accent4 30 7 4 3" xfId="5431" xr:uid="{5C17FCA0-8ED4-4D31-A328-4F76667E33CA}"/>
    <cellStyle name="20% - Accent4 30 7 5" xfId="5432" xr:uid="{08F40576-C885-4354-96BA-702883F16C73}"/>
    <cellStyle name="20% - Accent4 30 7 5 2" xfId="5433" xr:uid="{3225E463-6145-4F96-AFA5-874491189B96}"/>
    <cellStyle name="20% - Accent4 30 7 6" xfId="5434" xr:uid="{6F493509-0AC2-45F0-BC5C-BBB8D5FCAE20}"/>
    <cellStyle name="20% - Accent4 30 8" xfId="5435" xr:uid="{41FDA1BD-E912-4D17-81E5-646FF733ED59}"/>
    <cellStyle name="20% - Accent4 30 8 2" xfId="5436" xr:uid="{0211F180-4CF9-4F3F-87D5-6F40FC002D5B}"/>
    <cellStyle name="20% - Accent4 30 8 2 2" xfId="5437" xr:uid="{3A19B2F4-C9EB-4B47-9DC1-81FEC9D2A6A9}"/>
    <cellStyle name="20% - Accent4 30 8 2 2 2" xfId="5438" xr:uid="{25A232E4-3C6F-4DC9-A5E1-C19C0940DA44}"/>
    <cellStyle name="20% - Accent4 30 8 2 2 2 2" xfId="5439" xr:uid="{A66627CB-680C-4A8F-94C3-41B30BB7994A}"/>
    <cellStyle name="20% - Accent4 30 8 2 2 3" xfId="5440" xr:uid="{605A2A21-BCF0-44CB-80C1-B33BEF92D50F}"/>
    <cellStyle name="20% - Accent4 30 8 2 3" xfId="5441" xr:uid="{07A74759-29D4-41E5-8475-A0408C775ABE}"/>
    <cellStyle name="20% - Accent4 30 8 2 3 2" xfId="5442" xr:uid="{9429B157-F1C0-4FE7-9708-9BFFA8919D93}"/>
    <cellStyle name="20% - Accent4 30 8 2 3 2 2" xfId="5443" xr:uid="{B89BF44A-4DC5-4600-B330-ACADBD00EFCF}"/>
    <cellStyle name="20% - Accent4 30 8 2 3 3" xfId="5444" xr:uid="{36671926-F16B-4921-B732-3FCCDE4817EA}"/>
    <cellStyle name="20% - Accent4 30 8 2 4" xfId="5445" xr:uid="{165BF439-5CF3-4434-ADEA-D2095DA4AC89}"/>
    <cellStyle name="20% - Accent4 30 8 2 4 2" xfId="5446" xr:uid="{4CD7B353-BB36-4BAF-B4F2-931888866D49}"/>
    <cellStyle name="20% - Accent4 30 8 2 5" xfId="5447" xr:uid="{21C979CA-AF9B-4935-A1F8-78C51A43DE15}"/>
    <cellStyle name="20% - Accent4 30 8 3" xfId="5448" xr:uid="{73F5C018-2187-434B-94FE-85ABF9F1C664}"/>
    <cellStyle name="20% - Accent4 30 8 3 2" xfId="5449" xr:uid="{2C1D2F58-E65F-4F5E-8A9B-18A57E664DC5}"/>
    <cellStyle name="20% - Accent4 30 8 3 2 2" xfId="5450" xr:uid="{6DE6D9E9-5840-42AF-ABD6-F9B866D3A432}"/>
    <cellStyle name="20% - Accent4 30 8 3 3" xfId="5451" xr:uid="{F34E1E8A-BF4E-4C24-B4FC-706E4CA61168}"/>
    <cellStyle name="20% - Accent4 30 8 4" xfId="5452" xr:uid="{8395A2A7-9D48-4BC0-BF0B-F55D6DB50C10}"/>
    <cellStyle name="20% - Accent4 30 8 4 2" xfId="5453" xr:uid="{82BD6D28-E206-43F4-A0BD-9651EE2C52C8}"/>
    <cellStyle name="20% - Accent4 30 8 4 2 2" xfId="5454" xr:uid="{44FB3D38-0F5A-44E4-AFE3-65FE7A5B9EA8}"/>
    <cellStyle name="20% - Accent4 30 8 4 3" xfId="5455" xr:uid="{FE7AC74E-DE76-44CA-B6DC-F457799201B7}"/>
    <cellStyle name="20% - Accent4 30 8 5" xfId="5456" xr:uid="{9F5C98B3-A15C-439B-A1E8-A5D3557E604F}"/>
    <cellStyle name="20% - Accent4 30 8 5 2" xfId="5457" xr:uid="{DB114942-04BC-420B-A855-72DEE7646D70}"/>
    <cellStyle name="20% - Accent4 30 8 6" xfId="5458" xr:uid="{345991D8-200A-4C40-9A1E-4454E3E53C5F}"/>
    <cellStyle name="20% - Accent4 30 9" xfId="5459" xr:uid="{574A6C5E-2130-4E30-BE69-B11376C9E8E2}"/>
    <cellStyle name="20% - Accent4 30 9 2" xfId="5460" xr:uid="{F03DF6FB-1FBD-4EE6-B02E-63248C75CA0B}"/>
    <cellStyle name="20% - Accent4 30 9 2 2" xfId="5461" xr:uid="{04AFA59F-9B09-4C21-9E68-E84811025138}"/>
    <cellStyle name="20% - Accent4 30 9 2 2 2" xfId="5462" xr:uid="{7AADE4AE-FCF6-4BFD-94A4-737B4F6B54EC}"/>
    <cellStyle name="20% - Accent4 30 9 2 2 2 2" xfId="5463" xr:uid="{E809C45E-9E00-4301-8C9F-1F07891CA2FB}"/>
    <cellStyle name="20% - Accent4 30 9 2 2 3" xfId="5464" xr:uid="{FAB87D8C-985E-46BA-8C6C-701AFF4F130E}"/>
    <cellStyle name="20% - Accent4 30 9 2 3" xfId="5465" xr:uid="{786A16B3-8D75-4611-83FC-97BFB1746AFC}"/>
    <cellStyle name="20% - Accent4 30 9 2 3 2" xfId="5466" xr:uid="{0DB0DA81-0BF8-483E-8EDD-DC89B9498D55}"/>
    <cellStyle name="20% - Accent4 30 9 2 3 2 2" xfId="5467" xr:uid="{B9F2486F-F9BE-4D4E-A749-AFDB9C39C544}"/>
    <cellStyle name="20% - Accent4 30 9 2 3 3" xfId="5468" xr:uid="{FF86CB9C-0D3B-40A9-9595-B78368B1B700}"/>
    <cellStyle name="20% - Accent4 30 9 2 4" xfId="5469" xr:uid="{D3199A0E-4D41-4BB3-9005-D1D9BAB1C1D8}"/>
    <cellStyle name="20% - Accent4 30 9 2 4 2" xfId="5470" xr:uid="{A1FB2C95-C75B-43E5-AEB8-A5BB56384A72}"/>
    <cellStyle name="20% - Accent4 30 9 2 5" xfId="5471" xr:uid="{2999004B-5F8C-4D60-BE67-003151B16837}"/>
    <cellStyle name="20% - Accent4 30 9 3" xfId="5472" xr:uid="{8F5FBCED-7925-4581-A8F4-E3F1D97ACFE7}"/>
    <cellStyle name="20% - Accent4 30 9 3 2" xfId="5473" xr:uid="{9B8A2CE9-C06A-4D4B-BCA6-A114D053BED8}"/>
    <cellStyle name="20% - Accent4 30 9 3 2 2" xfId="5474" xr:uid="{50E1FB05-2564-4B54-9E45-CDEEA350F145}"/>
    <cellStyle name="20% - Accent4 30 9 3 3" xfId="5475" xr:uid="{A759F0A6-50A2-4356-9FCD-E0AE64A5BEF5}"/>
    <cellStyle name="20% - Accent4 30 9 4" xfId="5476" xr:uid="{CD491306-23B1-4443-94FF-1568EFCDC1E2}"/>
    <cellStyle name="20% - Accent4 30 9 4 2" xfId="5477" xr:uid="{B2913751-4AA1-410B-B3DA-B2EDA18E3BE9}"/>
    <cellStyle name="20% - Accent4 30 9 4 2 2" xfId="5478" xr:uid="{041D4D20-FA9E-4003-A2B9-658B36979FC9}"/>
    <cellStyle name="20% - Accent4 30 9 4 3" xfId="5479" xr:uid="{AE4E7F1D-9D72-486D-A58B-DBC762B69853}"/>
    <cellStyle name="20% - Accent4 30 9 5" xfId="5480" xr:uid="{6C5B2DC4-B8AB-436A-AA9B-4652E98FDE8F}"/>
    <cellStyle name="20% - Accent4 30 9 5 2" xfId="5481" xr:uid="{A70295B4-3B9D-4696-9667-8C0FA299665A}"/>
    <cellStyle name="20% - Accent4 30 9 6" xfId="5482" xr:uid="{958791F4-8CD8-4E1A-9D59-BE754C542043}"/>
    <cellStyle name="20% - Accent4 31" xfId="5483" xr:uid="{4995C655-2D1B-4390-AB2C-FE01FBC407F0}"/>
    <cellStyle name="20% - Accent4 31 10" xfId="5484" xr:uid="{A4F5F9CE-2661-4629-B92E-F7A955B72AC0}"/>
    <cellStyle name="20% - Accent4 31 10 2" xfId="5485" xr:uid="{28CCA029-8249-4D41-B275-0C4ED46CDFE3}"/>
    <cellStyle name="20% - Accent4 31 10 2 2" xfId="5486" xr:uid="{89A97B07-1C12-4735-A8DF-D7267467C597}"/>
    <cellStyle name="20% - Accent4 31 10 2 2 2" xfId="5487" xr:uid="{64D0E1AA-D886-4A66-8E0C-4E40656A4B92}"/>
    <cellStyle name="20% - Accent4 31 10 2 2 2 2" xfId="5488" xr:uid="{DE2BCC5A-7B48-44D7-88CE-37E1D3B95642}"/>
    <cellStyle name="20% - Accent4 31 10 2 2 3" xfId="5489" xr:uid="{DB399F42-AEFA-436A-BF0B-14E5110B703B}"/>
    <cellStyle name="20% - Accent4 31 10 2 3" xfId="5490" xr:uid="{94A5703C-0739-42A2-AD43-348CD7FD9D7A}"/>
    <cellStyle name="20% - Accent4 31 10 2 3 2" xfId="5491" xr:uid="{007C2528-E344-44E7-89B1-5E3791A0C2C7}"/>
    <cellStyle name="20% - Accent4 31 10 2 3 2 2" xfId="5492" xr:uid="{2A78E177-3D8D-486F-8BA7-E06CCA03CCEF}"/>
    <cellStyle name="20% - Accent4 31 10 2 3 3" xfId="5493" xr:uid="{9265717C-E098-4CE1-8AE9-4A329F07286D}"/>
    <cellStyle name="20% - Accent4 31 10 2 4" xfId="5494" xr:uid="{684806B6-BB3F-442E-989E-4422F4518285}"/>
    <cellStyle name="20% - Accent4 31 10 2 4 2" xfId="5495" xr:uid="{DFBE452E-E75F-45E5-8D76-D414C69BBC7F}"/>
    <cellStyle name="20% - Accent4 31 10 2 5" xfId="5496" xr:uid="{19DD2429-BF9E-405E-8891-9897FF98EFDE}"/>
    <cellStyle name="20% - Accent4 31 10 3" xfId="5497" xr:uid="{AC7EFAC1-467B-41C2-B5D3-D6BD669DCAD0}"/>
    <cellStyle name="20% - Accent4 31 10 3 2" xfId="5498" xr:uid="{269D58B3-1935-455D-92E1-9BB34BB2ADE0}"/>
    <cellStyle name="20% - Accent4 31 10 3 2 2" xfId="5499" xr:uid="{C2BFC131-B98E-4590-ADDC-49171D148D9E}"/>
    <cellStyle name="20% - Accent4 31 10 3 3" xfId="5500" xr:uid="{9B8F5ED6-A24A-453A-A19F-4A2B01BCC161}"/>
    <cellStyle name="20% - Accent4 31 10 4" xfId="5501" xr:uid="{EFA21095-D557-4C33-AF73-4CBC774B8F38}"/>
    <cellStyle name="20% - Accent4 31 10 4 2" xfId="5502" xr:uid="{05B49A4F-E544-4C63-ABCC-24793E0B221A}"/>
    <cellStyle name="20% - Accent4 31 10 4 2 2" xfId="5503" xr:uid="{9EF2354F-AAE4-47B8-AD8C-9E0AD6B23061}"/>
    <cellStyle name="20% - Accent4 31 10 4 3" xfId="5504" xr:uid="{B593063E-F795-4CD1-908D-76CAA6006531}"/>
    <cellStyle name="20% - Accent4 31 10 5" xfId="5505" xr:uid="{6A6D0FCF-63B2-4901-804C-177C242AF48D}"/>
    <cellStyle name="20% - Accent4 31 10 5 2" xfId="5506" xr:uid="{9FF0F4AC-C89C-422F-9558-C8FD0F3E5E4A}"/>
    <cellStyle name="20% - Accent4 31 10 6" xfId="5507" xr:uid="{E1BC1D8A-2F89-480C-B89A-DB3E03DBD7E5}"/>
    <cellStyle name="20% - Accent4 31 11" xfId="5508" xr:uid="{5973D4ED-838F-4988-ADBC-63BDF522F80C}"/>
    <cellStyle name="20% - Accent4 31 11 2" xfId="5509" xr:uid="{870EDDB9-696C-4C38-9F06-68D40CE5A254}"/>
    <cellStyle name="20% - Accent4 31 11 2 2" xfId="5510" xr:uid="{24007746-17C2-44E1-BB87-C3D653F946AC}"/>
    <cellStyle name="20% - Accent4 31 11 2 2 2" xfId="5511" xr:uid="{78BB10E9-EF85-4C69-9B1E-35F10DDB505D}"/>
    <cellStyle name="20% - Accent4 31 11 2 3" xfId="5512" xr:uid="{1B4403D7-A886-433C-8480-54458CA34885}"/>
    <cellStyle name="20% - Accent4 31 11 3" xfId="5513" xr:uid="{ABA2465B-8EAA-4D6E-9961-E611F6E43EAC}"/>
    <cellStyle name="20% - Accent4 31 11 3 2" xfId="5514" xr:uid="{4B2D2675-6FCD-47D0-9910-FA3897DAD652}"/>
    <cellStyle name="20% - Accent4 31 11 3 2 2" xfId="5515" xr:uid="{DB72DCFF-8BBF-4393-BA97-A7C57A292D80}"/>
    <cellStyle name="20% - Accent4 31 11 3 3" xfId="5516" xr:uid="{341E5789-89EB-482F-8655-D029D843E0AD}"/>
    <cellStyle name="20% - Accent4 31 11 4" xfId="5517" xr:uid="{F9E97CB3-E8DC-4C42-B72D-D6F3CE3D6967}"/>
    <cellStyle name="20% - Accent4 31 11 4 2" xfId="5518" xr:uid="{EE1AB55C-BFD0-4B31-BDE3-4853A8B0E777}"/>
    <cellStyle name="20% - Accent4 31 11 5" xfId="5519" xr:uid="{AE875A52-6BCC-45A8-9773-1F6BBFBFE331}"/>
    <cellStyle name="20% - Accent4 31 12" xfId="5520" xr:uid="{1FA337D6-A81E-4EE0-833F-D060E7B9A5BC}"/>
    <cellStyle name="20% - Accent4 31 12 2" xfId="5521" xr:uid="{7612E804-BAE0-4967-B71D-1BE80E27F8C4}"/>
    <cellStyle name="20% - Accent4 31 12 2 2" xfId="5522" xr:uid="{71894C3E-3CD1-455E-A745-1C0B24C5FD47}"/>
    <cellStyle name="20% - Accent4 31 12 3" xfId="5523" xr:uid="{7D09A173-8511-4761-AD37-D0EE21D84BEA}"/>
    <cellStyle name="20% - Accent4 31 13" xfId="5524" xr:uid="{C20129AE-6283-49FD-85CC-B9FA3310EE3A}"/>
    <cellStyle name="20% - Accent4 31 13 2" xfId="5525" xr:uid="{0FCDF8E0-5A39-47F7-96D0-9EAE08C2EAE0}"/>
    <cellStyle name="20% - Accent4 31 13 2 2" xfId="5526" xr:uid="{4F179487-DC88-4DE2-8593-110D3E3E448B}"/>
    <cellStyle name="20% - Accent4 31 13 3" xfId="5527" xr:uid="{14AADF77-853E-483D-9E05-EFB92F8B1D88}"/>
    <cellStyle name="20% - Accent4 31 14" xfId="5528" xr:uid="{A7547FC1-265D-4FB5-A71B-8A425C250157}"/>
    <cellStyle name="20% - Accent4 31 14 2" xfId="5529" xr:uid="{D6F38626-15C6-4A22-B465-A3461572B57C}"/>
    <cellStyle name="20% - Accent4 31 15" xfId="5530" xr:uid="{79177B7A-B30D-4868-9F18-79869655218D}"/>
    <cellStyle name="20% - Accent4 31 16" xfId="36171" xr:uid="{1641B014-6424-4A12-A7A7-59CBA8DAEAB7}"/>
    <cellStyle name="20% - Accent4 31 2" xfId="5531" xr:uid="{DE087E2A-D038-453A-A126-C52F82D2F3B4}"/>
    <cellStyle name="20% - Accent4 31 2 2" xfId="5532" xr:uid="{05700CF4-638F-49DC-8905-F3BD7B13DAE4}"/>
    <cellStyle name="20% - Accent4 31 2 2 2" xfId="5533" xr:uid="{7CC0EE76-D149-4378-BEAB-CD38ECC50B6E}"/>
    <cellStyle name="20% - Accent4 31 2 2 2 2" xfId="5534" xr:uid="{6A822751-76B3-478D-BEF3-9B89BF199508}"/>
    <cellStyle name="20% - Accent4 31 2 2 2 2 2" xfId="5535" xr:uid="{E43EF0F9-92E5-471A-B428-5FF92DB9F7CF}"/>
    <cellStyle name="20% - Accent4 31 2 2 2 3" xfId="5536" xr:uid="{C3B1BF8E-BBAE-4DF0-8173-683A5B5448E9}"/>
    <cellStyle name="20% - Accent4 31 2 2 3" xfId="5537" xr:uid="{AE68DEEC-69B9-4B95-B680-39EDA6D5CFC2}"/>
    <cellStyle name="20% - Accent4 31 2 2 3 2" xfId="5538" xr:uid="{D5B91559-ADD9-43A7-92E7-74A0DF70E900}"/>
    <cellStyle name="20% - Accent4 31 2 2 3 2 2" xfId="5539" xr:uid="{D60749B5-00A9-4491-9B59-D869C64DD604}"/>
    <cellStyle name="20% - Accent4 31 2 2 3 3" xfId="5540" xr:uid="{D7455A35-C49C-40F8-B9C0-E79D5D3A3BFE}"/>
    <cellStyle name="20% - Accent4 31 2 2 4" xfId="5541" xr:uid="{90292D76-A806-475D-A742-37F578D61C3F}"/>
    <cellStyle name="20% - Accent4 31 2 2 4 2" xfId="5542" xr:uid="{02C69775-A3DC-4BDC-B072-049622115196}"/>
    <cellStyle name="20% - Accent4 31 2 2 5" xfId="5543" xr:uid="{70E45462-73C5-4829-80E1-B76BB31B099F}"/>
    <cellStyle name="20% - Accent4 31 2 3" xfId="5544" xr:uid="{83AFD2E0-F2C0-4F14-A165-6719FD389A3E}"/>
    <cellStyle name="20% - Accent4 31 2 3 2" xfId="5545" xr:uid="{E440BEF7-B0AD-4CD9-B530-986B3D50D8DE}"/>
    <cellStyle name="20% - Accent4 31 2 3 2 2" xfId="5546" xr:uid="{F7AA6E07-BDB5-46E1-A17B-E69AB8832C0E}"/>
    <cellStyle name="20% - Accent4 31 2 3 3" xfId="5547" xr:uid="{9F9D09C0-41F4-489A-82BD-2EE2096B0594}"/>
    <cellStyle name="20% - Accent4 31 2 4" xfId="5548" xr:uid="{FA3B54FA-642A-4137-9881-DB6F518BDB23}"/>
    <cellStyle name="20% - Accent4 31 2 4 2" xfId="5549" xr:uid="{33173592-653A-48CB-AD90-1F996F67E13A}"/>
    <cellStyle name="20% - Accent4 31 2 4 2 2" xfId="5550" xr:uid="{5520AFF0-4942-4958-8A5C-B48381ACA0CB}"/>
    <cellStyle name="20% - Accent4 31 2 4 3" xfId="5551" xr:uid="{E72DA460-A7A6-4B11-925B-D0B3D734F499}"/>
    <cellStyle name="20% - Accent4 31 2 5" xfId="5552" xr:uid="{6E6CAF38-A9CB-4176-8B29-AD629D3298DC}"/>
    <cellStyle name="20% - Accent4 31 2 5 2" xfId="5553" xr:uid="{1030FFB6-205F-4CAB-9B05-62957F1C49BE}"/>
    <cellStyle name="20% - Accent4 31 2 6" xfId="5554" xr:uid="{4C1DA297-304E-4155-8909-936A99C5BD74}"/>
    <cellStyle name="20% - Accent4 31 3" xfId="5555" xr:uid="{F54B7532-63A1-41C3-9460-9065704FA6FC}"/>
    <cellStyle name="20% - Accent4 31 3 2" xfId="5556" xr:uid="{88A2F00F-25EE-4E67-BFD5-25F7F0FD457A}"/>
    <cellStyle name="20% - Accent4 31 3 2 2" xfId="5557" xr:uid="{15601EFC-CB3C-4CE7-9540-B043A69113E8}"/>
    <cellStyle name="20% - Accent4 31 3 2 2 2" xfId="5558" xr:uid="{07C40DC8-CD69-4C5E-AD77-0BB4EFBDA1AC}"/>
    <cellStyle name="20% - Accent4 31 3 2 2 2 2" xfId="5559" xr:uid="{093A1CFD-AF3C-4A0C-8156-E440A67D9277}"/>
    <cellStyle name="20% - Accent4 31 3 2 2 3" xfId="5560" xr:uid="{562B6666-5C62-45C0-B667-BC9C3B67AE55}"/>
    <cellStyle name="20% - Accent4 31 3 2 3" xfId="5561" xr:uid="{51DF721D-C9F2-4F77-8D65-E5B7528810AE}"/>
    <cellStyle name="20% - Accent4 31 3 2 3 2" xfId="5562" xr:uid="{895FF02E-2A8F-4FC6-8047-F5B7CCA819BC}"/>
    <cellStyle name="20% - Accent4 31 3 2 3 2 2" xfId="5563" xr:uid="{A9F7C2CE-A914-430A-9F13-D5FB41839032}"/>
    <cellStyle name="20% - Accent4 31 3 2 3 3" xfId="5564" xr:uid="{1F970EE2-06A9-4BF5-A27D-3C2A9E8B8777}"/>
    <cellStyle name="20% - Accent4 31 3 2 4" xfId="5565" xr:uid="{52344B3F-58A8-4ACC-92D2-AA9A483D4CFE}"/>
    <cellStyle name="20% - Accent4 31 3 2 4 2" xfId="5566" xr:uid="{72C64862-678B-4CB1-94AF-6F2AF122687D}"/>
    <cellStyle name="20% - Accent4 31 3 2 5" xfId="5567" xr:uid="{01CF61BE-2683-4E63-8E7F-4A90F2F9F9CF}"/>
    <cellStyle name="20% - Accent4 31 3 3" xfId="5568" xr:uid="{B44CFE66-07AD-4B2B-A03D-DE5E26ED3723}"/>
    <cellStyle name="20% - Accent4 31 3 3 2" xfId="5569" xr:uid="{64BDEDF2-AF12-4D5B-A6CD-2AF1B10E7DF6}"/>
    <cellStyle name="20% - Accent4 31 3 3 2 2" xfId="5570" xr:uid="{8B341898-5811-4966-8F32-71C655665DF5}"/>
    <cellStyle name="20% - Accent4 31 3 3 3" xfId="5571" xr:uid="{C8DF420D-F6D2-405C-A553-53EC043DCAE3}"/>
    <cellStyle name="20% - Accent4 31 3 4" xfId="5572" xr:uid="{177A22A5-BD46-40A2-BBC5-C15CB14C672F}"/>
    <cellStyle name="20% - Accent4 31 3 4 2" xfId="5573" xr:uid="{A29829D9-8B7E-40CE-955A-6499CE67E821}"/>
    <cellStyle name="20% - Accent4 31 3 4 2 2" xfId="5574" xr:uid="{E25FF1EF-05E5-42EB-9930-C77F66A329C1}"/>
    <cellStyle name="20% - Accent4 31 3 4 3" xfId="5575" xr:uid="{E663F805-B34D-48B6-96D9-35F12C5EA245}"/>
    <cellStyle name="20% - Accent4 31 3 5" xfId="5576" xr:uid="{00E6499D-88EE-42CA-96A6-5DABCEE3CD5F}"/>
    <cellStyle name="20% - Accent4 31 3 5 2" xfId="5577" xr:uid="{D2AB8C5F-DDEE-4439-87F5-0AC8B9ABA7EC}"/>
    <cellStyle name="20% - Accent4 31 3 6" xfId="5578" xr:uid="{AAF34798-9F4D-4AC7-B2B8-06952C45D3B1}"/>
    <cellStyle name="20% - Accent4 31 4" xfId="5579" xr:uid="{4150ACC5-AB65-44FB-B02D-B894C6123448}"/>
    <cellStyle name="20% - Accent4 31 4 2" xfId="5580" xr:uid="{450C8528-ADE1-4236-BB64-DA1861E313EC}"/>
    <cellStyle name="20% - Accent4 31 4 2 2" xfId="5581" xr:uid="{C023AE37-6A91-41B4-9FC0-71BD1980BC4D}"/>
    <cellStyle name="20% - Accent4 31 4 2 2 2" xfId="5582" xr:uid="{778D5829-EA2D-4416-9041-1FD47454EC30}"/>
    <cellStyle name="20% - Accent4 31 4 2 2 2 2" xfId="5583" xr:uid="{31D05D2E-0007-4C34-8623-8D7A3CC28AE3}"/>
    <cellStyle name="20% - Accent4 31 4 2 2 3" xfId="5584" xr:uid="{600BABAD-9889-4F86-9773-2F06E7F2CB2B}"/>
    <cellStyle name="20% - Accent4 31 4 2 3" xfId="5585" xr:uid="{25DCCA32-4A4B-4044-91A1-7A1E0885C0C2}"/>
    <cellStyle name="20% - Accent4 31 4 2 3 2" xfId="5586" xr:uid="{9915B428-9ADA-48F5-8E53-237485D3FB56}"/>
    <cellStyle name="20% - Accent4 31 4 2 3 2 2" xfId="5587" xr:uid="{AE39FDF6-D877-49B5-BE47-A5C8FC1CC8CB}"/>
    <cellStyle name="20% - Accent4 31 4 2 3 3" xfId="5588" xr:uid="{181AE21D-1EB6-416C-BB5C-4E5F839DE752}"/>
    <cellStyle name="20% - Accent4 31 4 2 4" xfId="5589" xr:uid="{4626C8D7-7B32-4BEE-982F-136F3A9B83D0}"/>
    <cellStyle name="20% - Accent4 31 4 2 4 2" xfId="5590" xr:uid="{D8AB0C38-BD2E-45DF-9DFB-D0183C507F7F}"/>
    <cellStyle name="20% - Accent4 31 4 2 5" xfId="5591" xr:uid="{8872DFB6-E2F6-42E3-B137-66D96E21682C}"/>
    <cellStyle name="20% - Accent4 31 4 3" xfId="5592" xr:uid="{75F49A85-D07B-4EE0-B179-EE95ADC2ACD3}"/>
    <cellStyle name="20% - Accent4 31 4 3 2" xfId="5593" xr:uid="{AD183267-6908-4BCB-B63D-70862EF4C240}"/>
    <cellStyle name="20% - Accent4 31 4 3 2 2" xfId="5594" xr:uid="{631478F0-AD76-423F-89C2-DDA39E3CAD7A}"/>
    <cellStyle name="20% - Accent4 31 4 3 3" xfId="5595" xr:uid="{E4700AF3-D9EF-4C23-BB27-F2B00229FDB9}"/>
    <cellStyle name="20% - Accent4 31 4 4" xfId="5596" xr:uid="{3DA9E3BF-DC1B-4656-A9F4-7FFEBD79427B}"/>
    <cellStyle name="20% - Accent4 31 4 4 2" xfId="5597" xr:uid="{449F9FCD-640C-40F4-844D-73A5435057D3}"/>
    <cellStyle name="20% - Accent4 31 4 4 2 2" xfId="5598" xr:uid="{5EF64FEA-D8D5-48D0-BA78-0DE7DC6E8C47}"/>
    <cellStyle name="20% - Accent4 31 4 4 3" xfId="5599" xr:uid="{342A3BA3-CEBC-44B8-8749-A5AA0E041703}"/>
    <cellStyle name="20% - Accent4 31 4 5" xfId="5600" xr:uid="{E5644223-C08C-4B4B-A118-81A0C205E38F}"/>
    <cellStyle name="20% - Accent4 31 4 5 2" xfId="5601" xr:uid="{A121034E-2FF1-40BC-B316-2A9987454CCD}"/>
    <cellStyle name="20% - Accent4 31 4 6" xfId="5602" xr:uid="{7E425410-BF91-493C-98DC-02C850F9FE10}"/>
    <cellStyle name="20% - Accent4 31 5" xfId="5603" xr:uid="{85170166-75CA-496A-85FD-3F4B1A64BB21}"/>
    <cellStyle name="20% - Accent4 31 5 2" xfId="5604" xr:uid="{483B653E-29C9-4365-B716-46ABF837CE86}"/>
    <cellStyle name="20% - Accent4 31 5 2 2" xfId="5605" xr:uid="{2C989F35-1BE2-44E3-BE35-14C8914299D3}"/>
    <cellStyle name="20% - Accent4 31 5 2 2 2" xfId="5606" xr:uid="{A640AEE6-9607-46A3-80DF-48655E07EADF}"/>
    <cellStyle name="20% - Accent4 31 5 2 2 2 2" xfId="5607" xr:uid="{FBC6B01F-1F8C-4AC7-B238-D696FF19EDCA}"/>
    <cellStyle name="20% - Accent4 31 5 2 2 3" xfId="5608" xr:uid="{AE42B594-B726-4E14-8EF1-422AC79AD294}"/>
    <cellStyle name="20% - Accent4 31 5 2 3" xfId="5609" xr:uid="{41BA1C87-9A95-4597-B71D-5C4EFDA130A4}"/>
    <cellStyle name="20% - Accent4 31 5 2 3 2" xfId="5610" xr:uid="{EFDEB29F-2B0B-4A55-B299-FBFDF6CD7392}"/>
    <cellStyle name="20% - Accent4 31 5 2 3 2 2" xfId="5611" xr:uid="{74A4D37D-9798-45F1-9594-122E02568B96}"/>
    <cellStyle name="20% - Accent4 31 5 2 3 3" xfId="5612" xr:uid="{A8CE4EFD-C4DD-44A8-BF88-94EF3A50144F}"/>
    <cellStyle name="20% - Accent4 31 5 2 4" xfId="5613" xr:uid="{4F0E7E62-9BA5-4734-8E68-DC365137DBB9}"/>
    <cellStyle name="20% - Accent4 31 5 2 4 2" xfId="5614" xr:uid="{52F5BFA7-BC0C-41C5-8F69-EAD90A68916E}"/>
    <cellStyle name="20% - Accent4 31 5 2 5" xfId="5615" xr:uid="{252DD07A-5A3F-4E05-9D31-A90EA4F07E4E}"/>
    <cellStyle name="20% - Accent4 31 5 3" xfId="5616" xr:uid="{1290D485-21A7-425F-B66E-46965C0B5F23}"/>
    <cellStyle name="20% - Accent4 31 5 3 2" xfId="5617" xr:uid="{FFBF86A6-9EEA-42E4-B87F-E99F8106C141}"/>
    <cellStyle name="20% - Accent4 31 5 3 2 2" xfId="5618" xr:uid="{FC59F6BD-1451-4797-ABE4-AD348E6E5D40}"/>
    <cellStyle name="20% - Accent4 31 5 3 3" xfId="5619" xr:uid="{F2669497-9E95-483C-A94C-A1E00A387415}"/>
    <cellStyle name="20% - Accent4 31 5 4" xfId="5620" xr:uid="{53D4BD96-8B64-49C9-A251-3BA6B57C15B6}"/>
    <cellStyle name="20% - Accent4 31 5 4 2" xfId="5621" xr:uid="{E4F5E097-F149-47D1-9842-8F7F762101CB}"/>
    <cellStyle name="20% - Accent4 31 5 4 2 2" xfId="5622" xr:uid="{07706841-5899-47E3-8491-7B8C91C20336}"/>
    <cellStyle name="20% - Accent4 31 5 4 3" xfId="5623" xr:uid="{D5CD3B53-6FB8-4558-9608-A4FAEE76E972}"/>
    <cellStyle name="20% - Accent4 31 5 5" xfId="5624" xr:uid="{3EE453A7-0B5B-4F63-832B-6589E675DF7A}"/>
    <cellStyle name="20% - Accent4 31 5 5 2" xfId="5625" xr:uid="{1E29E18C-827B-4A57-AE3F-13A104A9842A}"/>
    <cellStyle name="20% - Accent4 31 5 6" xfId="5626" xr:uid="{2E2592E6-3471-43C5-A315-3783037F4CDC}"/>
    <cellStyle name="20% - Accent4 31 6" xfId="5627" xr:uid="{D01EE515-04EB-4D43-8E75-221D077591BF}"/>
    <cellStyle name="20% - Accent4 31 6 2" xfId="5628" xr:uid="{04CECA12-4DA5-4051-BD89-A2490554CB78}"/>
    <cellStyle name="20% - Accent4 31 6 2 2" xfId="5629" xr:uid="{08F9FF51-1137-465E-A5E3-63ACF3FD2AD9}"/>
    <cellStyle name="20% - Accent4 31 6 2 2 2" xfId="5630" xr:uid="{E366F132-E146-482C-B86A-C49860955C2E}"/>
    <cellStyle name="20% - Accent4 31 6 2 2 2 2" xfId="5631" xr:uid="{FE8B06D4-E6C7-4DF0-8A37-57342C9B5F48}"/>
    <cellStyle name="20% - Accent4 31 6 2 2 3" xfId="5632" xr:uid="{793C78CF-B34B-4AA8-87D6-EA1B4A33672B}"/>
    <cellStyle name="20% - Accent4 31 6 2 3" xfId="5633" xr:uid="{0C1FD1BE-3F00-4F5E-B881-0E3AC78FF325}"/>
    <cellStyle name="20% - Accent4 31 6 2 3 2" xfId="5634" xr:uid="{109354B9-6A61-48CE-A0F2-BA6827AEB9F2}"/>
    <cellStyle name="20% - Accent4 31 6 2 3 2 2" xfId="5635" xr:uid="{ACFC157C-D888-43BB-9159-7D2FCABA2F2D}"/>
    <cellStyle name="20% - Accent4 31 6 2 3 3" xfId="5636" xr:uid="{8F7C7ED9-F3D4-4AE1-A34F-B0ED8F43CFB9}"/>
    <cellStyle name="20% - Accent4 31 6 2 4" xfId="5637" xr:uid="{DA1F7407-311D-4EFB-84BC-FAE937B5536E}"/>
    <cellStyle name="20% - Accent4 31 6 2 4 2" xfId="5638" xr:uid="{0A962901-427F-42C8-88C6-2BA4589690E7}"/>
    <cellStyle name="20% - Accent4 31 6 2 5" xfId="5639" xr:uid="{78F70B3D-4959-4E1F-AB39-24011092F5C5}"/>
    <cellStyle name="20% - Accent4 31 6 3" xfId="5640" xr:uid="{733C02F8-92DA-4B73-AC22-0D749AD6BC9E}"/>
    <cellStyle name="20% - Accent4 31 6 3 2" xfId="5641" xr:uid="{668619AD-A2BF-4BF7-89D0-0A4A9CF96A50}"/>
    <cellStyle name="20% - Accent4 31 6 3 2 2" xfId="5642" xr:uid="{59AF83AB-6F18-4F23-921A-5768C2EA6D5C}"/>
    <cellStyle name="20% - Accent4 31 6 3 3" xfId="5643" xr:uid="{DAD280FF-480F-4576-A34C-F4B0CA8A846E}"/>
    <cellStyle name="20% - Accent4 31 6 4" xfId="5644" xr:uid="{44CA8F97-D688-4781-8DC8-2E6B8D67D6D4}"/>
    <cellStyle name="20% - Accent4 31 6 4 2" xfId="5645" xr:uid="{75109896-7C71-4A37-B930-CF784CBC0FF2}"/>
    <cellStyle name="20% - Accent4 31 6 4 2 2" xfId="5646" xr:uid="{8962752E-5E6F-4C4E-9C55-3125072BF98F}"/>
    <cellStyle name="20% - Accent4 31 6 4 3" xfId="5647" xr:uid="{223D614F-3182-47B4-A34A-C5604327F535}"/>
    <cellStyle name="20% - Accent4 31 6 5" xfId="5648" xr:uid="{542FDCCF-E40F-4277-8023-3F948A2EFF4F}"/>
    <cellStyle name="20% - Accent4 31 6 5 2" xfId="5649" xr:uid="{9E2AD77D-14D1-4C5C-89E4-6F418CEAE6C2}"/>
    <cellStyle name="20% - Accent4 31 6 6" xfId="5650" xr:uid="{0518C154-D269-44BA-951E-43296283E21A}"/>
    <cellStyle name="20% - Accent4 31 7" xfId="5651" xr:uid="{54AED66E-C2FC-4276-8EFA-E92B1FA58D13}"/>
    <cellStyle name="20% - Accent4 31 7 2" xfId="5652" xr:uid="{3517CD19-4959-48F4-BB07-AAD997C78394}"/>
    <cellStyle name="20% - Accent4 31 7 2 2" xfId="5653" xr:uid="{D262A9AD-F447-48D5-9B30-65B20162130C}"/>
    <cellStyle name="20% - Accent4 31 7 2 2 2" xfId="5654" xr:uid="{46B0F453-EFEB-445A-877A-52D831AD0896}"/>
    <cellStyle name="20% - Accent4 31 7 2 2 2 2" xfId="5655" xr:uid="{7B4B9CD5-D66F-4E7B-B798-70C8FD66FA19}"/>
    <cellStyle name="20% - Accent4 31 7 2 2 3" xfId="5656" xr:uid="{32FEEFBF-BD6C-411C-8EAA-3A787DFABE9E}"/>
    <cellStyle name="20% - Accent4 31 7 2 3" xfId="5657" xr:uid="{32747F44-B0E8-4CBC-9814-BD78E5CDAA5A}"/>
    <cellStyle name="20% - Accent4 31 7 2 3 2" xfId="5658" xr:uid="{1A9F21E1-22AE-4832-9A11-F1E56478515A}"/>
    <cellStyle name="20% - Accent4 31 7 2 3 2 2" xfId="5659" xr:uid="{624F5B9C-1DB3-4070-AB31-7D71F4C085E1}"/>
    <cellStyle name="20% - Accent4 31 7 2 3 3" xfId="5660" xr:uid="{C2725545-E477-4192-B3C8-375D7E756617}"/>
    <cellStyle name="20% - Accent4 31 7 2 4" xfId="5661" xr:uid="{0BC2FE62-9741-420B-9FE9-426047FD8BE6}"/>
    <cellStyle name="20% - Accent4 31 7 2 4 2" xfId="5662" xr:uid="{98C42193-3C3B-4B85-86E2-A13C2B18FA99}"/>
    <cellStyle name="20% - Accent4 31 7 2 5" xfId="5663" xr:uid="{951EB7CB-B60F-4697-8821-2FBA502E8910}"/>
    <cellStyle name="20% - Accent4 31 7 3" xfId="5664" xr:uid="{4E994528-FE5D-462F-9544-7980D5CAE938}"/>
    <cellStyle name="20% - Accent4 31 7 3 2" xfId="5665" xr:uid="{AE10EAAD-F390-4A87-8A93-78FD09B23317}"/>
    <cellStyle name="20% - Accent4 31 7 3 2 2" xfId="5666" xr:uid="{9D9E16CC-CABE-4D72-B5C5-03189700406D}"/>
    <cellStyle name="20% - Accent4 31 7 3 3" xfId="5667" xr:uid="{6F4440BE-35D4-413F-826A-BE7877FBC543}"/>
    <cellStyle name="20% - Accent4 31 7 4" xfId="5668" xr:uid="{1F924A11-05DA-4B49-9E42-13FD7BCA848B}"/>
    <cellStyle name="20% - Accent4 31 7 4 2" xfId="5669" xr:uid="{2F7470B9-3430-4528-8AEA-309DB89BED94}"/>
    <cellStyle name="20% - Accent4 31 7 4 2 2" xfId="5670" xr:uid="{24E21A9A-8DCB-4591-A465-ECF897F4CF4F}"/>
    <cellStyle name="20% - Accent4 31 7 4 3" xfId="5671" xr:uid="{C6268534-8698-4E0D-B433-1402F322EB23}"/>
    <cellStyle name="20% - Accent4 31 7 5" xfId="5672" xr:uid="{5DEDA950-AB48-4ED8-8262-B74D62322E97}"/>
    <cellStyle name="20% - Accent4 31 7 5 2" xfId="5673" xr:uid="{D25BDF97-3469-477C-B3FE-56BF0011ACB6}"/>
    <cellStyle name="20% - Accent4 31 7 6" xfId="5674" xr:uid="{5578F7AB-8EA3-4088-A74B-C5A987AC98B0}"/>
    <cellStyle name="20% - Accent4 31 8" xfId="5675" xr:uid="{B170CC62-D15E-477E-B1ED-94A461E0F482}"/>
    <cellStyle name="20% - Accent4 31 8 2" xfId="5676" xr:uid="{78FF7096-9A1C-46DD-9994-8313B53EDA04}"/>
    <cellStyle name="20% - Accent4 31 8 2 2" xfId="5677" xr:uid="{69536FC2-ACD3-48EA-89D3-7D5D01CC27C0}"/>
    <cellStyle name="20% - Accent4 31 8 2 2 2" xfId="5678" xr:uid="{E31C1D82-FD0B-472F-BA99-C66944C2F7DC}"/>
    <cellStyle name="20% - Accent4 31 8 2 2 2 2" xfId="5679" xr:uid="{4EA540D6-F741-44E1-AF13-208202B95B4A}"/>
    <cellStyle name="20% - Accent4 31 8 2 2 3" xfId="5680" xr:uid="{3F6AC6DF-96EC-434F-841F-8E35AE126D73}"/>
    <cellStyle name="20% - Accent4 31 8 2 3" xfId="5681" xr:uid="{95A9A740-6620-4AAB-A637-05CF874079DC}"/>
    <cellStyle name="20% - Accent4 31 8 2 3 2" xfId="5682" xr:uid="{7B22BA6B-97F4-4E11-8349-BF72A658BFED}"/>
    <cellStyle name="20% - Accent4 31 8 2 3 2 2" xfId="5683" xr:uid="{7FF518AB-E788-4A58-A1CD-A5EC8ACACD37}"/>
    <cellStyle name="20% - Accent4 31 8 2 3 3" xfId="5684" xr:uid="{759D0904-BB63-4DDB-BA66-E13CDCC07E64}"/>
    <cellStyle name="20% - Accent4 31 8 2 4" xfId="5685" xr:uid="{0B49121B-402A-4AED-B5CF-EF65D6927759}"/>
    <cellStyle name="20% - Accent4 31 8 2 4 2" xfId="5686" xr:uid="{5656F097-E4F3-4EA9-B8D4-838B8B76FD69}"/>
    <cellStyle name="20% - Accent4 31 8 2 5" xfId="5687" xr:uid="{33AB0885-2B89-46B5-8378-7F10CFBEBFE4}"/>
    <cellStyle name="20% - Accent4 31 8 3" xfId="5688" xr:uid="{1F032AE2-CF5A-4D5C-A642-217FB10B4E01}"/>
    <cellStyle name="20% - Accent4 31 8 3 2" xfId="5689" xr:uid="{E632D762-E2CF-493B-8A0D-0D7137BEF028}"/>
    <cellStyle name="20% - Accent4 31 8 3 2 2" xfId="5690" xr:uid="{66E013E6-B1EC-4670-93E2-E6DFD3B30191}"/>
    <cellStyle name="20% - Accent4 31 8 3 3" xfId="5691" xr:uid="{02A9C1E8-2A56-4661-B8DF-10C23E89467E}"/>
    <cellStyle name="20% - Accent4 31 8 4" xfId="5692" xr:uid="{3A06498C-6A84-47D9-9E41-620EF7DB270B}"/>
    <cellStyle name="20% - Accent4 31 8 4 2" xfId="5693" xr:uid="{B6DB1046-077C-4C0D-A23C-29D24396B3F1}"/>
    <cellStyle name="20% - Accent4 31 8 4 2 2" xfId="5694" xr:uid="{054B73F7-B4F8-4B24-B41C-29CB0486764F}"/>
    <cellStyle name="20% - Accent4 31 8 4 3" xfId="5695" xr:uid="{7D6A0DF1-8A62-4458-927E-4B5FADA2FFEB}"/>
    <cellStyle name="20% - Accent4 31 8 5" xfId="5696" xr:uid="{B9751784-C250-4BC1-B886-97B0A5F723D2}"/>
    <cellStyle name="20% - Accent4 31 8 5 2" xfId="5697" xr:uid="{26FF0E6E-8ACF-4239-9C22-4CF89FCC6BAB}"/>
    <cellStyle name="20% - Accent4 31 8 6" xfId="5698" xr:uid="{CE91AB82-8EED-4EA7-A46D-6E4A2FD867D1}"/>
    <cellStyle name="20% - Accent4 31 9" xfId="5699" xr:uid="{4FFFB678-863F-4A91-B9CE-50513D66111F}"/>
    <cellStyle name="20% - Accent4 31 9 2" xfId="5700" xr:uid="{6A3D4036-EFDF-4BAB-8B76-21B3AD908F81}"/>
    <cellStyle name="20% - Accent4 31 9 2 2" xfId="5701" xr:uid="{4CCC8B1A-C024-4F9C-ACC7-BE1680A41B7E}"/>
    <cellStyle name="20% - Accent4 31 9 2 2 2" xfId="5702" xr:uid="{3EB2005B-BC30-4375-B1E3-D63329CDE997}"/>
    <cellStyle name="20% - Accent4 31 9 2 2 2 2" xfId="5703" xr:uid="{AB90948F-2C3A-4FEA-B149-5B5BE6CA1A7D}"/>
    <cellStyle name="20% - Accent4 31 9 2 2 3" xfId="5704" xr:uid="{BBC13D12-549B-4C85-80F7-EC4D8A602C2B}"/>
    <cellStyle name="20% - Accent4 31 9 2 3" xfId="5705" xr:uid="{85792160-EFBA-4AE5-85B9-C526CF96D1CA}"/>
    <cellStyle name="20% - Accent4 31 9 2 3 2" xfId="5706" xr:uid="{70221279-A00F-4471-A66E-AB9A5A624AE7}"/>
    <cellStyle name="20% - Accent4 31 9 2 3 2 2" xfId="5707" xr:uid="{8EA24250-6092-482F-9361-22B1497F9D9F}"/>
    <cellStyle name="20% - Accent4 31 9 2 3 3" xfId="5708" xr:uid="{118A340E-B199-4DCE-A930-0F4564BFF6F7}"/>
    <cellStyle name="20% - Accent4 31 9 2 4" xfId="5709" xr:uid="{7AACDEC9-1C30-42A5-A263-B375F06C5B07}"/>
    <cellStyle name="20% - Accent4 31 9 2 4 2" xfId="5710" xr:uid="{AFC4F49C-80FF-484F-8730-36EEED5E4A07}"/>
    <cellStyle name="20% - Accent4 31 9 2 5" xfId="5711" xr:uid="{C8A34AA8-A6EF-4AC2-8DE7-8157D1B57793}"/>
    <cellStyle name="20% - Accent4 31 9 3" xfId="5712" xr:uid="{5ACDBEB9-3C2D-4A4A-A44F-FA1D139076CD}"/>
    <cellStyle name="20% - Accent4 31 9 3 2" xfId="5713" xr:uid="{87845DED-8FEB-4834-9127-383B74A311E0}"/>
    <cellStyle name="20% - Accent4 31 9 3 2 2" xfId="5714" xr:uid="{62A32BB8-9A4F-448C-A248-5968E06BA9B2}"/>
    <cellStyle name="20% - Accent4 31 9 3 3" xfId="5715" xr:uid="{DC3D532F-6A80-4676-BAF6-1B2102110BCF}"/>
    <cellStyle name="20% - Accent4 31 9 4" xfId="5716" xr:uid="{F6FC29D2-454A-4102-B98B-F542D1A92990}"/>
    <cellStyle name="20% - Accent4 31 9 4 2" xfId="5717" xr:uid="{6CABD26F-99B7-4065-BCD3-B92DA811A8DF}"/>
    <cellStyle name="20% - Accent4 31 9 4 2 2" xfId="5718" xr:uid="{919E188D-9480-4BDB-BDE4-1E0CA21C9FF0}"/>
    <cellStyle name="20% - Accent4 31 9 4 3" xfId="5719" xr:uid="{7AF3BD14-8477-4B1A-A07C-CBC3F745127F}"/>
    <cellStyle name="20% - Accent4 31 9 5" xfId="5720" xr:uid="{CF99E8B6-D331-4B1E-8EF0-4279B2237622}"/>
    <cellStyle name="20% - Accent4 31 9 5 2" xfId="5721" xr:uid="{32879EB3-C3A5-441C-B36E-737309325C1F}"/>
    <cellStyle name="20% - Accent4 31 9 6" xfId="5722" xr:uid="{6DD050F8-63BF-481A-9052-E4BD49E51F50}"/>
    <cellStyle name="20% - Accent4 32" xfId="5723" xr:uid="{88343CED-309A-4553-9EA4-89EF8CE1AC54}"/>
    <cellStyle name="20% - Accent4 32 2" xfId="5724" xr:uid="{0314E771-FE1C-4876-847C-3B7A97E84A46}"/>
    <cellStyle name="20% - Accent4 32 2 2" xfId="5725" xr:uid="{D510A1D1-6578-45C0-AED2-9DB715ACCDFE}"/>
    <cellStyle name="20% - Accent4 32 2 2 2" xfId="5726" xr:uid="{D10D402C-8F4A-4A5D-87B9-9096F220B92E}"/>
    <cellStyle name="20% - Accent4 32 2 2 2 2" xfId="5727" xr:uid="{A9EFEA60-FF32-4C97-BB4E-B4E03C940599}"/>
    <cellStyle name="20% - Accent4 32 2 2 3" xfId="5728" xr:uid="{2ADF18E3-D332-42BD-B385-00DB93586BFB}"/>
    <cellStyle name="20% - Accent4 32 2 3" xfId="5729" xr:uid="{C7D7D87B-DCAB-482F-BACF-09501722CF75}"/>
    <cellStyle name="20% - Accent4 32 2 3 2" xfId="5730" xr:uid="{A4018F21-E268-46BB-BDC0-E2226E50AEA8}"/>
    <cellStyle name="20% - Accent4 32 2 3 2 2" xfId="5731" xr:uid="{401ED1B9-DA52-490B-89FA-641F5CC6AEC9}"/>
    <cellStyle name="20% - Accent4 32 2 3 3" xfId="5732" xr:uid="{44B125BD-574B-4455-B1C5-79B1723411B0}"/>
    <cellStyle name="20% - Accent4 32 2 4" xfId="5733" xr:uid="{4FB00DC6-34AE-4522-ACD0-0BB1BC63AC35}"/>
    <cellStyle name="20% - Accent4 32 2 4 2" xfId="5734" xr:uid="{7218304D-7131-4F9F-A6ED-97059B122A33}"/>
    <cellStyle name="20% - Accent4 32 2 5" xfId="5735" xr:uid="{E0260FE8-6EC6-4BF5-B693-3E139E602986}"/>
    <cellStyle name="20% - Accent4 32 3" xfId="5736" xr:uid="{F1FB69CC-CA55-4F82-AD76-4D7E43E52D22}"/>
    <cellStyle name="20% - Accent4 32 3 2" xfId="5737" xr:uid="{1B4B80F3-8156-401E-9906-5528E9AEA3E2}"/>
    <cellStyle name="20% - Accent4 32 3 2 2" xfId="5738" xr:uid="{CA4AB9E5-3FE2-45B6-ADCE-78274BEFDF3D}"/>
    <cellStyle name="20% - Accent4 32 3 3" xfId="5739" xr:uid="{F123814F-979B-49AA-8AFD-F78E79244D2B}"/>
    <cellStyle name="20% - Accent4 32 4" xfId="5740" xr:uid="{48477788-D6FC-44BF-8601-D0902C6C611E}"/>
    <cellStyle name="20% - Accent4 32 4 2" xfId="5741" xr:uid="{E26A07F2-8548-43CA-B5D8-739719BEE5C7}"/>
    <cellStyle name="20% - Accent4 32 4 2 2" xfId="5742" xr:uid="{E9F69CA9-0D13-45B9-8139-51A9E092B116}"/>
    <cellStyle name="20% - Accent4 32 4 3" xfId="5743" xr:uid="{A8BEE379-3934-42C1-B9C4-0CFE4F4DB441}"/>
    <cellStyle name="20% - Accent4 32 5" xfId="5744" xr:uid="{4C701F6C-46A8-4E45-978A-7BA3571A2B0F}"/>
    <cellStyle name="20% - Accent4 32 5 2" xfId="5745" xr:uid="{24DA0221-08AE-45A4-86BE-16139CEC787F}"/>
    <cellStyle name="20% - Accent4 32 6" xfId="5746" xr:uid="{131EC42B-C6FD-4850-9F9B-BE984311859F}"/>
    <cellStyle name="20% - Accent4 32 7" xfId="36172" xr:uid="{28B40724-5186-4882-B823-4762B9DC5CC4}"/>
    <cellStyle name="20% - Accent4 33" xfId="5747" xr:uid="{8E489886-02D3-4A22-B814-72C298B201D8}"/>
    <cellStyle name="20% - Accent4 33 2" xfId="5748" xr:uid="{5178873F-F4D9-420E-93E0-CB2F4F19A45A}"/>
    <cellStyle name="20% - Accent4 33 2 2" xfId="5749" xr:uid="{F9EB1192-7E63-4444-A719-96F35A70C9EE}"/>
    <cellStyle name="20% - Accent4 33 2 2 2" xfId="5750" xr:uid="{1DB16016-DF77-4B77-8268-AC38AEACA0D9}"/>
    <cellStyle name="20% - Accent4 33 2 2 2 2" xfId="5751" xr:uid="{A82CC61A-1F35-4C88-AC6A-0E3E2D338361}"/>
    <cellStyle name="20% - Accent4 33 2 2 3" xfId="5752" xr:uid="{6D8D8878-D16E-402D-B9E0-43D3E0000815}"/>
    <cellStyle name="20% - Accent4 33 2 3" xfId="5753" xr:uid="{11F74485-EB70-4072-B9D1-F9A1B169F206}"/>
    <cellStyle name="20% - Accent4 33 2 3 2" xfId="5754" xr:uid="{9E80BAE7-A7D3-4331-A090-69780DD9BDE6}"/>
    <cellStyle name="20% - Accent4 33 2 3 2 2" xfId="5755" xr:uid="{71F35BB9-E1EE-4386-8D18-D26D69A7DB2C}"/>
    <cellStyle name="20% - Accent4 33 2 3 3" xfId="5756" xr:uid="{35B75B97-EB2D-46E3-8C99-87D1D97DEF0D}"/>
    <cellStyle name="20% - Accent4 33 2 4" xfId="5757" xr:uid="{26C28414-706A-4A62-B456-9E1E7D3067D5}"/>
    <cellStyle name="20% - Accent4 33 2 4 2" xfId="5758" xr:uid="{7EF7FBD3-A121-41B0-ABCA-AB1D31A02F1F}"/>
    <cellStyle name="20% - Accent4 33 2 5" xfId="5759" xr:uid="{2EB27A2A-B048-4E21-80CC-1575CFA69702}"/>
    <cellStyle name="20% - Accent4 33 3" xfId="5760" xr:uid="{2F3321F0-E81C-496A-BE41-CA4D2F50AA4D}"/>
    <cellStyle name="20% - Accent4 33 3 2" xfId="5761" xr:uid="{805F9C95-7DFA-4695-90C4-EC22D5F5AE96}"/>
    <cellStyle name="20% - Accent4 33 3 2 2" xfId="5762" xr:uid="{72598AB1-1810-409E-B865-0BBAB39CAC9F}"/>
    <cellStyle name="20% - Accent4 33 3 3" xfId="5763" xr:uid="{DF451DED-A4A5-485E-921E-6FB43F034DF4}"/>
    <cellStyle name="20% - Accent4 33 4" xfId="5764" xr:uid="{6C437E6C-4099-4178-A4DE-18A8836E84C9}"/>
    <cellStyle name="20% - Accent4 33 4 2" xfId="5765" xr:uid="{C4BF2D92-8658-4087-B468-2B254C3F77EE}"/>
    <cellStyle name="20% - Accent4 33 4 2 2" xfId="5766" xr:uid="{52DB9D0B-9470-4D52-A48F-9F609302FAB1}"/>
    <cellStyle name="20% - Accent4 33 4 3" xfId="5767" xr:uid="{E5F6C85C-8E6C-4CFF-9225-E96DDEEC8C5A}"/>
    <cellStyle name="20% - Accent4 33 5" xfId="5768" xr:uid="{3505BE96-57E9-4F1E-9A16-F227AFE287C2}"/>
    <cellStyle name="20% - Accent4 33 5 2" xfId="5769" xr:uid="{FB900B1D-A097-4764-A56C-917F4B7C084A}"/>
    <cellStyle name="20% - Accent4 33 6" xfId="36173" xr:uid="{4990343D-EE1E-4BBD-A581-CC95AAB1FE1F}"/>
    <cellStyle name="20% - Accent4 34" xfId="5770" xr:uid="{D3CB6532-8419-4E28-8FBC-9179072B91C6}"/>
    <cellStyle name="20% - Accent4 34 2" xfId="5771" xr:uid="{5D6BD938-D311-40DF-96D3-3E295217D495}"/>
    <cellStyle name="20% - Accent4 34 2 2" xfId="5772" xr:uid="{A31D1322-B7BF-4680-8178-12B107887345}"/>
    <cellStyle name="20% - Accent4 34 2 2 2" xfId="5773" xr:uid="{9AD957B4-4F5B-45A1-AE7D-10D45C4550E6}"/>
    <cellStyle name="20% - Accent4 34 2 2 2 2" xfId="5774" xr:uid="{4D817359-449A-454E-83EC-A9D390073B78}"/>
    <cellStyle name="20% - Accent4 34 2 2 3" xfId="5775" xr:uid="{35BAAB14-B26C-4CF4-865D-BD25703B2717}"/>
    <cellStyle name="20% - Accent4 34 2 3" xfId="5776" xr:uid="{B23D5ABC-C662-4DF2-88EA-5F05F3BD92B6}"/>
    <cellStyle name="20% - Accent4 34 2 3 2" xfId="5777" xr:uid="{5D55F71A-2B6B-4E5E-9CDA-847EE390F631}"/>
    <cellStyle name="20% - Accent4 34 2 3 2 2" xfId="5778" xr:uid="{C4A6B60F-66FE-4F22-B5F2-D2BFC5CEC28A}"/>
    <cellStyle name="20% - Accent4 34 2 3 3" xfId="5779" xr:uid="{AB10D9FE-847E-4F52-8774-6693DC358EAE}"/>
    <cellStyle name="20% - Accent4 34 2 4" xfId="5780" xr:uid="{C27AB7A4-2807-4554-80DA-2862A454001D}"/>
    <cellStyle name="20% - Accent4 34 2 4 2" xfId="5781" xr:uid="{E4FC3D91-482C-4B9C-8869-A3C338C7EE63}"/>
    <cellStyle name="20% - Accent4 34 2 5" xfId="5782" xr:uid="{EA6B2068-78DC-428C-AA4C-14943059E1E6}"/>
    <cellStyle name="20% - Accent4 34 3" xfId="5783" xr:uid="{8DD3EB2B-1844-4024-BE80-F696C8F1F1CD}"/>
    <cellStyle name="20% - Accent4 34 3 2" xfId="5784" xr:uid="{82B23293-1BB0-4388-A94C-D15E9555CAB5}"/>
    <cellStyle name="20% - Accent4 34 3 2 2" xfId="5785" xr:uid="{D14CF500-F2B4-4BE8-A6E8-33905D45713F}"/>
    <cellStyle name="20% - Accent4 34 3 3" xfId="5786" xr:uid="{A8063FF9-D1F1-45AF-9CD8-657025515339}"/>
    <cellStyle name="20% - Accent4 34 4" xfId="5787" xr:uid="{58A3782B-91B4-4062-9FB9-B8BEC76C64B8}"/>
    <cellStyle name="20% - Accent4 34 4 2" xfId="5788" xr:uid="{A4BBE733-5FAD-4693-81CA-77A1D0534DA3}"/>
    <cellStyle name="20% - Accent4 34 4 2 2" xfId="5789" xr:uid="{6AC9CF14-08A2-49D9-A9F3-4224420C81BD}"/>
    <cellStyle name="20% - Accent4 34 4 3" xfId="5790" xr:uid="{A1E2BFDD-B97E-40D3-8A5A-BEA0EC173A90}"/>
    <cellStyle name="20% - Accent4 34 5" xfId="5791" xr:uid="{3EB2341D-B44D-498A-A55E-28C7106FCCCB}"/>
    <cellStyle name="20% - Accent4 34 5 2" xfId="5792" xr:uid="{A233A612-027A-4BBD-9B83-85D5E7CCD6A6}"/>
    <cellStyle name="20% - Accent4 34 6" xfId="36174" xr:uid="{648F95FE-64CB-41E3-9F0A-B4C8CA765B2C}"/>
    <cellStyle name="20% - Accent4 35" xfId="5793" xr:uid="{F73F12AE-676F-434F-AC7D-65095C54F758}"/>
    <cellStyle name="20% - Accent4 35 2" xfId="5794" xr:uid="{F5761EBB-8B6E-4D06-92AF-4C91C323584C}"/>
    <cellStyle name="20% - Accent4 35 2 2" xfId="5795" xr:uid="{0842DECE-F5D4-4028-9375-7A50775A7982}"/>
    <cellStyle name="20% - Accent4 35 2 2 2" xfId="5796" xr:uid="{65C15DFF-B75F-44D9-9B2C-9C6E15E0C9B8}"/>
    <cellStyle name="20% - Accent4 35 2 2 2 2" xfId="5797" xr:uid="{D3E50211-3C2E-4904-9105-77F15EDEC2B0}"/>
    <cellStyle name="20% - Accent4 35 2 2 3" xfId="5798" xr:uid="{60D83583-438D-40EA-9E01-6491BF86C0D3}"/>
    <cellStyle name="20% - Accent4 35 2 3" xfId="5799" xr:uid="{4D40C6E7-2A67-425C-A34A-B0EB4B01D552}"/>
    <cellStyle name="20% - Accent4 35 2 3 2" xfId="5800" xr:uid="{8463B650-7CDE-4419-ADDD-6CE311D47D87}"/>
    <cellStyle name="20% - Accent4 35 2 3 2 2" xfId="5801" xr:uid="{6AA9721D-02C4-413C-A12C-08508EE6E913}"/>
    <cellStyle name="20% - Accent4 35 2 3 3" xfId="5802" xr:uid="{195912AC-16FF-4B0D-80F0-F81AAD09949E}"/>
    <cellStyle name="20% - Accent4 35 2 4" xfId="5803" xr:uid="{3AB7F7CF-A8BE-4851-8CB4-839E1888FE56}"/>
    <cellStyle name="20% - Accent4 35 2 4 2" xfId="5804" xr:uid="{09A5E489-7C44-4357-B584-1E2AB7B8AD82}"/>
    <cellStyle name="20% - Accent4 35 2 5" xfId="5805" xr:uid="{A103917E-5579-48AE-95FA-1A354FD8EB45}"/>
    <cellStyle name="20% - Accent4 35 3" xfId="5806" xr:uid="{0DA16091-115B-45D5-A904-2098889CDC38}"/>
    <cellStyle name="20% - Accent4 35 3 2" xfId="5807" xr:uid="{94A80952-A6F3-45EB-8DD5-1B6ABBB2A393}"/>
    <cellStyle name="20% - Accent4 35 3 2 2" xfId="5808" xr:uid="{74F497DF-CE4F-4E9A-A964-F0060755CE66}"/>
    <cellStyle name="20% - Accent4 35 3 3" xfId="5809" xr:uid="{B3B6DD8A-3EC0-443A-8DEA-7B13832465A8}"/>
    <cellStyle name="20% - Accent4 35 4" xfId="5810" xr:uid="{9AC41334-E9DA-4BC9-BF06-516FAAC658E3}"/>
    <cellStyle name="20% - Accent4 35 4 2" xfId="5811" xr:uid="{7EC3CF65-EF16-472F-8AAC-023EA7E37594}"/>
    <cellStyle name="20% - Accent4 35 4 2 2" xfId="5812" xr:uid="{87CF99C9-7322-4F2C-AA9B-7E14D1818BAA}"/>
    <cellStyle name="20% - Accent4 35 4 3" xfId="5813" xr:uid="{1F9E5BFB-BF95-4D2F-B198-BBB57FF7EDFF}"/>
    <cellStyle name="20% - Accent4 35 5" xfId="5814" xr:uid="{D3D1715E-7F38-40E5-989C-2E752940200B}"/>
    <cellStyle name="20% - Accent4 35 5 2" xfId="5815" xr:uid="{C56FD1D0-2001-4C60-A4DF-2EBB16A6BBD4}"/>
    <cellStyle name="20% - Accent4 35 6" xfId="36175" xr:uid="{CED4D821-F3C4-476A-AEFC-E283C147EDB2}"/>
    <cellStyle name="20% - Accent4 36" xfId="5816" xr:uid="{717D8EE6-03F4-4C82-BC06-F59520AA0D91}"/>
    <cellStyle name="20% - Accent4 36 2" xfId="5817" xr:uid="{5EF21059-B319-44DF-8D1C-C32DF7D59DF4}"/>
    <cellStyle name="20% - Accent4 36 2 2" xfId="5818" xr:uid="{197C4AEB-8658-40B6-BF4F-0F840065A264}"/>
    <cellStyle name="20% - Accent4 36 2 2 2" xfId="5819" xr:uid="{46961EBA-0CA8-4D45-B850-EE77C0D97AA1}"/>
    <cellStyle name="20% - Accent4 36 2 2 2 2" xfId="5820" xr:uid="{6783334E-68EC-43B6-A3F1-AA6F5BFA4200}"/>
    <cellStyle name="20% - Accent4 36 2 2 3" xfId="5821" xr:uid="{14A91306-9EE8-41ED-BCBD-6D0FCAD27CA3}"/>
    <cellStyle name="20% - Accent4 36 2 3" xfId="5822" xr:uid="{5EBDAAC1-650F-4BD4-939F-688826325F9B}"/>
    <cellStyle name="20% - Accent4 36 2 3 2" xfId="5823" xr:uid="{35CDCD09-1E0D-4818-9AC5-A0C6CC868DE0}"/>
    <cellStyle name="20% - Accent4 36 2 3 2 2" xfId="5824" xr:uid="{3D3D5C59-22A6-4CDD-AB5B-65DA8E5ECDFD}"/>
    <cellStyle name="20% - Accent4 36 2 3 3" xfId="5825" xr:uid="{C9BBBED8-8F07-47FD-9C42-275EACA2E356}"/>
    <cellStyle name="20% - Accent4 36 2 4" xfId="5826" xr:uid="{01FF911F-5E00-4E67-AFFC-5FB46B63C34D}"/>
    <cellStyle name="20% - Accent4 36 2 4 2" xfId="5827" xr:uid="{68FF0298-BE3C-403D-9BAA-D6DB650BFE5C}"/>
    <cellStyle name="20% - Accent4 36 2 5" xfId="5828" xr:uid="{23C71E58-1E30-4561-8CBB-60D5E2A62BE0}"/>
    <cellStyle name="20% - Accent4 36 3" xfId="5829" xr:uid="{9A009923-5909-4169-A5EF-E5EC7E76C5BD}"/>
    <cellStyle name="20% - Accent4 36 3 2" xfId="5830" xr:uid="{336C29EF-DB97-4F5E-8A4A-378CCB87C496}"/>
    <cellStyle name="20% - Accent4 36 3 2 2" xfId="5831" xr:uid="{2D4D5ECE-C685-4DB2-AE8B-6383757690FF}"/>
    <cellStyle name="20% - Accent4 36 3 3" xfId="5832" xr:uid="{26512BEF-1F0F-4A27-AA0E-1D6379E8BF01}"/>
    <cellStyle name="20% - Accent4 36 4" xfId="5833" xr:uid="{0188CBC8-28A6-427E-A06D-334774C50F0A}"/>
    <cellStyle name="20% - Accent4 36 4 2" xfId="5834" xr:uid="{47346DFA-73A9-41AF-B268-31EBE265D971}"/>
    <cellStyle name="20% - Accent4 36 4 2 2" xfId="5835" xr:uid="{D71111BD-8F0D-4362-92CC-867E0DE9C668}"/>
    <cellStyle name="20% - Accent4 36 4 3" xfId="5836" xr:uid="{2670B28A-1655-4148-9E60-07154DB76471}"/>
    <cellStyle name="20% - Accent4 36 5" xfId="5837" xr:uid="{AABFF3EC-49F7-428F-9A0D-5D8A1BCA9074}"/>
    <cellStyle name="20% - Accent4 36 5 2" xfId="5838" xr:uid="{9F31FCC2-4497-438E-8986-CE3B35EF6702}"/>
    <cellStyle name="20% - Accent4 36 6" xfId="36176" xr:uid="{BD5443F9-924D-493A-A7AC-BBAC60102844}"/>
    <cellStyle name="20% - Accent4 37" xfId="5839" xr:uid="{9710C6BB-0AA9-4F80-BA35-B38AF9718A01}"/>
    <cellStyle name="20% - Accent4 37 2" xfId="5840" xr:uid="{B2FD58D9-9E35-4ED9-88F0-FEBDBDA75C03}"/>
    <cellStyle name="20% - Accent4 37 2 2" xfId="5841" xr:uid="{B48180B8-1185-41F0-8993-A82A2EAED2C7}"/>
    <cellStyle name="20% - Accent4 37 2 2 2" xfId="5842" xr:uid="{CA66CAA4-921D-41C7-B143-1626920CCA3B}"/>
    <cellStyle name="20% - Accent4 37 2 2 2 2" xfId="5843" xr:uid="{8B16754F-806F-4320-8C5C-9ED3EC76F679}"/>
    <cellStyle name="20% - Accent4 37 2 2 3" xfId="5844" xr:uid="{27532D86-76AF-47DD-884A-61957E179C67}"/>
    <cellStyle name="20% - Accent4 37 2 3" xfId="5845" xr:uid="{BADB3D39-9E75-41A9-9C19-D3049F7E1FED}"/>
    <cellStyle name="20% - Accent4 37 2 3 2" xfId="5846" xr:uid="{D9DC08BA-2B52-446C-B3A3-662ABB3BF481}"/>
    <cellStyle name="20% - Accent4 37 2 3 2 2" xfId="5847" xr:uid="{61FDE29F-2C12-4661-B929-70A4FF20661A}"/>
    <cellStyle name="20% - Accent4 37 2 3 3" xfId="5848" xr:uid="{A351103E-FF69-4164-BC47-49995CD8DCF9}"/>
    <cellStyle name="20% - Accent4 37 2 4" xfId="5849" xr:uid="{FDFEA398-E540-481C-83DB-F2F496E94A0D}"/>
    <cellStyle name="20% - Accent4 37 2 4 2" xfId="5850" xr:uid="{02A6A0E6-785E-4AFB-8D7A-FFDFCD090627}"/>
    <cellStyle name="20% - Accent4 37 2 5" xfId="5851" xr:uid="{08A5C08F-31AE-4B67-BF60-AD47440E8055}"/>
    <cellStyle name="20% - Accent4 37 3" xfId="5852" xr:uid="{1F2A7801-3BD0-4F3A-B034-EBC1BDC76445}"/>
    <cellStyle name="20% - Accent4 37 3 2" xfId="5853" xr:uid="{0439F104-3A42-4597-9B74-1B0E87B8A2EE}"/>
    <cellStyle name="20% - Accent4 37 3 2 2" xfId="5854" xr:uid="{E0D00B1B-ED0C-4F3A-A722-B79E0B1555A4}"/>
    <cellStyle name="20% - Accent4 37 3 3" xfId="5855" xr:uid="{A6F51450-B347-4910-B07E-DA42FF3395F8}"/>
    <cellStyle name="20% - Accent4 37 4" xfId="5856" xr:uid="{13DED746-DE94-40C4-81F4-C3D045D11978}"/>
    <cellStyle name="20% - Accent4 37 4 2" xfId="5857" xr:uid="{8BDB03C8-80E7-4AAB-8B41-3218BA831080}"/>
    <cellStyle name="20% - Accent4 37 4 2 2" xfId="5858" xr:uid="{41186FCF-C83C-4916-BE5E-8B6D0DBD487A}"/>
    <cellStyle name="20% - Accent4 37 4 3" xfId="5859" xr:uid="{900CA0DD-4093-444E-A8FF-B9E23410A321}"/>
    <cellStyle name="20% - Accent4 37 5" xfId="5860" xr:uid="{313747BE-3EEF-43FE-8CA1-7AA9FCB51853}"/>
    <cellStyle name="20% - Accent4 37 5 2" xfId="5861" xr:uid="{B0483AE4-03C9-48BA-8AF5-C9043FD48636}"/>
    <cellStyle name="20% - Accent4 37 6" xfId="36177" xr:uid="{462E9C99-00B5-4C44-AAC8-D154FDC66DC2}"/>
    <cellStyle name="20% - Accent4 38" xfId="5862" xr:uid="{908DFFDA-5B16-498A-9E08-49D6D1B7A289}"/>
    <cellStyle name="20% - Accent4 38 2" xfId="5863" xr:uid="{30F05126-6E9E-4C22-AE4C-C626314AD6A2}"/>
    <cellStyle name="20% - Accent4 38 2 2" xfId="5864" xr:uid="{381EDF7C-68F4-460B-8B6F-17250DA272C9}"/>
    <cellStyle name="20% - Accent4 38 2 2 2" xfId="5865" xr:uid="{5656228F-022C-43CE-99C2-6F317497FE0C}"/>
    <cellStyle name="20% - Accent4 38 2 2 2 2" xfId="5866" xr:uid="{5930DEF7-3565-4065-B1A3-200FF3106991}"/>
    <cellStyle name="20% - Accent4 38 2 2 3" xfId="5867" xr:uid="{A2F46399-E27A-44B5-941A-FC26B677ED18}"/>
    <cellStyle name="20% - Accent4 38 2 3" xfId="5868" xr:uid="{D40E5FF5-F461-401C-B413-0AAA55750B46}"/>
    <cellStyle name="20% - Accent4 38 2 3 2" xfId="5869" xr:uid="{A488457A-6D75-4308-9855-A0A189A42929}"/>
    <cellStyle name="20% - Accent4 38 2 3 2 2" xfId="5870" xr:uid="{2BF1C167-A3FF-418D-A383-ACAAB78AAFF9}"/>
    <cellStyle name="20% - Accent4 38 2 3 3" xfId="5871" xr:uid="{192626CE-EF74-4EC9-9002-3389F443E317}"/>
    <cellStyle name="20% - Accent4 38 2 4" xfId="5872" xr:uid="{AD4ECBD5-878F-412C-8BD9-123B314DBE57}"/>
    <cellStyle name="20% - Accent4 38 2 4 2" xfId="5873" xr:uid="{682816B3-AB41-41D5-988D-ADD54F0B61CD}"/>
    <cellStyle name="20% - Accent4 38 2 5" xfId="5874" xr:uid="{5DA250BC-C91D-4BD8-8C80-2D4DA9938594}"/>
    <cellStyle name="20% - Accent4 38 3" xfId="5875" xr:uid="{EEBA3BFF-20E7-4C7D-9B53-48D34EDB87E9}"/>
    <cellStyle name="20% - Accent4 38 3 2" xfId="5876" xr:uid="{875633F8-F7C7-4AB4-B783-75168C94C863}"/>
    <cellStyle name="20% - Accent4 38 3 2 2" xfId="5877" xr:uid="{E7C6DE2D-BFFE-45B9-944C-88FF261BC273}"/>
    <cellStyle name="20% - Accent4 38 3 3" xfId="5878" xr:uid="{CE3FC37C-4A7F-4FD8-A3F5-6C4E2834A837}"/>
    <cellStyle name="20% - Accent4 38 4" xfId="5879" xr:uid="{176F5645-9F59-4775-AD15-E2F080E6F5B4}"/>
    <cellStyle name="20% - Accent4 38 4 2" xfId="5880" xr:uid="{89219A5E-8081-40E2-AE8E-265AD6A5F344}"/>
    <cellStyle name="20% - Accent4 38 4 2 2" xfId="5881" xr:uid="{C2BD5051-DB6A-425B-9A8E-78BC10021FB4}"/>
    <cellStyle name="20% - Accent4 38 4 3" xfId="5882" xr:uid="{A21B19EC-74C1-4B67-8287-E37F1FC10D39}"/>
    <cellStyle name="20% - Accent4 38 5" xfId="5883" xr:uid="{62237D8C-8A62-46BA-95B7-5135AB9941FF}"/>
    <cellStyle name="20% - Accent4 38 5 2" xfId="5884" xr:uid="{8ECC5FED-87A9-45B4-87CC-ECA5385D8A45}"/>
    <cellStyle name="20% - Accent4 38 6" xfId="36178" xr:uid="{EF5A31A5-EF9D-47D4-8B67-C567D7573FF9}"/>
    <cellStyle name="20% - Accent4 39" xfId="5885" xr:uid="{8E23A69E-11C4-46B9-8A81-F0CCB81CC8F1}"/>
    <cellStyle name="20% - Accent4 39 2" xfId="5886" xr:uid="{0F875749-C924-473C-8091-162061FF369D}"/>
    <cellStyle name="20% - Accent4 39 2 2" xfId="5887" xr:uid="{3BA21BA2-0429-40D7-9673-1F4F523EE82F}"/>
    <cellStyle name="20% - Accent4 39 2 2 2" xfId="5888" xr:uid="{8BA27472-328A-447B-A02C-FADD991D507B}"/>
    <cellStyle name="20% - Accent4 39 2 2 2 2" xfId="5889" xr:uid="{724A392C-0A23-4BEF-A00F-4AB92532C20A}"/>
    <cellStyle name="20% - Accent4 39 2 2 3" xfId="5890" xr:uid="{F62921CB-6CFD-4A3D-A888-C2D7CA48CB1D}"/>
    <cellStyle name="20% - Accent4 39 2 3" xfId="5891" xr:uid="{6B309EE5-4182-41FE-AFE4-3B5F697D28E8}"/>
    <cellStyle name="20% - Accent4 39 2 3 2" xfId="5892" xr:uid="{6356C6C0-9FA7-49EB-8229-BCB727291141}"/>
    <cellStyle name="20% - Accent4 39 2 3 2 2" xfId="5893" xr:uid="{83D5C5AB-7615-4DE1-A5F9-C1D7DD4FAFEE}"/>
    <cellStyle name="20% - Accent4 39 2 3 3" xfId="5894" xr:uid="{99C57D91-4CFC-47AC-97F1-E212D7CE9F5A}"/>
    <cellStyle name="20% - Accent4 39 2 4" xfId="5895" xr:uid="{CA12D06C-AC94-4B71-A639-88C2978EC84F}"/>
    <cellStyle name="20% - Accent4 39 2 4 2" xfId="5896" xr:uid="{4FF47A63-BD6D-4169-AD1A-0D588EF451FB}"/>
    <cellStyle name="20% - Accent4 39 2 5" xfId="5897" xr:uid="{58579B3C-7CD7-40F5-8B34-9A1C72DD0A24}"/>
    <cellStyle name="20% - Accent4 39 3" xfId="5898" xr:uid="{C436AC0F-86A4-4412-B07D-D848E283609F}"/>
    <cellStyle name="20% - Accent4 39 3 2" xfId="5899" xr:uid="{8BA86E15-55D6-4C27-97DC-38A2F6696411}"/>
    <cellStyle name="20% - Accent4 39 3 2 2" xfId="5900" xr:uid="{17687359-65E4-4E11-91F3-3358F35F1044}"/>
    <cellStyle name="20% - Accent4 39 3 3" xfId="5901" xr:uid="{340A9D0B-501C-4F15-8031-11F770F4FC18}"/>
    <cellStyle name="20% - Accent4 39 4" xfId="5902" xr:uid="{E265FF92-F37B-4322-9DD6-272BCF2EB91C}"/>
    <cellStyle name="20% - Accent4 39 4 2" xfId="5903" xr:uid="{A317E857-8189-4EC2-949D-855309167B28}"/>
    <cellStyle name="20% - Accent4 39 4 2 2" xfId="5904" xr:uid="{8B7B33A5-34D9-4B9E-A444-6B2B7847A5CC}"/>
    <cellStyle name="20% - Accent4 39 4 3" xfId="5905" xr:uid="{EB7F9C59-7C66-469B-809B-87D28ED96867}"/>
    <cellStyle name="20% - Accent4 39 5" xfId="5906" xr:uid="{AD7CB85D-7D1A-43FE-B3C6-6719A2069261}"/>
    <cellStyle name="20% - Accent4 39 5 2" xfId="5907" xr:uid="{0C8382D4-46F0-4F59-975F-26EE9036E873}"/>
    <cellStyle name="20% - Accent4 39 6" xfId="36179" xr:uid="{948D006A-E782-4557-BB1D-8384209EB688}"/>
    <cellStyle name="20% - Accent4 4" xfId="5908" xr:uid="{D206C81D-966F-4C9C-85D2-FB4FF20F8A4B}"/>
    <cellStyle name="20% - Accent4 4 2" xfId="5909" xr:uid="{0C768628-5679-4A08-AE81-F2DC5995A200}"/>
    <cellStyle name="20% - Accent4 4 2 2" xfId="5910" xr:uid="{70904976-E670-494A-B2E4-40A35C915CDD}"/>
    <cellStyle name="20% - Accent4 4 2 2 2" xfId="36180" xr:uid="{2C9CBB2A-DF6E-42C6-8E50-84EDB188D56F}"/>
    <cellStyle name="20% - Accent4 4 2 3" xfId="36181" xr:uid="{C2FD8A46-D082-4B98-A58B-757EE5EFA574}"/>
    <cellStyle name="20% - Accent4 4 2 4" xfId="36182" xr:uid="{4319C67B-334C-4285-9DAC-FA6D35552920}"/>
    <cellStyle name="20% - Accent4 4 3" xfId="5911" xr:uid="{7D99160D-8F9F-4C47-9A78-FC92FFDD5224}"/>
    <cellStyle name="20% - Accent4 4 3 2" xfId="36183" xr:uid="{1D8EFE9E-C04D-4EF6-ADD5-5AA10A1A8AE1}"/>
    <cellStyle name="20% - Accent4 4 4" xfId="36184" xr:uid="{19AE3F44-C7CB-4393-926A-67F1E9865C68}"/>
    <cellStyle name="20% - Accent4 4 5" xfId="36185" xr:uid="{9BF27523-C0ED-4EEE-B9A6-E5712BAE4288}"/>
    <cellStyle name="20% - Accent4 40" xfId="5912" xr:uid="{C73B1D5B-861E-407D-B7B3-DB44EED6EFBA}"/>
    <cellStyle name="20% - Accent4 40 2" xfId="5913" xr:uid="{2BBCF0BB-1000-4848-8E63-177BB46A2CCC}"/>
    <cellStyle name="20% - Accent4 40 2 2" xfId="5914" xr:uid="{B81071AF-5E12-4B2F-94ED-B63947431B88}"/>
    <cellStyle name="20% - Accent4 40 2 2 2" xfId="5915" xr:uid="{6312D3FC-9626-40D7-9F1F-4F997A896A1C}"/>
    <cellStyle name="20% - Accent4 40 2 2 2 2" xfId="5916" xr:uid="{1CCAA16D-B044-4F8F-9BB7-6690360844F9}"/>
    <cellStyle name="20% - Accent4 40 2 2 3" xfId="5917" xr:uid="{74660C28-AC69-491D-9892-5D5D92ACEA42}"/>
    <cellStyle name="20% - Accent4 40 2 3" xfId="5918" xr:uid="{3C965F93-9E29-4BE5-9082-309FB959D152}"/>
    <cellStyle name="20% - Accent4 40 2 3 2" xfId="5919" xr:uid="{B8C1E531-DA63-40B8-B88F-9F9948EA6F8F}"/>
    <cellStyle name="20% - Accent4 40 2 3 2 2" xfId="5920" xr:uid="{506D226D-7E98-44FE-9E8B-72B4B5F9AB1A}"/>
    <cellStyle name="20% - Accent4 40 2 3 3" xfId="5921" xr:uid="{D75F5F57-8817-48FD-9DF4-849C0349D71A}"/>
    <cellStyle name="20% - Accent4 40 2 4" xfId="5922" xr:uid="{EC96AE59-C5A1-463F-A9BA-A14563A1F48C}"/>
    <cellStyle name="20% - Accent4 40 2 4 2" xfId="5923" xr:uid="{1A0ADE54-D637-48CA-AB03-E6372F990D0F}"/>
    <cellStyle name="20% - Accent4 40 2 5" xfId="5924" xr:uid="{10890E0B-8028-44B8-91EC-476DED6AE761}"/>
    <cellStyle name="20% - Accent4 40 3" xfId="5925" xr:uid="{667F121F-B1F6-4957-80FA-32C9A447D2BD}"/>
    <cellStyle name="20% - Accent4 40 3 2" xfId="5926" xr:uid="{F0DC574F-8275-4654-8084-57FDA7827162}"/>
    <cellStyle name="20% - Accent4 40 3 2 2" xfId="5927" xr:uid="{B105ED34-5FED-4957-847F-45B87E75C858}"/>
    <cellStyle name="20% - Accent4 40 3 3" xfId="5928" xr:uid="{FB55B87C-1817-435E-84B9-466E1133CAD7}"/>
    <cellStyle name="20% - Accent4 40 4" xfId="5929" xr:uid="{3C34425C-CB8F-462A-9AFA-7CF26F1878AD}"/>
    <cellStyle name="20% - Accent4 40 4 2" xfId="5930" xr:uid="{C0DB06D5-8950-45C9-B698-4CD4285D9DDE}"/>
    <cellStyle name="20% - Accent4 40 4 2 2" xfId="5931" xr:uid="{FF992C40-69E8-483D-9429-5F93EA8696D1}"/>
    <cellStyle name="20% - Accent4 40 4 3" xfId="5932" xr:uid="{E7A0F6DD-70DC-41E2-88B9-1E3584CCDEC6}"/>
    <cellStyle name="20% - Accent4 40 5" xfId="5933" xr:uid="{C54DE1AF-E144-4F81-B1B7-3F23C4E3DB9B}"/>
    <cellStyle name="20% - Accent4 40 5 2" xfId="5934" xr:uid="{259FE469-7762-4035-9820-FB804455ABCB}"/>
    <cellStyle name="20% - Accent4 40 6" xfId="36186" xr:uid="{D82DE334-F262-4077-AB1A-C6207CA39CCE}"/>
    <cellStyle name="20% - Accent4 41" xfId="5935" xr:uid="{745D4C42-0944-4A6F-884C-88B53A32F90E}"/>
    <cellStyle name="20% - Accent4 41 2" xfId="5936" xr:uid="{E0C88A86-7261-4143-B628-EDA414FC3543}"/>
    <cellStyle name="20% - Accent4 41 2 2" xfId="5937" xr:uid="{92FA92A7-3A4A-4237-B443-7A8AB2EE235E}"/>
    <cellStyle name="20% - Accent4 41 2 2 2" xfId="5938" xr:uid="{AC5D1B99-166A-46BB-BB8B-DEDF5A3EF537}"/>
    <cellStyle name="20% - Accent4 41 2 2 2 2" xfId="5939" xr:uid="{3B4FC768-8C17-4DC0-A493-1E6AF053148A}"/>
    <cellStyle name="20% - Accent4 41 2 2 3" xfId="5940" xr:uid="{7B21F8D3-8622-4FF7-8B30-E942292AB2ED}"/>
    <cellStyle name="20% - Accent4 41 2 3" xfId="5941" xr:uid="{DDE8608F-6BE4-4375-938A-A600850459C3}"/>
    <cellStyle name="20% - Accent4 41 2 3 2" xfId="5942" xr:uid="{68356A0F-A9EC-4791-9C0C-5CA2112B1B25}"/>
    <cellStyle name="20% - Accent4 41 2 3 2 2" xfId="5943" xr:uid="{CBF96559-DC8B-4E32-B04F-852FF84D015D}"/>
    <cellStyle name="20% - Accent4 41 2 3 3" xfId="5944" xr:uid="{0208ED45-6C74-49BD-B0DC-99E0B8C31E15}"/>
    <cellStyle name="20% - Accent4 41 2 4" xfId="5945" xr:uid="{4981256B-E478-4908-B497-89C68251F124}"/>
    <cellStyle name="20% - Accent4 41 2 4 2" xfId="5946" xr:uid="{18F7765E-0524-465B-9878-DFC96D023870}"/>
    <cellStyle name="20% - Accent4 41 2 5" xfId="5947" xr:uid="{9985E57F-AF2F-4C80-9BD2-22A1FF2EC120}"/>
    <cellStyle name="20% - Accent4 41 3" xfId="5948" xr:uid="{19E8556A-4347-47F2-8B0B-5F51AAE2CBEB}"/>
    <cellStyle name="20% - Accent4 41 3 2" xfId="5949" xr:uid="{6DBE05DC-4135-4B2F-AA23-2CAEC4A3D3A3}"/>
    <cellStyle name="20% - Accent4 41 3 2 2" xfId="5950" xr:uid="{FCBFF742-55FA-4D34-99F7-D282A06DC6D2}"/>
    <cellStyle name="20% - Accent4 41 3 3" xfId="5951" xr:uid="{905A3BCC-4A06-4808-AB25-B8DEE3DEF2C8}"/>
    <cellStyle name="20% - Accent4 41 4" xfId="5952" xr:uid="{70D85E53-52B6-47DF-B968-6D1F35BE1A91}"/>
    <cellStyle name="20% - Accent4 41 4 2" xfId="5953" xr:uid="{E1369D55-5A89-405C-80C2-03C5A1D86AFB}"/>
    <cellStyle name="20% - Accent4 41 4 2 2" xfId="5954" xr:uid="{19D47A48-A2D4-4D4F-AB98-E58064091109}"/>
    <cellStyle name="20% - Accent4 41 4 3" xfId="5955" xr:uid="{C79B214E-8D9D-437B-94D7-3FCE89729BE6}"/>
    <cellStyle name="20% - Accent4 41 5" xfId="5956" xr:uid="{3EF98498-E0EB-4B0A-9437-4ED283FF9EE5}"/>
    <cellStyle name="20% - Accent4 41 5 2" xfId="5957" xr:uid="{AD1BF6D0-C4EF-47B9-85B5-9DD8EE23C445}"/>
    <cellStyle name="20% - Accent4 41 6" xfId="36187" xr:uid="{88CA5A61-06D1-4493-9FC8-2C9573FDDC26}"/>
    <cellStyle name="20% - Accent4 42" xfId="5958" xr:uid="{E40A7EC7-5C15-4783-B1AA-A60A7031E115}"/>
    <cellStyle name="20% - Accent4 42 2" xfId="5959" xr:uid="{19C48532-8B54-4F0B-93FF-7C22D5D9E60F}"/>
    <cellStyle name="20% - Accent4 42 2 2" xfId="5960" xr:uid="{AA10C8F0-04AE-4FA5-86BF-5B6AC58117A9}"/>
    <cellStyle name="20% - Accent4 42 2 2 2" xfId="5961" xr:uid="{5D677120-5F98-41E2-916A-229E1D6AE28A}"/>
    <cellStyle name="20% - Accent4 42 2 2 2 2" xfId="5962" xr:uid="{756CFABC-10B6-4792-B0CB-4513E463FC58}"/>
    <cellStyle name="20% - Accent4 42 2 2 3" xfId="5963" xr:uid="{5C3D79D8-E4F0-4A50-BC33-EEB86863873E}"/>
    <cellStyle name="20% - Accent4 42 2 3" xfId="5964" xr:uid="{2BAEA2F4-B351-44D5-A82B-EEEACD6E7253}"/>
    <cellStyle name="20% - Accent4 42 2 3 2" xfId="5965" xr:uid="{0B24A705-5C19-46DE-B994-C78BD568B600}"/>
    <cellStyle name="20% - Accent4 42 2 3 2 2" xfId="5966" xr:uid="{92977619-CAED-40D5-B76F-A232958A4CB7}"/>
    <cellStyle name="20% - Accent4 42 2 3 3" xfId="5967" xr:uid="{A7649FBE-7115-40BA-903B-5CF4B0494A54}"/>
    <cellStyle name="20% - Accent4 42 2 4" xfId="5968" xr:uid="{C32D4F49-3EBC-4226-8D63-4AF6E79BB969}"/>
    <cellStyle name="20% - Accent4 42 2 4 2" xfId="5969" xr:uid="{8C330949-241C-4995-8A9C-498420201A07}"/>
    <cellStyle name="20% - Accent4 42 2 5" xfId="5970" xr:uid="{4D4DD6BE-E9DB-49F6-A4EE-A19AE413722D}"/>
    <cellStyle name="20% - Accent4 42 3" xfId="5971" xr:uid="{4B05F837-90E8-4415-A158-92B99A937F66}"/>
    <cellStyle name="20% - Accent4 42 3 2" xfId="5972" xr:uid="{0B773636-110E-4C83-A093-4619372FD4C3}"/>
    <cellStyle name="20% - Accent4 42 3 2 2" xfId="5973" xr:uid="{95EDFDBF-FFA4-47CC-9FD7-A957DD58FB4F}"/>
    <cellStyle name="20% - Accent4 42 3 3" xfId="5974" xr:uid="{7EDD1C9C-8DEF-4285-8999-73E0FD652B4E}"/>
    <cellStyle name="20% - Accent4 42 4" xfId="5975" xr:uid="{46D178C6-A2CD-4C3F-9D65-B37218F3D70D}"/>
    <cellStyle name="20% - Accent4 42 4 2" xfId="5976" xr:uid="{2CC67CD3-5A65-47BA-9D58-244EA420CC2E}"/>
    <cellStyle name="20% - Accent4 42 4 2 2" xfId="5977" xr:uid="{860B70C1-B58A-4032-999E-6CCBA29CC632}"/>
    <cellStyle name="20% - Accent4 42 4 3" xfId="5978" xr:uid="{5E2D5F7A-F712-4DCC-8936-53996DB2AE79}"/>
    <cellStyle name="20% - Accent4 42 5" xfId="5979" xr:uid="{9C6F9EAC-CF77-4787-9757-AC5E2A9D7F22}"/>
    <cellStyle name="20% - Accent4 42 5 2" xfId="5980" xr:uid="{6DA0E08B-4572-4366-89F7-5D909D9B1D26}"/>
    <cellStyle name="20% - Accent4 42 6" xfId="36188" xr:uid="{075E0A29-CAF1-48F8-A1B4-94BECAC079E3}"/>
    <cellStyle name="20% - Accent4 43" xfId="5981" xr:uid="{C44C12AF-7F8D-4C8A-8C4D-1BB7C8992775}"/>
    <cellStyle name="20% - Accent4 43 2" xfId="5982" xr:uid="{99C65D37-B9B1-47CD-902D-873D0ACDE135}"/>
    <cellStyle name="20% - Accent4 43 3" xfId="36189" xr:uid="{0E6AE212-2DCE-4CC0-89CC-D6782043C2D3}"/>
    <cellStyle name="20% - Accent4 44" xfId="5983" xr:uid="{7EDE5190-F68F-4344-91FB-9F5F76C1717C}"/>
    <cellStyle name="20% - Accent4 44 2" xfId="5984" xr:uid="{394952AD-37E9-4374-9E2A-0E99092B2467}"/>
    <cellStyle name="20% - Accent4 44 3" xfId="36190" xr:uid="{0B4C2E99-2CA3-4FDD-A625-C0B1E804724F}"/>
    <cellStyle name="20% - Accent4 45" xfId="5985" xr:uid="{DF51A5A4-8915-4968-9F26-E23814B34CC3}"/>
    <cellStyle name="20% - Accent4 45 2" xfId="5986" xr:uid="{4728C36B-7EE0-447B-AC3E-0F8500CF4D8B}"/>
    <cellStyle name="20% - Accent4 45 3" xfId="36191" xr:uid="{12DB2D50-BDB4-4BD1-91A9-9974411D0BC3}"/>
    <cellStyle name="20% - Accent4 46" xfId="5987" xr:uid="{A1F0CD06-E8CC-47AE-8B04-0FBCEAF5F2BE}"/>
    <cellStyle name="20% - Accent4 46 2" xfId="5988" xr:uid="{3F125EE7-0026-413D-ADE1-BF1749E345B2}"/>
    <cellStyle name="20% - Accent4 46 3" xfId="36192" xr:uid="{141306B3-4D74-475C-9A78-9DB12790B3A3}"/>
    <cellStyle name="20% - Accent4 47" xfId="5989" xr:uid="{6B608711-68B4-407F-A09C-77EDA8EAF0D8}"/>
    <cellStyle name="20% - Accent4 47 2" xfId="5990" xr:uid="{BD7932BE-8A2C-42CF-B3DC-4CEA779E6420}"/>
    <cellStyle name="20% - Accent4 47 3" xfId="36193" xr:uid="{ADD29C0C-FA32-432E-9876-7CBF4B0F035E}"/>
    <cellStyle name="20% - Accent4 48" xfId="5991" xr:uid="{91AE395E-EF2A-401F-AF50-32C23497D7A3}"/>
    <cellStyle name="20% - Accent4 48 2" xfId="5992" xr:uid="{202801BE-DA75-4930-A119-A2517B32731B}"/>
    <cellStyle name="20% - Accent4 48 3" xfId="36194" xr:uid="{3610BC75-604A-46AC-B2E4-88022813147B}"/>
    <cellStyle name="20% - Accent4 49" xfId="5993" xr:uid="{8D5E300D-2C61-40D9-A978-141B9595BCC7}"/>
    <cellStyle name="20% - Accent4 49 2" xfId="5994" xr:uid="{225B3F78-67D1-42DF-905D-C03DD646993C}"/>
    <cellStyle name="20% - Accent4 49 3" xfId="36195" xr:uid="{A70BAB2A-DBD8-42A2-A4A8-6F5B5B2FA006}"/>
    <cellStyle name="20% - Accent4 5" xfId="5995" xr:uid="{8FCB275A-A106-458C-A059-A7CF95BFE64F}"/>
    <cellStyle name="20% - Accent4 5 2" xfId="5996" xr:uid="{E2389335-A694-4886-B59B-402061D3520C}"/>
    <cellStyle name="20% - Accent4 5 2 2" xfId="5997" xr:uid="{6FC5E19B-A35B-4C3C-90E9-A1CDD4312942}"/>
    <cellStyle name="20% - Accent4 5 2 2 2" xfId="36196" xr:uid="{C01CD721-4BC1-409E-A2BD-38386EFD856C}"/>
    <cellStyle name="20% - Accent4 5 2 3" xfId="36197" xr:uid="{DEE95867-CCF9-4389-8A19-7EB18DD751A9}"/>
    <cellStyle name="20% - Accent4 5 2 4" xfId="36198" xr:uid="{4C97AC4D-6572-4904-B59D-C2389966948C}"/>
    <cellStyle name="20% - Accent4 5 3" xfId="5998" xr:uid="{28377DFF-658B-4EA8-9194-DDAA000AEC50}"/>
    <cellStyle name="20% - Accent4 5 3 2" xfId="36199" xr:uid="{0472A15F-1A20-4164-974A-59382D4D0ED9}"/>
    <cellStyle name="20% - Accent4 5 4" xfId="36200" xr:uid="{3E955BD4-A59C-4CE4-B1E8-63508FDD69DE}"/>
    <cellStyle name="20% - Accent4 5 5" xfId="36201" xr:uid="{4AE5E92F-E3F4-41AC-9198-B4F03BBC3F0F}"/>
    <cellStyle name="20% - Accent4 50" xfId="5999" xr:uid="{CA361113-E03B-4FC8-9985-892354124A6C}"/>
    <cellStyle name="20% - Accent4 50 2" xfId="6000" xr:uid="{5E70DA76-1794-423A-925A-66E947C8234D}"/>
    <cellStyle name="20% - Accent4 50 3" xfId="36202" xr:uid="{BB5940AE-8514-4E7D-9895-EFCAB9716A0A}"/>
    <cellStyle name="20% - Accent4 51" xfId="6001" xr:uid="{698F4E66-8658-4DC1-ADBD-59C822A61A62}"/>
    <cellStyle name="20% - Accent4 51 2" xfId="36203" xr:uid="{7AA938A1-94EE-4C62-8B2A-774AC2046545}"/>
    <cellStyle name="20% - Accent4 52" xfId="6002" xr:uid="{CC87C758-E030-4AF8-990A-ECFAAF41FE94}"/>
    <cellStyle name="20% - Accent4 52 2" xfId="36204" xr:uid="{FABD77BE-08A9-4C3B-9CA2-CE3BCC4F3BD1}"/>
    <cellStyle name="20% - Accent4 53" xfId="6003" xr:uid="{42721C05-36FD-4B81-841B-3E54BC6893FE}"/>
    <cellStyle name="20% - Accent4 53 2" xfId="36205" xr:uid="{6567EB9E-6A23-42F2-BFBB-FA4BB1C8A2DA}"/>
    <cellStyle name="20% - Accent4 54" xfId="6004" xr:uid="{CD227D71-B671-435E-9D66-B461B925EEFF}"/>
    <cellStyle name="20% - Accent4 54 2" xfId="36206" xr:uid="{B9E3512B-5434-4BDB-864C-0524C49B5AA7}"/>
    <cellStyle name="20% - Accent4 55" xfId="6005" xr:uid="{A8D8FE27-DED1-4481-B275-E586D880523B}"/>
    <cellStyle name="20% - Accent4 55 2" xfId="36207" xr:uid="{BA023A28-9CCF-47C5-A5E9-A97390904E17}"/>
    <cellStyle name="20% - Accent4 56" xfId="6006" xr:uid="{2AF7B9C5-8F85-4A6B-8194-D46151C75D9C}"/>
    <cellStyle name="20% - Accent4 56 2" xfId="36208" xr:uid="{5F180CB9-7CA6-4C89-868A-BAB15B52CAC1}"/>
    <cellStyle name="20% - Accent4 57" xfId="6007" xr:uid="{6561D90E-A28E-488D-9762-99721E43E6CC}"/>
    <cellStyle name="20% - Accent4 57 2" xfId="36209" xr:uid="{746F3650-5F3E-496B-8A6A-2C096BFFA419}"/>
    <cellStyle name="20% - Accent4 58" xfId="6008" xr:uid="{E995304E-F82B-4A46-8AC8-78E067AE6819}"/>
    <cellStyle name="20% - Accent4 58 2" xfId="36210" xr:uid="{1B8EE68E-095F-46DD-8425-0EF17B34D606}"/>
    <cellStyle name="20% - Accent4 59" xfId="6009" xr:uid="{68ABA6EC-2428-4847-8B72-4FEF1ADDAD5C}"/>
    <cellStyle name="20% - Accent4 59 2" xfId="36211" xr:uid="{C757AEDD-35CA-4D3F-98C0-737DA5C07B92}"/>
    <cellStyle name="20% - Accent4 6" xfId="6010" xr:uid="{33F1135C-9543-4183-85A0-EE6114237258}"/>
    <cellStyle name="20% - Accent4 6 2" xfId="6011" xr:uid="{C89BED0C-FF97-4BB4-8261-29485AD82B78}"/>
    <cellStyle name="20% - Accent4 6 2 2" xfId="6012" xr:uid="{3F9CC4E5-B13F-4FC4-BB26-1CE99B48F8CB}"/>
    <cellStyle name="20% - Accent4 6 2 2 2" xfId="36212" xr:uid="{B2EDDB4F-3587-4F84-B714-EB7AB378A5B4}"/>
    <cellStyle name="20% - Accent4 6 2 3" xfId="36213" xr:uid="{AD9E4B80-CEE7-48B6-BE9F-22A3180EB01E}"/>
    <cellStyle name="20% - Accent4 6 2 4" xfId="36214" xr:uid="{14731BDD-A1B0-405E-8830-B0283498B837}"/>
    <cellStyle name="20% - Accent4 6 3" xfId="6013" xr:uid="{A836EACB-B7A1-477B-8E30-7D45CDDCD97B}"/>
    <cellStyle name="20% - Accent4 6 3 2" xfId="36215" xr:uid="{272268E6-E054-46D5-A953-6BAF7FFC8721}"/>
    <cellStyle name="20% - Accent4 6 4" xfId="36216" xr:uid="{9364FDB2-7F66-4D38-9B79-33021935CC8F}"/>
    <cellStyle name="20% - Accent4 6 5" xfId="36217" xr:uid="{A272E2B2-6140-4859-9913-044644ACE249}"/>
    <cellStyle name="20% - Accent4 60" xfId="6014" xr:uid="{F4211392-9D46-4F53-8A81-14FECF0045BC}"/>
    <cellStyle name="20% - Accent4 60 2" xfId="36218" xr:uid="{482B5907-0480-4376-A54D-B361B1D9B68A}"/>
    <cellStyle name="20% - Accent4 61" xfId="6015" xr:uid="{79D5276E-E78A-4BD3-A0E7-3C9140204A42}"/>
    <cellStyle name="20% - Accent4 61 2" xfId="36219" xr:uid="{727C8C50-7D9C-4E4B-BF1E-038822694A42}"/>
    <cellStyle name="20% - Accent4 62" xfId="6016" xr:uid="{A274DBEF-864E-4C1D-9C45-CF279A8E0CA1}"/>
    <cellStyle name="20% - Accent4 62 2" xfId="36220" xr:uid="{1BF23D43-2041-43A6-BB33-E3CCC8119D75}"/>
    <cellStyle name="20% - Accent4 63" xfId="6017" xr:uid="{25E5594F-A933-42CF-A783-BFB3E0BFCA86}"/>
    <cellStyle name="20% - Accent4 63 2" xfId="36221" xr:uid="{773DDB54-67EC-450C-95A0-4D16591E1F09}"/>
    <cellStyle name="20% - Accent4 64" xfId="6018" xr:uid="{30936F5D-5566-4990-8013-98A6AD2CF16B}"/>
    <cellStyle name="20% - Accent4 64 2" xfId="36222" xr:uid="{EAC45401-BBE0-4944-A885-7E41F787FCF5}"/>
    <cellStyle name="20% - Accent4 65" xfId="6019" xr:uid="{9C4B9626-7E58-4F4F-8BD9-AA19551B8E52}"/>
    <cellStyle name="20% - Accent4 65 2" xfId="36223" xr:uid="{5C278335-1BDF-4CCD-A19A-5C7C728767FE}"/>
    <cellStyle name="20% - Accent4 66" xfId="6020" xr:uid="{C9E78841-31AB-49F2-B64D-88BEF58C0B40}"/>
    <cellStyle name="20% - Accent4 66 2" xfId="6021" xr:uid="{18F303F9-BB46-48B9-9EEA-F7F2B50DB021}"/>
    <cellStyle name="20% - Accent4 66 2 2" xfId="6022" xr:uid="{9ABF7579-C21F-4447-8C78-93D4EECD1AF0}"/>
    <cellStyle name="20% - Accent4 66 3" xfId="6023" xr:uid="{B7621B72-D136-4714-AC9C-1A14877ECD1E}"/>
    <cellStyle name="20% - Accent4 66 3 2" xfId="6024" xr:uid="{18587489-0049-4B77-A13F-DA5B90A998E4}"/>
    <cellStyle name="20% - Accent4 66 4" xfId="6025" xr:uid="{FEA7335B-31DA-4D40-BC0E-515FA56488AC}"/>
    <cellStyle name="20% - Accent4 66 5" xfId="36224" xr:uid="{24DF3472-47BD-4AA1-A1E9-D2C79656D9D5}"/>
    <cellStyle name="20% - Accent4 67" xfId="6026" xr:uid="{50A4E9F4-BC65-469C-83F1-7A32210FF892}"/>
    <cellStyle name="20% - Accent4 67 2" xfId="6027" xr:uid="{53AC00A4-58C8-42BD-AA31-B54BB5E9D35A}"/>
    <cellStyle name="20% - Accent4 67 2 2" xfId="6028" xr:uid="{9F71BE18-9374-4AA1-9381-254E3FCC3A5A}"/>
    <cellStyle name="20% - Accent4 67 3" xfId="6029" xr:uid="{103F7B4A-FC64-43F8-A970-5777DC12F902}"/>
    <cellStyle name="20% - Accent4 67 3 2" xfId="6030" xr:uid="{0602B933-C3A0-4601-913C-162D29D50BF9}"/>
    <cellStyle name="20% - Accent4 67 4" xfId="6031" xr:uid="{6F0A90A1-B470-4AAB-8053-01A88CD6A35E}"/>
    <cellStyle name="20% - Accent4 67 5" xfId="36225" xr:uid="{F2FBEE34-04AE-4D36-A5C7-19655CC65898}"/>
    <cellStyle name="20% - Accent4 68" xfId="6032" xr:uid="{BD2160E8-5D56-40AF-982E-F79BE54DF8AB}"/>
    <cellStyle name="20% - Accent4 68 2" xfId="6033" xr:uid="{04696729-B481-4BA0-A534-650F8FB8F856}"/>
    <cellStyle name="20% - Accent4 68 2 2" xfId="6034" xr:uid="{08336259-E5E1-4651-A484-72F65EA02492}"/>
    <cellStyle name="20% - Accent4 68 3" xfId="6035" xr:uid="{1AC6CF1A-DD2C-45E7-BE34-AD1C44159B46}"/>
    <cellStyle name="20% - Accent4 68 3 2" xfId="6036" xr:uid="{6FA92B76-1A75-48C0-ADC5-46DF0EAC3067}"/>
    <cellStyle name="20% - Accent4 68 4" xfId="6037" xr:uid="{83C9A8BB-CA26-4CCE-A9BF-40BBB03E04F1}"/>
    <cellStyle name="20% - Accent4 68 5" xfId="36226" xr:uid="{2BA7C7C7-9C23-431B-8B01-BDC29C6F2095}"/>
    <cellStyle name="20% - Accent4 69" xfId="6038" xr:uid="{2D7E7D56-AAF8-4178-89E7-77601C91CF2B}"/>
    <cellStyle name="20% - Accent4 69 2" xfId="6039" xr:uid="{66C7C536-5798-4736-8887-00D17F000DAE}"/>
    <cellStyle name="20% - Accent4 69 2 2" xfId="6040" xr:uid="{A9B5EE83-7052-4FEC-8E51-10103155B50B}"/>
    <cellStyle name="20% - Accent4 69 3" xfId="6041" xr:uid="{55172BE7-66CC-4233-9576-128338AA7091}"/>
    <cellStyle name="20% - Accent4 69 4" xfId="36227" xr:uid="{A41CEA24-DDB7-4C0A-BEA8-746EE8E0EA43}"/>
    <cellStyle name="20% - Accent4 7" xfId="6042" xr:uid="{03D537C5-0E64-4A42-BC7D-8C3B5A4522FA}"/>
    <cellStyle name="20% - Accent4 7 2" xfId="6043" xr:uid="{70D126BF-D6D0-4F73-BE41-D1B11F7D0B2D}"/>
    <cellStyle name="20% - Accent4 7 2 2" xfId="6044" xr:uid="{E54FEFF4-2B13-44FE-AC6F-2816FACA0E3C}"/>
    <cellStyle name="20% - Accent4 7 2 2 2" xfId="36228" xr:uid="{4FBD5D71-C0F2-4C24-9EC7-47798764D524}"/>
    <cellStyle name="20% - Accent4 7 2 3" xfId="36229" xr:uid="{5E34054E-BE3A-45C2-A565-C7DA9EBED88A}"/>
    <cellStyle name="20% - Accent4 7 2 4" xfId="36230" xr:uid="{F1FCBFB5-BC65-44D4-B795-C0EE216E9A69}"/>
    <cellStyle name="20% - Accent4 7 3" xfId="6045" xr:uid="{2C9AC420-1770-4B0B-B77E-346B3D34DCA5}"/>
    <cellStyle name="20% - Accent4 7 3 2" xfId="36231" xr:uid="{E82CA66C-EC37-4A07-A06D-6D5848548B51}"/>
    <cellStyle name="20% - Accent4 7 4" xfId="36232" xr:uid="{7DC003CB-6C9E-4B88-BCBF-686208CDE54D}"/>
    <cellStyle name="20% - Accent4 7 5" xfId="36233" xr:uid="{A1AC07AA-0F05-4168-8901-83708CD54BD0}"/>
    <cellStyle name="20% - Accent4 70" xfId="6046" xr:uid="{98448F9F-E392-4FCB-AAE3-E85CBE645CED}"/>
    <cellStyle name="20% - Accent4 70 2" xfId="6047" xr:uid="{04E4C91D-3BF6-49BC-9968-B96E15DCA569}"/>
    <cellStyle name="20% - Accent4 70 2 2" xfId="6048" xr:uid="{3BEC11E9-1DB4-46BB-AB09-C46902B76FD9}"/>
    <cellStyle name="20% - Accent4 70 3" xfId="6049" xr:uid="{82F72AE4-29A6-4090-AF57-F91C07B14E8D}"/>
    <cellStyle name="20% - Accent4 70 4" xfId="36234" xr:uid="{18D1C517-7E7F-4C9E-ACFD-6D610724B836}"/>
    <cellStyle name="20% - Accent4 71" xfId="6050" xr:uid="{42E55A45-2EFD-4139-BBFC-48411C0EEA79}"/>
    <cellStyle name="20% - Accent4 71 2" xfId="6051" xr:uid="{BF35A340-9F59-4962-A9CE-638DDF660091}"/>
    <cellStyle name="20% - Accent4 71 2 2" xfId="6052" xr:uid="{DC219E08-217C-46C2-A0A1-FE8E32544203}"/>
    <cellStyle name="20% - Accent4 71 3" xfId="6053" xr:uid="{5067BC66-5096-41F1-A4B5-3DEB1CF8FC67}"/>
    <cellStyle name="20% - Accent4 71 4" xfId="36235" xr:uid="{A97D0D4F-CAFD-43B5-8987-FFDB9EA9C408}"/>
    <cellStyle name="20% - Accent4 72" xfId="6054" xr:uid="{E978CCEF-F1A4-4933-AE25-288A2063EC2A}"/>
    <cellStyle name="20% - Accent4 72 2" xfId="6055" xr:uid="{6C8DA7AB-F55C-4132-A20F-8EC6B6D3255E}"/>
    <cellStyle name="20% - Accent4 72 2 2" xfId="6056" xr:uid="{A78DC2C9-D6BB-442E-AE2F-D6343FACA729}"/>
    <cellStyle name="20% - Accent4 72 3" xfId="6057" xr:uid="{5574A0FB-8C74-493F-B482-88163AA6D583}"/>
    <cellStyle name="20% - Accent4 72 4" xfId="36236" xr:uid="{7D2AAA6C-E09E-4BE4-9E85-DF0D1606FC2A}"/>
    <cellStyle name="20% - Accent4 73" xfId="6058" xr:uid="{AD9C88B8-FF44-4293-A3D4-6F35F0C351D6}"/>
    <cellStyle name="20% - Accent4 73 2" xfId="6059" xr:uid="{0455A209-7C6D-4590-A40E-6EABC69FF290}"/>
    <cellStyle name="20% - Accent4 73 2 2" xfId="6060" xr:uid="{3FBECBD2-BB31-4F1E-AB00-6FABC511CFB9}"/>
    <cellStyle name="20% - Accent4 73 3" xfId="6061" xr:uid="{CCB6FBE4-4170-49E7-B983-BD1585707114}"/>
    <cellStyle name="20% - Accent4 73 4" xfId="36237" xr:uid="{924FB351-63E5-43FD-836E-E94FF696C593}"/>
    <cellStyle name="20% - Accent4 74" xfId="6062" xr:uid="{9980AC3F-AE75-49F5-BE7F-EEC632DF08E7}"/>
    <cellStyle name="20% - Accent4 74 2" xfId="6063" xr:uid="{59AB3E61-C6CF-4EE2-B3BB-6EBC1C4B38F4}"/>
    <cellStyle name="20% - Accent4 74 2 2" xfId="6064" xr:uid="{547DC8CB-E63A-4E4D-A447-4765184E84AF}"/>
    <cellStyle name="20% - Accent4 74 3" xfId="6065" xr:uid="{DD500798-F66D-4259-BD0D-40006A1AF04B}"/>
    <cellStyle name="20% - Accent4 74 4" xfId="36238" xr:uid="{4D24B8A0-195E-47B8-B8C0-6BD43298915C}"/>
    <cellStyle name="20% - Accent4 75" xfId="6066" xr:uid="{F07104F1-A094-4F6A-88C6-A5909CAC964C}"/>
    <cellStyle name="20% - Accent4 75 2" xfId="6067" xr:uid="{0986353F-74D9-4740-A381-02756E111773}"/>
    <cellStyle name="20% - Accent4 75 2 2" xfId="6068" xr:uid="{43F3B3E0-2E7F-42B7-B997-832C11234163}"/>
    <cellStyle name="20% - Accent4 75 3" xfId="6069" xr:uid="{0D61AD54-1D89-4504-B850-95A1B3593121}"/>
    <cellStyle name="20% - Accent4 75 4" xfId="36239" xr:uid="{8CB680A6-DC22-4466-9E44-A52A65140B76}"/>
    <cellStyle name="20% - Accent4 76" xfId="6070" xr:uid="{269ACEE6-B1DB-43DC-B2F1-CF07217C8343}"/>
    <cellStyle name="20% - Accent4 76 2" xfId="6071" xr:uid="{E215E6AA-95F2-4234-9CC1-5E15E515EC5D}"/>
    <cellStyle name="20% - Accent4 76 2 2" xfId="6072" xr:uid="{E91834B4-457B-406E-B8AA-B4DF217724B8}"/>
    <cellStyle name="20% - Accent4 76 3" xfId="6073" xr:uid="{2C4ACB69-EC73-40F1-AC2F-BA238BC5AA1C}"/>
    <cellStyle name="20% - Accent4 76 4" xfId="36240" xr:uid="{E3A5FB77-3B67-4CBF-B235-56963B7D3A77}"/>
    <cellStyle name="20% - Accent4 77" xfId="6074" xr:uid="{65B56559-0C98-4A61-BFB5-AFFD0205A933}"/>
    <cellStyle name="20% - Accent4 77 2" xfId="6075" xr:uid="{C3073F34-66D8-4140-A4B2-8CD344D77218}"/>
    <cellStyle name="20% - Accent4 77 2 2" xfId="6076" xr:uid="{B0BA29C6-4306-4E16-9223-7A8060918122}"/>
    <cellStyle name="20% - Accent4 77 3" xfId="6077" xr:uid="{F4BB594C-1EEB-4C46-8C39-8FDBACBCD545}"/>
    <cellStyle name="20% - Accent4 77 4" xfId="36241" xr:uid="{22515D84-0657-4091-A59B-27A6A9F42CCD}"/>
    <cellStyle name="20% - Accent4 78" xfId="6078" xr:uid="{6DCCB5AC-E50D-4608-A3F1-F2591A2DC84D}"/>
    <cellStyle name="20% - Accent4 78 2" xfId="6079" xr:uid="{DBC2DF96-C984-4F80-B912-291FF1E6CF73}"/>
    <cellStyle name="20% - Accent4 78 2 2" xfId="6080" xr:uid="{7CB84E50-B99B-45DD-9EDC-1F11F4D85A11}"/>
    <cellStyle name="20% - Accent4 78 3" xfId="6081" xr:uid="{6C266A18-5501-4770-8F2C-BD442C586F73}"/>
    <cellStyle name="20% - Accent4 78 4" xfId="36242" xr:uid="{03B79EB9-192E-4210-9249-A3E802E39E46}"/>
    <cellStyle name="20% - Accent4 79" xfId="6082" xr:uid="{4F7F188A-1CCB-4543-8194-9DE62F93D5B2}"/>
    <cellStyle name="20% - Accent4 79 2" xfId="6083" xr:uid="{E663215F-7CA2-49E9-9789-6F04E4ABEFDF}"/>
    <cellStyle name="20% - Accent4 79 3" xfId="36243" xr:uid="{38467C5B-2C45-4970-9AB3-711767185F86}"/>
    <cellStyle name="20% - Accent4 8" xfId="6084" xr:uid="{DB5E401A-8722-4D75-BD97-497E2749B65B}"/>
    <cellStyle name="20% - Accent4 8 2" xfId="6085" xr:uid="{8119B5EE-64DA-418E-9FAF-A540055605C0}"/>
    <cellStyle name="20% - Accent4 8 2 2" xfId="6086" xr:uid="{DFB05BF2-96B2-4926-8E22-D47B2B19151F}"/>
    <cellStyle name="20% - Accent4 8 2 2 2" xfId="36244" xr:uid="{BD697C99-E14D-49EB-A8B5-DA62EA91B825}"/>
    <cellStyle name="20% - Accent4 8 2 3" xfId="36245" xr:uid="{910F3E2A-46C1-4DDD-8D49-7852C924C9E2}"/>
    <cellStyle name="20% - Accent4 8 3" xfId="6087" xr:uid="{2FF6C13E-27A5-4B63-B3B1-E9DD45D83EF0}"/>
    <cellStyle name="20% - Accent4 8 3 2" xfId="36246" xr:uid="{0FA64FC1-FF32-4A60-876A-8C50B735F58E}"/>
    <cellStyle name="20% - Accent4 8 4" xfId="36247" xr:uid="{6F901372-ABFE-4190-95DF-B2F740FD3611}"/>
    <cellStyle name="20% - Accent4 8 5" xfId="36248" xr:uid="{E7848904-6D97-46A2-96D1-863E0246FA89}"/>
    <cellStyle name="20% - Accent4 8 6" xfId="36249" xr:uid="{9BFE75A4-692B-45CB-97E1-3F50FCF1686C}"/>
    <cellStyle name="20% - Accent4 8 7" xfId="36250" xr:uid="{F4C327A9-5D28-40E2-A20D-AED44A920175}"/>
    <cellStyle name="20% - Accent4 80" xfId="6088" xr:uid="{B72342FD-40BD-4ACF-94CF-61DE7F6E6529}"/>
    <cellStyle name="20% - Accent4 80 2" xfId="6089" xr:uid="{2BC204D6-FDD7-42AF-A916-9B9FEEAE17EE}"/>
    <cellStyle name="20% - Accent4 80 3" xfId="36251" xr:uid="{5B841485-4310-4584-892E-478F5D576A10}"/>
    <cellStyle name="20% - Accent4 81" xfId="6090" xr:uid="{F93E3A2E-B4DC-4D10-89FE-6E5D3291AFA8}"/>
    <cellStyle name="20% - Accent4 81 2" xfId="6091" xr:uid="{3E69BAFA-E429-4B15-86A5-0ACE7F852E4A}"/>
    <cellStyle name="20% - Accent4 81 3" xfId="36252" xr:uid="{DABB515B-2FF1-4E29-ACC7-3EE4CB94CD84}"/>
    <cellStyle name="20% - Accent4 82" xfId="6092" xr:uid="{6E3ADA48-D882-46C4-92A5-0D0255C44547}"/>
    <cellStyle name="20% - Accent4 82 2" xfId="6093" xr:uid="{4B128EB3-3F32-4DC3-BF6F-CEBC5BF1948F}"/>
    <cellStyle name="20% - Accent4 82 3" xfId="36253" xr:uid="{49599182-0573-4895-9BA2-D2AE2122BCB9}"/>
    <cellStyle name="20% - Accent4 83" xfId="6094" xr:uid="{9B79C8C4-4BFA-4706-94D8-D0A597975364}"/>
    <cellStyle name="20% - Accent4 83 2" xfId="6095" xr:uid="{1863A189-18D9-40BE-B2B3-4E07C03DFC7A}"/>
    <cellStyle name="20% - Accent4 83 3" xfId="36254" xr:uid="{F6A74715-6F17-4F01-B9B0-A9AC6156D5B6}"/>
    <cellStyle name="20% - Accent4 84" xfId="6096" xr:uid="{E661801D-BD94-41A0-86D0-90FA2B5CCCE0}"/>
    <cellStyle name="20% - Accent4 84 2" xfId="6097" xr:uid="{01E8DAA1-4437-4AA2-9E4C-2607F3B6465A}"/>
    <cellStyle name="20% - Accent4 84 3" xfId="36255" xr:uid="{35443485-7E7E-46E9-A3B9-0C4BFB5B20BA}"/>
    <cellStyle name="20% - Accent4 85" xfId="6098" xr:uid="{16529AEC-10E1-43C9-983F-103EA4984263}"/>
    <cellStyle name="20% - Accent4 85 2" xfId="6099" xr:uid="{79E14E1C-7C3A-40E2-A904-557AB1CE1341}"/>
    <cellStyle name="20% - Accent4 85 3" xfId="36256" xr:uid="{3385486B-51EC-47F4-B982-C2FC437EC6F9}"/>
    <cellStyle name="20% - Accent4 86" xfId="6100" xr:uid="{A9A0DB12-9B1E-4FC8-B8BE-0F673B395A4C}"/>
    <cellStyle name="20% - Accent4 86 2" xfId="6101" xr:uid="{6FD52745-9A76-446A-A8F9-941DD814E708}"/>
    <cellStyle name="20% - Accent4 86 3" xfId="36257" xr:uid="{3A7A4695-F193-4DE5-B399-6E06A5ACE596}"/>
    <cellStyle name="20% - Accent4 87" xfId="6102" xr:uid="{F1BE01E9-17C2-4C03-BAA1-8BC07C086179}"/>
    <cellStyle name="20% - Accent4 87 2" xfId="6103" xr:uid="{C92F9603-59C0-4F2F-8FD2-D93673F511E3}"/>
    <cellStyle name="20% - Accent4 87 3" xfId="36258" xr:uid="{09688C31-9D8A-4D50-A191-446D8C88CB5B}"/>
    <cellStyle name="20% - Accent4 88" xfId="6104" xr:uid="{68C31E61-1A42-420C-A39B-358448A3B7F3}"/>
    <cellStyle name="20% - Accent4 88 2" xfId="6105" xr:uid="{29495849-C646-4CB8-8BE1-DBE93D8F7600}"/>
    <cellStyle name="20% - Accent4 88 3" xfId="36259" xr:uid="{44E703E3-B9D0-4F82-AF8D-E5946AA762CE}"/>
    <cellStyle name="20% - Accent4 89" xfId="6106" xr:uid="{F4E18A58-F9B1-4A84-9352-64EE575A9C3E}"/>
    <cellStyle name="20% - Accent4 89 2" xfId="6107" xr:uid="{D63079BD-7150-4FFF-BCB5-BCA457E52C87}"/>
    <cellStyle name="20% - Accent4 89 3" xfId="36260" xr:uid="{72838744-62A5-4480-A9D2-DF2029C83447}"/>
    <cellStyle name="20% - Accent4 9" xfId="6108" xr:uid="{D75F660F-D82F-4432-9D69-92031080AAA5}"/>
    <cellStyle name="20% - Accent4 9 2" xfId="6109" xr:uid="{D9F862A5-7206-4BA2-922C-ED3A1E9A9410}"/>
    <cellStyle name="20% - Accent4 9 2 2" xfId="6110" xr:uid="{97797AFB-AA83-4290-98EA-9FD446235251}"/>
    <cellStyle name="20% - Accent4 9 2 2 2" xfId="36261" xr:uid="{DD728022-73A2-46F1-B99B-E2DBDE3AB659}"/>
    <cellStyle name="20% - Accent4 9 2 3" xfId="36262" xr:uid="{419C69BD-5D24-4FA9-8D9A-F74B51DBE4A1}"/>
    <cellStyle name="20% - Accent4 9 3" xfId="6111" xr:uid="{405E2146-E55E-4990-862C-1739BF489A3C}"/>
    <cellStyle name="20% - Accent4 9 3 2" xfId="36263" xr:uid="{87151C43-DC05-49D3-A2CD-55EC3A6FC942}"/>
    <cellStyle name="20% - Accent4 9 4" xfId="36264" xr:uid="{6313B1EC-C4F3-4AC7-ACB3-78F0610468E4}"/>
    <cellStyle name="20% - Accent4 9 5" xfId="36265" xr:uid="{226ACD81-3439-4C6C-B0E7-725DFB217AEB}"/>
    <cellStyle name="20% - Accent4 9 6" xfId="36266" xr:uid="{AFD0D501-FB4C-4D39-98ED-E14307CE18C6}"/>
    <cellStyle name="20% - Accent4 90" xfId="6112" xr:uid="{44589D2F-18B4-4A83-87C9-E53FB03CD6BC}"/>
    <cellStyle name="20% - Accent4 90 2" xfId="6113" xr:uid="{254C3A13-7B07-45E8-BAAA-9E9265C26AA7}"/>
    <cellStyle name="20% - Accent4 90 3" xfId="36267" xr:uid="{126F1191-C54B-43BA-9C95-A1BFA138F217}"/>
    <cellStyle name="20% - Accent4 91" xfId="6114" xr:uid="{7E11D7B3-D5DE-4FF9-A4CF-9FC5CDFB6EE6}"/>
    <cellStyle name="20% - Accent4 91 2" xfId="6115" xr:uid="{81ADB46C-7895-4486-83FB-817200F1F059}"/>
    <cellStyle name="20% - Accent4 91 3" xfId="36268" xr:uid="{1033A5DA-90EA-49A3-A1F2-40AD2015F809}"/>
    <cellStyle name="20% - Accent4 92" xfId="6116" xr:uid="{D7A7C521-67EA-4069-BDDC-3BC5264016DF}"/>
    <cellStyle name="20% - Accent4 92 2" xfId="6117" xr:uid="{3F897271-790C-48EE-B2F1-6515DAB7366D}"/>
    <cellStyle name="20% - Accent4 92 3" xfId="36269" xr:uid="{E89D5273-C368-4B5B-9415-56F21E49F308}"/>
    <cellStyle name="20% - Accent4 93" xfId="6118" xr:uid="{C812BE8B-0B56-4BC1-8693-380E2B09DE8D}"/>
    <cellStyle name="20% - Accent4 93 2" xfId="6119" xr:uid="{A7E18170-EF2A-481A-8CAB-2AB05DD4722B}"/>
    <cellStyle name="20% - Accent4 93 3" xfId="36270" xr:uid="{BC55BC8C-195D-487A-9704-EEBE81B75638}"/>
    <cellStyle name="20% - Accent4 94" xfId="6120" xr:uid="{C62CDFF6-8E00-454B-98D9-319BBB4D4374}"/>
    <cellStyle name="20% - Accent4 94 2" xfId="6121" xr:uid="{50CE5047-A7F7-4441-8CC4-176BB0FB026F}"/>
    <cellStyle name="20% - Accent4 94 3" xfId="36271" xr:uid="{AB5582B4-FCA7-4D56-8714-B25B2290E4C5}"/>
    <cellStyle name="20% - Accent4 95" xfId="6122" xr:uid="{8A769A63-E47A-46D8-91C6-852AAF4453D8}"/>
    <cellStyle name="20% - Accent4 95 2" xfId="6123" xr:uid="{BD582EE7-B0C9-4E6F-8859-079C70CBD7EC}"/>
    <cellStyle name="20% - Accent4 95 3" xfId="36272" xr:uid="{F94CA2C2-3C7F-41C4-9444-AC1ED90A27F4}"/>
    <cellStyle name="20% - Accent4 96" xfId="6124" xr:uid="{675E49AE-EED9-4CE7-BF49-7113F96AA8B4}"/>
    <cellStyle name="20% - Accent4 96 2" xfId="6125" xr:uid="{8F08A661-38FC-4FBA-A19C-10D4813A4377}"/>
    <cellStyle name="20% - Accent4 96 3" xfId="36273" xr:uid="{D463A388-9910-45AD-87F6-82ECE33901E3}"/>
    <cellStyle name="20% - Accent4 97" xfId="6126" xr:uid="{1FA190EC-8E14-464F-9558-4AC8A08F50A0}"/>
    <cellStyle name="20% - Accent4 97 2" xfId="6127" xr:uid="{4DA85F33-4D04-49DE-9401-4C47059FFCDD}"/>
    <cellStyle name="20% - Accent4 97 3" xfId="36274" xr:uid="{075298F5-ED7E-4FA2-A14F-A170D8F096D8}"/>
    <cellStyle name="20% - Accent4 98" xfId="6128" xr:uid="{1B6D0F05-375A-4145-95E7-92BFD4EF1EC3}"/>
    <cellStyle name="20% - Accent4 98 2" xfId="6129" xr:uid="{441478C5-3E5C-4864-A06A-0C1E734FD38E}"/>
    <cellStyle name="20% - Accent4 98 3" xfId="36275" xr:uid="{19092C0D-92AB-409E-AE82-87B5489A744A}"/>
    <cellStyle name="20% - Accent4 99" xfId="6130" xr:uid="{FC3182C1-0696-4772-BC33-66686775FD8C}"/>
    <cellStyle name="20% - Accent4 99 2" xfId="6131" xr:uid="{6B60024C-9588-413D-8869-7C4982936E6A}"/>
    <cellStyle name="20% - Accent4 99 3" xfId="36276" xr:uid="{B373DDEC-10B8-4A2E-8C76-13683FB60611}"/>
    <cellStyle name="20% - Accent5" xfId="47" builtinId="46" hidden="1"/>
    <cellStyle name="20% - Accent5" xfId="121" builtinId="46" customBuiltin="1"/>
    <cellStyle name="20% - Accent5 10" xfId="6132" xr:uid="{0F3DFB49-8C5E-442A-8143-DB5189871E06}"/>
    <cellStyle name="20% - Accent5 10 2" xfId="6133" xr:uid="{DAC69C08-CFFC-4B5A-9651-2A72EA515281}"/>
    <cellStyle name="20% - Accent5 10 2 2" xfId="6134" xr:uid="{2F1C393C-1E28-446C-9431-2C40B51E8625}"/>
    <cellStyle name="20% - Accent5 10 2 2 2" xfId="36277" xr:uid="{7DF90C29-BFB4-4A51-AA13-112A1D938E73}"/>
    <cellStyle name="20% - Accent5 10 2 3" xfId="36278" xr:uid="{A5DBE8BD-16AD-4EA0-9557-83AB7D0A298C}"/>
    <cellStyle name="20% - Accent5 10 3" xfId="6135" xr:uid="{F64D8858-774B-4DCE-B6FE-6593A5D7FA2C}"/>
    <cellStyle name="20% - Accent5 10 3 2" xfId="36279" xr:uid="{676BB3A4-1E8F-4977-9286-3AF4D18D4958}"/>
    <cellStyle name="20% - Accent5 10 4" xfId="36280" xr:uid="{6C192635-3BEE-4A46-9788-D77C42F58A3C}"/>
    <cellStyle name="20% - Accent5 10 5" xfId="36281" xr:uid="{D7C426A8-71D9-46AE-9495-206F19B17608}"/>
    <cellStyle name="20% - Accent5 10 6" xfId="36282" xr:uid="{51F54264-75A4-4C21-89A2-A759655E7E0C}"/>
    <cellStyle name="20% - Accent5 100" xfId="6136" xr:uid="{BA33B2A1-7C06-4FC1-8E0D-F4A255E8B35B}"/>
    <cellStyle name="20% - Accent5 100 2" xfId="6137" xr:uid="{924F422D-FD9E-4ECD-B7A3-24A5DF260015}"/>
    <cellStyle name="20% - Accent5 100 3" xfId="36283" xr:uid="{A4E63512-EFC4-4C07-AE2C-813258BD6234}"/>
    <cellStyle name="20% - Accent5 101" xfId="6138" xr:uid="{0D9E6636-9FDF-4077-9BCA-2665DC6A019A}"/>
    <cellStyle name="20% - Accent5 102" xfId="6139" xr:uid="{F308C3C1-E429-4FAC-ADB0-E8056E76B4A8}"/>
    <cellStyle name="20% - Accent5 103" xfId="6140" xr:uid="{1A277324-2B96-4BE9-9AB5-0D6B8C8C3236}"/>
    <cellStyle name="20% - Accent5 104" xfId="6141" xr:uid="{DDF48EE6-C1B7-4079-ABEC-B999C7FC603A}"/>
    <cellStyle name="20% - Accent5 105" xfId="6142" xr:uid="{01ECB3DE-548D-4D49-BB84-8367D7360F92}"/>
    <cellStyle name="20% - Accent5 106" xfId="6143" xr:uid="{010B9F25-06FD-4086-B215-2E8B29D39DDD}"/>
    <cellStyle name="20% - Accent5 107" xfId="6144" xr:uid="{2A27F1DC-3785-4A8D-82D9-A10EF2C3D0D5}"/>
    <cellStyle name="20% - Accent5 108" xfId="6145" xr:uid="{CE03C6A5-3962-4E96-9BE7-2E256B8D8ED5}"/>
    <cellStyle name="20% - Accent5 109" xfId="6146" xr:uid="{883F33F1-06A6-4A65-9551-1EFBD93A1156}"/>
    <cellStyle name="20% - Accent5 11" xfId="6147" xr:uid="{CFE6FB81-3EA2-44F3-9A81-6F311C477203}"/>
    <cellStyle name="20% - Accent5 11 2" xfId="6148" xr:uid="{7FEDBF87-385C-4059-B6E9-3D2ADBB060FA}"/>
    <cellStyle name="20% - Accent5 11 2 2" xfId="6149" xr:uid="{A096DEC8-FCE0-41F8-A28B-664E3AC9261B}"/>
    <cellStyle name="20% - Accent5 11 2 2 2" xfId="36284" xr:uid="{BC161009-230A-41C2-A69C-2DA971E5A2EE}"/>
    <cellStyle name="20% - Accent5 11 2 3" xfId="36285" xr:uid="{E41BA5EC-0DCA-469C-BDFE-2B20AD0AEB82}"/>
    <cellStyle name="20% - Accent5 11 3" xfId="6150" xr:uid="{25C843D9-C87D-4AF9-9869-F02BDDC9551C}"/>
    <cellStyle name="20% - Accent5 11 3 2" xfId="36286" xr:uid="{CDE3FC94-82A4-44BE-800C-56FC27009A65}"/>
    <cellStyle name="20% - Accent5 11 4" xfId="36287" xr:uid="{7CF6D5ED-708D-4231-AD9F-4B4972E197E6}"/>
    <cellStyle name="20% - Accent5 11 5" xfId="36288" xr:uid="{DA8494C2-0707-4A31-A8FC-911E50C9F4FC}"/>
    <cellStyle name="20% - Accent5 11 6" xfId="36289" xr:uid="{77D4156E-3BFB-4E16-9244-80A8606617EB}"/>
    <cellStyle name="20% - Accent5 110" xfId="6151" xr:uid="{C42C57D7-980C-4C46-9034-4D39928C2FEC}"/>
    <cellStyle name="20% - Accent5 111" xfId="6152" xr:uid="{AF6A986F-8840-4C09-BFE3-2312E87B7974}"/>
    <cellStyle name="20% - Accent5 112" xfId="6153" xr:uid="{1C2A35E3-34C1-4EA6-8A35-CB1A39269CB3}"/>
    <cellStyle name="20% - Accent5 113" xfId="6154" xr:uid="{0E0FCB71-2969-4D0F-BF84-29E0894FD3A7}"/>
    <cellStyle name="20% - Accent5 114" xfId="6155" xr:uid="{07C8F755-3BFD-44BF-9C81-96C3ED8A794F}"/>
    <cellStyle name="20% - Accent5 115" xfId="6156" xr:uid="{0D4F2293-65AC-47DB-AD33-3A29084AC26B}"/>
    <cellStyle name="20% - Accent5 116" xfId="6157" xr:uid="{D79C3554-7852-4971-9F9D-781ACF7447DC}"/>
    <cellStyle name="20% - Accent5 117" xfId="6158" xr:uid="{573E50A1-38D6-410C-972D-F8F74B39FC39}"/>
    <cellStyle name="20% - Accent5 118" xfId="6159" xr:uid="{B4671943-6F9A-4BEA-B31B-AF7B3D2A5EF5}"/>
    <cellStyle name="20% - Accent5 119" xfId="6160" xr:uid="{1D4E5005-06DB-484E-8436-511B4B818069}"/>
    <cellStyle name="20% - Accent5 12" xfId="6161" xr:uid="{07F7694A-C82B-462E-B1AF-286EBBC0BAC6}"/>
    <cellStyle name="20% - Accent5 12 2" xfId="6162" xr:uid="{B2FCB796-1869-4770-AB13-12513285DBC8}"/>
    <cellStyle name="20% - Accent5 12 2 2" xfId="6163" xr:uid="{6E85EDA4-9712-4516-A6E4-EF7D823514A0}"/>
    <cellStyle name="20% - Accent5 12 2 2 2" xfId="36290" xr:uid="{15B76E41-0D2D-4A3B-81BC-BAADD77F4797}"/>
    <cellStyle name="20% - Accent5 12 2 3" xfId="36291" xr:uid="{76E2688B-2482-4F0B-A497-5B117720DA80}"/>
    <cellStyle name="20% - Accent5 12 3" xfId="6164" xr:uid="{965903FD-A6A9-49BE-A48B-B2E2FBE2B423}"/>
    <cellStyle name="20% - Accent5 12 3 2" xfId="36292" xr:uid="{24BBFDBD-4607-4332-AFB0-29B33FA054FD}"/>
    <cellStyle name="20% - Accent5 12 4" xfId="36293" xr:uid="{DEAC7DD1-7F5A-48B0-AF33-BA4794D35616}"/>
    <cellStyle name="20% - Accent5 12 5" xfId="36294" xr:uid="{3981AE8E-DACE-4967-A7D9-CAE238E1D761}"/>
    <cellStyle name="20% - Accent5 12 6" xfId="36295" xr:uid="{4FBF3A02-AC15-4EB0-8025-EF6C1A154809}"/>
    <cellStyle name="20% - Accent5 120" xfId="6165" xr:uid="{3C24C0B9-9606-409A-A335-DC2E16BC8DF8}"/>
    <cellStyle name="20% - Accent5 121" xfId="6166" xr:uid="{CF1023B2-5DC3-4D64-87E3-F90CE3F78D3D}"/>
    <cellStyle name="20% - Accent5 122" xfId="6167" xr:uid="{FA14411A-CED7-447B-A381-237CDB110647}"/>
    <cellStyle name="20% - Accent5 123" xfId="6168" xr:uid="{38851DA4-8938-4791-8D94-E8514B5D53AC}"/>
    <cellStyle name="20% - Accent5 124" xfId="6169" xr:uid="{DA966AD8-3FC1-47A6-A57C-592B56550934}"/>
    <cellStyle name="20% - Accent5 125" xfId="6170" xr:uid="{9AE4CC52-FE73-49C0-9A07-297FB8155581}"/>
    <cellStyle name="20% - Accent5 126" xfId="6171" xr:uid="{175FC8A1-2F49-4F88-BDDD-C3275A7A5581}"/>
    <cellStyle name="20% - Accent5 127" xfId="6172" xr:uid="{614BDA55-79D7-4724-BEA7-BDD4ECBFA99F}"/>
    <cellStyle name="20% - Accent5 128" xfId="6173" xr:uid="{692EACF2-5442-46EF-9623-BD6F91676FE3}"/>
    <cellStyle name="20% - Accent5 129" xfId="6174" xr:uid="{D17DDD3E-2A3A-437D-ACEA-B5E1DB0BF76F}"/>
    <cellStyle name="20% - Accent5 13" xfId="6175" xr:uid="{3A9151B1-E9D1-4947-A031-7DC5204AD65F}"/>
    <cellStyle name="20% - Accent5 13 2" xfId="6176" xr:uid="{8093579D-0E4D-4866-88AA-58B224809646}"/>
    <cellStyle name="20% - Accent5 13 2 2" xfId="6177" xr:uid="{33406D34-DB27-464E-B946-0651648311A4}"/>
    <cellStyle name="20% - Accent5 13 2 2 2" xfId="36296" xr:uid="{5C443FF3-C028-438B-B220-D8204EFB658F}"/>
    <cellStyle name="20% - Accent5 13 2 3" xfId="36297" xr:uid="{0037D253-7AE5-481E-AA6C-E75D92E3C018}"/>
    <cellStyle name="20% - Accent5 13 3" xfId="6178" xr:uid="{5D898D9A-9DF0-432E-8B54-AF35D2BC60E9}"/>
    <cellStyle name="20% - Accent5 13 3 2" xfId="36298" xr:uid="{C72295AE-A086-4436-BA0A-25EAE851DDEE}"/>
    <cellStyle name="20% - Accent5 13 4" xfId="36299" xr:uid="{487A6D05-12BB-483B-B176-71C2EB69A02A}"/>
    <cellStyle name="20% - Accent5 13 5" xfId="36300" xr:uid="{33CA67B5-A1B4-44AB-9132-97C7397A8A8B}"/>
    <cellStyle name="20% - Accent5 13 6" xfId="36301" xr:uid="{96D7C85D-3323-4A4E-ADC2-D2208A2BAF00}"/>
    <cellStyle name="20% - Accent5 130" xfId="6179" xr:uid="{C45E71D7-5E5E-4695-AB59-6A17785A2CD8}"/>
    <cellStyle name="20% - Accent5 131" xfId="6180" xr:uid="{683124F4-3C11-40B4-867D-93F62CE603FF}"/>
    <cellStyle name="20% - Accent5 132" xfId="6181" xr:uid="{12C5692D-66B9-40C3-9196-0701D6C78AD5}"/>
    <cellStyle name="20% - Accent5 133" xfId="6182" xr:uid="{D109BCBE-46D3-49F0-AB11-DFDF8D92AC1A}"/>
    <cellStyle name="20% - Accent5 134" xfId="6183" xr:uid="{CCBCCD6F-ED49-4372-8812-3CD6AC348E16}"/>
    <cellStyle name="20% - Accent5 135" xfId="6184" xr:uid="{0FD3341C-E954-4A0E-B838-AE478D2896F4}"/>
    <cellStyle name="20% - Accent5 136" xfId="6185" xr:uid="{7E87BA22-B77F-4EA5-88DF-990202341887}"/>
    <cellStyle name="20% - Accent5 137" xfId="6186" xr:uid="{8773C908-CBF3-40DE-B278-94B5F50B6598}"/>
    <cellStyle name="20% - Accent5 138" xfId="6187" xr:uid="{5ED715CE-42B9-409D-8F57-FB39D8CC2B20}"/>
    <cellStyle name="20% - Accent5 139" xfId="6188" xr:uid="{B07A7700-6FC4-4A50-BBCA-FE7BCFC70060}"/>
    <cellStyle name="20% - Accent5 14" xfId="6189" xr:uid="{5B1279C5-6B04-4417-BD51-589AA9B0E3EB}"/>
    <cellStyle name="20% - Accent5 14 2" xfId="6190" xr:uid="{9C2DDAE5-3897-4E84-81E4-DB3F80F40A52}"/>
    <cellStyle name="20% - Accent5 14 2 2" xfId="6191" xr:uid="{A7BBDC1B-8877-404B-923E-00FBBA905017}"/>
    <cellStyle name="20% - Accent5 14 2 2 2" xfId="36302" xr:uid="{805B0D28-AAFB-4A2E-B8FE-0D9E105A5F68}"/>
    <cellStyle name="20% - Accent5 14 2 3" xfId="36303" xr:uid="{80E76C2C-25EE-4D7D-85CB-40C493F2A929}"/>
    <cellStyle name="20% - Accent5 14 3" xfId="6192" xr:uid="{3C9A2473-231A-4D1D-95EB-1762BD6DA2E5}"/>
    <cellStyle name="20% - Accent5 14 3 2" xfId="36304" xr:uid="{9D6052B5-E8C6-4768-8F27-FA6C128DF551}"/>
    <cellStyle name="20% - Accent5 14 4" xfId="36305" xr:uid="{0817EECB-49DE-4F7B-A202-D2BECED38729}"/>
    <cellStyle name="20% - Accent5 14 5" xfId="36306" xr:uid="{4C0B9792-5B55-496B-836A-22ABFEB63AA5}"/>
    <cellStyle name="20% - Accent5 14 6" xfId="36307" xr:uid="{6634E625-90E2-467C-AE6E-31FA1982D578}"/>
    <cellStyle name="20% - Accent5 140" xfId="6193" xr:uid="{DD1082F3-599C-4072-B10B-DE1567EC2D44}"/>
    <cellStyle name="20% - Accent5 141" xfId="6194" xr:uid="{2BB941F1-D061-4320-A641-43723C533DA2}"/>
    <cellStyle name="20% - Accent5 142" xfId="6195" xr:uid="{3F162607-DB70-46D6-966F-B9E7AE88065A}"/>
    <cellStyle name="20% - Accent5 143" xfId="6196" xr:uid="{DA7600F4-C852-4B99-8748-A346ED2917A5}"/>
    <cellStyle name="20% - Accent5 144" xfId="6197" xr:uid="{F8B07F91-971B-42D6-9D0D-02D05F7C85CC}"/>
    <cellStyle name="20% - Accent5 145" xfId="6198" xr:uid="{2A404F98-3565-4336-97B6-C95B973FEB2E}"/>
    <cellStyle name="20% - Accent5 146" xfId="6199" xr:uid="{0AA0DB59-1DD9-4FB9-80C3-0886F83BEA8B}"/>
    <cellStyle name="20% - Accent5 147" xfId="6200" xr:uid="{39ECCFE8-D61F-4991-9B33-E2CC727A1D7E}"/>
    <cellStyle name="20% - Accent5 148" xfId="6201" xr:uid="{2AF6A86F-D2AA-4E77-B793-F73BA9D299FE}"/>
    <cellStyle name="20% - Accent5 149" xfId="6202" xr:uid="{ACEDD3AF-27DD-4D46-9B78-B9367F5F1A3D}"/>
    <cellStyle name="20% - Accent5 15" xfId="6203" xr:uid="{1BB73E54-A372-47DB-8D7B-16EA72CA3767}"/>
    <cellStyle name="20% - Accent5 15 2" xfId="6204" xr:uid="{0D1415D4-9C01-4E4F-9149-6D12B1F31456}"/>
    <cellStyle name="20% - Accent5 15 2 2" xfId="6205" xr:uid="{0162AFB3-B715-4585-A01B-9672D7E0508C}"/>
    <cellStyle name="20% - Accent5 15 2 2 2" xfId="36308" xr:uid="{500FBCB8-9218-4951-8BEA-D6D697320C34}"/>
    <cellStyle name="20% - Accent5 15 2 3" xfId="36309" xr:uid="{81163560-A484-478F-831C-827354F19AA7}"/>
    <cellStyle name="20% - Accent5 15 3" xfId="6206" xr:uid="{EF9C7880-7CB2-40C9-A238-5D2499C103AF}"/>
    <cellStyle name="20% - Accent5 15 3 2" xfId="36310" xr:uid="{4BB0158F-4D83-47E0-AFBB-3E371BEAEAA8}"/>
    <cellStyle name="20% - Accent5 15 4" xfId="36311" xr:uid="{810C9BA9-5CA0-4434-940F-567248FC9788}"/>
    <cellStyle name="20% - Accent5 15 5" xfId="36312" xr:uid="{8673CC5C-C2FB-49DB-B1E5-AC2EC97B2DBB}"/>
    <cellStyle name="20% - Accent5 15 6" xfId="36313" xr:uid="{1FCA8C6B-CF86-4B52-84B0-AFCA56CCD322}"/>
    <cellStyle name="20% - Accent5 150" xfId="6207" xr:uid="{CF313368-A6D1-49D5-A0B4-25E1BFC9FAEB}"/>
    <cellStyle name="20% - Accent5 151" xfId="6208" xr:uid="{1EA7A8DB-7E3D-4ED1-A8E2-2F97D2BB43C4}"/>
    <cellStyle name="20% - Accent5 152" xfId="6209" xr:uid="{341B4B5B-9C4C-4E9A-90B5-368F4871BC71}"/>
    <cellStyle name="20% - Accent5 153" xfId="6210" xr:uid="{89BFD577-7568-40D2-8BC1-12B6BBE2EB10}"/>
    <cellStyle name="20% - Accent5 154" xfId="6211" xr:uid="{004435E1-5D19-435D-8B73-5B57E76F1566}"/>
    <cellStyle name="20% - Accent5 155" xfId="6212" xr:uid="{C837D961-13E7-4E4A-969E-20571016C6D0}"/>
    <cellStyle name="20% - Accent5 156" xfId="6213" xr:uid="{DD175DBA-DAE6-456E-88A6-43B86D08831A}"/>
    <cellStyle name="20% - Accent5 157" xfId="6214" xr:uid="{58EA250E-ADEF-4D4E-94CE-02932C504B5A}"/>
    <cellStyle name="20% - Accent5 158" xfId="6215" xr:uid="{7F23E336-83AD-478A-8E4D-048410F08BC9}"/>
    <cellStyle name="20% - Accent5 159" xfId="6216" xr:uid="{A4EF03B5-ABEE-450D-85B8-BF2EBC1E9ACF}"/>
    <cellStyle name="20% - Accent5 16" xfId="6217" xr:uid="{A00F3B1B-FCBB-4D3F-96B5-37385E08B18B}"/>
    <cellStyle name="20% - Accent5 16 2" xfId="6218" xr:uid="{8D0EB770-8F00-42FA-8A18-1ACCA395B517}"/>
    <cellStyle name="20% - Accent5 16 2 2" xfId="6219" xr:uid="{51F0E8E5-9E82-45EC-816D-316ABBA23CE2}"/>
    <cellStyle name="20% - Accent5 16 2 2 2" xfId="36314" xr:uid="{0503A68D-03F6-4AD4-81CF-3EBC308B5D20}"/>
    <cellStyle name="20% - Accent5 16 2 3" xfId="36315" xr:uid="{9A4B9171-2859-42DA-B623-5687C5A57D28}"/>
    <cellStyle name="20% - Accent5 16 3" xfId="6220" xr:uid="{36657962-7338-44B2-8C92-5D5B2A8341F3}"/>
    <cellStyle name="20% - Accent5 16 3 2" xfId="36316" xr:uid="{7A8AFE73-F42B-47C6-BA96-3B5C3BAB5723}"/>
    <cellStyle name="20% - Accent5 16 4" xfId="36317" xr:uid="{4FFADE82-4F5D-4E9E-80D4-AD899ECE551D}"/>
    <cellStyle name="20% - Accent5 16 5" xfId="36318" xr:uid="{68DE03C1-D87E-488A-AD60-AEC2E373A488}"/>
    <cellStyle name="20% - Accent5 16 6" xfId="36319" xr:uid="{01F65873-D6E3-4C04-8BB0-0FDBF5073C2A}"/>
    <cellStyle name="20% - Accent5 160" xfId="6221" xr:uid="{A8A5D91F-2706-473E-8B98-CE3E3C4229EB}"/>
    <cellStyle name="20% - Accent5 17" xfId="6222" xr:uid="{EBC6B74B-7AA6-406B-AC65-DA73FE8081DB}"/>
    <cellStyle name="20% - Accent5 17 2" xfId="6223" xr:uid="{83257735-85F9-405C-9658-813640C28D05}"/>
    <cellStyle name="20% - Accent5 17 2 2" xfId="6224" xr:uid="{912A0D04-B213-471D-AC6D-491B3ACE2E19}"/>
    <cellStyle name="20% - Accent5 17 2 2 2" xfId="36320" xr:uid="{CEF3F081-1153-4788-B858-55ED60FC8824}"/>
    <cellStyle name="20% - Accent5 17 2 3" xfId="36321" xr:uid="{B800C94B-28E3-43A8-95E6-D6285C3BD35E}"/>
    <cellStyle name="20% - Accent5 17 3" xfId="6225" xr:uid="{4EEC1C15-71C0-496D-8BB8-AD589F9F27FB}"/>
    <cellStyle name="20% - Accent5 17 3 2" xfId="36322" xr:uid="{4CD7EBE4-67D1-4980-8C00-3104DFDCC7E9}"/>
    <cellStyle name="20% - Accent5 17 4" xfId="36323" xr:uid="{39B7F79F-4FDC-49AD-90AF-081473DD0918}"/>
    <cellStyle name="20% - Accent5 17 5" xfId="36324" xr:uid="{8F06ECAF-BA80-4A99-800A-9FBF56BBBF3B}"/>
    <cellStyle name="20% - Accent5 17 6" xfId="36325" xr:uid="{80605540-B940-4F3F-81A1-8E8D8E2096E4}"/>
    <cellStyle name="20% - Accent5 18" xfId="6226" xr:uid="{FE1BE289-6107-42A7-B531-72F75320F989}"/>
    <cellStyle name="20% - Accent5 18 2" xfId="6227" xr:uid="{EE3296AF-DCEA-4350-80F6-D878F73B0F9B}"/>
    <cellStyle name="20% - Accent5 18 2 2" xfId="6228" xr:uid="{8FC024DD-7829-40CC-A2C3-A26D47D0CC55}"/>
    <cellStyle name="20% - Accent5 18 2 2 2" xfId="36326" xr:uid="{D4693434-791F-421F-BB15-908989ED0600}"/>
    <cellStyle name="20% - Accent5 18 2 3" xfId="36327" xr:uid="{DD48BC54-1E21-46BB-8925-CEDF64E3980B}"/>
    <cellStyle name="20% - Accent5 18 3" xfId="6229" xr:uid="{3DABC097-0AF5-4B90-AE31-2B817A6076F1}"/>
    <cellStyle name="20% - Accent5 18 3 2" xfId="36328" xr:uid="{45636E4B-A279-4104-AE0E-9C512EAF03B3}"/>
    <cellStyle name="20% - Accent5 18 4" xfId="36329" xr:uid="{0BD535F6-F5C6-419E-937B-DE868EE33681}"/>
    <cellStyle name="20% - Accent5 18 5" xfId="36330" xr:uid="{E8DEBAEE-45A7-41FA-A6FE-E8698BE7B9E7}"/>
    <cellStyle name="20% - Accent5 18 6" xfId="36331" xr:uid="{97DBBE4A-E7AF-4F92-A8E5-87A20C93CF7C}"/>
    <cellStyle name="20% - Accent5 19" xfId="6230" xr:uid="{24C6FEB4-48B6-4385-84A1-0EB67C278E18}"/>
    <cellStyle name="20% - Accent5 19 2" xfId="6231" xr:uid="{530071A8-E401-434A-BFCB-A6533CC5AFA0}"/>
    <cellStyle name="20% - Accent5 19 2 2" xfId="36332" xr:uid="{6A756C0D-B6DE-4241-AB63-B15FC490138A}"/>
    <cellStyle name="20% - Accent5 19 3" xfId="36333" xr:uid="{39135FDC-1408-4F56-B4B7-C274BCF08462}"/>
    <cellStyle name="20% - Accent5 19 4" xfId="36334" xr:uid="{32DB2EED-7F8F-4C28-9641-C404019A9853}"/>
    <cellStyle name="20% - Accent5 19 5" xfId="36335" xr:uid="{D67F1250-E6A4-405C-ACC9-666F163239F4}"/>
    <cellStyle name="20% - Accent5 2" xfId="6232" xr:uid="{4FEDA362-0E35-44B8-BDB1-00A09E75D07E}"/>
    <cellStyle name="20% - Accent5 2 2" xfId="6233" xr:uid="{B5BC87C0-9E7B-4AFA-A35C-5582F49897C5}"/>
    <cellStyle name="20% - Accent5 2 2 2" xfId="6234" xr:uid="{91134957-BB74-467A-B21F-185AEEA7ADAA}"/>
    <cellStyle name="20% - Accent5 2 2 2 2" xfId="36336" xr:uid="{FADB3162-3112-4172-B189-CA281AEE1DE5}"/>
    <cellStyle name="20% - Accent5 2 2 3" xfId="36337" xr:uid="{367984C6-C87E-443D-AAA7-B4B370CA1BDF}"/>
    <cellStyle name="20% - Accent5 2 2 4" xfId="36338" xr:uid="{0CF56767-0F56-4B6D-B134-91AB970102BF}"/>
    <cellStyle name="20% - Accent5 2 3" xfId="6235" xr:uid="{FBF8300D-5136-48E0-A0D1-E0F30509CF52}"/>
    <cellStyle name="20% - Accent5 2 3 2" xfId="36339" xr:uid="{C9F99581-CD7D-4C56-9042-B4DA14F5826F}"/>
    <cellStyle name="20% - Accent5 2 3 3" xfId="36340" xr:uid="{852EB3D9-33A9-41E4-92E3-BE735DD660A1}"/>
    <cellStyle name="20% - Accent5 2 3 4" xfId="36341" xr:uid="{DF5B3ABF-7851-4067-898E-05A2238DA390}"/>
    <cellStyle name="20% - Accent5 2 4" xfId="6236" xr:uid="{C856AE5C-66B0-44F9-B1C9-1852A5648753}"/>
    <cellStyle name="20% - Accent5 2 4 2" xfId="36342" xr:uid="{D8BF60FB-8CFD-4A0A-8D59-C3064D2480A4}"/>
    <cellStyle name="20% - Accent5 2 5" xfId="36343" xr:uid="{A3F709D9-031A-4A4C-9D51-9277DC3ED78A}"/>
    <cellStyle name="20% - Accent5 2 6" xfId="36344" xr:uid="{301CD174-D71D-4C58-837F-B8C14D620740}"/>
    <cellStyle name="20% - Accent5 2_Jun 11 details" xfId="6237" xr:uid="{579184E3-C8B0-4769-A6C8-A7321A664325}"/>
    <cellStyle name="20% - Accent5 20" xfId="6238" xr:uid="{B5DBC715-217C-415A-8123-908D2D8A7F2A}"/>
    <cellStyle name="20% - Accent5 20 2" xfId="36345" xr:uid="{EAC481D0-D4AF-498A-A147-4A0455CFDEE5}"/>
    <cellStyle name="20% - Accent5 20 3" xfId="36346" xr:uid="{58DA0023-5A31-4172-A23C-83FE733303EC}"/>
    <cellStyle name="20% - Accent5 20 4" xfId="36347" xr:uid="{E9FB3CBC-0834-4F1D-9512-DFB7F0FEED35}"/>
    <cellStyle name="20% - Accent5 21" xfId="6239" xr:uid="{0518FE6D-2BE1-427E-B563-5DFF0798A773}"/>
    <cellStyle name="20% - Accent5 21 2" xfId="36348" xr:uid="{776B52A1-664D-4ED4-AA60-E6E4CC1FF874}"/>
    <cellStyle name="20% - Accent5 21 3" xfId="36349" xr:uid="{DAAA3DDC-B26F-40CB-8DF9-1BB356618169}"/>
    <cellStyle name="20% - Accent5 22" xfId="6240" xr:uid="{ACE7DE03-382E-4D25-A041-A8769CDB2142}"/>
    <cellStyle name="20% - Accent5 22 2" xfId="36350" xr:uid="{36461032-6F51-4CB5-AE32-7BD182922421}"/>
    <cellStyle name="20% - Accent5 22 3" xfId="36351" xr:uid="{897E28D3-B4F3-486B-9FE7-8D6621DC648C}"/>
    <cellStyle name="20% - Accent5 23" xfId="6241" xr:uid="{66367761-2EF0-439C-BDA1-1BE01D2C354E}"/>
    <cellStyle name="20% - Accent5 23 2" xfId="36352" xr:uid="{E021BD86-E327-408D-A0B6-EE16F24A8DF1}"/>
    <cellStyle name="20% - Accent5 24" xfId="6242" xr:uid="{95B67BAE-5DEF-46E7-A05A-B14C2D5246FA}"/>
    <cellStyle name="20% - Accent5 24 2" xfId="36353" xr:uid="{E6D15FCF-04E5-4301-B511-B1729C4BF60E}"/>
    <cellStyle name="20% - Accent5 25" xfId="6243" xr:uid="{26C58C03-1AA0-4D42-965A-5225C31079D4}"/>
    <cellStyle name="20% - Accent5 25 2" xfId="36354" xr:uid="{B387ED0E-FE36-434D-B9DC-D17E527E9B9F}"/>
    <cellStyle name="20% - Accent5 26" xfId="6244" xr:uid="{96BBDF3E-FA9D-428D-985F-7DA3FAD090D1}"/>
    <cellStyle name="20% - Accent5 26 2" xfId="36355" xr:uid="{A9DAE69C-CF98-4CAD-B8FE-0CD5BAF0EE97}"/>
    <cellStyle name="20% - Accent5 27" xfId="6245" xr:uid="{0987581E-B1AB-4DD6-A60D-DE9AEF012A64}"/>
    <cellStyle name="20% - Accent5 27 2" xfId="36356" xr:uid="{D95F1795-D0C1-441D-91FD-44C61C96C084}"/>
    <cellStyle name="20% - Accent5 28" xfId="6246" xr:uid="{46321690-1A8A-409B-89A4-018E3504E42D}"/>
    <cellStyle name="20% - Accent5 28 10" xfId="6247" xr:uid="{18039F79-BD70-43CB-8E85-9BA63DF7877C}"/>
    <cellStyle name="20% - Accent5 28 10 2" xfId="6248" xr:uid="{AD9F7F4C-F482-4F34-A403-C5591365DF4F}"/>
    <cellStyle name="20% - Accent5 28 10 2 2" xfId="6249" xr:uid="{91AD8326-1A63-416D-BF60-4C7D37D4FE4D}"/>
    <cellStyle name="20% - Accent5 28 10 2 2 2" xfId="6250" xr:uid="{FAC26026-0605-4144-9135-CBDACC29C4B0}"/>
    <cellStyle name="20% - Accent5 28 10 2 2 2 2" xfId="6251" xr:uid="{465E4969-E77B-4250-8587-45647035F462}"/>
    <cellStyle name="20% - Accent5 28 10 2 2 3" xfId="6252" xr:uid="{84B01767-AB5F-4B25-9DCD-4E3DD7762CF9}"/>
    <cellStyle name="20% - Accent5 28 10 2 3" xfId="6253" xr:uid="{EE44150D-790B-4758-84C6-1061999EEF76}"/>
    <cellStyle name="20% - Accent5 28 10 2 3 2" xfId="6254" xr:uid="{EEDEC382-9EA2-4E4E-80BD-8E0C93671896}"/>
    <cellStyle name="20% - Accent5 28 10 2 3 2 2" xfId="6255" xr:uid="{B12AA3C8-689E-45DD-946A-2C1AAACD7F13}"/>
    <cellStyle name="20% - Accent5 28 10 2 3 3" xfId="6256" xr:uid="{76B62059-828A-40A3-9120-BAA15F57265A}"/>
    <cellStyle name="20% - Accent5 28 10 2 4" xfId="6257" xr:uid="{9AA699E7-59D1-43E6-A620-CEBF60A1A3C2}"/>
    <cellStyle name="20% - Accent5 28 10 2 4 2" xfId="6258" xr:uid="{08546484-F9AE-4EF7-A8AD-951B5516B998}"/>
    <cellStyle name="20% - Accent5 28 10 2 5" xfId="6259" xr:uid="{579F9F17-7D95-4F9C-8C07-02A5BCC2CD37}"/>
    <cellStyle name="20% - Accent5 28 10 3" xfId="6260" xr:uid="{8B9AF09E-14F1-42E5-A08F-65E1BAC7DE86}"/>
    <cellStyle name="20% - Accent5 28 10 3 2" xfId="6261" xr:uid="{C3ED3819-3A3E-44BF-ACE8-55C9F1F49322}"/>
    <cellStyle name="20% - Accent5 28 10 3 2 2" xfId="6262" xr:uid="{26435ADE-B9DB-44C8-A921-DEDADA476181}"/>
    <cellStyle name="20% - Accent5 28 10 3 3" xfId="6263" xr:uid="{4E08854C-5C55-47F6-9C57-452A3970AC1D}"/>
    <cellStyle name="20% - Accent5 28 10 4" xfId="6264" xr:uid="{7EEC8843-9E8F-4E24-8D06-3CDE4AD6FA84}"/>
    <cellStyle name="20% - Accent5 28 10 4 2" xfId="6265" xr:uid="{0FCD4C27-7D6A-4D8B-BABF-F87968A291DC}"/>
    <cellStyle name="20% - Accent5 28 10 4 2 2" xfId="6266" xr:uid="{64E88BE1-05B7-4DFC-AFC9-A12422BC88E9}"/>
    <cellStyle name="20% - Accent5 28 10 4 3" xfId="6267" xr:uid="{4066412E-98A1-4904-B997-A0FC9E0A54C3}"/>
    <cellStyle name="20% - Accent5 28 10 5" xfId="6268" xr:uid="{B9F44192-22D4-4E1A-B793-85D3BDFD98BF}"/>
    <cellStyle name="20% - Accent5 28 10 5 2" xfId="6269" xr:uid="{FF0CAF28-F7CD-4200-90E7-3A2380989552}"/>
    <cellStyle name="20% - Accent5 28 10 6" xfId="6270" xr:uid="{F58DABBD-A6D5-42CC-A23B-63DDC1F162A2}"/>
    <cellStyle name="20% - Accent5 28 11" xfId="6271" xr:uid="{59A4E051-224F-4863-A236-CC59D3D01EA9}"/>
    <cellStyle name="20% - Accent5 28 11 2" xfId="6272" xr:uid="{274D7AD2-27DA-41F5-9A20-8525396DAEE1}"/>
    <cellStyle name="20% - Accent5 28 11 2 2" xfId="6273" xr:uid="{00581176-F245-4659-AE5E-D966C7772338}"/>
    <cellStyle name="20% - Accent5 28 11 2 2 2" xfId="6274" xr:uid="{BB2ADBF0-9C1F-4DF6-AF98-6F3F95954E03}"/>
    <cellStyle name="20% - Accent5 28 11 2 3" xfId="6275" xr:uid="{26DD063E-2D40-4EFB-8658-34D863D6A65D}"/>
    <cellStyle name="20% - Accent5 28 11 3" xfId="6276" xr:uid="{F627B1A2-E76F-4CA6-9E1B-52AEA60DDA1D}"/>
    <cellStyle name="20% - Accent5 28 11 3 2" xfId="6277" xr:uid="{090A18DF-C5D1-4CFE-8B3F-9ACB4495731F}"/>
    <cellStyle name="20% - Accent5 28 11 3 2 2" xfId="6278" xr:uid="{150FB195-6F00-4D77-B8D5-BF2C47253A45}"/>
    <cellStyle name="20% - Accent5 28 11 3 3" xfId="6279" xr:uid="{20867D81-593F-4467-A6CB-0151F597F1B1}"/>
    <cellStyle name="20% - Accent5 28 11 4" xfId="6280" xr:uid="{0E0D1A11-B315-4CEF-823F-1A50CA0625E4}"/>
    <cellStyle name="20% - Accent5 28 11 4 2" xfId="6281" xr:uid="{BBB4B284-97C5-40BA-8628-6414F7462773}"/>
    <cellStyle name="20% - Accent5 28 11 5" xfId="6282" xr:uid="{7CA0F4CE-7B06-4989-8FA0-CB5B6CAFA44E}"/>
    <cellStyle name="20% - Accent5 28 12" xfId="6283" xr:uid="{C62EDA43-AEEC-42EE-82AF-8727B8A05DF9}"/>
    <cellStyle name="20% - Accent5 28 12 2" xfId="6284" xr:uid="{CFC11EBA-2FC0-47A4-ABF7-72DADAAA9CDB}"/>
    <cellStyle name="20% - Accent5 28 12 2 2" xfId="6285" xr:uid="{03A9610C-42C5-4B28-B82C-9E87A0BBC9AA}"/>
    <cellStyle name="20% - Accent5 28 12 3" xfId="6286" xr:uid="{A697D509-A6EE-4A57-9F30-4AC6017CAEDF}"/>
    <cellStyle name="20% - Accent5 28 13" xfId="6287" xr:uid="{CB70FF49-594B-4768-8A64-7630FE047142}"/>
    <cellStyle name="20% - Accent5 28 13 2" xfId="6288" xr:uid="{58C99AAB-9BC3-4C5A-A99C-BA60B66160E6}"/>
    <cellStyle name="20% - Accent5 28 13 2 2" xfId="6289" xr:uid="{8AC85D32-5F61-44F6-AB9F-4F5E71C21BF5}"/>
    <cellStyle name="20% - Accent5 28 13 3" xfId="6290" xr:uid="{C7CDF760-7989-4D6B-969F-096B30664810}"/>
    <cellStyle name="20% - Accent5 28 14" xfId="6291" xr:uid="{FF44C6DF-F67D-4ECE-8B38-CD7B133036B2}"/>
    <cellStyle name="20% - Accent5 28 14 2" xfId="6292" xr:uid="{04BBFCC7-F075-479B-8584-5DFE1ACDE7E7}"/>
    <cellStyle name="20% - Accent5 28 15" xfId="6293" xr:uid="{77B11E38-30BC-4E68-B0AD-4C2F5B62375A}"/>
    <cellStyle name="20% - Accent5 28 16" xfId="36357" xr:uid="{15631603-AEC9-4F50-8A4F-950603164D7E}"/>
    <cellStyle name="20% - Accent5 28 2" xfId="6294" xr:uid="{D7436AD6-EA7F-434F-AA4D-9A7497B3B831}"/>
    <cellStyle name="20% - Accent5 28 2 2" xfId="6295" xr:uid="{797A6F0D-A790-4494-A4DC-CF31AE68D05A}"/>
    <cellStyle name="20% - Accent5 28 2 2 2" xfId="6296" xr:uid="{86EA83D2-5C9B-4B14-9D83-BFC086133D1B}"/>
    <cellStyle name="20% - Accent5 28 2 2 2 2" xfId="6297" xr:uid="{3DFCBC0C-2C82-4F05-9D1E-70412F7976E8}"/>
    <cellStyle name="20% - Accent5 28 2 2 2 2 2" xfId="6298" xr:uid="{8221BCE0-9483-4549-922E-28DDB4B7DE5E}"/>
    <cellStyle name="20% - Accent5 28 2 2 2 3" xfId="6299" xr:uid="{31FBDEE4-3877-43AA-8655-C7E2B8FCA325}"/>
    <cellStyle name="20% - Accent5 28 2 2 3" xfId="6300" xr:uid="{112DBF3E-89E0-4703-A5CD-F265D4DCA0DC}"/>
    <cellStyle name="20% - Accent5 28 2 2 3 2" xfId="6301" xr:uid="{0A1B57EA-F3CF-4563-B664-1E63DE669C5E}"/>
    <cellStyle name="20% - Accent5 28 2 2 3 2 2" xfId="6302" xr:uid="{53DBD9FE-1059-4A4A-A7B5-2C7C0122F343}"/>
    <cellStyle name="20% - Accent5 28 2 2 3 3" xfId="6303" xr:uid="{29CE0F0E-B521-4DE2-A016-5B464EFB8444}"/>
    <cellStyle name="20% - Accent5 28 2 2 4" xfId="6304" xr:uid="{503631A6-C624-432D-A0B0-CC28AE0CFBB5}"/>
    <cellStyle name="20% - Accent5 28 2 2 4 2" xfId="6305" xr:uid="{CD49CFD8-EB9C-4C45-9971-12D8CF240F0D}"/>
    <cellStyle name="20% - Accent5 28 2 2 5" xfId="6306" xr:uid="{B8CBBA11-E929-4550-AD26-E22EE731A211}"/>
    <cellStyle name="20% - Accent5 28 2 3" xfId="6307" xr:uid="{B8B005A3-CABD-423B-99E8-CDE41101ADA2}"/>
    <cellStyle name="20% - Accent5 28 2 3 2" xfId="6308" xr:uid="{8F681477-0337-453B-BAFC-759D41792023}"/>
    <cellStyle name="20% - Accent5 28 2 3 2 2" xfId="6309" xr:uid="{E0D8B39E-7320-4F54-A792-5E9BBD5D3E22}"/>
    <cellStyle name="20% - Accent5 28 2 3 3" xfId="6310" xr:uid="{58E7DACC-A04F-4A83-B0EB-58521C3D7598}"/>
    <cellStyle name="20% - Accent5 28 2 4" xfId="6311" xr:uid="{7CF3D900-FECF-4172-95AF-7082C817EAB2}"/>
    <cellStyle name="20% - Accent5 28 2 4 2" xfId="6312" xr:uid="{91664BA7-E30D-4619-8B79-7A36C9BAE30D}"/>
    <cellStyle name="20% - Accent5 28 2 4 2 2" xfId="6313" xr:uid="{6EDBB231-8719-443A-8520-7F0A2C33206C}"/>
    <cellStyle name="20% - Accent5 28 2 4 3" xfId="6314" xr:uid="{1146F9E5-E864-4D5D-906E-00AF7796DB93}"/>
    <cellStyle name="20% - Accent5 28 2 5" xfId="6315" xr:uid="{30413EC2-0F1E-4385-8190-714EE6E54982}"/>
    <cellStyle name="20% - Accent5 28 2 5 2" xfId="6316" xr:uid="{1C9C5111-5EEC-4DEB-BAF6-13188024ED48}"/>
    <cellStyle name="20% - Accent5 28 2 6" xfId="6317" xr:uid="{A9D97974-0C59-4E6E-A32A-5DF476AD2769}"/>
    <cellStyle name="20% - Accent5 28 3" xfId="6318" xr:uid="{F98077D1-0C0C-48A6-93F0-1934DC84BFB7}"/>
    <cellStyle name="20% - Accent5 28 3 2" xfId="6319" xr:uid="{564B7A1F-EB3E-4CFB-BDCC-0A63A8B45FE9}"/>
    <cellStyle name="20% - Accent5 28 3 2 2" xfId="6320" xr:uid="{DD16E123-9CD8-4749-8CD8-376491F4AC40}"/>
    <cellStyle name="20% - Accent5 28 3 2 2 2" xfId="6321" xr:uid="{5EDC0F46-1ED5-4BE3-BED1-2ADCC143A7FF}"/>
    <cellStyle name="20% - Accent5 28 3 2 2 2 2" xfId="6322" xr:uid="{FB8C402B-8914-4F61-BB7C-13466F468029}"/>
    <cellStyle name="20% - Accent5 28 3 2 2 3" xfId="6323" xr:uid="{563DA82A-27F5-4E95-8AEC-09A2A6E3C65C}"/>
    <cellStyle name="20% - Accent5 28 3 2 3" xfId="6324" xr:uid="{12249682-436A-4729-BD36-82D1F320B363}"/>
    <cellStyle name="20% - Accent5 28 3 2 3 2" xfId="6325" xr:uid="{AD275A57-CAF5-4948-B29C-BFC1A75BBA75}"/>
    <cellStyle name="20% - Accent5 28 3 2 3 2 2" xfId="6326" xr:uid="{24FF63B0-512B-49C8-9194-ECAFEFC992E7}"/>
    <cellStyle name="20% - Accent5 28 3 2 3 3" xfId="6327" xr:uid="{B385CD79-5028-43D7-8373-293AAD61EFE6}"/>
    <cellStyle name="20% - Accent5 28 3 2 4" xfId="6328" xr:uid="{24A8E930-CC9B-4407-8240-7F5454F8E855}"/>
    <cellStyle name="20% - Accent5 28 3 2 4 2" xfId="6329" xr:uid="{958A9A4A-E20F-4508-B6AA-077F35F9F629}"/>
    <cellStyle name="20% - Accent5 28 3 2 5" xfId="6330" xr:uid="{9B74C82E-4F63-4D3C-805A-F16DC8B58EAF}"/>
    <cellStyle name="20% - Accent5 28 3 3" xfId="6331" xr:uid="{BEAFA144-CCD7-45C1-B084-00902B2503B2}"/>
    <cellStyle name="20% - Accent5 28 3 3 2" xfId="6332" xr:uid="{2E274FF1-A090-4B71-9B22-F7B148D94B42}"/>
    <cellStyle name="20% - Accent5 28 3 3 2 2" xfId="6333" xr:uid="{E7A2E8DE-95A4-4381-B7CE-BAD36F54CF56}"/>
    <cellStyle name="20% - Accent5 28 3 3 3" xfId="6334" xr:uid="{EE6C269E-3F02-4882-AE1C-B11C2ED255AD}"/>
    <cellStyle name="20% - Accent5 28 3 4" xfId="6335" xr:uid="{BD2BE343-445E-4431-9107-3EB0D042054E}"/>
    <cellStyle name="20% - Accent5 28 3 4 2" xfId="6336" xr:uid="{D0B1DA45-781A-40CA-B106-25E630EBA0A7}"/>
    <cellStyle name="20% - Accent5 28 3 4 2 2" xfId="6337" xr:uid="{C66F7DE8-0DC3-48A1-91EE-E5FD8C2A839D}"/>
    <cellStyle name="20% - Accent5 28 3 4 3" xfId="6338" xr:uid="{94097E6B-0200-4E17-B7FA-0676E2883A0E}"/>
    <cellStyle name="20% - Accent5 28 3 5" xfId="6339" xr:uid="{777CF605-3265-4424-8AA7-6D8BFD14A7FF}"/>
    <cellStyle name="20% - Accent5 28 3 5 2" xfId="6340" xr:uid="{A689233D-7D7F-4070-B7E0-B63004ECFCB0}"/>
    <cellStyle name="20% - Accent5 28 3 6" xfId="6341" xr:uid="{6BB62795-46F3-439B-9A78-0793FE1C653D}"/>
    <cellStyle name="20% - Accent5 28 4" xfId="6342" xr:uid="{6D011521-C007-4169-95A8-2D8F107084AA}"/>
    <cellStyle name="20% - Accent5 28 4 2" xfId="6343" xr:uid="{08246934-8C0E-44D1-A085-1EF65398AD2E}"/>
    <cellStyle name="20% - Accent5 28 4 2 2" xfId="6344" xr:uid="{61FE1AD9-23E8-487B-A90E-DDB56B4FD31C}"/>
    <cellStyle name="20% - Accent5 28 4 2 2 2" xfId="6345" xr:uid="{51C7C594-3EBE-40B6-8F0A-A2B79228F1D9}"/>
    <cellStyle name="20% - Accent5 28 4 2 2 2 2" xfId="6346" xr:uid="{C6DBEFC3-FAD8-4CCE-94FA-1DB342BD3313}"/>
    <cellStyle name="20% - Accent5 28 4 2 2 3" xfId="6347" xr:uid="{9CEE9044-8CAE-49DB-9E98-95D5A27A1FAD}"/>
    <cellStyle name="20% - Accent5 28 4 2 3" xfId="6348" xr:uid="{95C2FDAC-923F-4825-B35F-58B83328393C}"/>
    <cellStyle name="20% - Accent5 28 4 2 3 2" xfId="6349" xr:uid="{E4D21C7C-473C-4B38-90F1-AF2B868E84A4}"/>
    <cellStyle name="20% - Accent5 28 4 2 3 2 2" xfId="6350" xr:uid="{7438DE7F-8C42-4BA5-A142-C38E0674FCD0}"/>
    <cellStyle name="20% - Accent5 28 4 2 3 3" xfId="6351" xr:uid="{C722A7F5-0A7D-4557-85B3-677C5E06558F}"/>
    <cellStyle name="20% - Accent5 28 4 2 4" xfId="6352" xr:uid="{801F6EF2-707A-4BD7-9F91-EA105A47B701}"/>
    <cellStyle name="20% - Accent5 28 4 2 4 2" xfId="6353" xr:uid="{60C14F6E-A57A-4C12-8A16-6B5A5D96E362}"/>
    <cellStyle name="20% - Accent5 28 4 2 5" xfId="6354" xr:uid="{EFC3C023-6249-49B5-B467-A6BD92A35A12}"/>
    <cellStyle name="20% - Accent5 28 4 3" xfId="6355" xr:uid="{180B8034-518C-4C5A-8E8A-0149E092985D}"/>
    <cellStyle name="20% - Accent5 28 4 3 2" xfId="6356" xr:uid="{FEA04EBF-8973-4610-8C6E-200072EAA24E}"/>
    <cellStyle name="20% - Accent5 28 4 3 2 2" xfId="6357" xr:uid="{708F9C1B-1449-4B16-9D87-8F4AE345171C}"/>
    <cellStyle name="20% - Accent5 28 4 3 3" xfId="6358" xr:uid="{6D4ACD30-735B-4167-B2DB-70724DA4E380}"/>
    <cellStyle name="20% - Accent5 28 4 4" xfId="6359" xr:uid="{AD47529D-821E-4681-8897-3679E65723DD}"/>
    <cellStyle name="20% - Accent5 28 4 4 2" xfId="6360" xr:uid="{5C3F843F-A224-4ADE-87F5-8F4E6964E716}"/>
    <cellStyle name="20% - Accent5 28 4 4 2 2" xfId="6361" xr:uid="{AA4DE643-21C5-4B7D-BA7B-B026786CCC4E}"/>
    <cellStyle name="20% - Accent5 28 4 4 3" xfId="6362" xr:uid="{3011B20D-E86B-44F8-82BD-3CD7CE208B36}"/>
    <cellStyle name="20% - Accent5 28 4 5" xfId="6363" xr:uid="{7634C70D-4100-49E1-9E72-7A220AB4B3CC}"/>
    <cellStyle name="20% - Accent5 28 4 5 2" xfId="6364" xr:uid="{4331783C-71C4-4FCB-A28A-7867762E9504}"/>
    <cellStyle name="20% - Accent5 28 4 6" xfId="6365" xr:uid="{DC628877-6A19-4779-ADC6-F254C5B721A0}"/>
    <cellStyle name="20% - Accent5 28 5" xfId="6366" xr:uid="{ABF40F77-995D-48E9-AD2A-EDE306BCFB4C}"/>
    <cellStyle name="20% - Accent5 28 5 2" xfId="6367" xr:uid="{7790E37E-A2C3-434E-8B8E-B1A57032B556}"/>
    <cellStyle name="20% - Accent5 28 5 2 2" xfId="6368" xr:uid="{094079AA-0302-46A1-A262-CAABFC24D9CF}"/>
    <cellStyle name="20% - Accent5 28 5 2 2 2" xfId="6369" xr:uid="{11662FC3-3DD9-40DF-88B4-D9BC17679D3C}"/>
    <cellStyle name="20% - Accent5 28 5 2 2 2 2" xfId="6370" xr:uid="{F6E6E5F5-326A-4227-95A0-02C75BD18FDF}"/>
    <cellStyle name="20% - Accent5 28 5 2 2 3" xfId="6371" xr:uid="{D04B666F-C0E2-4C7E-A075-1B418ED1A684}"/>
    <cellStyle name="20% - Accent5 28 5 2 3" xfId="6372" xr:uid="{C51D5E11-2CA4-4FD4-8630-EAC9FF05425D}"/>
    <cellStyle name="20% - Accent5 28 5 2 3 2" xfId="6373" xr:uid="{898BCF08-3E07-46AE-991F-6AEF551E49A1}"/>
    <cellStyle name="20% - Accent5 28 5 2 3 2 2" xfId="6374" xr:uid="{F7141279-762E-48A3-A234-567223064FFE}"/>
    <cellStyle name="20% - Accent5 28 5 2 3 3" xfId="6375" xr:uid="{04CE29DE-2E2E-4BCC-B0E5-4C3EE3D8C026}"/>
    <cellStyle name="20% - Accent5 28 5 2 4" xfId="6376" xr:uid="{43FF8E45-3A1F-45D5-8CE2-66DA9642DB7C}"/>
    <cellStyle name="20% - Accent5 28 5 2 4 2" xfId="6377" xr:uid="{A054DDAE-DC5C-4BC5-A4B3-5BB3A6BD8027}"/>
    <cellStyle name="20% - Accent5 28 5 2 5" xfId="6378" xr:uid="{24BFC895-C6E6-493D-B495-4A72C48CAFD5}"/>
    <cellStyle name="20% - Accent5 28 5 3" xfId="6379" xr:uid="{E5FA7AAC-B694-4385-9405-DA85B464191F}"/>
    <cellStyle name="20% - Accent5 28 5 3 2" xfId="6380" xr:uid="{F36D69A1-74ED-44ED-9A00-F4490B161C38}"/>
    <cellStyle name="20% - Accent5 28 5 3 2 2" xfId="6381" xr:uid="{A2C8A24C-8C3E-42C9-A430-14F882130A42}"/>
    <cellStyle name="20% - Accent5 28 5 3 3" xfId="6382" xr:uid="{62A2E76D-4115-4183-8C9D-244263B9FF3D}"/>
    <cellStyle name="20% - Accent5 28 5 4" xfId="6383" xr:uid="{AC2AEE38-4E06-4819-9EE8-27908307A73B}"/>
    <cellStyle name="20% - Accent5 28 5 4 2" xfId="6384" xr:uid="{66A69882-E918-48F9-8D19-39FE0381206F}"/>
    <cellStyle name="20% - Accent5 28 5 4 2 2" xfId="6385" xr:uid="{EF8AFD45-E29B-4BE6-8AE0-FF3F8376DE43}"/>
    <cellStyle name="20% - Accent5 28 5 4 3" xfId="6386" xr:uid="{33C144FF-3982-4057-BDCE-F7788E66E56E}"/>
    <cellStyle name="20% - Accent5 28 5 5" xfId="6387" xr:uid="{FDD186BE-BAA3-423F-BA26-490ED5950FDC}"/>
    <cellStyle name="20% - Accent5 28 5 5 2" xfId="6388" xr:uid="{75E5282F-E29D-4EE9-B52A-82ACB93A34AF}"/>
    <cellStyle name="20% - Accent5 28 5 6" xfId="6389" xr:uid="{82F19378-D0E3-4021-8E8B-350A1C1F3E65}"/>
    <cellStyle name="20% - Accent5 28 6" xfId="6390" xr:uid="{5E40DBA6-1BFE-4579-90A9-3A0BDE83C20E}"/>
    <cellStyle name="20% - Accent5 28 6 2" xfId="6391" xr:uid="{13AC6B3C-AA1C-4045-BEC7-A11B697EE611}"/>
    <cellStyle name="20% - Accent5 28 6 2 2" xfId="6392" xr:uid="{B7BE2AFB-73AA-4F9A-BA85-BD638CD31697}"/>
    <cellStyle name="20% - Accent5 28 6 2 2 2" xfId="6393" xr:uid="{F20BFA9C-3B18-4AC6-84E3-E227336FC20F}"/>
    <cellStyle name="20% - Accent5 28 6 2 2 2 2" xfId="6394" xr:uid="{380D3FA2-C146-476A-AB17-1A68244974C9}"/>
    <cellStyle name="20% - Accent5 28 6 2 2 3" xfId="6395" xr:uid="{D9DD8040-A907-409A-9632-8498C83F9370}"/>
    <cellStyle name="20% - Accent5 28 6 2 3" xfId="6396" xr:uid="{70A9E102-DBBB-4EE7-BEC5-116FD93E0FD3}"/>
    <cellStyle name="20% - Accent5 28 6 2 3 2" xfId="6397" xr:uid="{BE01E8DA-2FBC-4570-B535-45630135FF1B}"/>
    <cellStyle name="20% - Accent5 28 6 2 3 2 2" xfId="6398" xr:uid="{362F7D4A-8BE8-4DC3-9DE2-A20D1C8BB562}"/>
    <cellStyle name="20% - Accent5 28 6 2 3 3" xfId="6399" xr:uid="{F046AB9D-6898-4403-9228-4F9B4E7D263A}"/>
    <cellStyle name="20% - Accent5 28 6 2 4" xfId="6400" xr:uid="{74856AE0-79EC-429E-B7BD-22ACA9167CD9}"/>
    <cellStyle name="20% - Accent5 28 6 2 4 2" xfId="6401" xr:uid="{47BE5641-6547-4254-BA5C-9EF4EBBB466C}"/>
    <cellStyle name="20% - Accent5 28 6 2 5" xfId="6402" xr:uid="{5FFE24EB-EA2E-45B7-AEDF-54DC16AADACC}"/>
    <cellStyle name="20% - Accent5 28 6 3" xfId="6403" xr:uid="{8D6893C0-B1DF-4986-A463-E08B25F10BAF}"/>
    <cellStyle name="20% - Accent5 28 6 3 2" xfId="6404" xr:uid="{DE0D992E-C33B-4E2F-93E0-7E199808C9EB}"/>
    <cellStyle name="20% - Accent5 28 6 3 2 2" xfId="6405" xr:uid="{ABC3F400-4C2B-45F3-AC2C-238E31AC7F15}"/>
    <cellStyle name="20% - Accent5 28 6 3 3" xfId="6406" xr:uid="{06C0F2A4-2934-4A43-BA2D-96306C7CEEFB}"/>
    <cellStyle name="20% - Accent5 28 6 4" xfId="6407" xr:uid="{86CE621E-0CF9-4902-8689-B4F9353A2615}"/>
    <cellStyle name="20% - Accent5 28 6 4 2" xfId="6408" xr:uid="{33DED196-C963-4D7B-A6CC-4D8BA3299D64}"/>
    <cellStyle name="20% - Accent5 28 6 4 2 2" xfId="6409" xr:uid="{1A0D2131-2CB9-4154-AA70-49280761A30D}"/>
    <cellStyle name="20% - Accent5 28 6 4 3" xfId="6410" xr:uid="{ABE74155-8AE4-4858-8FB4-4E7990FC312C}"/>
    <cellStyle name="20% - Accent5 28 6 5" xfId="6411" xr:uid="{64A98DC3-2254-4CCD-9F95-17F2F44B9E29}"/>
    <cellStyle name="20% - Accent5 28 6 5 2" xfId="6412" xr:uid="{E238E823-FE35-4F38-A38B-726347C2D4DC}"/>
    <cellStyle name="20% - Accent5 28 6 6" xfId="6413" xr:uid="{20B24B5E-CB01-408A-B16B-ACD7D199BBED}"/>
    <cellStyle name="20% - Accent5 28 7" xfId="6414" xr:uid="{E2CC2C70-9737-4B9C-AE19-CDA1B0F2BEC6}"/>
    <cellStyle name="20% - Accent5 28 7 2" xfId="6415" xr:uid="{D36E307F-BD7A-4222-80D4-0C1EB70454DA}"/>
    <cellStyle name="20% - Accent5 28 7 2 2" xfId="6416" xr:uid="{89F34BFB-85CB-4792-8D3C-335ABBBDA9D3}"/>
    <cellStyle name="20% - Accent5 28 7 2 2 2" xfId="6417" xr:uid="{8BD75974-6EFE-47D9-B801-9D081A54BB39}"/>
    <cellStyle name="20% - Accent5 28 7 2 2 2 2" xfId="6418" xr:uid="{3723C868-3420-4461-BA8C-1459571D40A1}"/>
    <cellStyle name="20% - Accent5 28 7 2 2 3" xfId="6419" xr:uid="{98AB72BC-44D7-403A-9D84-6E3BEBD2894E}"/>
    <cellStyle name="20% - Accent5 28 7 2 3" xfId="6420" xr:uid="{BA2BEEDE-4B53-43FC-B240-1D8C0BDC5646}"/>
    <cellStyle name="20% - Accent5 28 7 2 3 2" xfId="6421" xr:uid="{CF0D5A56-A935-4743-80C7-BC672FFF966C}"/>
    <cellStyle name="20% - Accent5 28 7 2 3 2 2" xfId="6422" xr:uid="{1854FF64-FAB0-4C22-8BD4-C30D23AA4CFE}"/>
    <cellStyle name="20% - Accent5 28 7 2 3 3" xfId="6423" xr:uid="{99ACF4C2-5160-499D-B40F-4D4B47E83848}"/>
    <cellStyle name="20% - Accent5 28 7 2 4" xfId="6424" xr:uid="{93B265F2-B5A6-4C3F-846D-196485978BA9}"/>
    <cellStyle name="20% - Accent5 28 7 2 4 2" xfId="6425" xr:uid="{C8992E15-74D9-47AB-B10F-73AE471F6161}"/>
    <cellStyle name="20% - Accent5 28 7 2 5" xfId="6426" xr:uid="{30D9ACA8-81AA-482A-B411-88426145943A}"/>
    <cellStyle name="20% - Accent5 28 7 3" xfId="6427" xr:uid="{0FF822B5-3EB4-4C57-9156-7B12551D236A}"/>
    <cellStyle name="20% - Accent5 28 7 3 2" xfId="6428" xr:uid="{C985273E-3339-4407-9E7D-0F6C887301AB}"/>
    <cellStyle name="20% - Accent5 28 7 3 2 2" xfId="6429" xr:uid="{9EC11CA5-BF79-4BF5-ADDA-3546329F8324}"/>
    <cellStyle name="20% - Accent5 28 7 3 3" xfId="6430" xr:uid="{590E9241-EB0B-4736-9F09-449429AF5ECF}"/>
    <cellStyle name="20% - Accent5 28 7 4" xfId="6431" xr:uid="{8CD5F010-B190-476A-AA9C-9C25437B235C}"/>
    <cellStyle name="20% - Accent5 28 7 4 2" xfId="6432" xr:uid="{EB798FB8-9BE7-44DE-9246-E1D786AD4C11}"/>
    <cellStyle name="20% - Accent5 28 7 4 2 2" xfId="6433" xr:uid="{6F4F171A-8946-4771-BD7C-A14C18E11A26}"/>
    <cellStyle name="20% - Accent5 28 7 4 3" xfId="6434" xr:uid="{70A2A583-FE2D-4C0E-9D23-8268EE340B85}"/>
    <cellStyle name="20% - Accent5 28 7 5" xfId="6435" xr:uid="{7AB96480-1C2D-4B15-9910-20E0BC3099CC}"/>
    <cellStyle name="20% - Accent5 28 7 5 2" xfId="6436" xr:uid="{A1BFE3E9-E0F7-4967-9911-A4E76B91901B}"/>
    <cellStyle name="20% - Accent5 28 7 6" xfId="6437" xr:uid="{BC1C56BA-C546-42B3-925E-F05918123DC0}"/>
    <cellStyle name="20% - Accent5 28 8" xfId="6438" xr:uid="{69DE7B7C-8332-4E70-B819-5F7DE8C67248}"/>
    <cellStyle name="20% - Accent5 28 8 2" xfId="6439" xr:uid="{618022A9-0929-4416-998A-CC945FAE6B23}"/>
    <cellStyle name="20% - Accent5 28 8 2 2" xfId="6440" xr:uid="{8392A67C-C999-4D11-9F6D-F839ED469931}"/>
    <cellStyle name="20% - Accent5 28 8 2 2 2" xfId="6441" xr:uid="{6D0AFE70-9B8E-421E-90BD-AB6D1FF23329}"/>
    <cellStyle name="20% - Accent5 28 8 2 2 2 2" xfId="6442" xr:uid="{72932C61-EBCB-495E-BB23-019B5A6D4EF6}"/>
    <cellStyle name="20% - Accent5 28 8 2 2 3" xfId="6443" xr:uid="{D206CC9F-1E7A-4785-B6D1-7B0A43059338}"/>
    <cellStyle name="20% - Accent5 28 8 2 3" xfId="6444" xr:uid="{54068E27-CEF8-4CB5-B9E4-3E0662332C38}"/>
    <cellStyle name="20% - Accent5 28 8 2 3 2" xfId="6445" xr:uid="{67058C3C-949E-4880-8617-679DE12C884A}"/>
    <cellStyle name="20% - Accent5 28 8 2 3 2 2" xfId="6446" xr:uid="{8551CCD4-BD3C-4B5A-BAF2-5829838742AC}"/>
    <cellStyle name="20% - Accent5 28 8 2 3 3" xfId="6447" xr:uid="{5A6CE0CA-EC0D-4DC5-816D-2806D8883563}"/>
    <cellStyle name="20% - Accent5 28 8 2 4" xfId="6448" xr:uid="{7A9D7BF9-7A19-495F-AABA-F5E85CADC5B5}"/>
    <cellStyle name="20% - Accent5 28 8 2 4 2" xfId="6449" xr:uid="{F3B98FFF-C33D-4EBD-9830-225137D6749A}"/>
    <cellStyle name="20% - Accent5 28 8 2 5" xfId="6450" xr:uid="{C52FEE5B-D81C-4526-AF92-D52BC44FFD3B}"/>
    <cellStyle name="20% - Accent5 28 8 3" xfId="6451" xr:uid="{D71434FC-177B-4D65-850C-F7636784E038}"/>
    <cellStyle name="20% - Accent5 28 8 3 2" xfId="6452" xr:uid="{611EC9EB-FE56-4EC8-A986-4A98E0B30A78}"/>
    <cellStyle name="20% - Accent5 28 8 3 2 2" xfId="6453" xr:uid="{95997539-9DC1-4EE8-B329-400FA53D7E3C}"/>
    <cellStyle name="20% - Accent5 28 8 3 3" xfId="6454" xr:uid="{85C9C479-8A5A-4A64-AF17-C5178120F46E}"/>
    <cellStyle name="20% - Accent5 28 8 4" xfId="6455" xr:uid="{FF526145-0492-4225-A82D-5A0C1ACBABCA}"/>
    <cellStyle name="20% - Accent5 28 8 4 2" xfId="6456" xr:uid="{0AEDDBF1-6590-48F5-BDF5-5A320749C5B2}"/>
    <cellStyle name="20% - Accent5 28 8 4 2 2" xfId="6457" xr:uid="{7275E028-A739-454A-A3CA-1FD8BE697331}"/>
    <cellStyle name="20% - Accent5 28 8 4 3" xfId="6458" xr:uid="{426EA7F3-62CD-48EA-8D77-DE9EAA0CD36F}"/>
    <cellStyle name="20% - Accent5 28 8 5" xfId="6459" xr:uid="{6D766D09-D5FE-4C49-AD6F-BCA9E2A55B3F}"/>
    <cellStyle name="20% - Accent5 28 8 5 2" xfId="6460" xr:uid="{2DB0A87F-4011-4BB6-B3C9-968AC494251D}"/>
    <cellStyle name="20% - Accent5 28 8 6" xfId="6461" xr:uid="{CC3DBCFE-2ED0-4803-8D89-F76B646C654A}"/>
    <cellStyle name="20% - Accent5 28 9" xfId="6462" xr:uid="{693E6356-49E6-4A88-A452-35A785C9503C}"/>
    <cellStyle name="20% - Accent5 28 9 2" xfId="6463" xr:uid="{23CDD9E6-4CFC-4802-975E-128053A86438}"/>
    <cellStyle name="20% - Accent5 28 9 2 2" xfId="6464" xr:uid="{C93F05FF-2335-4219-BDE4-B10E10683023}"/>
    <cellStyle name="20% - Accent5 28 9 2 2 2" xfId="6465" xr:uid="{5152A6DC-95B5-468E-961B-9A18A024D2ED}"/>
    <cellStyle name="20% - Accent5 28 9 2 2 2 2" xfId="6466" xr:uid="{E632FA54-747D-41DC-9EF0-3BFB492478DE}"/>
    <cellStyle name="20% - Accent5 28 9 2 2 3" xfId="6467" xr:uid="{39EA96B1-7975-475B-B98A-5D708A539F6C}"/>
    <cellStyle name="20% - Accent5 28 9 2 3" xfId="6468" xr:uid="{A2B6312D-D15B-427E-8412-914F49A850A2}"/>
    <cellStyle name="20% - Accent5 28 9 2 3 2" xfId="6469" xr:uid="{26B50D91-0C22-4790-BEE0-0EBA359407D3}"/>
    <cellStyle name="20% - Accent5 28 9 2 3 2 2" xfId="6470" xr:uid="{9A429D29-5737-4C5B-8460-AA2FF616317A}"/>
    <cellStyle name="20% - Accent5 28 9 2 3 3" xfId="6471" xr:uid="{20FAA343-6128-4F68-9FC3-3F0056DF6992}"/>
    <cellStyle name="20% - Accent5 28 9 2 4" xfId="6472" xr:uid="{0E8247BA-A50B-4088-9FE7-08B4167E14C8}"/>
    <cellStyle name="20% - Accent5 28 9 2 4 2" xfId="6473" xr:uid="{89F07D2B-9FC9-4DC5-99D2-7067F90FB4B0}"/>
    <cellStyle name="20% - Accent5 28 9 2 5" xfId="6474" xr:uid="{9D99D4DE-449E-4189-BC89-3BA95D48C91E}"/>
    <cellStyle name="20% - Accent5 28 9 3" xfId="6475" xr:uid="{B4C49922-6874-4D40-854B-A807CBA9D6E9}"/>
    <cellStyle name="20% - Accent5 28 9 3 2" xfId="6476" xr:uid="{932BEC61-2E03-4DE7-85E7-FAD0C07A9082}"/>
    <cellStyle name="20% - Accent5 28 9 3 2 2" xfId="6477" xr:uid="{03DA30FC-9BCC-4222-83E8-8F361DA432B1}"/>
    <cellStyle name="20% - Accent5 28 9 3 3" xfId="6478" xr:uid="{0695DDF7-E106-4679-A244-4B1038355554}"/>
    <cellStyle name="20% - Accent5 28 9 4" xfId="6479" xr:uid="{AB9F95EB-93D7-4ACE-BB87-99C0EE3DBDCA}"/>
    <cellStyle name="20% - Accent5 28 9 4 2" xfId="6480" xr:uid="{699381F1-F343-4C06-A9DF-FD6ABADA2F8C}"/>
    <cellStyle name="20% - Accent5 28 9 4 2 2" xfId="6481" xr:uid="{938B7541-F380-45E8-9C46-318236C65376}"/>
    <cellStyle name="20% - Accent5 28 9 4 3" xfId="6482" xr:uid="{2AA09627-C370-45B2-9639-703D7FD03480}"/>
    <cellStyle name="20% - Accent5 28 9 5" xfId="6483" xr:uid="{7E38A973-C8F3-477B-8052-A6DFC6B12A9B}"/>
    <cellStyle name="20% - Accent5 28 9 5 2" xfId="6484" xr:uid="{CF4DD229-E6B0-41EB-8A91-302864F69348}"/>
    <cellStyle name="20% - Accent5 28 9 6" xfId="6485" xr:uid="{855B3634-D567-4C8A-8C51-56BC8F68CB41}"/>
    <cellStyle name="20% - Accent5 29" xfId="6486" xr:uid="{CF46E9CB-8CBF-4BD8-AC84-3EAF9344E5A3}"/>
    <cellStyle name="20% - Accent5 29 10" xfId="6487" xr:uid="{19EA577E-E42B-47C2-96E8-A367F6F1372F}"/>
    <cellStyle name="20% - Accent5 29 10 2" xfId="6488" xr:uid="{1C49FCA2-9890-4563-85A7-AE6909E200E0}"/>
    <cellStyle name="20% - Accent5 29 10 2 2" xfId="6489" xr:uid="{625EC699-BA39-45CE-934E-252494D693ED}"/>
    <cellStyle name="20% - Accent5 29 10 2 2 2" xfId="6490" xr:uid="{B16825B1-795D-4192-B450-3010A589DFDE}"/>
    <cellStyle name="20% - Accent5 29 10 2 2 2 2" xfId="6491" xr:uid="{B057FB66-1E1D-4DC3-9B5C-7DB18D3DC115}"/>
    <cellStyle name="20% - Accent5 29 10 2 2 3" xfId="6492" xr:uid="{BCB85B57-C5F5-44CE-A234-ABC8239F6911}"/>
    <cellStyle name="20% - Accent5 29 10 2 3" xfId="6493" xr:uid="{41F46C50-BBFE-4F35-880B-71105AF86621}"/>
    <cellStyle name="20% - Accent5 29 10 2 3 2" xfId="6494" xr:uid="{5E83D84C-4B21-4496-8675-6E0C17F274FB}"/>
    <cellStyle name="20% - Accent5 29 10 2 3 2 2" xfId="6495" xr:uid="{5F8570A5-0093-4114-98BC-8B0490FAFE08}"/>
    <cellStyle name="20% - Accent5 29 10 2 3 3" xfId="6496" xr:uid="{BCFEC2D0-E8F0-48D9-8215-8FCF98D70317}"/>
    <cellStyle name="20% - Accent5 29 10 2 4" xfId="6497" xr:uid="{754D9723-7731-44D7-8ECF-5D385A6D64F3}"/>
    <cellStyle name="20% - Accent5 29 10 2 4 2" xfId="6498" xr:uid="{8D69AC68-9FB8-4E25-BFE9-57A9C5221736}"/>
    <cellStyle name="20% - Accent5 29 10 2 5" xfId="6499" xr:uid="{D2D3FE8F-6294-4196-94EB-E0D1D9808657}"/>
    <cellStyle name="20% - Accent5 29 10 3" xfId="6500" xr:uid="{1753603A-D8B5-430D-9A96-B9B2D3D89C59}"/>
    <cellStyle name="20% - Accent5 29 10 3 2" xfId="6501" xr:uid="{0590256F-C377-40AC-910F-047F3B84FA60}"/>
    <cellStyle name="20% - Accent5 29 10 3 2 2" xfId="6502" xr:uid="{F3883E86-B7BC-43D6-B928-658DFF894EF3}"/>
    <cellStyle name="20% - Accent5 29 10 3 3" xfId="6503" xr:uid="{8F4EFCE6-27E7-4EAD-8BE7-FA5D66A4C81C}"/>
    <cellStyle name="20% - Accent5 29 10 4" xfId="6504" xr:uid="{870F4E0D-9B45-490C-871A-BD745C6F790C}"/>
    <cellStyle name="20% - Accent5 29 10 4 2" xfId="6505" xr:uid="{FC11C3B3-4F7E-4D72-8174-36E1C47F8510}"/>
    <cellStyle name="20% - Accent5 29 10 4 2 2" xfId="6506" xr:uid="{798186FA-CD05-46C4-897F-BE3FB29622B6}"/>
    <cellStyle name="20% - Accent5 29 10 4 3" xfId="6507" xr:uid="{EDE61A67-FE68-4A88-B5EE-86875F811C0A}"/>
    <cellStyle name="20% - Accent5 29 10 5" xfId="6508" xr:uid="{7A90E427-5E41-4F61-AE26-9350FC4EC76F}"/>
    <cellStyle name="20% - Accent5 29 10 5 2" xfId="6509" xr:uid="{0C0093B9-0E55-44CE-85AA-D0706122CB78}"/>
    <cellStyle name="20% - Accent5 29 10 6" xfId="6510" xr:uid="{FE682DA4-9A34-4CB4-ADE0-89C78BC2C6F1}"/>
    <cellStyle name="20% - Accent5 29 11" xfId="6511" xr:uid="{6023F7BB-A4DC-4C04-A9A1-8FFC9E2667EA}"/>
    <cellStyle name="20% - Accent5 29 11 2" xfId="6512" xr:uid="{10865371-2121-41E2-BEFF-908F9787A9B8}"/>
    <cellStyle name="20% - Accent5 29 11 2 2" xfId="6513" xr:uid="{C541C4C0-7B20-4201-B2F7-F8674B51F381}"/>
    <cellStyle name="20% - Accent5 29 11 2 2 2" xfId="6514" xr:uid="{CBB182AF-EF87-4E90-B236-366451279DBF}"/>
    <cellStyle name="20% - Accent5 29 11 2 3" xfId="6515" xr:uid="{B63B9226-73AE-44E3-A3E0-A022B7C87248}"/>
    <cellStyle name="20% - Accent5 29 11 3" xfId="6516" xr:uid="{99E8FB0A-0957-4DC8-9CD3-8A16CC988391}"/>
    <cellStyle name="20% - Accent5 29 11 3 2" xfId="6517" xr:uid="{E0425122-63A6-4178-80EB-03953E1C62DA}"/>
    <cellStyle name="20% - Accent5 29 11 3 2 2" xfId="6518" xr:uid="{0B8AAF54-D22D-4E9F-9E14-1D52E8AD9732}"/>
    <cellStyle name="20% - Accent5 29 11 3 3" xfId="6519" xr:uid="{52E30AD3-4469-4EAA-8944-A2E5E60CF96A}"/>
    <cellStyle name="20% - Accent5 29 11 4" xfId="6520" xr:uid="{8725AE57-49EE-40D1-A9A7-D70F4BFC985D}"/>
    <cellStyle name="20% - Accent5 29 11 4 2" xfId="6521" xr:uid="{C0BBD74D-1434-4CE1-909B-6A856F7C11B5}"/>
    <cellStyle name="20% - Accent5 29 11 5" xfId="6522" xr:uid="{4C40D42D-C29B-44EF-B31F-BC73247A6F1F}"/>
    <cellStyle name="20% - Accent5 29 12" xfId="6523" xr:uid="{989513BB-97C0-43F0-BF2E-CF01A17E694B}"/>
    <cellStyle name="20% - Accent5 29 12 2" xfId="6524" xr:uid="{CC1939EF-92CF-4046-A695-0D4BE059BB72}"/>
    <cellStyle name="20% - Accent5 29 12 2 2" xfId="6525" xr:uid="{EA707FA3-8E8B-4B9A-82FC-B46F93E9ED7F}"/>
    <cellStyle name="20% - Accent5 29 12 3" xfId="6526" xr:uid="{3868A9CD-1A08-4AF3-8F4D-E23B061259C4}"/>
    <cellStyle name="20% - Accent5 29 13" xfId="6527" xr:uid="{34C9125D-0126-4EDA-8167-5F5C5CBA809B}"/>
    <cellStyle name="20% - Accent5 29 13 2" xfId="6528" xr:uid="{96915254-116E-4149-B96B-2902DFBB0E28}"/>
    <cellStyle name="20% - Accent5 29 13 2 2" xfId="6529" xr:uid="{A30F7027-37AD-4B0B-A448-32EE23A6B22C}"/>
    <cellStyle name="20% - Accent5 29 13 3" xfId="6530" xr:uid="{3BAF18FA-B62A-419A-AC6F-A13728E30F63}"/>
    <cellStyle name="20% - Accent5 29 14" xfId="6531" xr:uid="{445B093C-5F7F-4FAE-8E7C-7E6E0D23D191}"/>
    <cellStyle name="20% - Accent5 29 14 2" xfId="6532" xr:uid="{9AE1DA13-4C92-4012-AFB3-D0F952850783}"/>
    <cellStyle name="20% - Accent5 29 15" xfId="6533" xr:uid="{4CB1DD66-A571-4ACC-B86B-4384D121D56A}"/>
    <cellStyle name="20% - Accent5 29 16" xfId="36358" xr:uid="{F26CF80E-274F-495F-8333-95031443FE15}"/>
    <cellStyle name="20% - Accent5 29 2" xfId="6534" xr:uid="{A6670B64-B9B0-45C4-8B8A-ED5AFC9708C7}"/>
    <cellStyle name="20% - Accent5 29 2 2" xfId="6535" xr:uid="{3298418F-21D4-40A3-985D-581079F57B6A}"/>
    <cellStyle name="20% - Accent5 29 2 2 2" xfId="6536" xr:uid="{69D9D812-0801-431C-BB2D-D141E7CD8002}"/>
    <cellStyle name="20% - Accent5 29 2 2 2 2" xfId="6537" xr:uid="{0847F316-5440-4516-A1FB-129D304D2597}"/>
    <cellStyle name="20% - Accent5 29 2 2 2 2 2" xfId="6538" xr:uid="{F5BB8427-9AE9-49B7-8E64-484AA9A1367C}"/>
    <cellStyle name="20% - Accent5 29 2 2 2 3" xfId="6539" xr:uid="{ED48DECE-E6A1-4666-BF3A-3E1930D70A5B}"/>
    <cellStyle name="20% - Accent5 29 2 2 3" xfId="6540" xr:uid="{8FF5F7D3-E8EB-4073-842D-F50F4A2146A3}"/>
    <cellStyle name="20% - Accent5 29 2 2 3 2" xfId="6541" xr:uid="{04AD8E48-80FF-43C6-9DAD-230A55533894}"/>
    <cellStyle name="20% - Accent5 29 2 2 3 2 2" xfId="6542" xr:uid="{1DE59902-7736-49D2-9EA2-9C87B834332F}"/>
    <cellStyle name="20% - Accent5 29 2 2 3 3" xfId="6543" xr:uid="{8377016C-20CD-4903-8553-DB4FBD416C14}"/>
    <cellStyle name="20% - Accent5 29 2 2 4" xfId="6544" xr:uid="{D2664132-9A67-4E8F-901C-7FBE71EB9931}"/>
    <cellStyle name="20% - Accent5 29 2 2 4 2" xfId="6545" xr:uid="{22C57022-EA79-45C3-8422-CA61895DE338}"/>
    <cellStyle name="20% - Accent5 29 2 2 5" xfId="6546" xr:uid="{0ECA7012-CC28-473B-BCB4-73288F17596D}"/>
    <cellStyle name="20% - Accent5 29 2 3" xfId="6547" xr:uid="{25431198-D24A-40A3-8C70-1C364EE32727}"/>
    <cellStyle name="20% - Accent5 29 2 3 2" xfId="6548" xr:uid="{FA477FDC-648D-4320-BE33-1AFE21CDB157}"/>
    <cellStyle name="20% - Accent5 29 2 3 2 2" xfId="6549" xr:uid="{74D6E340-FFEA-4AF1-A772-7FFDCBB9B2AF}"/>
    <cellStyle name="20% - Accent5 29 2 3 3" xfId="6550" xr:uid="{1F875A09-B46A-4909-8E06-57E411D703C3}"/>
    <cellStyle name="20% - Accent5 29 2 4" xfId="6551" xr:uid="{433B5273-4AAF-402C-9617-1DBCB61B6C1C}"/>
    <cellStyle name="20% - Accent5 29 2 4 2" xfId="6552" xr:uid="{7B21A10F-9F59-43C5-A912-AD84E2C2F28B}"/>
    <cellStyle name="20% - Accent5 29 2 4 2 2" xfId="6553" xr:uid="{B9A55488-24AB-43EA-B9F1-8F96A7CE4CF6}"/>
    <cellStyle name="20% - Accent5 29 2 4 3" xfId="6554" xr:uid="{5B67F9CE-99FD-46AB-927F-5ED5C15BC252}"/>
    <cellStyle name="20% - Accent5 29 2 5" xfId="6555" xr:uid="{87B2E23E-8788-4F5A-8196-346340EE957C}"/>
    <cellStyle name="20% - Accent5 29 2 5 2" xfId="6556" xr:uid="{E7C2034A-0D9E-4F70-9E5D-DA24EA6D77EB}"/>
    <cellStyle name="20% - Accent5 29 2 6" xfId="6557" xr:uid="{16436590-D807-4600-A527-A947212B7F35}"/>
    <cellStyle name="20% - Accent5 29 3" xfId="6558" xr:uid="{7FA62ABF-C834-40B4-A177-7426DE3EAF0F}"/>
    <cellStyle name="20% - Accent5 29 3 2" xfId="6559" xr:uid="{4AA5BE56-9AC9-4B9E-911F-41200CC39096}"/>
    <cellStyle name="20% - Accent5 29 3 2 2" xfId="6560" xr:uid="{11036271-BA78-481B-A38E-FBF99DF7C7D0}"/>
    <cellStyle name="20% - Accent5 29 3 2 2 2" xfId="6561" xr:uid="{CDA20353-A1E0-4F16-A4E2-BC2BC9DC3BAA}"/>
    <cellStyle name="20% - Accent5 29 3 2 2 2 2" xfId="6562" xr:uid="{8218F6CA-B13D-4285-8CBC-1E433F5D8875}"/>
    <cellStyle name="20% - Accent5 29 3 2 2 3" xfId="6563" xr:uid="{B490A44A-C432-4890-BC0D-697043082A09}"/>
    <cellStyle name="20% - Accent5 29 3 2 3" xfId="6564" xr:uid="{8E1AD44A-6B7B-4F2D-BD00-A3DA0DD4D511}"/>
    <cellStyle name="20% - Accent5 29 3 2 3 2" xfId="6565" xr:uid="{E3FFC82E-4C5E-4984-BEE8-B23CD1CDAF85}"/>
    <cellStyle name="20% - Accent5 29 3 2 3 2 2" xfId="6566" xr:uid="{4AFFDE78-FE05-4E3D-97E5-73013376AEEB}"/>
    <cellStyle name="20% - Accent5 29 3 2 3 3" xfId="6567" xr:uid="{03122AD9-80E3-459E-BA9B-664678AD9CF1}"/>
    <cellStyle name="20% - Accent5 29 3 2 4" xfId="6568" xr:uid="{D12C4C86-12A9-4BDC-90F6-794B5F6692D3}"/>
    <cellStyle name="20% - Accent5 29 3 2 4 2" xfId="6569" xr:uid="{B41DC168-93FA-4D96-A2B4-C2A82D84959C}"/>
    <cellStyle name="20% - Accent5 29 3 2 5" xfId="6570" xr:uid="{3258C1AF-838B-4EC5-AEF4-D83607BA60F8}"/>
    <cellStyle name="20% - Accent5 29 3 3" xfId="6571" xr:uid="{2C70B721-9D35-4FD8-8672-A7F549084827}"/>
    <cellStyle name="20% - Accent5 29 3 3 2" xfId="6572" xr:uid="{1F5B9039-7693-47DB-961C-6267178F2568}"/>
    <cellStyle name="20% - Accent5 29 3 3 2 2" xfId="6573" xr:uid="{1237B6B2-3967-4439-823D-D3EDCCFE2990}"/>
    <cellStyle name="20% - Accent5 29 3 3 3" xfId="6574" xr:uid="{BC799173-8F12-4EBA-B43D-E5DA400932A5}"/>
    <cellStyle name="20% - Accent5 29 3 4" xfId="6575" xr:uid="{BAC624DB-461E-44C9-8A59-2D6FDD6F2EA4}"/>
    <cellStyle name="20% - Accent5 29 3 4 2" xfId="6576" xr:uid="{7235CDA8-116A-4D49-A671-3F68422BFD16}"/>
    <cellStyle name="20% - Accent5 29 3 4 2 2" xfId="6577" xr:uid="{356C9362-CA35-4BCD-B929-F3225A76C85A}"/>
    <cellStyle name="20% - Accent5 29 3 4 3" xfId="6578" xr:uid="{037DBABE-454D-405E-8BD6-0C65F7441A6D}"/>
    <cellStyle name="20% - Accent5 29 3 5" xfId="6579" xr:uid="{4F9BECF2-0443-4A41-9882-E904C2FDDD52}"/>
    <cellStyle name="20% - Accent5 29 3 5 2" xfId="6580" xr:uid="{9CD40749-9DD4-44A5-B6CC-4805ACAFD784}"/>
    <cellStyle name="20% - Accent5 29 3 6" xfId="6581" xr:uid="{A615A61F-04CD-4E1F-A8B1-214AEEA4447F}"/>
    <cellStyle name="20% - Accent5 29 4" xfId="6582" xr:uid="{913EFB60-08CD-4B46-B94D-3C26780D971E}"/>
    <cellStyle name="20% - Accent5 29 4 2" xfId="6583" xr:uid="{5B4F421D-16E6-485B-8D9E-1A20C5CBF951}"/>
    <cellStyle name="20% - Accent5 29 4 2 2" xfId="6584" xr:uid="{D316C7BF-1CEB-42B3-A1C4-843577ACD6E9}"/>
    <cellStyle name="20% - Accent5 29 4 2 2 2" xfId="6585" xr:uid="{212C8A01-4F08-4146-B64A-C5F039ABF0C3}"/>
    <cellStyle name="20% - Accent5 29 4 2 2 2 2" xfId="6586" xr:uid="{FF68E5E2-597A-420D-A70E-0697CD2C9C0C}"/>
    <cellStyle name="20% - Accent5 29 4 2 2 3" xfId="6587" xr:uid="{01098773-E382-47BB-A09C-101FB813A928}"/>
    <cellStyle name="20% - Accent5 29 4 2 3" xfId="6588" xr:uid="{0658B6E0-FC48-41D7-BCF4-A5930A031A6D}"/>
    <cellStyle name="20% - Accent5 29 4 2 3 2" xfId="6589" xr:uid="{5A97D974-44FE-4877-82EA-AC721E80D901}"/>
    <cellStyle name="20% - Accent5 29 4 2 3 2 2" xfId="6590" xr:uid="{AB0F309B-7C83-413D-AB76-7E22D534F172}"/>
    <cellStyle name="20% - Accent5 29 4 2 3 3" xfId="6591" xr:uid="{54B1BAA6-1147-4316-9096-D4CD231B24FB}"/>
    <cellStyle name="20% - Accent5 29 4 2 4" xfId="6592" xr:uid="{F1172523-6A7E-4F95-BCC9-8574B51CB966}"/>
    <cellStyle name="20% - Accent5 29 4 2 4 2" xfId="6593" xr:uid="{9D507CD0-26F9-4943-BB99-F447A0139C2E}"/>
    <cellStyle name="20% - Accent5 29 4 2 5" xfId="6594" xr:uid="{8F2F4428-FFDE-4AD7-8823-E0487D9D2ABC}"/>
    <cellStyle name="20% - Accent5 29 4 3" xfId="6595" xr:uid="{2AD5C9D3-473B-43D5-9715-D3C39AA7FF78}"/>
    <cellStyle name="20% - Accent5 29 4 3 2" xfId="6596" xr:uid="{4B4870B1-C949-45EB-A4EE-541E8630E6F0}"/>
    <cellStyle name="20% - Accent5 29 4 3 2 2" xfId="6597" xr:uid="{ED50859E-7F11-455E-9C6A-765AF9534C20}"/>
    <cellStyle name="20% - Accent5 29 4 3 3" xfId="6598" xr:uid="{11867497-9B25-42F1-8827-89CED6503E14}"/>
    <cellStyle name="20% - Accent5 29 4 4" xfId="6599" xr:uid="{E13A6E4F-76C1-4598-8D4E-A4D1E8481726}"/>
    <cellStyle name="20% - Accent5 29 4 4 2" xfId="6600" xr:uid="{AA565513-71F7-48BE-91B1-4F2D0356E357}"/>
    <cellStyle name="20% - Accent5 29 4 4 2 2" xfId="6601" xr:uid="{30B431C4-62F3-49DC-A72B-E915232B3155}"/>
    <cellStyle name="20% - Accent5 29 4 4 3" xfId="6602" xr:uid="{71E90751-3593-4CE8-B3E5-2F7F20722DD8}"/>
    <cellStyle name="20% - Accent5 29 4 5" xfId="6603" xr:uid="{1BC7DE10-CACC-443D-82C7-F8896D5D1633}"/>
    <cellStyle name="20% - Accent5 29 4 5 2" xfId="6604" xr:uid="{EC4245ED-FCE5-4A9E-B5A4-8A1259063A46}"/>
    <cellStyle name="20% - Accent5 29 4 6" xfId="6605" xr:uid="{D4765531-E9E9-4F45-9763-6F3A045C6E05}"/>
    <cellStyle name="20% - Accent5 29 5" xfId="6606" xr:uid="{95F7374A-92B2-49FA-9B05-D39608A45E20}"/>
    <cellStyle name="20% - Accent5 29 5 2" xfId="6607" xr:uid="{2BB48B5C-8118-4BE1-BD0C-0F63F02CC7BC}"/>
    <cellStyle name="20% - Accent5 29 5 2 2" xfId="6608" xr:uid="{C957847B-B149-43E8-8A9E-4169C86B9826}"/>
    <cellStyle name="20% - Accent5 29 5 2 2 2" xfId="6609" xr:uid="{1FC49FBB-FD40-4BC8-BCA5-290C79C6C71E}"/>
    <cellStyle name="20% - Accent5 29 5 2 2 2 2" xfId="6610" xr:uid="{E1E53747-FD61-4B19-871D-D67C6E033709}"/>
    <cellStyle name="20% - Accent5 29 5 2 2 3" xfId="6611" xr:uid="{35A9BA43-108F-4C17-82AF-0695E53BB151}"/>
    <cellStyle name="20% - Accent5 29 5 2 3" xfId="6612" xr:uid="{6E02FAC2-0FC5-4597-9A33-F02641791CFC}"/>
    <cellStyle name="20% - Accent5 29 5 2 3 2" xfId="6613" xr:uid="{1F066114-CCC2-405C-A2ED-BB1A00685BEC}"/>
    <cellStyle name="20% - Accent5 29 5 2 3 2 2" xfId="6614" xr:uid="{C064215B-8F7F-4588-9C0C-2FE78B26C3F0}"/>
    <cellStyle name="20% - Accent5 29 5 2 3 3" xfId="6615" xr:uid="{C82EBCAD-C7A5-4B5F-8065-B505FCC288D3}"/>
    <cellStyle name="20% - Accent5 29 5 2 4" xfId="6616" xr:uid="{51664E02-3138-4A3E-BCFA-1C916714C5C3}"/>
    <cellStyle name="20% - Accent5 29 5 2 4 2" xfId="6617" xr:uid="{DBD28F9E-1EBD-41AB-B593-60E9083AF8EF}"/>
    <cellStyle name="20% - Accent5 29 5 2 5" xfId="6618" xr:uid="{35EF47B6-CCEE-4DD8-B2D8-50D7D8249B70}"/>
    <cellStyle name="20% - Accent5 29 5 3" xfId="6619" xr:uid="{09D6B8E7-46A0-4C82-AA51-36E2BE9B32E2}"/>
    <cellStyle name="20% - Accent5 29 5 3 2" xfId="6620" xr:uid="{17DA385B-1F18-49DC-9F6B-F1362B36B858}"/>
    <cellStyle name="20% - Accent5 29 5 3 2 2" xfId="6621" xr:uid="{B28FE01D-0844-49F1-AFDB-CE9740F92E56}"/>
    <cellStyle name="20% - Accent5 29 5 3 3" xfId="6622" xr:uid="{FF124E68-2931-4FB6-ACDB-BBEA3B32745B}"/>
    <cellStyle name="20% - Accent5 29 5 4" xfId="6623" xr:uid="{BA30B12B-E092-4C3A-A68C-F5C9017F4EB2}"/>
    <cellStyle name="20% - Accent5 29 5 4 2" xfId="6624" xr:uid="{08752DE8-ACEB-42B8-957A-3A71C4D22DD2}"/>
    <cellStyle name="20% - Accent5 29 5 4 2 2" xfId="6625" xr:uid="{F508C205-0CAC-4DBA-A570-B8ACE0FEAAE7}"/>
    <cellStyle name="20% - Accent5 29 5 4 3" xfId="6626" xr:uid="{070CCD56-018E-420C-B507-D8A23FAA0734}"/>
    <cellStyle name="20% - Accent5 29 5 5" xfId="6627" xr:uid="{CE379A96-F3E4-46E6-80A2-92848438B1DF}"/>
    <cellStyle name="20% - Accent5 29 5 5 2" xfId="6628" xr:uid="{AB79F455-A572-48E1-8C23-6954D910D60E}"/>
    <cellStyle name="20% - Accent5 29 5 6" xfId="6629" xr:uid="{C6C4437D-187E-48B5-B91E-C947A290782B}"/>
    <cellStyle name="20% - Accent5 29 6" xfId="6630" xr:uid="{5336A9C5-6BC0-4E4B-A379-68E8A164DCD1}"/>
    <cellStyle name="20% - Accent5 29 6 2" xfId="6631" xr:uid="{DF33A4E9-8FF2-4B12-8C86-DC039D2DED3E}"/>
    <cellStyle name="20% - Accent5 29 6 2 2" xfId="6632" xr:uid="{CC1A9785-880E-4F78-B8EE-942CBBD1C9C0}"/>
    <cellStyle name="20% - Accent5 29 6 2 2 2" xfId="6633" xr:uid="{997BCC94-F801-41AF-A1D0-03D97F9BCA15}"/>
    <cellStyle name="20% - Accent5 29 6 2 2 2 2" xfId="6634" xr:uid="{30EC891C-6164-4A86-B82B-4AD59152910F}"/>
    <cellStyle name="20% - Accent5 29 6 2 2 3" xfId="6635" xr:uid="{7EC295FF-FC79-4D85-95FA-7BA6501C6ECD}"/>
    <cellStyle name="20% - Accent5 29 6 2 3" xfId="6636" xr:uid="{86A61C29-9788-4B4B-BEE2-6913394C6889}"/>
    <cellStyle name="20% - Accent5 29 6 2 3 2" xfId="6637" xr:uid="{0BE1CE7B-11C3-4BBD-AB99-1AD09845BDE5}"/>
    <cellStyle name="20% - Accent5 29 6 2 3 2 2" xfId="6638" xr:uid="{54AF6203-F570-43CB-89C5-A4CE68B2C153}"/>
    <cellStyle name="20% - Accent5 29 6 2 3 3" xfId="6639" xr:uid="{00D61C43-FC39-463B-AF67-7A905C26C2B3}"/>
    <cellStyle name="20% - Accent5 29 6 2 4" xfId="6640" xr:uid="{59054F86-339D-4BF2-9542-4AE2874184CC}"/>
    <cellStyle name="20% - Accent5 29 6 2 4 2" xfId="6641" xr:uid="{F2A81AE4-1F64-4A6C-92F4-50D015FCAC5A}"/>
    <cellStyle name="20% - Accent5 29 6 2 5" xfId="6642" xr:uid="{97166317-A89D-4B58-931C-05D68F22123A}"/>
    <cellStyle name="20% - Accent5 29 6 3" xfId="6643" xr:uid="{2A00F0E0-EB77-490B-B3C3-509DA6A424D1}"/>
    <cellStyle name="20% - Accent5 29 6 3 2" xfId="6644" xr:uid="{0AC3CDB7-B196-4730-9E23-E2C6F8B3C66F}"/>
    <cellStyle name="20% - Accent5 29 6 3 2 2" xfId="6645" xr:uid="{104C5FCC-20E9-47C9-9A85-F9CF7A699AAC}"/>
    <cellStyle name="20% - Accent5 29 6 3 3" xfId="6646" xr:uid="{4A39CFD8-46B8-43FE-85D1-8AC239D52DD9}"/>
    <cellStyle name="20% - Accent5 29 6 4" xfId="6647" xr:uid="{D783C147-0403-4E07-BB87-5D85B7413C8E}"/>
    <cellStyle name="20% - Accent5 29 6 4 2" xfId="6648" xr:uid="{9B31A38E-F7B6-43E3-93DE-75B2971F2A28}"/>
    <cellStyle name="20% - Accent5 29 6 4 2 2" xfId="6649" xr:uid="{428AEDCB-5147-481A-9C5D-1EAB708F10C1}"/>
    <cellStyle name="20% - Accent5 29 6 4 3" xfId="6650" xr:uid="{7F49B2D6-857B-488E-9E9C-460722F7DEE0}"/>
    <cellStyle name="20% - Accent5 29 6 5" xfId="6651" xr:uid="{903FFC5E-70CC-4D5F-8672-C40A871F5389}"/>
    <cellStyle name="20% - Accent5 29 6 5 2" xfId="6652" xr:uid="{732D6DEC-18AB-4E95-9625-7D6214E4F7D9}"/>
    <cellStyle name="20% - Accent5 29 6 6" xfId="6653" xr:uid="{33DD365A-1F4D-4F39-B435-7C4D19E8099B}"/>
    <cellStyle name="20% - Accent5 29 7" xfId="6654" xr:uid="{78C6CD41-DD84-44F1-AD7C-76C8CB833A65}"/>
    <cellStyle name="20% - Accent5 29 7 2" xfId="6655" xr:uid="{76892EE1-63C0-4C15-A3C5-1833E6A32539}"/>
    <cellStyle name="20% - Accent5 29 7 2 2" xfId="6656" xr:uid="{CD06C549-99BB-4271-9FA0-1B18E5764E2A}"/>
    <cellStyle name="20% - Accent5 29 7 2 2 2" xfId="6657" xr:uid="{0B539E33-FBC0-4832-9271-2D927A5D9936}"/>
    <cellStyle name="20% - Accent5 29 7 2 2 2 2" xfId="6658" xr:uid="{75F8C74C-5211-4187-8897-E94D0931E3A5}"/>
    <cellStyle name="20% - Accent5 29 7 2 2 3" xfId="6659" xr:uid="{34FCDF97-99A5-40ED-B6E9-7D0EFF79EA43}"/>
    <cellStyle name="20% - Accent5 29 7 2 3" xfId="6660" xr:uid="{87FE4D1F-251C-4008-9DC9-3EC0236E3A50}"/>
    <cellStyle name="20% - Accent5 29 7 2 3 2" xfId="6661" xr:uid="{DD6CDDF0-5898-4771-8658-1C6C19447AFA}"/>
    <cellStyle name="20% - Accent5 29 7 2 3 2 2" xfId="6662" xr:uid="{CD23B62E-1AF8-44E0-85D6-70F2EB1BCF96}"/>
    <cellStyle name="20% - Accent5 29 7 2 3 3" xfId="6663" xr:uid="{13380627-75D0-4DC7-9673-24AB4C369D91}"/>
    <cellStyle name="20% - Accent5 29 7 2 4" xfId="6664" xr:uid="{C32ECB40-A58E-4024-BD2F-860B7D120095}"/>
    <cellStyle name="20% - Accent5 29 7 2 4 2" xfId="6665" xr:uid="{0993016F-450F-4936-BAFC-3E6720EB5DA2}"/>
    <cellStyle name="20% - Accent5 29 7 2 5" xfId="6666" xr:uid="{801733ED-4F85-4C26-BF77-8841026210BC}"/>
    <cellStyle name="20% - Accent5 29 7 3" xfId="6667" xr:uid="{A3DBF003-2646-4AFE-8D44-D53A055368FD}"/>
    <cellStyle name="20% - Accent5 29 7 3 2" xfId="6668" xr:uid="{559BDDCB-360F-48B0-83A0-9D9227FEA909}"/>
    <cellStyle name="20% - Accent5 29 7 3 2 2" xfId="6669" xr:uid="{21500053-B975-44E4-8E41-B4121D8DA3FA}"/>
    <cellStyle name="20% - Accent5 29 7 3 3" xfId="6670" xr:uid="{6301B246-B22F-4BC3-AEFE-27918CBC0603}"/>
    <cellStyle name="20% - Accent5 29 7 4" xfId="6671" xr:uid="{154E36F6-1586-42F0-9AB9-4F27A1523986}"/>
    <cellStyle name="20% - Accent5 29 7 4 2" xfId="6672" xr:uid="{33DE40AD-7088-4459-BADA-5679EBFB3F63}"/>
    <cellStyle name="20% - Accent5 29 7 4 2 2" xfId="6673" xr:uid="{60F8E577-19DE-4920-832D-27CE624CC2AD}"/>
    <cellStyle name="20% - Accent5 29 7 4 3" xfId="6674" xr:uid="{56D6C80E-466F-4657-A2AD-2E7F637D4C79}"/>
    <cellStyle name="20% - Accent5 29 7 5" xfId="6675" xr:uid="{1E4CD10B-E6A4-4767-B6CA-36BF76CC2203}"/>
    <cellStyle name="20% - Accent5 29 7 5 2" xfId="6676" xr:uid="{3473FA2C-59FC-413E-A5AD-79A4206F9F93}"/>
    <cellStyle name="20% - Accent5 29 7 6" xfId="6677" xr:uid="{6C53618E-E2C6-48D4-B1A1-B944EF45C160}"/>
    <cellStyle name="20% - Accent5 29 8" xfId="6678" xr:uid="{2100B7FD-167D-49FE-B112-1A412B4FC597}"/>
    <cellStyle name="20% - Accent5 29 8 2" xfId="6679" xr:uid="{B8A8E9D8-7EB3-4DD4-A327-6453D07AE3A4}"/>
    <cellStyle name="20% - Accent5 29 8 2 2" xfId="6680" xr:uid="{D04C6908-7710-490B-9E89-C914377EDC9F}"/>
    <cellStyle name="20% - Accent5 29 8 2 2 2" xfId="6681" xr:uid="{97071354-E04E-47CF-9F2E-5156DB868188}"/>
    <cellStyle name="20% - Accent5 29 8 2 2 2 2" xfId="6682" xr:uid="{B1D6BFA3-2F0E-4A82-B78A-7834B40AB2D8}"/>
    <cellStyle name="20% - Accent5 29 8 2 2 3" xfId="6683" xr:uid="{1EB18FA6-0EF7-4F6B-B3E6-15639F9954E5}"/>
    <cellStyle name="20% - Accent5 29 8 2 3" xfId="6684" xr:uid="{61E11449-F83D-40D3-B815-646B1258C295}"/>
    <cellStyle name="20% - Accent5 29 8 2 3 2" xfId="6685" xr:uid="{65815D55-08DC-49F2-AE0D-90CD18B6578B}"/>
    <cellStyle name="20% - Accent5 29 8 2 3 2 2" xfId="6686" xr:uid="{A3037321-ED92-4DA5-A25A-1A3D71476906}"/>
    <cellStyle name="20% - Accent5 29 8 2 3 3" xfId="6687" xr:uid="{46BA8D04-973C-4E93-91B5-B17A55EC127F}"/>
    <cellStyle name="20% - Accent5 29 8 2 4" xfId="6688" xr:uid="{30DFD451-319B-4941-8A32-71CA37920786}"/>
    <cellStyle name="20% - Accent5 29 8 2 4 2" xfId="6689" xr:uid="{353CF58F-C15E-4A59-B720-223193B54C41}"/>
    <cellStyle name="20% - Accent5 29 8 2 5" xfId="6690" xr:uid="{FAB5886A-3F83-4D21-B5AA-F126C5D24E8F}"/>
    <cellStyle name="20% - Accent5 29 8 3" xfId="6691" xr:uid="{3CAC6444-DF54-4777-B61B-0D3148DD8F25}"/>
    <cellStyle name="20% - Accent5 29 8 3 2" xfId="6692" xr:uid="{184EF556-CF00-47A4-908B-BA0611B1697C}"/>
    <cellStyle name="20% - Accent5 29 8 3 2 2" xfId="6693" xr:uid="{CBB2987A-2CD3-4F52-A06A-7B66C0E5AC3F}"/>
    <cellStyle name="20% - Accent5 29 8 3 3" xfId="6694" xr:uid="{A93D98B4-5F28-4663-A982-35A5111244CE}"/>
    <cellStyle name="20% - Accent5 29 8 4" xfId="6695" xr:uid="{6F0F676E-0A5B-4969-9205-2265E7EFA3B1}"/>
    <cellStyle name="20% - Accent5 29 8 4 2" xfId="6696" xr:uid="{45E865F0-ED72-4D04-B239-4EAE0707787B}"/>
    <cellStyle name="20% - Accent5 29 8 4 2 2" xfId="6697" xr:uid="{5053D331-75E6-45CC-B634-8F7E6C1F291C}"/>
    <cellStyle name="20% - Accent5 29 8 4 3" xfId="6698" xr:uid="{DA6CD3CB-FD68-43A8-A1DE-809457543BCC}"/>
    <cellStyle name="20% - Accent5 29 8 5" xfId="6699" xr:uid="{8CC7D09D-25C0-4F29-9E9A-E2DD6DDBAA1F}"/>
    <cellStyle name="20% - Accent5 29 8 5 2" xfId="6700" xr:uid="{C399AA64-F894-4AF9-8041-B8BFFAB57BAC}"/>
    <cellStyle name="20% - Accent5 29 8 6" xfId="6701" xr:uid="{3CC46225-03E1-4775-ABC0-A8B67FAA14D3}"/>
    <cellStyle name="20% - Accent5 29 9" xfId="6702" xr:uid="{BF287294-7B40-413F-AFA3-E7F1969F5416}"/>
    <cellStyle name="20% - Accent5 29 9 2" xfId="6703" xr:uid="{952CBD5A-42FE-4F2C-BA02-C6F6826A82A5}"/>
    <cellStyle name="20% - Accent5 29 9 2 2" xfId="6704" xr:uid="{DA47BFEB-03FD-4FFB-BA94-C83369BD9EA5}"/>
    <cellStyle name="20% - Accent5 29 9 2 2 2" xfId="6705" xr:uid="{5723350E-3563-4EBA-956C-3CA12DDB2E7C}"/>
    <cellStyle name="20% - Accent5 29 9 2 2 2 2" xfId="6706" xr:uid="{51608FA0-5B9B-4A25-A53A-131EDA0EBECA}"/>
    <cellStyle name="20% - Accent5 29 9 2 2 3" xfId="6707" xr:uid="{E812CB5D-5CA5-40D7-B25F-5FDCB6B6556E}"/>
    <cellStyle name="20% - Accent5 29 9 2 3" xfId="6708" xr:uid="{A43BE7B3-FCDF-4CB4-BD86-6610DA79DCE1}"/>
    <cellStyle name="20% - Accent5 29 9 2 3 2" xfId="6709" xr:uid="{6AF2EBEF-6B82-468C-BA5F-0AF3D8A3EDFC}"/>
    <cellStyle name="20% - Accent5 29 9 2 3 2 2" xfId="6710" xr:uid="{1E2EE721-F45B-4045-89AD-48EF3FA077CE}"/>
    <cellStyle name="20% - Accent5 29 9 2 3 3" xfId="6711" xr:uid="{92CE77CC-8AC8-4A98-A51C-995D766BCADC}"/>
    <cellStyle name="20% - Accent5 29 9 2 4" xfId="6712" xr:uid="{267E1F9B-8BA0-42F3-988A-86CE3922764C}"/>
    <cellStyle name="20% - Accent5 29 9 2 4 2" xfId="6713" xr:uid="{8E802065-070D-4285-982F-1178BED4BE76}"/>
    <cellStyle name="20% - Accent5 29 9 2 5" xfId="6714" xr:uid="{3F5DE6F2-C8C6-42AD-8A06-12002C7F87E0}"/>
    <cellStyle name="20% - Accent5 29 9 3" xfId="6715" xr:uid="{3B953169-5012-48C9-9196-1349DB869349}"/>
    <cellStyle name="20% - Accent5 29 9 3 2" xfId="6716" xr:uid="{C0FB08A0-EA0F-4A1D-9D6C-43C8782BED4A}"/>
    <cellStyle name="20% - Accent5 29 9 3 2 2" xfId="6717" xr:uid="{0D2EB7CA-EB78-427B-94E1-A07482E71158}"/>
    <cellStyle name="20% - Accent5 29 9 3 3" xfId="6718" xr:uid="{09B1C626-D5ED-4488-A7FB-FD64F4F6C324}"/>
    <cellStyle name="20% - Accent5 29 9 4" xfId="6719" xr:uid="{402199DE-315C-4EB8-8D80-C5E8F42A815B}"/>
    <cellStyle name="20% - Accent5 29 9 4 2" xfId="6720" xr:uid="{0668AB0E-404D-43B6-BA7A-C74181BEB543}"/>
    <cellStyle name="20% - Accent5 29 9 4 2 2" xfId="6721" xr:uid="{BA3259F4-8D66-4341-9A6C-D0F3F782E2E0}"/>
    <cellStyle name="20% - Accent5 29 9 4 3" xfId="6722" xr:uid="{F0206EB0-7EE4-4EC6-AA39-B3CD6865B0C3}"/>
    <cellStyle name="20% - Accent5 29 9 5" xfId="6723" xr:uid="{D96F835D-02A2-4AEE-87B0-5F1374DF9312}"/>
    <cellStyle name="20% - Accent5 29 9 5 2" xfId="6724" xr:uid="{2A85D7F1-C60A-47F5-BA3B-C742FC8233D2}"/>
    <cellStyle name="20% - Accent5 29 9 6" xfId="6725" xr:uid="{911C5995-1372-4161-8142-B1C89236EFD4}"/>
    <cellStyle name="20% - Accent5 3" xfId="6726" xr:uid="{BD088B2C-FADB-4394-9AE9-0BF41DB065F3}"/>
    <cellStyle name="20% - Accent5 3 2" xfId="6727" xr:uid="{E8E9245A-6025-449A-8500-F4EE390BCC53}"/>
    <cellStyle name="20% - Accent5 3 2 2" xfId="6728" xr:uid="{9F1CB8B5-23C1-4371-9FAF-7D0D3693B948}"/>
    <cellStyle name="20% - Accent5 3 2 2 2" xfId="36359" xr:uid="{8F4E687E-E2B5-4912-94F7-ABF7C3E34526}"/>
    <cellStyle name="20% - Accent5 3 2 3" xfId="36360" xr:uid="{42F85345-C97C-4F8C-863B-8BD1A51692C4}"/>
    <cellStyle name="20% - Accent5 3 2 4" xfId="36361" xr:uid="{0B359BB8-1DA7-4A8F-94C5-068511357843}"/>
    <cellStyle name="20% - Accent5 3 3" xfId="6729" xr:uid="{035B038F-B03D-4DA3-93AC-BB431F076119}"/>
    <cellStyle name="20% - Accent5 3 3 2" xfId="36362" xr:uid="{C773CEF5-7825-4855-820B-8D78F87F3E13}"/>
    <cellStyle name="20% - Accent5 3 4" xfId="36363" xr:uid="{489C9819-56DE-4678-92D7-B9C2BBA54455}"/>
    <cellStyle name="20% - Accent5 3 5" xfId="36364" xr:uid="{F04D1D97-9E71-4949-A778-32085CB07A08}"/>
    <cellStyle name="20% - Accent5 3 6" xfId="36365" xr:uid="{A9EE5FDE-B17E-434F-A2BD-F73A3F05F603}"/>
    <cellStyle name="20% - Accent5 30" xfId="6730" xr:uid="{E824EE1D-9452-4BCA-B892-CDA2C646EAF1}"/>
    <cellStyle name="20% - Accent5 30 10" xfId="6731" xr:uid="{0B090A18-2420-4B2D-A4FF-908D7EA4C754}"/>
    <cellStyle name="20% - Accent5 30 10 2" xfId="6732" xr:uid="{DFF714AB-929E-47C0-B4F0-C52F06B45E0F}"/>
    <cellStyle name="20% - Accent5 30 10 2 2" xfId="6733" xr:uid="{E766B367-5FA1-4E0F-A2C9-C0AF6B560528}"/>
    <cellStyle name="20% - Accent5 30 10 2 2 2" xfId="6734" xr:uid="{36F6770A-B0BC-4450-B077-ECA14AA7CE42}"/>
    <cellStyle name="20% - Accent5 30 10 2 2 2 2" xfId="6735" xr:uid="{9E1B6A17-90FD-4EA0-BD5E-B4F1F6C99E23}"/>
    <cellStyle name="20% - Accent5 30 10 2 2 3" xfId="6736" xr:uid="{37FD4390-7BFF-4B4F-A52E-361DAE0AFF58}"/>
    <cellStyle name="20% - Accent5 30 10 2 3" xfId="6737" xr:uid="{572BC152-0FB8-402A-8978-9DDB9AE6C165}"/>
    <cellStyle name="20% - Accent5 30 10 2 3 2" xfId="6738" xr:uid="{3353E5FC-0481-476A-BA9E-933E82A951CD}"/>
    <cellStyle name="20% - Accent5 30 10 2 3 2 2" xfId="6739" xr:uid="{07B399DD-F46A-4D7B-B9BA-EA703B490800}"/>
    <cellStyle name="20% - Accent5 30 10 2 3 3" xfId="6740" xr:uid="{AE232A02-84F9-476C-84CB-A7EB372B7CAE}"/>
    <cellStyle name="20% - Accent5 30 10 2 4" xfId="6741" xr:uid="{A6383164-1A54-45A5-9A97-E1E72BB87555}"/>
    <cellStyle name="20% - Accent5 30 10 2 4 2" xfId="6742" xr:uid="{B948F835-699E-4DCD-8C58-677CBA291AB2}"/>
    <cellStyle name="20% - Accent5 30 10 2 5" xfId="6743" xr:uid="{65275089-DDE9-4439-8CEE-8306983D0C4A}"/>
    <cellStyle name="20% - Accent5 30 10 3" xfId="6744" xr:uid="{EAED6BE7-F285-42F6-8F5F-DB278755AF62}"/>
    <cellStyle name="20% - Accent5 30 10 3 2" xfId="6745" xr:uid="{68128B36-C7A4-4B4A-A141-78A2A1B44176}"/>
    <cellStyle name="20% - Accent5 30 10 3 2 2" xfId="6746" xr:uid="{6EAB7C07-3223-4028-B2EA-74FBE74CE578}"/>
    <cellStyle name="20% - Accent5 30 10 3 3" xfId="6747" xr:uid="{2B465EF9-87E2-4146-9940-9FE19864832F}"/>
    <cellStyle name="20% - Accent5 30 10 4" xfId="6748" xr:uid="{2B96C6FD-D9C5-4FB8-B975-5C3EBD59BBD3}"/>
    <cellStyle name="20% - Accent5 30 10 4 2" xfId="6749" xr:uid="{63980063-13D2-4416-9970-55B6AC0FD15C}"/>
    <cellStyle name="20% - Accent5 30 10 4 2 2" xfId="6750" xr:uid="{3D8BC69D-F2DC-4C97-ABFD-59B4F7F757D7}"/>
    <cellStyle name="20% - Accent5 30 10 4 3" xfId="6751" xr:uid="{E69B0ACD-8B39-44ED-A48D-B0ECA77AEC63}"/>
    <cellStyle name="20% - Accent5 30 10 5" xfId="6752" xr:uid="{FA708965-9A45-4B03-831C-2945A019209C}"/>
    <cellStyle name="20% - Accent5 30 10 5 2" xfId="6753" xr:uid="{99BC9F42-BB11-4AED-863C-EC0B12FB714B}"/>
    <cellStyle name="20% - Accent5 30 10 6" xfId="6754" xr:uid="{5F9E96BE-8040-4FF6-848A-0C3B1CA0A9CD}"/>
    <cellStyle name="20% - Accent5 30 11" xfId="6755" xr:uid="{82D49255-7AAB-41F1-B075-DA653E171027}"/>
    <cellStyle name="20% - Accent5 30 11 2" xfId="6756" xr:uid="{E4FA3F75-3C4F-4FAB-80A2-777C1F6BF71C}"/>
    <cellStyle name="20% - Accent5 30 11 2 2" xfId="6757" xr:uid="{BE3894AB-3574-4825-986D-203C04CB8C5F}"/>
    <cellStyle name="20% - Accent5 30 11 2 2 2" xfId="6758" xr:uid="{0550C8CD-CD1B-47A6-8F39-8C4A981E7A06}"/>
    <cellStyle name="20% - Accent5 30 11 2 3" xfId="6759" xr:uid="{7CD5E312-D6E5-4EC7-88B9-A1AEA5B130AB}"/>
    <cellStyle name="20% - Accent5 30 11 3" xfId="6760" xr:uid="{03D3B993-5E3E-4B8B-B774-629445074FC9}"/>
    <cellStyle name="20% - Accent5 30 11 3 2" xfId="6761" xr:uid="{535D1376-2325-46E6-9924-1F259B7C210A}"/>
    <cellStyle name="20% - Accent5 30 11 3 2 2" xfId="6762" xr:uid="{8D884548-1744-4F6C-8280-7377DDA7EFC6}"/>
    <cellStyle name="20% - Accent5 30 11 3 3" xfId="6763" xr:uid="{5F8C2EDB-32A4-44D3-9DB4-EA76F47CE114}"/>
    <cellStyle name="20% - Accent5 30 11 4" xfId="6764" xr:uid="{3C2985C2-3C22-416B-B8DD-09D6A77C8CC5}"/>
    <cellStyle name="20% - Accent5 30 11 4 2" xfId="6765" xr:uid="{36965980-3971-4DC9-813B-ADBD6CF2AC5F}"/>
    <cellStyle name="20% - Accent5 30 11 5" xfId="6766" xr:uid="{59214AEC-7A30-4EB1-B4E1-03E770C150A6}"/>
    <cellStyle name="20% - Accent5 30 12" xfId="6767" xr:uid="{D36FAA89-64A2-4798-805A-335B28164363}"/>
    <cellStyle name="20% - Accent5 30 12 2" xfId="6768" xr:uid="{5A6F2782-8265-403C-9C41-A93AB487D5CA}"/>
    <cellStyle name="20% - Accent5 30 12 2 2" xfId="6769" xr:uid="{92ACBAAA-4029-45AB-9E52-E821BF06848E}"/>
    <cellStyle name="20% - Accent5 30 12 3" xfId="6770" xr:uid="{1DE70033-3CFC-4A97-88D6-7E98FC7CDFCB}"/>
    <cellStyle name="20% - Accent5 30 13" xfId="6771" xr:uid="{B5EC1CB6-3F16-4EEB-9920-E207DBB2133B}"/>
    <cellStyle name="20% - Accent5 30 13 2" xfId="6772" xr:uid="{FC966D3C-0DC4-47A5-908F-8320A5638E43}"/>
    <cellStyle name="20% - Accent5 30 13 2 2" xfId="6773" xr:uid="{80A61725-D9B8-4FA0-BE3C-06FF7E548141}"/>
    <cellStyle name="20% - Accent5 30 13 3" xfId="6774" xr:uid="{57F59489-093D-43E6-9EA1-F911BCFDB469}"/>
    <cellStyle name="20% - Accent5 30 14" xfId="6775" xr:uid="{CFD6192A-600A-4873-80E3-0F9B60381713}"/>
    <cellStyle name="20% - Accent5 30 14 2" xfId="6776" xr:uid="{AEAE0657-6CBA-49AA-B4C9-F946D20F178B}"/>
    <cellStyle name="20% - Accent5 30 15" xfId="6777" xr:uid="{B1033A58-16BE-40BA-AA20-2442E1BD270A}"/>
    <cellStyle name="20% - Accent5 30 16" xfId="36366" xr:uid="{1FF4D5DC-18ED-4701-AC6E-1969F960DC59}"/>
    <cellStyle name="20% - Accent5 30 2" xfId="6778" xr:uid="{723A2296-BAE5-4B34-8478-483F5B57AA62}"/>
    <cellStyle name="20% - Accent5 30 2 2" xfId="6779" xr:uid="{CA36139E-30DE-45A2-A120-33B3B9EC3245}"/>
    <cellStyle name="20% - Accent5 30 2 2 2" xfId="6780" xr:uid="{F41FF4F7-A6A8-461B-A4C6-21BFB0A1C258}"/>
    <cellStyle name="20% - Accent5 30 2 2 2 2" xfId="6781" xr:uid="{9340B9B0-441C-4DB5-9EA6-16FCC3AD2553}"/>
    <cellStyle name="20% - Accent5 30 2 2 2 2 2" xfId="6782" xr:uid="{4116DFCD-B067-429A-95ED-7B9AAA681852}"/>
    <cellStyle name="20% - Accent5 30 2 2 2 3" xfId="6783" xr:uid="{ADACF0F5-0A30-478C-8F4E-207B4A62D481}"/>
    <cellStyle name="20% - Accent5 30 2 2 3" xfId="6784" xr:uid="{D169CC52-4122-4C51-AE7E-64B5D0F21AF4}"/>
    <cellStyle name="20% - Accent5 30 2 2 3 2" xfId="6785" xr:uid="{7F8177E7-3486-4FF7-952F-49A9BA930B09}"/>
    <cellStyle name="20% - Accent5 30 2 2 3 2 2" xfId="6786" xr:uid="{4CCB7BC3-058E-46BB-A425-FCEDE2E32398}"/>
    <cellStyle name="20% - Accent5 30 2 2 3 3" xfId="6787" xr:uid="{0D5181FC-3BD4-4513-982B-1E7CC5F10F06}"/>
    <cellStyle name="20% - Accent5 30 2 2 4" xfId="6788" xr:uid="{6258F394-7E6F-4AD4-BB7B-331F77CBBAD4}"/>
    <cellStyle name="20% - Accent5 30 2 2 4 2" xfId="6789" xr:uid="{F7AF38C2-9ADB-4CAE-B045-5F5484BBA4ED}"/>
    <cellStyle name="20% - Accent5 30 2 2 5" xfId="6790" xr:uid="{3E35F127-64C4-4617-8A49-986D878794B3}"/>
    <cellStyle name="20% - Accent5 30 2 3" xfId="6791" xr:uid="{7D65FCEA-B8B5-47E2-B13A-F59AE9A98C5F}"/>
    <cellStyle name="20% - Accent5 30 2 3 2" xfId="6792" xr:uid="{28D36A92-5972-4257-97F0-8DCAA2910C1B}"/>
    <cellStyle name="20% - Accent5 30 2 3 2 2" xfId="6793" xr:uid="{B07B85FC-55C4-4543-B0A1-6D7B9B90C128}"/>
    <cellStyle name="20% - Accent5 30 2 3 3" xfId="6794" xr:uid="{6D539034-35C2-4FE1-BB6F-BF99EA5E546D}"/>
    <cellStyle name="20% - Accent5 30 2 4" xfId="6795" xr:uid="{54851E25-C14C-4034-8F0A-6F8956474B68}"/>
    <cellStyle name="20% - Accent5 30 2 4 2" xfId="6796" xr:uid="{9104A2C0-09CC-4B6F-A2DE-E613A676A5D0}"/>
    <cellStyle name="20% - Accent5 30 2 4 2 2" xfId="6797" xr:uid="{2FEDB3FA-3C51-461D-9895-C9288F2E59C2}"/>
    <cellStyle name="20% - Accent5 30 2 4 3" xfId="6798" xr:uid="{D385FAD7-767D-4091-A8E6-240AC0D93428}"/>
    <cellStyle name="20% - Accent5 30 2 5" xfId="6799" xr:uid="{02F579B4-DE7B-4CC7-824D-3D24AFF15D4B}"/>
    <cellStyle name="20% - Accent5 30 2 5 2" xfId="6800" xr:uid="{8A9870FA-9363-4BB2-AD0D-106E48E330D4}"/>
    <cellStyle name="20% - Accent5 30 2 6" xfId="6801" xr:uid="{7E33DE84-26E0-4748-9D34-B644ECB56F76}"/>
    <cellStyle name="20% - Accent5 30 3" xfId="6802" xr:uid="{5D042352-F169-4785-9437-F6414F9FFA0F}"/>
    <cellStyle name="20% - Accent5 30 3 2" xfId="6803" xr:uid="{F2182F8D-AA0C-4732-BFCF-72741AA596A7}"/>
    <cellStyle name="20% - Accent5 30 3 2 2" xfId="6804" xr:uid="{759D01DA-3568-4155-A4BD-E79537F02191}"/>
    <cellStyle name="20% - Accent5 30 3 2 2 2" xfId="6805" xr:uid="{9AC56B9A-8963-44CD-8236-D201ECB0ABDB}"/>
    <cellStyle name="20% - Accent5 30 3 2 2 2 2" xfId="6806" xr:uid="{93569BBF-D4C3-4674-B76B-A814F9A1CB1F}"/>
    <cellStyle name="20% - Accent5 30 3 2 2 3" xfId="6807" xr:uid="{98C69DF3-A27A-44FF-94AF-0D0D502F241A}"/>
    <cellStyle name="20% - Accent5 30 3 2 3" xfId="6808" xr:uid="{28552A62-F4C8-46C9-9615-4F725EAEDC51}"/>
    <cellStyle name="20% - Accent5 30 3 2 3 2" xfId="6809" xr:uid="{7ADB6C86-7C89-40DC-BAEF-C45BF5F35CB8}"/>
    <cellStyle name="20% - Accent5 30 3 2 3 2 2" xfId="6810" xr:uid="{1E0200BF-241D-4462-ABB1-D589CECC73BE}"/>
    <cellStyle name="20% - Accent5 30 3 2 3 3" xfId="6811" xr:uid="{327F3524-08C7-4B8A-A379-3E5285490728}"/>
    <cellStyle name="20% - Accent5 30 3 2 4" xfId="6812" xr:uid="{33EDB27A-6855-488C-83F8-592107965004}"/>
    <cellStyle name="20% - Accent5 30 3 2 4 2" xfId="6813" xr:uid="{87E528EF-E011-4F8D-A1E8-B9D99A170284}"/>
    <cellStyle name="20% - Accent5 30 3 2 5" xfId="6814" xr:uid="{28E7ADF6-E7FF-457F-8E0C-D8ED33DAD6DB}"/>
    <cellStyle name="20% - Accent5 30 3 3" xfId="6815" xr:uid="{810D4108-734E-4755-B396-9E6CC83E219E}"/>
    <cellStyle name="20% - Accent5 30 3 3 2" xfId="6816" xr:uid="{2AFEC4CF-63F2-4EA3-A322-B3BE1BED011C}"/>
    <cellStyle name="20% - Accent5 30 3 3 2 2" xfId="6817" xr:uid="{05A88640-7BDA-4B2B-AA90-F479EE86555E}"/>
    <cellStyle name="20% - Accent5 30 3 3 3" xfId="6818" xr:uid="{F43A78F5-2A33-4A84-87FE-E4D71FA4B4A5}"/>
    <cellStyle name="20% - Accent5 30 3 4" xfId="6819" xr:uid="{9CD58697-1707-4269-9067-A51190CF8C41}"/>
    <cellStyle name="20% - Accent5 30 3 4 2" xfId="6820" xr:uid="{23056AD2-0C09-4B4D-88A8-B0C1FF47DBD6}"/>
    <cellStyle name="20% - Accent5 30 3 4 2 2" xfId="6821" xr:uid="{F608D8F2-5F78-4F5C-B0A2-7AEF57246339}"/>
    <cellStyle name="20% - Accent5 30 3 4 3" xfId="6822" xr:uid="{45B42C4A-9175-4ABD-A1A2-833EAE1AF439}"/>
    <cellStyle name="20% - Accent5 30 3 5" xfId="6823" xr:uid="{026C0109-F888-4A15-A231-9E739C493D4C}"/>
    <cellStyle name="20% - Accent5 30 3 5 2" xfId="6824" xr:uid="{2AD29ACC-06AB-4A28-A8AD-318F698BAA09}"/>
    <cellStyle name="20% - Accent5 30 3 6" xfId="6825" xr:uid="{2F07C910-D027-4DFD-93B7-8F9933F06B42}"/>
    <cellStyle name="20% - Accent5 30 4" xfId="6826" xr:uid="{C192C11A-8137-4436-A557-081532C56C97}"/>
    <cellStyle name="20% - Accent5 30 4 2" xfId="6827" xr:uid="{D43F962B-7525-4BDA-93BD-0F4A87ECD527}"/>
    <cellStyle name="20% - Accent5 30 4 2 2" xfId="6828" xr:uid="{A1A807FF-BA64-4769-9634-A3DEA777A316}"/>
    <cellStyle name="20% - Accent5 30 4 2 2 2" xfId="6829" xr:uid="{103238DD-D771-43CF-BD18-C2D01732CF1E}"/>
    <cellStyle name="20% - Accent5 30 4 2 2 2 2" xfId="6830" xr:uid="{8D3CFAC9-84C5-401D-8043-1AD86AE199D4}"/>
    <cellStyle name="20% - Accent5 30 4 2 2 3" xfId="6831" xr:uid="{579DCC7F-F5DE-40C6-83B3-6909A55B9243}"/>
    <cellStyle name="20% - Accent5 30 4 2 3" xfId="6832" xr:uid="{B8AFF0E8-354F-4EAE-B24D-03EEC9BAD21C}"/>
    <cellStyle name="20% - Accent5 30 4 2 3 2" xfId="6833" xr:uid="{82DED989-80C2-45F9-A8E9-51D1D86ED724}"/>
    <cellStyle name="20% - Accent5 30 4 2 3 2 2" xfId="6834" xr:uid="{7B26C01E-3CA3-4C48-84F2-E55B7EDFDFC9}"/>
    <cellStyle name="20% - Accent5 30 4 2 3 3" xfId="6835" xr:uid="{05D0294A-ABF9-43B8-8C60-1AEBF9EA590F}"/>
    <cellStyle name="20% - Accent5 30 4 2 4" xfId="6836" xr:uid="{D1C29ED5-2E0F-4BFC-8A82-30A6C9B37F2A}"/>
    <cellStyle name="20% - Accent5 30 4 2 4 2" xfId="6837" xr:uid="{C0665B9D-4D14-4CB9-B9AE-BF8D963D9F27}"/>
    <cellStyle name="20% - Accent5 30 4 2 5" xfId="6838" xr:uid="{63C4A003-02E6-42DF-902E-3D72D07C784F}"/>
    <cellStyle name="20% - Accent5 30 4 3" xfId="6839" xr:uid="{C0A82A2C-6299-4492-8CD3-87C69E543318}"/>
    <cellStyle name="20% - Accent5 30 4 3 2" xfId="6840" xr:uid="{E305EE30-7717-42C3-9297-A94F44F97F0F}"/>
    <cellStyle name="20% - Accent5 30 4 3 2 2" xfId="6841" xr:uid="{FB6CB03F-6CC4-4930-823A-D86273B2A770}"/>
    <cellStyle name="20% - Accent5 30 4 3 3" xfId="6842" xr:uid="{F7334908-4CD2-4FAE-A64F-8BBE6E4926CA}"/>
    <cellStyle name="20% - Accent5 30 4 4" xfId="6843" xr:uid="{CF616E7C-A68E-4386-99A9-598D84AF6FE2}"/>
    <cellStyle name="20% - Accent5 30 4 4 2" xfId="6844" xr:uid="{34A5B176-91A7-490B-ADEE-0FFC439DE0C4}"/>
    <cellStyle name="20% - Accent5 30 4 4 2 2" xfId="6845" xr:uid="{EB27F897-FEDC-4C9C-80BB-DFE1C314DB16}"/>
    <cellStyle name="20% - Accent5 30 4 4 3" xfId="6846" xr:uid="{2083E1BC-8917-4769-8025-EDB18ECAD005}"/>
    <cellStyle name="20% - Accent5 30 4 5" xfId="6847" xr:uid="{FFDD4B96-D80E-4090-9BD2-A396D7999806}"/>
    <cellStyle name="20% - Accent5 30 4 5 2" xfId="6848" xr:uid="{7379DA0F-8FA7-4211-BD35-A30871C2B3C5}"/>
    <cellStyle name="20% - Accent5 30 4 6" xfId="6849" xr:uid="{908CD5FF-EA54-4B5B-9EC4-E814FBC0BABC}"/>
    <cellStyle name="20% - Accent5 30 5" xfId="6850" xr:uid="{C216EB0C-3602-4614-8960-FA3CFFE1700C}"/>
    <cellStyle name="20% - Accent5 30 5 2" xfId="6851" xr:uid="{82AD5D6E-9628-4777-8422-D499645633A9}"/>
    <cellStyle name="20% - Accent5 30 5 2 2" xfId="6852" xr:uid="{7F28DC1C-B6A8-49B0-BE6A-4B1BE0CF91BD}"/>
    <cellStyle name="20% - Accent5 30 5 2 2 2" xfId="6853" xr:uid="{C734F52C-2FC6-4171-9ACF-00BE13F01564}"/>
    <cellStyle name="20% - Accent5 30 5 2 2 2 2" xfId="6854" xr:uid="{FE50D16F-7CE2-4B9C-98FE-98B93C19A414}"/>
    <cellStyle name="20% - Accent5 30 5 2 2 3" xfId="6855" xr:uid="{F752A664-BFF7-4752-87CB-5CA48CA169AE}"/>
    <cellStyle name="20% - Accent5 30 5 2 3" xfId="6856" xr:uid="{2C9E9015-2D57-4A9C-A335-F26BAF99E173}"/>
    <cellStyle name="20% - Accent5 30 5 2 3 2" xfId="6857" xr:uid="{64BD7B43-AD34-4E28-8582-9F2DB61396C8}"/>
    <cellStyle name="20% - Accent5 30 5 2 3 2 2" xfId="6858" xr:uid="{444CA240-732F-4F2E-A449-662BA713BFC7}"/>
    <cellStyle name="20% - Accent5 30 5 2 3 3" xfId="6859" xr:uid="{CB5AC5B0-665A-47E7-AA1E-D93F96F66277}"/>
    <cellStyle name="20% - Accent5 30 5 2 4" xfId="6860" xr:uid="{AAE588D5-72BE-4AD8-97C4-271E3EE1F599}"/>
    <cellStyle name="20% - Accent5 30 5 2 4 2" xfId="6861" xr:uid="{634C44DB-C835-4F11-97CF-E722107B0E8C}"/>
    <cellStyle name="20% - Accent5 30 5 2 5" xfId="6862" xr:uid="{BEE106F7-FE83-437A-ADCB-062C63497D6B}"/>
    <cellStyle name="20% - Accent5 30 5 3" xfId="6863" xr:uid="{C743014B-0274-4225-A354-4E172B1CDD02}"/>
    <cellStyle name="20% - Accent5 30 5 3 2" xfId="6864" xr:uid="{E6B7F471-3D02-4136-BF5A-3A5F63FAD4F1}"/>
    <cellStyle name="20% - Accent5 30 5 3 2 2" xfId="6865" xr:uid="{5DCE5F25-C231-4E67-AA8E-26ADD1E3981C}"/>
    <cellStyle name="20% - Accent5 30 5 3 3" xfId="6866" xr:uid="{234AED89-E8D1-4BF5-A66F-EE3FAD6B1E1A}"/>
    <cellStyle name="20% - Accent5 30 5 4" xfId="6867" xr:uid="{84C348C1-0007-4D74-9F99-69A0B1334FEE}"/>
    <cellStyle name="20% - Accent5 30 5 4 2" xfId="6868" xr:uid="{1732219D-C965-4BF0-A3F5-39D8F009DB04}"/>
    <cellStyle name="20% - Accent5 30 5 4 2 2" xfId="6869" xr:uid="{ABF14446-1207-4882-93D0-DB8AAE5FD146}"/>
    <cellStyle name="20% - Accent5 30 5 4 3" xfId="6870" xr:uid="{31C6CFBE-EE63-4D02-9F03-559B6C507965}"/>
    <cellStyle name="20% - Accent5 30 5 5" xfId="6871" xr:uid="{59D428A0-E418-41F4-BB32-7F6D6DE8E2A5}"/>
    <cellStyle name="20% - Accent5 30 5 5 2" xfId="6872" xr:uid="{2D10F7D6-E86E-4CBD-9CAE-BF784736CDE1}"/>
    <cellStyle name="20% - Accent5 30 5 6" xfId="6873" xr:uid="{D7C29830-0EBB-4CEE-AA43-F40FA461BEEB}"/>
    <cellStyle name="20% - Accent5 30 6" xfId="6874" xr:uid="{D0812EBF-1CEC-4C6C-94D5-5BEC8F50EAD0}"/>
    <cellStyle name="20% - Accent5 30 6 2" xfId="6875" xr:uid="{593C0345-F896-4DED-A78C-2DF6F3293F03}"/>
    <cellStyle name="20% - Accent5 30 6 2 2" xfId="6876" xr:uid="{747C9470-5E41-41CD-807B-0DEB1009AE4A}"/>
    <cellStyle name="20% - Accent5 30 6 2 2 2" xfId="6877" xr:uid="{FB48A38B-E8DF-462A-9556-367C4CB3BDCA}"/>
    <cellStyle name="20% - Accent5 30 6 2 2 2 2" xfId="6878" xr:uid="{C694CACF-9211-4F35-A13A-5F0DDF65E006}"/>
    <cellStyle name="20% - Accent5 30 6 2 2 3" xfId="6879" xr:uid="{A34B2D16-6F9A-4396-AE80-7FB672AD1102}"/>
    <cellStyle name="20% - Accent5 30 6 2 3" xfId="6880" xr:uid="{E66E3D7A-5216-426F-AB27-776652FE2907}"/>
    <cellStyle name="20% - Accent5 30 6 2 3 2" xfId="6881" xr:uid="{ECDAF154-5ED4-4928-BF1F-884916A2100A}"/>
    <cellStyle name="20% - Accent5 30 6 2 3 2 2" xfId="6882" xr:uid="{D1EF3067-4F7B-4927-8B77-BEF331612881}"/>
    <cellStyle name="20% - Accent5 30 6 2 3 3" xfId="6883" xr:uid="{FB5A6FB5-C8CC-4F4F-9CEF-3A1000848320}"/>
    <cellStyle name="20% - Accent5 30 6 2 4" xfId="6884" xr:uid="{DB528473-3F22-47AF-9CD3-2A0F54EAE8F6}"/>
    <cellStyle name="20% - Accent5 30 6 2 4 2" xfId="6885" xr:uid="{E2283FA5-7A70-4761-915D-D4152EAD5FF4}"/>
    <cellStyle name="20% - Accent5 30 6 2 5" xfId="6886" xr:uid="{B5338B54-9C17-4FBF-99F5-FC28402FF13E}"/>
    <cellStyle name="20% - Accent5 30 6 3" xfId="6887" xr:uid="{52446A75-7AFC-4316-BBDB-07D2B9BC4BC7}"/>
    <cellStyle name="20% - Accent5 30 6 3 2" xfId="6888" xr:uid="{120A5ABB-B59A-4866-B3FB-5E6987C25F5D}"/>
    <cellStyle name="20% - Accent5 30 6 3 2 2" xfId="6889" xr:uid="{2462C4EE-E640-44A1-A870-84DB21D7EC48}"/>
    <cellStyle name="20% - Accent5 30 6 3 3" xfId="6890" xr:uid="{EE2064CA-A06D-4515-BD8A-5506340A2EAD}"/>
    <cellStyle name="20% - Accent5 30 6 4" xfId="6891" xr:uid="{67BED980-02C4-411D-A379-30FF4F7CDE50}"/>
    <cellStyle name="20% - Accent5 30 6 4 2" xfId="6892" xr:uid="{C2FD1B5B-9F82-455E-950F-264ADC34E6C7}"/>
    <cellStyle name="20% - Accent5 30 6 4 2 2" xfId="6893" xr:uid="{0DB705AD-163A-4B9F-AF2A-ABA2FAD612E6}"/>
    <cellStyle name="20% - Accent5 30 6 4 3" xfId="6894" xr:uid="{AEF7568C-46C6-46A3-9DFF-5AFAE80C5BAB}"/>
    <cellStyle name="20% - Accent5 30 6 5" xfId="6895" xr:uid="{97C15BEE-4668-4268-A2F9-DAC840BDC2A8}"/>
    <cellStyle name="20% - Accent5 30 6 5 2" xfId="6896" xr:uid="{AE3AF557-69AC-459E-9D1A-C68930364879}"/>
    <cellStyle name="20% - Accent5 30 6 6" xfId="6897" xr:uid="{421F705C-C039-4915-8B21-E0216D6BE7C6}"/>
    <cellStyle name="20% - Accent5 30 7" xfId="6898" xr:uid="{C7FD3396-A061-49AB-AB23-65EF1AFD042D}"/>
    <cellStyle name="20% - Accent5 30 7 2" xfId="6899" xr:uid="{6D605253-5D95-4357-A668-FA8FDB1708DF}"/>
    <cellStyle name="20% - Accent5 30 7 2 2" xfId="6900" xr:uid="{0CE04B35-A3E8-455C-89CA-AA5302A71439}"/>
    <cellStyle name="20% - Accent5 30 7 2 2 2" xfId="6901" xr:uid="{0C53EF43-DF21-47E8-B6A0-59A7B078021F}"/>
    <cellStyle name="20% - Accent5 30 7 2 2 2 2" xfId="6902" xr:uid="{3D6B19F1-D14F-4C99-99C3-1C5249A39E6E}"/>
    <cellStyle name="20% - Accent5 30 7 2 2 3" xfId="6903" xr:uid="{83217154-E8E1-48A9-AB20-B912D499ED32}"/>
    <cellStyle name="20% - Accent5 30 7 2 3" xfId="6904" xr:uid="{6FC2AF3E-D347-4A8E-AB48-6550D6BBC8E4}"/>
    <cellStyle name="20% - Accent5 30 7 2 3 2" xfId="6905" xr:uid="{8E4C27D3-46AD-4B6F-8D89-93DAE4532E50}"/>
    <cellStyle name="20% - Accent5 30 7 2 3 2 2" xfId="6906" xr:uid="{EBED73C1-752D-4BA3-87D1-828D930A56DB}"/>
    <cellStyle name="20% - Accent5 30 7 2 3 3" xfId="6907" xr:uid="{B1472BD1-2C35-49E7-83F9-30C0D45CBD46}"/>
    <cellStyle name="20% - Accent5 30 7 2 4" xfId="6908" xr:uid="{302A8C7D-38BE-493A-A1DF-33C1153D211B}"/>
    <cellStyle name="20% - Accent5 30 7 2 4 2" xfId="6909" xr:uid="{92BC1433-1591-47D7-80ED-875928545C67}"/>
    <cellStyle name="20% - Accent5 30 7 2 5" xfId="6910" xr:uid="{56ADFF69-AB3F-4472-BF9D-5F4ACF22952C}"/>
    <cellStyle name="20% - Accent5 30 7 3" xfId="6911" xr:uid="{005967BC-C2CB-48EF-8D93-D0250158F130}"/>
    <cellStyle name="20% - Accent5 30 7 3 2" xfId="6912" xr:uid="{96AF9AF5-1CF5-4838-A895-A72C6726E434}"/>
    <cellStyle name="20% - Accent5 30 7 3 2 2" xfId="6913" xr:uid="{A435D864-1DC4-411E-9E87-3D719056C45F}"/>
    <cellStyle name="20% - Accent5 30 7 3 3" xfId="6914" xr:uid="{F662D5CD-8B1B-4103-A307-F62A7F241959}"/>
    <cellStyle name="20% - Accent5 30 7 4" xfId="6915" xr:uid="{E0827C88-EB9C-4006-9488-AC465D54FE19}"/>
    <cellStyle name="20% - Accent5 30 7 4 2" xfId="6916" xr:uid="{1F6C8482-E086-41B6-A9DF-B632F6A7EC87}"/>
    <cellStyle name="20% - Accent5 30 7 4 2 2" xfId="6917" xr:uid="{FCF284C8-6F29-4604-9A8E-53398DCCE4AB}"/>
    <cellStyle name="20% - Accent5 30 7 4 3" xfId="6918" xr:uid="{559E2095-D10B-44E4-BC8C-13CEC02472D8}"/>
    <cellStyle name="20% - Accent5 30 7 5" xfId="6919" xr:uid="{8D32BC93-DEF7-42B1-841E-9F898ED55BF5}"/>
    <cellStyle name="20% - Accent5 30 7 5 2" xfId="6920" xr:uid="{603D1F81-A276-4918-B536-73006164D579}"/>
    <cellStyle name="20% - Accent5 30 7 6" xfId="6921" xr:uid="{2C6D2D1A-26EF-45C2-9114-4E62EB2F268A}"/>
    <cellStyle name="20% - Accent5 30 8" xfId="6922" xr:uid="{9AFD1481-6A84-4D45-AA9A-EF4F73D1A02D}"/>
    <cellStyle name="20% - Accent5 30 8 2" xfId="6923" xr:uid="{A0701396-106D-49A1-9442-677B2F4FCAFD}"/>
    <cellStyle name="20% - Accent5 30 8 2 2" xfId="6924" xr:uid="{B806FF22-5B11-4895-A462-E5DBB201C3B9}"/>
    <cellStyle name="20% - Accent5 30 8 2 2 2" xfId="6925" xr:uid="{1F4DE52A-D67B-43F9-A056-B8D79F8AD138}"/>
    <cellStyle name="20% - Accent5 30 8 2 2 2 2" xfId="6926" xr:uid="{F223ABF9-6720-4859-B3BE-E55C3FED999F}"/>
    <cellStyle name="20% - Accent5 30 8 2 2 3" xfId="6927" xr:uid="{A5F9EA07-D4F7-4347-B3B2-2242F1411605}"/>
    <cellStyle name="20% - Accent5 30 8 2 3" xfId="6928" xr:uid="{34094CEE-38FA-4E47-B181-A12CF103983F}"/>
    <cellStyle name="20% - Accent5 30 8 2 3 2" xfId="6929" xr:uid="{5F692611-DE62-45AC-9EB9-A86271B113B6}"/>
    <cellStyle name="20% - Accent5 30 8 2 3 2 2" xfId="6930" xr:uid="{16EB8835-FDEB-4B15-A275-AEDA55147A4B}"/>
    <cellStyle name="20% - Accent5 30 8 2 3 3" xfId="6931" xr:uid="{D40DE37E-9CD4-4F43-8EC9-37DCDA7A455D}"/>
    <cellStyle name="20% - Accent5 30 8 2 4" xfId="6932" xr:uid="{AD729CB0-4501-4A4D-AE20-17BED8A91068}"/>
    <cellStyle name="20% - Accent5 30 8 2 4 2" xfId="6933" xr:uid="{971D22A4-305B-4672-A2CD-FAB9B62E4D2E}"/>
    <cellStyle name="20% - Accent5 30 8 2 5" xfId="6934" xr:uid="{59C3CA32-6A89-4412-BD65-E9F2C993C76E}"/>
    <cellStyle name="20% - Accent5 30 8 3" xfId="6935" xr:uid="{42E52F09-3F23-4946-8099-F10A9449154C}"/>
    <cellStyle name="20% - Accent5 30 8 3 2" xfId="6936" xr:uid="{D473C400-5534-4BBF-BCED-A6D7509B7553}"/>
    <cellStyle name="20% - Accent5 30 8 3 2 2" xfId="6937" xr:uid="{E2E006F6-89F1-4227-81C4-0DB62EED4060}"/>
    <cellStyle name="20% - Accent5 30 8 3 3" xfId="6938" xr:uid="{A9BAAEAE-A3AA-46D7-A047-8F1810F7E93C}"/>
    <cellStyle name="20% - Accent5 30 8 4" xfId="6939" xr:uid="{DAA30D5C-3A75-4109-987E-00C8D5BBF328}"/>
    <cellStyle name="20% - Accent5 30 8 4 2" xfId="6940" xr:uid="{0FB2DD43-F64B-4872-BA3A-5CD76F8D95BD}"/>
    <cellStyle name="20% - Accent5 30 8 4 2 2" xfId="6941" xr:uid="{E57FEC11-8145-4BE6-A5A7-E4CEF05D998E}"/>
    <cellStyle name="20% - Accent5 30 8 4 3" xfId="6942" xr:uid="{7099BAA3-7AFE-44A9-86A2-F186B792AC6A}"/>
    <cellStyle name="20% - Accent5 30 8 5" xfId="6943" xr:uid="{32D8E154-4B3E-4898-8B21-A34F3843F634}"/>
    <cellStyle name="20% - Accent5 30 8 5 2" xfId="6944" xr:uid="{03F21383-250A-41F2-8AF3-CBC76B099B4D}"/>
    <cellStyle name="20% - Accent5 30 8 6" xfId="6945" xr:uid="{B0849C0A-720B-4A12-A051-78119FDCBC93}"/>
    <cellStyle name="20% - Accent5 30 9" xfId="6946" xr:uid="{591EAA37-4550-4BEF-9A45-A3764A91E535}"/>
    <cellStyle name="20% - Accent5 30 9 2" xfId="6947" xr:uid="{D3091A2D-8925-437E-AD06-D14C43A4DCDA}"/>
    <cellStyle name="20% - Accent5 30 9 2 2" xfId="6948" xr:uid="{C2556045-1673-4DF2-A8ED-13E0FFD4B8D3}"/>
    <cellStyle name="20% - Accent5 30 9 2 2 2" xfId="6949" xr:uid="{C6C097B0-5C72-4CCE-BCDB-7DFE1F74F078}"/>
    <cellStyle name="20% - Accent5 30 9 2 2 2 2" xfId="6950" xr:uid="{98784663-CEC6-428C-8608-C5452BAFE63E}"/>
    <cellStyle name="20% - Accent5 30 9 2 2 3" xfId="6951" xr:uid="{5EB8EF7A-53BD-4B12-9D18-F34F3AA43921}"/>
    <cellStyle name="20% - Accent5 30 9 2 3" xfId="6952" xr:uid="{1C28A211-5ABC-48C8-B310-6BCADF62B5E7}"/>
    <cellStyle name="20% - Accent5 30 9 2 3 2" xfId="6953" xr:uid="{BD80DE87-69FD-4989-A3AC-F6A92B6FA1F0}"/>
    <cellStyle name="20% - Accent5 30 9 2 3 2 2" xfId="6954" xr:uid="{064688A3-6D5F-46EF-BF89-2101EC1496DD}"/>
    <cellStyle name="20% - Accent5 30 9 2 3 3" xfId="6955" xr:uid="{68E15809-F67C-44E7-8BDB-5CDC176D2B1B}"/>
    <cellStyle name="20% - Accent5 30 9 2 4" xfId="6956" xr:uid="{8C16673A-A0E5-406C-BA5A-78847A312832}"/>
    <cellStyle name="20% - Accent5 30 9 2 4 2" xfId="6957" xr:uid="{CD105DCE-9807-4F46-8783-34863657AA58}"/>
    <cellStyle name="20% - Accent5 30 9 2 5" xfId="6958" xr:uid="{766817B3-7409-4151-8895-5D1F159DA395}"/>
    <cellStyle name="20% - Accent5 30 9 3" xfId="6959" xr:uid="{BBCF646E-6D97-48C2-929D-7AA8E7D2AAF2}"/>
    <cellStyle name="20% - Accent5 30 9 3 2" xfId="6960" xr:uid="{6E19343F-076C-4D78-86D1-9E75EB49428B}"/>
    <cellStyle name="20% - Accent5 30 9 3 2 2" xfId="6961" xr:uid="{69F482C8-3412-4253-8735-0F7181080971}"/>
    <cellStyle name="20% - Accent5 30 9 3 3" xfId="6962" xr:uid="{6F94EEE7-35FB-469B-9B48-A11F0C1AB52B}"/>
    <cellStyle name="20% - Accent5 30 9 4" xfId="6963" xr:uid="{F250C2D1-2DBA-4F16-8C28-6D00E0D6498C}"/>
    <cellStyle name="20% - Accent5 30 9 4 2" xfId="6964" xr:uid="{9BA10A51-27D7-4EDD-A66D-689B820EC2FB}"/>
    <cellStyle name="20% - Accent5 30 9 4 2 2" xfId="6965" xr:uid="{E009B211-E482-4159-BDFA-7B02AB944420}"/>
    <cellStyle name="20% - Accent5 30 9 4 3" xfId="6966" xr:uid="{6486B580-345F-4F68-AA29-8F1AAAF17BB2}"/>
    <cellStyle name="20% - Accent5 30 9 5" xfId="6967" xr:uid="{89E96CFE-2587-4CCA-A14C-85266B8226FA}"/>
    <cellStyle name="20% - Accent5 30 9 5 2" xfId="6968" xr:uid="{0CCE06AA-19A3-4334-B5D2-E357DA7247CC}"/>
    <cellStyle name="20% - Accent5 30 9 6" xfId="6969" xr:uid="{00F1D6A7-AD95-46C3-B53E-DC5C7A91CCA2}"/>
    <cellStyle name="20% - Accent5 31" xfId="6970" xr:uid="{C90422C1-5497-4B18-9829-3317258FF951}"/>
    <cellStyle name="20% - Accent5 31 10" xfId="6971" xr:uid="{9BC30B12-B1B6-4B2B-BEBF-2831F13D5242}"/>
    <cellStyle name="20% - Accent5 31 10 2" xfId="6972" xr:uid="{52680434-C441-4489-93A6-428FE9CE1570}"/>
    <cellStyle name="20% - Accent5 31 10 2 2" xfId="6973" xr:uid="{30AD213D-7D46-4D97-AF0C-216F1924BD8F}"/>
    <cellStyle name="20% - Accent5 31 10 2 2 2" xfId="6974" xr:uid="{DE692513-BD49-4A86-A356-B4DB9724035A}"/>
    <cellStyle name="20% - Accent5 31 10 2 2 2 2" xfId="6975" xr:uid="{0365B71D-4C04-4A1F-AD64-8BB8D99A91B3}"/>
    <cellStyle name="20% - Accent5 31 10 2 2 3" xfId="6976" xr:uid="{FFB09656-A3CD-4837-B51E-D09B5901ED46}"/>
    <cellStyle name="20% - Accent5 31 10 2 3" xfId="6977" xr:uid="{C1A9E04A-191E-488B-9B15-D65B838DE37C}"/>
    <cellStyle name="20% - Accent5 31 10 2 3 2" xfId="6978" xr:uid="{6EC097DE-BFE3-4A5F-8F41-811E2A54618A}"/>
    <cellStyle name="20% - Accent5 31 10 2 3 2 2" xfId="6979" xr:uid="{2759649C-3B2E-4DFA-BFE4-14A9E68B7A5B}"/>
    <cellStyle name="20% - Accent5 31 10 2 3 3" xfId="6980" xr:uid="{971CAC0D-A22F-4BB0-8074-F5715A01AE84}"/>
    <cellStyle name="20% - Accent5 31 10 2 4" xfId="6981" xr:uid="{E084EF92-67E7-418B-B4F1-2C53DBD4296E}"/>
    <cellStyle name="20% - Accent5 31 10 2 4 2" xfId="6982" xr:uid="{D96DB0B3-66A6-4F6E-9FCA-9484B911A2F5}"/>
    <cellStyle name="20% - Accent5 31 10 2 5" xfId="6983" xr:uid="{7FE27B64-CC32-4831-9076-6666E2BC58F0}"/>
    <cellStyle name="20% - Accent5 31 10 3" xfId="6984" xr:uid="{900A4788-8372-4436-A3EE-05B62A2B427C}"/>
    <cellStyle name="20% - Accent5 31 10 3 2" xfId="6985" xr:uid="{AEA732A6-251D-400D-9001-7E9BEC9F66A0}"/>
    <cellStyle name="20% - Accent5 31 10 3 2 2" xfId="6986" xr:uid="{D450D1C9-CA1A-472B-A605-EADC90B902E6}"/>
    <cellStyle name="20% - Accent5 31 10 3 3" xfId="6987" xr:uid="{3CE12432-6F72-4F06-958F-4F4BF72BFD20}"/>
    <cellStyle name="20% - Accent5 31 10 4" xfId="6988" xr:uid="{A1D9E403-DE5D-4ABF-8FCC-8AA5B4DCFA94}"/>
    <cellStyle name="20% - Accent5 31 10 4 2" xfId="6989" xr:uid="{D1E8BB45-69A7-4A61-B191-530F36725ED5}"/>
    <cellStyle name="20% - Accent5 31 10 4 2 2" xfId="6990" xr:uid="{C15E08A1-194E-4B73-8301-6FB3BBF2F56F}"/>
    <cellStyle name="20% - Accent5 31 10 4 3" xfId="6991" xr:uid="{719F06C7-1B13-4251-A12C-F660B3ACD13D}"/>
    <cellStyle name="20% - Accent5 31 10 5" xfId="6992" xr:uid="{5576878B-7F56-4E18-880A-DB9304209591}"/>
    <cellStyle name="20% - Accent5 31 10 5 2" xfId="6993" xr:uid="{1A580EDA-7F55-44AC-9F4F-9E3AE0B0869C}"/>
    <cellStyle name="20% - Accent5 31 10 6" xfId="6994" xr:uid="{86111C4E-FA80-4252-92D4-04B3B900A4DA}"/>
    <cellStyle name="20% - Accent5 31 11" xfId="6995" xr:uid="{3A4C3BEF-0249-4379-A435-58E3FB680F29}"/>
    <cellStyle name="20% - Accent5 31 11 2" xfId="6996" xr:uid="{EAE1ADB9-66DD-4D88-A61D-13CCD253FB6B}"/>
    <cellStyle name="20% - Accent5 31 11 2 2" xfId="6997" xr:uid="{55E25F82-1329-4E91-A4E1-BA10CA439A07}"/>
    <cellStyle name="20% - Accent5 31 11 2 2 2" xfId="6998" xr:uid="{50AF40D9-F98A-46FB-8682-AEE503ACDA10}"/>
    <cellStyle name="20% - Accent5 31 11 2 3" xfId="6999" xr:uid="{B92AC404-18D3-4599-8B49-CF91ABB35A48}"/>
    <cellStyle name="20% - Accent5 31 11 3" xfId="7000" xr:uid="{1923EFBA-C739-4844-A6E3-D4976500CC82}"/>
    <cellStyle name="20% - Accent5 31 11 3 2" xfId="7001" xr:uid="{2A252DF9-B19E-4829-856E-790C16746789}"/>
    <cellStyle name="20% - Accent5 31 11 3 2 2" xfId="7002" xr:uid="{02C822F7-1465-4BB5-9F25-11B5B9429C0B}"/>
    <cellStyle name="20% - Accent5 31 11 3 3" xfId="7003" xr:uid="{A7B64E87-951C-49FB-96DD-F3E59946062B}"/>
    <cellStyle name="20% - Accent5 31 11 4" xfId="7004" xr:uid="{FB457768-3B8A-4220-A602-A858B0BAA92B}"/>
    <cellStyle name="20% - Accent5 31 11 4 2" xfId="7005" xr:uid="{D0055CD1-17C0-49FF-872D-12B256B98992}"/>
    <cellStyle name="20% - Accent5 31 11 5" xfId="7006" xr:uid="{4FF675DE-DB26-4151-8405-6AE25ED7B76C}"/>
    <cellStyle name="20% - Accent5 31 12" xfId="7007" xr:uid="{78A8C2C8-72B7-4463-9CAF-18E94284F1E5}"/>
    <cellStyle name="20% - Accent5 31 12 2" xfId="7008" xr:uid="{346F4267-100E-4B62-BA7F-6419B5AFDE00}"/>
    <cellStyle name="20% - Accent5 31 12 2 2" xfId="7009" xr:uid="{0A722B3C-3954-4AD9-A7DC-2AD84A529398}"/>
    <cellStyle name="20% - Accent5 31 12 3" xfId="7010" xr:uid="{8C730CE6-F58A-4EC4-AF8D-D44FE522C35A}"/>
    <cellStyle name="20% - Accent5 31 13" xfId="7011" xr:uid="{3D564E24-8BA9-4C85-9EF0-A02B364594FA}"/>
    <cellStyle name="20% - Accent5 31 13 2" xfId="7012" xr:uid="{21C394B2-EECC-4324-BEBA-8D887C9285A6}"/>
    <cellStyle name="20% - Accent5 31 13 2 2" xfId="7013" xr:uid="{44EB133F-0903-4C8A-AD48-B13F10F91CD3}"/>
    <cellStyle name="20% - Accent5 31 13 3" xfId="7014" xr:uid="{65A6D048-6923-4367-9066-8AA535CC4421}"/>
    <cellStyle name="20% - Accent5 31 14" xfId="7015" xr:uid="{378A0367-2E04-4A3E-B4EF-E88C0F23313E}"/>
    <cellStyle name="20% - Accent5 31 14 2" xfId="7016" xr:uid="{818133D1-4EB4-4574-BC45-6414BA110326}"/>
    <cellStyle name="20% - Accent5 31 15" xfId="7017" xr:uid="{52A63BF3-6E74-4B24-AD81-281F34113E08}"/>
    <cellStyle name="20% - Accent5 31 16" xfId="36367" xr:uid="{6A5C2064-5E9D-449F-B775-8C3DF518343F}"/>
    <cellStyle name="20% - Accent5 31 2" xfId="7018" xr:uid="{76A010C7-1E9D-4265-B7F4-E731E35BFAF4}"/>
    <cellStyle name="20% - Accent5 31 2 2" xfId="7019" xr:uid="{FDB9169C-9015-4816-B961-414C326A3B3F}"/>
    <cellStyle name="20% - Accent5 31 2 2 2" xfId="7020" xr:uid="{9CD209EF-6752-467C-A62D-855A3E81338A}"/>
    <cellStyle name="20% - Accent5 31 2 2 2 2" xfId="7021" xr:uid="{57225F8B-A937-49F0-AD93-B3CAAC7D60E8}"/>
    <cellStyle name="20% - Accent5 31 2 2 2 2 2" xfId="7022" xr:uid="{F38F8C73-AF20-4C20-B0EB-381661F18317}"/>
    <cellStyle name="20% - Accent5 31 2 2 2 3" xfId="7023" xr:uid="{E385817F-875E-4B03-83CE-32F18664AE1A}"/>
    <cellStyle name="20% - Accent5 31 2 2 3" xfId="7024" xr:uid="{ACBAEDE6-C95B-4366-9B6B-112DDE510694}"/>
    <cellStyle name="20% - Accent5 31 2 2 3 2" xfId="7025" xr:uid="{70F19754-BD38-4250-B14B-2582CF85D471}"/>
    <cellStyle name="20% - Accent5 31 2 2 3 2 2" xfId="7026" xr:uid="{011562F2-1B06-437B-92C1-183228073B93}"/>
    <cellStyle name="20% - Accent5 31 2 2 3 3" xfId="7027" xr:uid="{C7CA9BD2-4403-493A-8353-C7157912DC27}"/>
    <cellStyle name="20% - Accent5 31 2 2 4" xfId="7028" xr:uid="{AB1ED72F-22E9-4AA7-8340-3FE62EB19C1C}"/>
    <cellStyle name="20% - Accent5 31 2 2 4 2" xfId="7029" xr:uid="{E59AD11B-E23E-4A6D-BB68-08DD2BDB8DFB}"/>
    <cellStyle name="20% - Accent5 31 2 2 5" xfId="7030" xr:uid="{36CC7DC0-054E-4434-87B2-EAACE5DB06DD}"/>
    <cellStyle name="20% - Accent5 31 2 3" xfId="7031" xr:uid="{D7967917-54A6-4BB6-9BBB-BA026072FE75}"/>
    <cellStyle name="20% - Accent5 31 2 3 2" xfId="7032" xr:uid="{8654E652-D9FF-4EE2-BCE4-8B6FE96896D5}"/>
    <cellStyle name="20% - Accent5 31 2 3 2 2" xfId="7033" xr:uid="{15582F75-506A-41EC-9B69-D3B359A2A04A}"/>
    <cellStyle name="20% - Accent5 31 2 3 3" xfId="7034" xr:uid="{4200313B-036A-484D-BCF7-62FAEBFEAC3F}"/>
    <cellStyle name="20% - Accent5 31 2 4" xfId="7035" xr:uid="{0FC6F3CD-A54E-496F-A6CC-A063074465C4}"/>
    <cellStyle name="20% - Accent5 31 2 4 2" xfId="7036" xr:uid="{C5A37843-7749-4FB5-9C1C-CA83181D271C}"/>
    <cellStyle name="20% - Accent5 31 2 4 2 2" xfId="7037" xr:uid="{EEE7B2DB-7BAA-4300-95FE-818FA5EF0728}"/>
    <cellStyle name="20% - Accent5 31 2 4 3" xfId="7038" xr:uid="{59C1CD9D-C825-4E15-B75E-6CAB60A1992D}"/>
    <cellStyle name="20% - Accent5 31 2 5" xfId="7039" xr:uid="{5A649A3F-95E2-4BD8-A1FE-D5C1553F1D60}"/>
    <cellStyle name="20% - Accent5 31 2 5 2" xfId="7040" xr:uid="{0B618AAE-8A1A-4D9A-ADC1-999662C36AC4}"/>
    <cellStyle name="20% - Accent5 31 2 6" xfId="7041" xr:uid="{80810DEA-0DBF-48F0-8AD0-300333C2DA76}"/>
    <cellStyle name="20% - Accent5 31 3" xfId="7042" xr:uid="{5B12B856-1A4E-40F4-AD6D-87E571745E7E}"/>
    <cellStyle name="20% - Accent5 31 3 2" xfId="7043" xr:uid="{670A9CB8-9034-4209-A78A-A8F0959300DE}"/>
    <cellStyle name="20% - Accent5 31 3 2 2" xfId="7044" xr:uid="{45335E24-8C7C-4E1C-8352-564248F54A8D}"/>
    <cellStyle name="20% - Accent5 31 3 2 2 2" xfId="7045" xr:uid="{D6A83194-3064-4680-9562-C104361CAC61}"/>
    <cellStyle name="20% - Accent5 31 3 2 2 2 2" xfId="7046" xr:uid="{1469DC30-E24B-4EC4-9F6C-6F3BF6F575FF}"/>
    <cellStyle name="20% - Accent5 31 3 2 2 3" xfId="7047" xr:uid="{8C0126D0-8883-4262-9936-A9A33C0181C0}"/>
    <cellStyle name="20% - Accent5 31 3 2 3" xfId="7048" xr:uid="{309DF828-5275-41D5-A229-DE52D8294135}"/>
    <cellStyle name="20% - Accent5 31 3 2 3 2" xfId="7049" xr:uid="{3C9583FD-378C-49E9-9D20-EFFE2AC3A6B3}"/>
    <cellStyle name="20% - Accent5 31 3 2 3 2 2" xfId="7050" xr:uid="{40F0158A-BBCE-42FD-87ED-9D1005899086}"/>
    <cellStyle name="20% - Accent5 31 3 2 3 3" xfId="7051" xr:uid="{6CCF71A4-3E77-4C80-A4FF-7934256CE110}"/>
    <cellStyle name="20% - Accent5 31 3 2 4" xfId="7052" xr:uid="{97311BE0-0CF8-4BE7-9513-F8717012F493}"/>
    <cellStyle name="20% - Accent5 31 3 2 4 2" xfId="7053" xr:uid="{DFF935D4-3D14-46C9-9F0D-F98ED558E868}"/>
    <cellStyle name="20% - Accent5 31 3 2 5" xfId="7054" xr:uid="{6678C071-F1DA-466D-A9E0-7C4607BACE2E}"/>
    <cellStyle name="20% - Accent5 31 3 3" xfId="7055" xr:uid="{A76AB6F8-4FBF-4FE0-804B-D239B3AFB3AE}"/>
    <cellStyle name="20% - Accent5 31 3 3 2" xfId="7056" xr:uid="{65EC8FD5-FFB3-49E2-8D7E-246FA1FA6C56}"/>
    <cellStyle name="20% - Accent5 31 3 3 2 2" xfId="7057" xr:uid="{E457D4BB-CFB2-47D6-AC05-4DA15277833C}"/>
    <cellStyle name="20% - Accent5 31 3 3 3" xfId="7058" xr:uid="{D7F55162-B346-462A-AD2B-0336E1BBC42E}"/>
    <cellStyle name="20% - Accent5 31 3 4" xfId="7059" xr:uid="{B26AE527-4412-4EE0-86EC-0E7972D6508B}"/>
    <cellStyle name="20% - Accent5 31 3 4 2" xfId="7060" xr:uid="{DA8A2296-E216-4D6F-A546-943F26BC8F21}"/>
    <cellStyle name="20% - Accent5 31 3 4 2 2" xfId="7061" xr:uid="{5EF0231C-F5E7-4877-B21E-5D9B891799B9}"/>
    <cellStyle name="20% - Accent5 31 3 4 3" xfId="7062" xr:uid="{9B98814F-862D-418B-BD17-18878A3AF9F8}"/>
    <cellStyle name="20% - Accent5 31 3 5" xfId="7063" xr:uid="{AB0153BE-DC87-4660-993F-998D5AE4B055}"/>
    <cellStyle name="20% - Accent5 31 3 5 2" xfId="7064" xr:uid="{1F0CC8E1-D8FD-4C5C-ACD9-85A51C00FFB7}"/>
    <cellStyle name="20% - Accent5 31 3 6" xfId="7065" xr:uid="{CC601547-A55E-4428-9851-D863BDC57D76}"/>
    <cellStyle name="20% - Accent5 31 4" xfId="7066" xr:uid="{6DDA9AE0-8F01-4E16-8C64-E52776A63D01}"/>
    <cellStyle name="20% - Accent5 31 4 2" xfId="7067" xr:uid="{17C491DB-33E8-4A61-B327-D95F368E2462}"/>
    <cellStyle name="20% - Accent5 31 4 2 2" xfId="7068" xr:uid="{4F9AF0A6-88F7-4C59-B186-FCCC9AE314BE}"/>
    <cellStyle name="20% - Accent5 31 4 2 2 2" xfId="7069" xr:uid="{C9CFE883-09FD-4580-A894-BA17DB7C2460}"/>
    <cellStyle name="20% - Accent5 31 4 2 2 2 2" xfId="7070" xr:uid="{E21B1A0A-5AC6-44BD-AEE1-E080680DAC22}"/>
    <cellStyle name="20% - Accent5 31 4 2 2 3" xfId="7071" xr:uid="{D5710832-8C04-4BEF-B5A7-9E2958169D62}"/>
    <cellStyle name="20% - Accent5 31 4 2 3" xfId="7072" xr:uid="{CF77444D-F8DB-482A-A703-DB95E09DA2AE}"/>
    <cellStyle name="20% - Accent5 31 4 2 3 2" xfId="7073" xr:uid="{44274BE0-A0FA-48F2-95AB-8FFF55A8A104}"/>
    <cellStyle name="20% - Accent5 31 4 2 3 2 2" xfId="7074" xr:uid="{CF95ECF2-18B9-4589-9BD6-E221C5D33933}"/>
    <cellStyle name="20% - Accent5 31 4 2 3 3" xfId="7075" xr:uid="{B7CCEAD1-32F0-429B-B9B1-9524DD0CFA08}"/>
    <cellStyle name="20% - Accent5 31 4 2 4" xfId="7076" xr:uid="{16D1ED43-6A49-4BF9-9C51-882CEF7CAB9A}"/>
    <cellStyle name="20% - Accent5 31 4 2 4 2" xfId="7077" xr:uid="{F1899087-3C3C-41B1-BEF1-F7352B9249AB}"/>
    <cellStyle name="20% - Accent5 31 4 2 5" xfId="7078" xr:uid="{21C027B1-81FF-4660-8C16-BA1BAA8020C4}"/>
    <cellStyle name="20% - Accent5 31 4 3" xfId="7079" xr:uid="{A7AE7CB0-BACF-4613-9AE4-BF9CAD224629}"/>
    <cellStyle name="20% - Accent5 31 4 3 2" xfId="7080" xr:uid="{35086A63-BF1F-4704-B42A-186A8A9BF00B}"/>
    <cellStyle name="20% - Accent5 31 4 3 2 2" xfId="7081" xr:uid="{D48C3B49-A96D-47F0-A903-34E0F3AFA840}"/>
    <cellStyle name="20% - Accent5 31 4 3 3" xfId="7082" xr:uid="{44A76B84-5803-4999-AE6D-7FA9A427DB9C}"/>
    <cellStyle name="20% - Accent5 31 4 4" xfId="7083" xr:uid="{CD670513-7994-468B-8642-80475FE26D81}"/>
    <cellStyle name="20% - Accent5 31 4 4 2" xfId="7084" xr:uid="{2C57B07F-93B0-431D-973D-65966CE23F29}"/>
    <cellStyle name="20% - Accent5 31 4 4 2 2" xfId="7085" xr:uid="{908CA98F-9805-433B-817F-EA4FEE5B7CDD}"/>
    <cellStyle name="20% - Accent5 31 4 4 3" xfId="7086" xr:uid="{F7448414-CC8C-47F1-8554-A96310C78809}"/>
    <cellStyle name="20% - Accent5 31 4 5" xfId="7087" xr:uid="{172F1719-9BD8-40D3-8BE4-1A616272B52A}"/>
    <cellStyle name="20% - Accent5 31 4 5 2" xfId="7088" xr:uid="{16009782-0BE7-4A45-AF86-7FDA5CDE3B1B}"/>
    <cellStyle name="20% - Accent5 31 4 6" xfId="7089" xr:uid="{5FB18F71-24ED-4317-8268-9E11B0D37438}"/>
    <cellStyle name="20% - Accent5 31 5" xfId="7090" xr:uid="{DBD9914C-31B9-4076-A4D8-DC423A45652C}"/>
    <cellStyle name="20% - Accent5 31 5 2" xfId="7091" xr:uid="{458A6267-4F88-4755-8E7C-B264F40FD730}"/>
    <cellStyle name="20% - Accent5 31 5 2 2" xfId="7092" xr:uid="{67E78491-1B47-4381-BC78-0F4D2413980B}"/>
    <cellStyle name="20% - Accent5 31 5 2 2 2" xfId="7093" xr:uid="{3FAAC318-46A5-46B6-B2C9-D99673DEE7AF}"/>
    <cellStyle name="20% - Accent5 31 5 2 2 2 2" xfId="7094" xr:uid="{9A152E35-085A-4B0B-BDC9-40FA6D384080}"/>
    <cellStyle name="20% - Accent5 31 5 2 2 3" xfId="7095" xr:uid="{5E38A9EF-36F3-4076-99A2-7C95B3874766}"/>
    <cellStyle name="20% - Accent5 31 5 2 3" xfId="7096" xr:uid="{2C832DD3-33F7-4457-94A1-214C9D1F9C28}"/>
    <cellStyle name="20% - Accent5 31 5 2 3 2" xfId="7097" xr:uid="{DF8DAAA1-57CC-4C57-A147-281B433601AE}"/>
    <cellStyle name="20% - Accent5 31 5 2 3 2 2" xfId="7098" xr:uid="{9668B230-D96A-4202-A937-D8DB0D916B3E}"/>
    <cellStyle name="20% - Accent5 31 5 2 3 3" xfId="7099" xr:uid="{D595F540-98E9-49B3-8957-EE4B02501F6F}"/>
    <cellStyle name="20% - Accent5 31 5 2 4" xfId="7100" xr:uid="{2123BDE5-B4A2-4305-B8E8-9E0654B8FE6C}"/>
    <cellStyle name="20% - Accent5 31 5 2 4 2" xfId="7101" xr:uid="{6C98F34A-B444-4207-91E1-D6DD66DEB1C7}"/>
    <cellStyle name="20% - Accent5 31 5 2 5" xfId="7102" xr:uid="{117ADFAD-936B-4BDB-96C5-A184B699EDF9}"/>
    <cellStyle name="20% - Accent5 31 5 3" xfId="7103" xr:uid="{0437887D-761F-4550-84BA-9AEA074C25D5}"/>
    <cellStyle name="20% - Accent5 31 5 3 2" xfId="7104" xr:uid="{1B9FA981-2F59-435A-8E70-C5F1952504EC}"/>
    <cellStyle name="20% - Accent5 31 5 3 2 2" xfId="7105" xr:uid="{3F89376D-41A2-449C-A64E-88EF0C6DAFF5}"/>
    <cellStyle name="20% - Accent5 31 5 3 3" xfId="7106" xr:uid="{F7825106-4430-4CD2-8704-2AE3B1ADE382}"/>
    <cellStyle name="20% - Accent5 31 5 4" xfId="7107" xr:uid="{6E17E77C-937E-4334-AAD6-1BAA571B50A2}"/>
    <cellStyle name="20% - Accent5 31 5 4 2" xfId="7108" xr:uid="{2F5C3646-C09E-4505-9D48-D99793F73BB3}"/>
    <cellStyle name="20% - Accent5 31 5 4 2 2" xfId="7109" xr:uid="{D1A77819-8F1E-4F21-B156-30ABA563CA02}"/>
    <cellStyle name="20% - Accent5 31 5 4 3" xfId="7110" xr:uid="{63B20B2C-BDB2-49FC-98F4-DC2800C9A5BD}"/>
    <cellStyle name="20% - Accent5 31 5 5" xfId="7111" xr:uid="{28FA7C6A-7215-4FCA-A004-007C8D69B7BC}"/>
    <cellStyle name="20% - Accent5 31 5 5 2" xfId="7112" xr:uid="{DF49C864-FC36-478E-AE01-EF205238791C}"/>
    <cellStyle name="20% - Accent5 31 5 6" xfId="7113" xr:uid="{4A5F8F44-BEB5-4B22-A998-E40D7D24954B}"/>
    <cellStyle name="20% - Accent5 31 6" xfId="7114" xr:uid="{ABF75318-A876-477D-9B2E-354A29341388}"/>
    <cellStyle name="20% - Accent5 31 6 2" xfId="7115" xr:uid="{88DF3E09-078F-4DD2-84F1-388DD9AB89E5}"/>
    <cellStyle name="20% - Accent5 31 6 2 2" xfId="7116" xr:uid="{421112F6-6B4B-4D03-894C-1FCB8938D8B4}"/>
    <cellStyle name="20% - Accent5 31 6 2 2 2" xfId="7117" xr:uid="{70F2C33A-9230-4A92-8EC9-D6FB3888C400}"/>
    <cellStyle name="20% - Accent5 31 6 2 2 2 2" xfId="7118" xr:uid="{7FD812F7-0285-4D74-AE63-ED23AC381CFD}"/>
    <cellStyle name="20% - Accent5 31 6 2 2 3" xfId="7119" xr:uid="{6358F3D4-40BB-4E91-BC28-B1D964F15BAB}"/>
    <cellStyle name="20% - Accent5 31 6 2 3" xfId="7120" xr:uid="{239FE26F-8895-4DCA-8F38-0B8AFB26AB59}"/>
    <cellStyle name="20% - Accent5 31 6 2 3 2" xfId="7121" xr:uid="{E48A03C3-DEA4-4C8F-9C55-9EECBF40824A}"/>
    <cellStyle name="20% - Accent5 31 6 2 3 2 2" xfId="7122" xr:uid="{6A41DB1E-B65A-47C9-9BCA-151ED600436A}"/>
    <cellStyle name="20% - Accent5 31 6 2 3 3" xfId="7123" xr:uid="{00B8B246-1616-46C9-B2BC-16D254766C0F}"/>
    <cellStyle name="20% - Accent5 31 6 2 4" xfId="7124" xr:uid="{8B1280BF-7D4E-4E8A-8D89-E5CADA017BA9}"/>
    <cellStyle name="20% - Accent5 31 6 2 4 2" xfId="7125" xr:uid="{DD25BB4D-3D43-4D7F-A34A-76D886DBFBCE}"/>
    <cellStyle name="20% - Accent5 31 6 2 5" xfId="7126" xr:uid="{579C52F5-0F17-4B40-8E8B-C315DCE57E7A}"/>
    <cellStyle name="20% - Accent5 31 6 3" xfId="7127" xr:uid="{CF5883BE-02A2-4101-9A96-ADDCD3526F6D}"/>
    <cellStyle name="20% - Accent5 31 6 3 2" xfId="7128" xr:uid="{A2D3C63D-4231-4FE7-8DE0-38BACF26BABE}"/>
    <cellStyle name="20% - Accent5 31 6 3 2 2" xfId="7129" xr:uid="{75407E3B-854F-4FDB-901C-74905010299F}"/>
    <cellStyle name="20% - Accent5 31 6 3 3" xfId="7130" xr:uid="{334A6B98-B375-4BDF-B7C3-99E5BD563FE3}"/>
    <cellStyle name="20% - Accent5 31 6 4" xfId="7131" xr:uid="{8F46B200-9CAB-4F0D-9527-63FA25E1FB19}"/>
    <cellStyle name="20% - Accent5 31 6 4 2" xfId="7132" xr:uid="{3C15604F-2F45-46D5-B652-495FE0472AF5}"/>
    <cellStyle name="20% - Accent5 31 6 4 2 2" xfId="7133" xr:uid="{E84F3C28-60B2-4E43-B11E-253151954E4C}"/>
    <cellStyle name="20% - Accent5 31 6 4 3" xfId="7134" xr:uid="{FB8967DA-BCF3-4102-AD41-3CCEF42B7627}"/>
    <cellStyle name="20% - Accent5 31 6 5" xfId="7135" xr:uid="{9437BC49-F77A-45E0-8364-0FAD230FF140}"/>
    <cellStyle name="20% - Accent5 31 6 5 2" xfId="7136" xr:uid="{F526220B-2DAC-4A29-8E35-D24DB4607FA6}"/>
    <cellStyle name="20% - Accent5 31 6 6" xfId="7137" xr:uid="{D58331A5-F7C2-4F57-A31E-805448F00556}"/>
    <cellStyle name="20% - Accent5 31 7" xfId="7138" xr:uid="{DBC2A67C-25F7-4AD3-8F5E-454627547D33}"/>
    <cellStyle name="20% - Accent5 31 7 2" xfId="7139" xr:uid="{461391E7-A909-4DC7-9F37-7FD85F87F8AB}"/>
    <cellStyle name="20% - Accent5 31 7 2 2" xfId="7140" xr:uid="{794747DF-C305-4F4C-BEB6-5E068C43629D}"/>
    <cellStyle name="20% - Accent5 31 7 2 2 2" xfId="7141" xr:uid="{D061EE70-79A6-4813-A219-1AE961E2DCD0}"/>
    <cellStyle name="20% - Accent5 31 7 2 2 2 2" xfId="7142" xr:uid="{E96C847C-BE1F-486A-8DA9-6CEAAC2C1DF5}"/>
    <cellStyle name="20% - Accent5 31 7 2 2 3" xfId="7143" xr:uid="{9CF2F32E-C8BD-4682-987E-A387F0830C36}"/>
    <cellStyle name="20% - Accent5 31 7 2 3" xfId="7144" xr:uid="{AF02CC6A-5060-49E7-B789-7E881FF7A774}"/>
    <cellStyle name="20% - Accent5 31 7 2 3 2" xfId="7145" xr:uid="{808FFC6D-A005-404A-BD78-7FA4E3153919}"/>
    <cellStyle name="20% - Accent5 31 7 2 3 2 2" xfId="7146" xr:uid="{E33C6C2D-07CF-44D9-BDBA-BE3E8F32F4B1}"/>
    <cellStyle name="20% - Accent5 31 7 2 3 3" xfId="7147" xr:uid="{A364B379-3609-40B4-9785-6E10C1A70751}"/>
    <cellStyle name="20% - Accent5 31 7 2 4" xfId="7148" xr:uid="{CFD9EFCD-6BA3-424D-86A1-0805D6FF416E}"/>
    <cellStyle name="20% - Accent5 31 7 2 4 2" xfId="7149" xr:uid="{7FC49111-0BDE-4F57-95C8-832DEE98C78E}"/>
    <cellStyle name="20% - Accent5 31 7 2 5" xfId="7150" xr:uid="{FC608DDE-8048-43CE-901A-853EF49133C6}"/>
    <cellStyle name="20% - Accent5 31 7 3" xfId="7151" xr:uid="{3C89016A-3349-4FEA-86D5-6FF5494DAC8E}"/>
    <cellStyle name="20% - Accent5 31 7 3 2" xfId="7152" xr:uid="{D8599C97-FA0A-4DDC-8948-814291CF873E}"/>
    <cellStyle name="20% - Accent5 31 7 3 2 2" xfId="7153" xr:uid="{F53C9192-EC97-4021-9E51-31C6D7CAA41C}"/>
    <cellStyle name="20% - Accent5 31 7 3 3" xfId="7154" xr:uid="{DBA950F1-CD7E-41A4-B6A5-C61257396228}"/>
    <cellStyle name="20% - Accent5 31 7 4" xfId="7155" xr:uid="{7703A2BB-9920-4D17-AA59-9A49D3D20366}"/>
    <cellStyle name="20% - Accent5 31 7 4 2" xfId="7156" xr:uid="{B2FC4DE5-2D82-48E2-B2A9-06A2B66F5D85}"/>
    <cellStyle name="20% - Accent5 31 7 4 2 2" xfId="7157" xr:uid="{8BA87415-98F7-4FD1-AA46-073139DEA459}"/>
    <cellStyle name="20% - Accent5 31 7 4 3" xfId="7158" xr:uid="{03E27211-AF51-4E2E-AFCC-EAA573B7EAE4}"/>
    <cellStyle name="20% - Accent5 31 7 5" xfId="7159" xr:uid="{653AD149-4BCA-4800-8AFF-33D0744C75C0}"/>
    <cellStyle name="20% - Accent5 31 7 5 2" xfId="7160" xr:uid="{48B122A4-2EFE-4EEE-8CF5-9E221428E7FA}"/>
    <cellStyle name="20% - Accent5 31 7 6" xfId="7161" xr:uid="{89B335DD-992F-4C02-BB5D-F2FE2F38A8D1}"/>
    <cellStyle name="20% - Accent5 31 8" xfId="7162" xr:uid="{DED4C596-A2C7-4694-AFC8-2950EA975450}"/>
    <cellStyle name="20% - Accent5 31 8 2" xfId="7163" xr:uid="{664B94CA-B5D0-40A4-B6E8-C4FF05880B64}"/>
    <cellStyle name="20% - Accent5 31 8 2 2" xfId="7164" xr:uid="{898B8F6A-8166-4168-BAD5-27A7FACC7A21}"/>
    <cellStyle name="20% - Accent5 31 8 2 2 2" xfId="7165" xr:uid="{D91114BA-84CE-411C-A9A9-6802F9331753}"/>
    <cellStyle name="20% - Accent5 31 8 2 2 2 2" xfId="7166" xr:uid="{9A9974CE-A3C4-4A49-9AE1-48D4A305DBF9}"/>
    <cellStyle name="20% - Accent5 31 8 2 2 3" xfId="7167" xr:uid="{0EC23837-2EEE-45D1-8139-9AAB3A66B229}"/>
    <cellStyle name="20% - Accent5 31 8 2 3" xfId="7168" xr:uid="{9FEFF7AE-265D-4B8E-B0A8-07261B5E485A}"/>
    <cellStyle name="20% - Accent5 31 8 2 3 2" xfId="7169" xr:uid="{4E1A3420-A654-444C-86C4-A0586F134199}"/>
    <cellStyle name="20% - Accent5 31 8 2 3 2 2" xfId="7170" xr:uid="{D3456C87-4DAE-4F0F-B2AB-A92E95C39C8A}"/>
    <cellStyle name="20% - Accent5 31 8 2 3 3" xfId="7171" xr:uid="{3F5A7C1D-0B3B-4619-8C26-FFF9CE579AA1}"/>
    <cellStyle name="20% - Accent5 31 8 2 4" xfId="7172" xr:uid="{48A0E24D-A60D-4B04-9E70-6A9D8A534385}"/>
    <cellStyle name="20% - Accent5 31 8 2 4 2" xfId="7173" xr:uid="{BB2760CB-1F5D-4355-B6C4-4EFF9775019B}"/>
    <cellStyle name="20% - Accent5 31 8 2 5" xfId="7174" xr:uid="{3F8EAAB5-19EA-47FF-B703-D318B9F05979}"/>
    <cellStyle name="20% - Accent5 31 8 3" xfId="7175" xr:uid="{683A6FC5-6420-406E-9134-311E19656028}"/>
    <cellStyle name="20% - Accent5 31 8 3 2" xfId="7176" xr:uid="{B42A44C9-7954-40DA-9169-923715B7A73C}"/>
    <cellStyle name="20% - Accent5 31 8 3 2 2" xfId="7177" xr:uid="{C65FF24B-9228-4F91-82F1-B5D416A88894}"/>
    <cellStyle name="20% - Accent5 31 8 3 3" xfId="7178" xr:uid="{BB04A8D9-E5F7-455D-BF96-C167E98D9300}"/>
    <cellStyle name="20% - Accent5 31 8 4" xfId="7179" xr:uid="{761B8575-B9B4-481C-BE66-B23F3E86242F}"/>
    <cellStyle name="20% - Accent5 31 8 4 2" xfId="7180" xr:uid="{806626EC-10A5-42B3-9124-A2E9F4333AC0}"/>
    <cellStyle name="20% - Accent5 31 8 4 2 2" xfId="7181" xr:uid="{0A015595-76E7-49F6-B610-9C928D7EF092}"/>
    <cellStyle name="20% - Accent5 31 8 4 3" xfId="7182" xr:uid="{EB19DDE8-3090-4FEA-BE85-E0EA80F2A807}"/>
    <cellStyle name="20% - Accent5 31 8 5" xfId="7183" xr:uid="{373623EC-859B-4D08-A824-4E4B9672ABFE}"/>
    <cellStyle name="20% - Accent5 31 8 5 2" xfId="7184" xr:uid="{88320BE1-AB34-4907-89CE-EB1F3D52560A}"/>
    <cellStyle name="20% - Accent5 31 8 6" xfId="7185" xr:uid="{D6E07DD1-A20A-4499-8F27-50A687B2953A}"/>
    <cellStyle name="20% - Accent5 31 9" xfId="7186" xr:uid="{9DD5D443-DDF4-46F6-A75C-4E044D06C91F}"/>
    <cellStyle name="20% - Accent5 31 9 2" xfId="7187" xr:uid="{BEA55080-3BDE-4DE7-BAAC-A35CBC4E4477}"/>
    <cellStyle name="20% - Accent5 31 9 2 2" xfId="7188" xr:uid="{E8B5A64C-196F-437D-A1DF-8F74843FB05A}"/>
    <cellStyle name="20% - Accent5 31 9 2 2 2" xfId="7189" xr:uid="{B32C53BE-DE16-4E16-B3CE-03E7538A5EE9}"/>
    <cellStyle name="20% - Accent5 31 9 2 2 2 2" xfId="7190" xr:uid="{E81FA8B7-129B-4C34-9713-0950190FAF10}"/>
    <cellStyle name="20% - Accent5 31 9 2 2 3" xfId="7191" xr:uid="{F6A58EF4-A10F-45B5-8A44-FEB652252497}"/>
    <cellStyle name="20% - Accent5 31 9 2 3" xfId="7192" xr:uid="{EFBB1F31-E21B-4CB7-B267-F76BB7DEC07F}"/>
    <cellStyle name="20% - Accent5 31 9 2 3 2" xfId="7193" xr:uid="{666C5D29-D5A4-42BC-819C-263BE2F05EF5}"/>
    <cellStyle name="20% - Accent5 31 9 2 3 2 2" xfId="7194" xr:uid="{1303DF1E-2D6D-4EBE-8EA4-B14A26387BCF}"/>
    <cellStyle name="20% - Accent5 31 9 2 3 3" xfId="7195" xr:uid="{E591748C-90D9-4882-8A71-18C0155292D1}"/>
    <cellStyle name="20% - Accent5 31 9 2 4" xfId="7196" xr:uid="{EA58F02E-F89D-4A40-9C4D-8F0FD9EEF840}"/>
    <cellStyle name="20% - Accent5 31 9 2 4 2" xfId="7197" xr:uid="{6A7768B0-283A-43D7-A9F9-DA0D94A56FBB}"/>
    <cellStyle name="20% - Accent5 31 9 2 5" xfId="7198" xr:uid="{DAE0D95E-B712-48CC-BF09-0BCEBB73A92A}"/>
    <cellStyle name="20% - Accent5 31 9 3" xfId="7199" xr:uid="{05673A10-B081-4EDA-8F8C-C23B806538A0}"/>
    <cellStyle name="20% - Accent5 31 9 3 2" xfId="7200" xr:uid="{F5913E56-EFB0-467B-AE25-186ED5C511D1}"/>
    <cellStyle name="20% - Accent5 31 9 3 2 2" xfId="7201" xr:uid="{3860A1F2-2BD0-4433-A69F-81C2305E888E}"/>
    <cellStyle name="20% - Accent5 31 9 3 3" xfId="7202" xr:uid="{19B827D7-E403-4812-8122-6A13E1D04464}"/>
    <cellStyle name="20% - Accent5 31 9 4" xfId="7203" xr:uid="{B66E8C7B-1D6B-424C-900B-A258F3450249}"/>
    <cellStyle name="20% - Accent5 31 9 4 2" xfId="7204" xr:uid="{5B714E58-D3AD-432E-B250-9E69CFC212CB}"/>
    <cellStyle name="20% - Accent5 31 9 4 2 2" xfId="7205" xr:uid="{1AB8E6D4-1DB4-44DC-B755-D291E2E1BDDC}"/>
    <cellStyle name="20% - Accent5 31 9 4 3" xfId="7206" xr:uid="{68D54C40-22BF-4788-B9DA-D4C46ABAECAE}"/>
    <cellStyle name="20% - Accent5 31 9 5" xfId="7207" xr:uid="{B10E3CB2-67FD-4C19-802F-39C718DAD47C}"/>
    <cellStyle name="20% - Accent5 31 9 5 2" xfId="7208" xr:uid="{487F4E52-0B56-40BB-B4D9-22C557628E55}"/>
    <cellStyle name="20% - Accent5 31 9 6" xfId="7209" xr:uid="{304E1408-717F-49A7-A181-B814E9C380C5}"/>
    <cellStyle name="20% - Accent5 32" xfId="7210" xr:uid="{7DA96096-9DCE-44D1-B99C-670BBB36E19D}"/>
    <cellStyle name="20% - Accent5 32 2" xfId="7211" xr:uid="{3C36AFBA-9A26-4728-A71B-8273A34B4110}"/>
    <cellStyle name="20% - Accent5 32 2 2" xfId="7212" xr:uid="{E59A98D2-2031-4377-A798-612A1B811DA1}"/>
    <cellStyle name="20% - Accent5 32 2 2 2" xfId="7213" xr:uid="{B27406FA-66A5-4DC3-B2F2-715C56DF07A4}"/>
    <cellStyle name="20% - Accent5 32 2 2 2 2" xfId="7214" xr:uid="{DEEAE176-F622-43FD-9B51-535F3B11A9C8}"/>
    <cellStyle name="20% - Accent5 32 2 2 3" xfId="7215" xr:uid="{2A48C993-CBF5-4EA7-84E2-6D8460A29E96}"/>
    <cellStyle name="20% - Accent5 32 2 3" xfId="7216" xr:uid="{41EA7501-124B-4CD1-9CB4-CAA58C7C0965}"/>
    <cellStyle name="20% - Accent5 32 2 3 2" xfId="7217" xr:uid="{7D3410AC-280E-4570-A5BA-95BE2B4BDEBA}"/>
    <cellStyle name="20% - Accent5 32 2 3 2 2" xfId="7218" xr:uid="{A179B3F5-93DE-48E4-8EA3-552A6359058A}"/>
    <cellStyle name="20% - Accent5 32 2 3 3" xfId="7219" xr:uid="{FB095C14-95C0-4D1B-9903-6A43C9E472AB}"/>
    <cellStyle name="20% - Accent5 32 2 4" xfId="7220" xr:uid="{37E35C70-B84F-4C4E-913B-3EDAD1E85F38}"/>
    <cellStyle name="20% - Accent5 32 2 4 2" xfId="7221" xr:uid="{9A2905A7-99C8-433C-BC14-C47F752AB4BF}"/>
    <cellStyle name="20% - Accent5 32 2 5" xfId="7222" xr:uid="{5E276686-7C69-4525-8167-F9D61DCE6254}"/>
    <cellStyle name="20% - Accent5 32 3" xfId="7223" xr:uid="{4BE26DCC-8450-4664-9AFF-A54082012F08}"/>
    <cellStyle name="20% - Accent5 32 3 2" xfId="7224" xr:uid="{70625313-0E1A-475A-95F8-870865F67A08}"/>
    <cellStyle name="20% - Accent5 32 3 2 2" xfId="7225" xr:uid="{0908C280-C497-4F50-B581-AED5305563E0}"/>
    <cellStyle name="20% - Accent5 32 3 3" xfId="7226" xr:uid="{F5C63051-E539-4490-A59D-6FA0B1C26FBD}"/>
    <cellStyle name="20% - Accent5 32 4" xfId="7227" xr:uid="{1EDD3F90-196F-484E-A342-6070B4DB35AD}"/>
    <cellStyle name="20% - Accent5 32 4 2" xfId="7228" xr:uid="{0BB293A7-E344-4DAD-AC3B-5CBDA60D7E93}"/>
    <cellStyle name="20% - Accent5 32 4 2 2" xfId="7229" xr:uid="{55E8CC8D-02D5-47C7-B0BA-2C61A671EF7C}"/>
    <cellStyle name="20% - Accent5 32 4 3" xfId="7230" xr:uid="{F760ECE5-C181-4112-A28D-32324F1013B6}"/>
    <cellStyle name="20% - Accent5 32 5" xfId="7231" xr:uid="{302DC016-8869-499A-87E1-7BB7DD510E6A}"/>
    <cellStyle name="20% - Accent5 32 5 2" xfId="7232" xr:uid="{251C1FF1-D18F-48D2-A0F4-F35ECA80839D}"/>
    <cellStyle name="20% - Accent5 32 6" xfId="7233" xr:uid="{3E7A241A-3386-48D0-B82C-A47EE2A8B9BC}"/>
    <cellStyle name="20% - Accent5 32 7" xfId="36368" xr:uid="{FD4D5359-C9B6-4810-ACBD-917008E6434D}"/>
    <cellStyle name="20% - Accent5 33" xfId="7234" xr:uid="{42A1FBAC-02A9-4259-B43E-6A5C69028D1A}"/>
    <cellStyle name="20% - Accent5 33 2" xfId="7235" xr:uid="{22720863-170D-4C77-B122-496B6E719FAB}"/>
    <cellStyle name="20% - Accent5 33 2 2" xfId="7236" xr:uid="{BA7937AF-3109-45D4-B33A-4E91E790F83A}"/>
    <cellStyle name="20% - Accent5 33 2 2 2" xfId="7237" xr:uid="{C8EEBEA9-03C8-4711-A6C7-F34AF6A907B3}"/>
    <cellStyle name="20% - Accent5 33 2 2 2 2" xfId="7238" xr:uid="{46F2CD8B-6FB8-47B4-92BF-B13472EB2268}"/>
    <cellStyle name="20% - Accent5 33 2 2 3" xfId="7239" xr:uid="{52AC67BE-116C-4157-810B-9AE1CA74DD0E}"/>
    <cellStyle name="20% - Accent5 33 2 3" xfId="7240" xr:uid="{78B9CE00-29A0-4F27-9982-A54EDD1FF50B}"/>
    <cellStyle name="20% - Accent5 33 2 3 2" xfId="7241" xr:uid="{87E8DEDD-E623-40C8-813C-3EBF7E1E26F3}"/>
    <cellStyle name="20% - Accent5 33 2 3 2 2" xfId="7242" xr:uid="{2842D765-0DC3-443F-B120-2E696F707F1F}"/>
    <cellStyle name="20% - Accent5 33 2 3 3" xfId="7243" xr:uid="{D6A7DC1A-36F3-4BBB-9A95-978F5C2667F4}"/>
    <cellStyle name="20% - Accent5 33 2 4" xfId="7244" xr:uid="{20FCF810-3048-4F0C-B580-5163D23C4C2C}"/>
    <cellStyle name="20% - Accent5 33 2 4 2" xfId="7245" xr:uid="{F22399CA-C98C-46BD-8C25-C9633F6F3FCC}"/>
    <cellStyle name="20% - Accent5 33 2 5" xfId="7246" xr:uid="{4C4EB101-61B3-42C5-9BBC-0590B12F6152}"/>
    <cellStyle name="20% - Accent5 33 3" xfId="7247" xr:uid="{213A5D3F-5F99-4BDB-89BB-79723B83BEAD}"/>
    <cellStyle name="20% - Accent5 33 3 2" xfId="7248" xr:uid="{E79AAEDD-0674-4ED4-A0F3-DCFD2BAE323B}"/>
    <cellStyle name="20% - Accent5 33 3 2 2" xfId="7249" xr:uid="{374CCE9F-D9BE-4225-BED3-73139193C323}"/>
    <cellStyle name="20% - Accent5 33 3 3" xfId="7250" xr:uid="{1C44F902-BBFD-412D-A000-7D212E5B09EA}"/>
    <cellStyle name="20% - Accent5 33 4" xfId="7251" xr:uid="{D48382FC-4A3F-4A2C-87FC-BFC85EC3D635}"/>
    <cellStyle name="20% - Accent5 33 4 2" xfId="7252" xr:uid="{5EBE6373-35A7-43E5-84FE-80DDA51F49EE}"/>
    <cellStyle name="20% - Accent5 33 4 2 2" xfId="7253" xr:uid="{FDBC78BE-2D2B-4889-A1D8-396C1D32B457}"/>
    <cellStyle name="20% - Accent5 33 4 3" xfId="7254" xr:uid="{8AA53A67-1CAB-4065-8E25-B7BD35496FEB}"/>
    <cellStyle name="20% - Accent5 33 5" xfId="7255" xr:uid="{EB4DD4C6-D3D5-48FE-82EF-59FDB2D219E7}"/>
    <cellStyle name="20% - Accent5 33 5 2" xfId="7256" xr:uid="{2D250A74-E59A-48F6-BABD-521B0E031A47}"/>
    <cellStyle name="20% - Accent5 33 6" xfId="36369" xr:uid="{43D74A19-7D22-40BA-8FE8-C9993D342483}"/>
    <cellStyle name="20% - Accent5 34" xfId="7257" xr:uid="{01991DCA-75C8-423B-912D-7493BC75D92D}"/>
    <cellStyle name="20% - Accent5 34 2" xfId="7258" xr:uid="{06F49421-5593-49DC-88B9-F734FA5216A9}"/>
    <cellStyle name="20% - Accent5 34 2 2" xfId="7259" xr:uid="{C59DDA40-0F01-4398-A9DA-8127EE38A640}"/>
    <cellStyle name="20% - Accent5 34 2 2 2" xfId="7260" xr:uid="{AA1F1529-6471-4C6D-AEF9-97DDD6E0370D}"/>
    <cellStyle name="20% - Accent5 34 2 2 2 2" xfId="7261" xr:uid="{2C17D06E-9251-4472-AEDF-3A04F54B3078}"/>
    <cellStyle name="20% - Accent5 34 2 2 3" xfId="7262" xr:uid="{B0C4C496-4BB6-44E2-8AEC-F682CB05AB14}"/>
    <cellStyle name="20% - Accent5 34 2 3" xfId="7263" xr:uid="{EE372227-1A37-4192-968D-A74463CE0170}"/>
    <cellStyle name="20% - Accent5 34 2 3 2" xfId="7264" xr:uid="{9779A579-E0C0-4C3F-A5F4-BB0C079B20B3}"/>
    <cellStyle name="20% - Accent5 34 2 3 2 2" xfId="7265" xr:uid="{9E7F4FBE-7F6B-4393-A272-5798C88B72E9}"/>
    <cellStyle name="20% - Accent5 34 2 3 3" xfId="7266" xr:uid="{308FE755-CB5E-4A7B-8923-F50394430B92}"/>
    <cellStyle name="20% - Accent5 34 2 4" xfId="7267" xr:uid="{AAC2D025-7D9F-43D6-AE84-FA6FA58F854E}"/>
    <cellStyle name="20% - Accent5 34 2 4 2" xfId="7268" xr:uid="{F2DE5458-A7CD-4A80-BF56-025ED2DCD8E1}"/>
    <cellStyle name="20% - Accent5 34 2 5" xfId="7269" xr:uid="{A10BAA9D-A4D9-4A68-9E52-F21E9C77F9B2}"/>
    <cellStyle name="20% - Accent5 34 3" xfId="7270" xr:uid="{2582A09B-82A2-438C-A01E-94463A29CC1E}"/>
    <cellStyle name="20% - Accent5 34 3 2" xfId="7271" xr:uid="{ED340CFC-6805-49FF-B724-DE9DFFE51899}"/>
    <cellStyle name="20% - Accent5 34 3 2 2" xfId="7272" xr:uid="{246C028F-4683-42F4-B757-181AE48619FA}"/>
    <cellStyle name="20% - Accent5 34 3 3" xfId="7273" xr:uid="{29EE160C-9462-416C-9691-86783E00C49D}"/>
    <cellStyle name="20% - Accent5 34 4" xfId="7274" xr:uid="{FC69659B-7264-4A20-8380-A863229914D9}"/>
    <cellStyle name="20% - Accent5 34 4 2" xfId="7275" xr:uid="{686F2B33-0753-4472-95CA-707884EA2630}"/>
    <cellStyle name="20% - Accent5 34 4 2 2" xfId="7276" xr:uid="{981B4B18-D174-42B6-AF0A-7F9F0641D545}"/>
    <cellStyle name="20% - Accent5 34 4 3" xfId="7277" xr:uid="{561DD549-4B31-4B59-B507-27D1A97B2B77}"/>
    <cellStyle name="20% - Accent5 34 5" xfId="7278" xr:uid="{990EECD5-B30E-4219-858B-ADDEE24F7FE9}"/>
    <cellStyle name="20% - Accent5 34 5 2" xfId="7279" xr:uid="{839F8E49-4734-4C83-960C-FCEE2398A547}"/>
    <cellStyle name="20% - Accent5 34 6" xfId="36370" xr:uid="{F72D2B35-3180-40C8-973D-382EDD34C3A2}"/>
    <cellStyle name="20% - Accent5 35" xfId="7280" xr:uid="{C5885F5A-E611-4B25-BC81-13C494A7D0FA}"/>
    <cellStyle name="20% - Accent5 35 2" xfId="7281" xr:uid="{279AF2BC-38C9-4212-8CFE-A40E0885F6A5}"/>
    <cellStyle name="20% - Accent5 35 2 2" xfId="7282" xr:uid="{EAFA67A5-19F2-4CDC-9BAE-A1F729323397}"/>
    <cellStyle name="20% - Accent5 35 2 2 2" xfId="7283" xr:uid="{69C7A6F4-6FF6-4B0B-A6EB-7CB5EF81225D}"/>
    <cellStyle name="20% - Accent5 35 2 2 2 2" xfId="7284" xr:uid="{DA198CE8-9AC9-4351-8E7D-A6EFAD5D69AD}"/>
    <cellStyle name="20% - Accent5 35 2 2 3" xfId="7285" xr:uid="{880ADC70-A188-42D6-B2A2-036F7C1811BB}"/>
    <cellStyle name="20% - Accent5 35 2 3" xfId="7286" xr:uid="{D4832F10-1822-42B7-A1B6-DE172959CA70}"/>
    <cellStyle name="20% - Accent5 35 2 3 2" xfId="7287" xr:uid="{7AC73B24-8D70-4F22-8661-B5A8DF9249C7}"/>
    <cellStyle name="20% - Accent5 35 2 3 2 2" xfId="7288" xr:uid="{98D52F10-237D-4790-AEFC-F616394D585F}"/>
    <cellStyle name="20% - Accent5 35 2 3 3" xfId="7289" xr:uid="{AEF575A9-3732-4F3D-94DF-F70699FF26E3}"/>
    <cellStyle name="20% - Accent5 35 2 4" xfId="7290" xr:uid="{5B70CAE6-3B7C-471F-90B6-0E24E3ACA239}"/>
    <cellStyle name="20% - Accent5 35 2 4 2" xfId="7291" xr:uid="{1C51EC33-7D1C-40BB-A6A2-40D533DC1185}"/>
    <cellStyle name="20% - Accent5 35 2 5" xfId="7292" xr:uid="{3EF007B8-FEF1-4B69-A227-1BFEC4C65D15}"/>
    <cellStyle name="20% - Accent5 35 3" xfId="7293" xr:uid="{1E2365E8-E690-4034-AF9E-FF803C4C08A6}"/>
    <cellStyle name="20% - Accent5 35 3 2" xfId="7294" xr:uid="{ABBCF514-A1A1-472A-BDBF-0473B847D364}"/>
    <cellStyle name="20% - Accent5 35 3 2 2" xfId="7295" xr:uid="{51D555FC-CDB4-4C94-80E3-50EB13CDBBAA}"/>
    <cellStyle name="20% - Accent5 35 3 3" xfId="7296" xr:uid="{86B1DE7A-7782-4EB4-9993-9F0573E39159}"/>
    <cellStyle name="20% - Accent5 35 4" xfId="7297" xr:uid="{B02B83EA-40E1-4024-819F-E52A2A6E633D}"/>
    <cellStyle name="20% - Accent5 35 4 2" xfId="7298" xr:uid="{DFCF152E-7DD8-436D-991A-3A969ADFBE95}"/>
    <cellStyle name="20% - Accent5 35 4 2 2" xfId="7299" xr:uid="{10959DBF-4EDB-4FC2-BEBA-35FB8D2DED79}"/>
    <cellStyle name="20% - Accent5 35 4 3" xfId="7300" xr:uid="{16F8C6D1-98DD-40C6-8840-DB5BA6F56360}"/>
    <cellStyle name="20% - Accent5 35 5" xfId="7301" xr:uid="{31E97D45-2EE3-4C18-89E2-13E9488F4EB3}"/>
    <cellStyle name="20% - Accent5 35 5 2" xfId="7302" xr:uid="{18E75EC5-927B-4FD9-A013-B120868BD29C}"/>
    <cellStyle name="20% - Accent5 35 6" xfId="36371" xr:uid="{AF611ED5-2818-456C-8ADF-FBEEFFA29AA2}"/>
    <cellStyle name="20% - Accent5 36" xfId="7303" xr:uid="{B6AB220B-2065-497A-9C3E-7DA5B7409A5A}"/>
    <cellStyle name="20% - Accent5 36 2" xfId="7304" xr:uid="{90F47A7F-69DA-4353-BB9C-92DF6E680E3D}"/>
    <cellStyle name="20% - Accent5 36 2 2" xfId="7305" xr:uid="{4BE4BE0D-7DB2-480E-8E77-1C56E5166B0A}"/>
    <cellStyle name="20% - Accent5 36 2 2 2" xfId="7306" xr:uid="{B00AE984-9D31-40B8-86E2-6BF55FA56EB2}"/>
    <cellStyle name="20% - Accent5 36 2 2 2 2" xfId="7307" xr:uid="{FBA48F51-CF9B-4323-8B8F-8CCF4B6B1590}"/>
    <cellStyle name="20% - Accent5 36 2 2 3" xfId="7308" xr:uid="{6862298F-540F-416A-B720-75F0BF1B563E}"/>
    <cellStyle name="20% - Accent5 36 2 3" xfId="7309" xr:uid="{2F2444BB-A364-4DF2-972F-13CE6FF3564B}"/>
    <cellStyle name="20% - Accent5 36 2 3 2" xfId="7310" xr:uid="{7F43E793-0292-4E19-9AC4-F669F508D9E3}"/>
    <cellStyle name="20% - Accent5 36 2 3 2 2" xfId="7311" xr:uid="{ABD3EF65-60D4-4C0C-9065-7E081043C03C}"/>
    <cellStyle name="20% - Accent5 36 2 3 3" xfId="7312" xr:uid="{28BF6562-01FE-4D27-9CEC-F588D2032330}"/>
    <cellStyle name="20% - Accent5 36 2 4" xfId="7313" xr:uid="{232A2CB0-5C29-4571-BFDA-503950894A20}"/>
    <cellStyle name="20% - Accent5 36 2 4 2" xfId="7314" xr:uid="{8803F289-E66A-41CC-A55F-12CA9E22CC9B}"/>
    <cellStyle name="20% - Accent5 36 2 5" xfId="7315" xr:uid="{E71884C6-B119-4F0E-B1F4-2591BEA34191}"/>
    <cellStyle name="20% - Accent5 36 3" xfId="7316" xr:uid="{B9B1A509-9F8C-487F-B686-E34EEC982010}"/>
    <cellStyle name="20% - Accent5 36 3 2" xfId="7317" xr:uid="{1EFC1272-497A-47AE-A4B5-2626039CE294}"/>
    <cellStyle name="20% - Accent5 36 3 2 2" xfId="7318" xr:uid="{F0C441B2-EC75-4EF9-860B-8E527A27CC94}"/>
    <cellStyle name="20% - Accent5 36 3 3" xfId="7319" xr:uid="{D3DEE41C-8E1F-42D4-B301-E7A72A47468D}"/>
    <cellStyle name="20% - Accent5 36 4" xfId="7320" xr:uid="{E2A1650A-B817-42C8-9B5F-9CCDCF8D628B}"/>
    <cellStyle name="20% - Accent5 36 4 2" xfId="7321" xr:uid="{8911C1B9-7217-4C1B-9B83-566B42606C21}"/>
    <cellStyle name="20% - Accent5 36 4 2 2" xfId="7322" xr:uid="{D1353239-9022-4290-AD9F-3C401D38380D}"/>
    <cellStyle name="20% - Accent5 36 4 3" xfId="7323" xr:uid="{EAD653D0-D681-4BD0-90BC-EF0F46552767}"/>
    <cellStyle name="20% - Accent5 36 5" xfId="7324" xr:uid="{70A602C7-138F-4538-9453-BC0BC375B3C8}"/>
    <cellStyle name="20% - Accent5 36 5 2" xfId="7325" xr:uid="{08CDB35E-8273-404D-8904-CC190EECEC02}"/>
    <cellStyle name="20% - Accent5 36 6" xfId="36372" xr:uid="{1C43CED7-6B26-4544-BA10-9B9F15396020}"/>
    <cellStyle name="20% - Accent5 37" xfId="7326" xr:uid="{BA3E3060-5E5A-4856-AA4D-4786B99676CB}"/>
    <cellStyle name="20% - Accent5 37 2" xfId="7327" xr:uid="{AB5E461F-E025-4866-9138-85465B63B374}"/>
    <cellStyle name="20% - Accent5 37 2 2" xfId="7328" xr:uid="{7A589B49-B6BC-4CD3-9C32-A7FCAFB676CD}"/>
    <cellStyle name="20% - Accent5 37 2 2 2" xfId="7329" xr:uid="{7ECC8969-5805-40DF-8046-724F6FAE4404}"/>
    <cellStyle name="20% - Accent5 37 2 2 2 2" xfId="7330" xr:uid="{76ABB98C-935A-4E58-9583-A8310477D45C}"/>
    <cellStyle name="20% - Accent5 37 2 2 3" xfId="7331" xr:uid="{ACD8F89F-0215-49A2-B560-EBA29305B018}"/>
    <cellStyle name="20% - Accent5 37 2 3" xfId="7332" xr:uid="{B39F61FA-59D6-4EFB-966E-8D4357FF4232}"/>
    <cellStyle name="20% - Accent5 37 2 3 2" xfId="7333" xr:uid="{21DDD0EF-6629-4B62-818A-C7391620BB74}"/>
    <cellStyle name="20% - Accent5 37 2 3 2 2" xfId="7334" xr:uid="{2E2950C7-2121-4C6D-9FA1-0C96186270CE}"/>
    <cellStyle name="20% - Accent5 37 2 3 3" xfId="7335" xr:uid="{C54982F1-A40A-44B6-BC68-C12E699028CB}"/>
    <cellStyle name="20% - Accent5 37 2 4" xfId="7336" xr:uid="{62774089-4D98-4284-878F-EA45B79B992A}"/>
    <cellStyle name="20% - Accent5 37 2 4 2" xfId="7337" xr:uid="{205173F1-1607-47A4-B310-3E1A572F8B90}"/>
    <cellStyle name="20% - Accent5 37 2 5" xfId="7338" xr:uid="{80905407-ABDB-4E40-9563-E00B1C47FC9F}"/>
    <cellStyle name="20% - Accent5 37 3" xfId="7339" xr:uid="{29FE389B-A5CB-4D98-BDD9-FF80815DC493}"/>
    <cellStyle name="20% - Accent5 37 3 2" xfId="7340" xr:uid="{4335D3E6-7078-45AA-9B7B-653A8EA38F28}"/>
    <cellStyle name="20% - Accent5 37 3 2 2" xfId="7341" xr:uid="{77A61C44-E521-4947-9968-38D9CF888110}"/>
    <cellStyle name="20% - Accent5 37 3 3" xfId="7342" xr:uid="{63784C22-4261-439E-B5BD-9BBE3D68EDA0}"/>
    <cellStyle name="20% - Accent5 37 4" xfId="7343" xr:uid="{ECD7BA6B-DDCD-4DD7-90AE-7B2B1147F8D2}"/>
    <cellStyle name="20% - Accent5 37 4 2" xfId="7344" xr:uid="{200691CA-03DE-4C53-8736-E17D39A557F0}"/>
    <cellStyle name="20% - Accent5 37 4 2 2" xfId="7345" xr:uid="{24640BAD-0992-45E1-B7AD-5B8F4583B7E6}"/>
    <cellStyle name="20% - Accent5 37 4 3" xfId="7346" xr:uid="{9F8B6041-94A0-4B9A-9967-DE967ED69691}"/>
    <cellStyle name="20% - Accent5 37 5" xfId="7347" xr:uid="{698A4D40-D02E-4A0B-B504-EC3EADE0A06E}"/>
    <cellStyle name="20% - Accent5 37 5 2" xfId="7348" xr:uid="{F0C54AE1-8C2B-4EA6-AF93-58F4B0623739}"/>
    <cellStyle name="20% - Accent5 37 6" xfId="36373" xr:uid="{01D3D838-5233-49EB-9439-CBB909D9B3EC}"/>
    <cellStyle name="20% - Accent5 38" xfId="7349" xr:uid="{5540B460-5B39-4DD4-A95B-1B84E9C368CB}"/>
    <cellStyle name="20% - Accent5 38 2" xfId="7350" xr:uid="{56FD881B-D5A4-44D4-B9B9-D4E1982308EF}"/>
    <cellStyle name="20% - Accent5 38 2 2" xfId="7351" xr:uid="{15EE58FC-E422-425A-AE03-44A91857478E}"/>
    <cellStyle name="20% - Accent5 38 2 2 2" xfId="7352" xr:uid="{802CC24F-DD8D-40AF-9A4F-1C0E730569DF}"/>
    <cellStyle name="20% - Accent5 38 2 2 2 2" xfId="7353" xr:uid="{A88588B9-91C6-42FA-954B-456D6505D657}"/>
    <cellStyle name="20% - Accent5 38 2 2 3" xfId="7354" xr:uid="{6B7162B5-76F9-4253-9D5B-EC718A107356}"/>
    <cellStyle name="20% - Accent5 38 2 3" xfId="7355" xr:uid="{8DC20C62-ACAA-4F7F-ADCC-104E489102BE}"/>
    <cellStyle name="20% - Accent5 38 2 3 2" xfId="7356" xr:uid="{A7D82AC5-9FC6-4B51-9A48-E6617EE58893}"/>
    <cellStyle name="20% - Accent5 38 2 3 2 2" xfId="7357" xr:uid="{B708B021-0132-49A0-AF5A-6E024ABE13B9}"/>
    <cellStyle name="20% - Accent5 38 2 3 3" xfId="7358" xr:uid="{AFCF8CC4-0A57-41D3-BE35-139AFC0DF5B5}"/>
    <cellStyle name="20% - Accent5 38 2 4" xfId="7359" xr:uid="{BB3E2A25-9FC2-44D6-A0B2-52CBD3D8E38C}"/>
    <cellStyle name="20% - Accent5 38 2 4 2" xfId="7360" xr:uid="{214B497D-8EB9-4320-BFC8-481DEA481E86}"/>
    <cellStyle name="20% - Accent5 38 2 5" xfId="7361" xr:uid="{5CB25B74-A957-4254-A514-08397AA32661}"/>
    <cellStyle name="20% - Accent5 38 3" xfId="7362" xr:uid="{FAA065D6-F746-4A48-B174-6953F122F3D6}"/>
    <cellStyle name="20% - Accent5 38 3 2" xfId="7363" xr:uid="{90D9EBF4-B0BE-48DE-B827-D39E6B817BFC}"/>
    <cellStyle name="20% - Accent5 38 3 2 2" xfId="7364" xr:uid="{48ACC2D4-C684-42D7-A0B7-A503C1FBF66A}"/>
    <cellStyle name="20% - Accent5 38 3 3" xfId="7365" xr:uid="{7CB53B1A-70B0-4801-B4A4-20093DADAE69}"/>
    <cellStyle name="20% - Accent5 38 4" xfId="7366" xr:uid="{990BD126-4E57-4AB4-B969-5F7729C56301}"/>
    <cellStyle name="20% - Accent5 38 4 2" xfId="7367" xr:uid="{37B8BF87-0FFD-46BF-A685-4B2EF815E4C6}"/>
    <cellStyle name="20% - Accent5 38 4 2 2" xfId="7368" xr:uid="{FEB39DBD-3D75-4B55-A636-9E9CFFE088E0}"/>
    <cellStyle name="20% - Accent5 38 4 3" xfId="7369" xr:uid="{3E4DF0D0-A844-4D0F-82C3-7A6191D9858B}"/>
    <cellStyle name="20% - Accent5 38 5" xfId="7370" xr:uid="{EFFF7993-1CAD-4EE6-8F62-707929B40227}"/>
    <cellStyle name="20% - Accent5 38 5 2" xfId="7371" xr:uid="{70FA532E-96F6-436E-A976-BB93F7C197BC}"/>
    <cellStyle name="20% - Accent5 38 6" xfId="36374" xr:uid="{D149322E-9E1A-4583-B9D0-C774A864AFB0}"/>
    <cellStyle name="20% - Accent5 39" xfId="7372" xr:uid="{980A24EA-B821-4586-AF34-BD6C5882BE9A}"/>
    <cellStyle name="20% - Accent5 39 2" xfId="7373" xr:uid="{E07AD80C-B582-49D6-9E94-EDF78001ACDC}"/>
    <cellStyle name="20% - Accent5 39 2 2" xfId="7374" xr:uid="{C7E77DE3-0D14-40EC-900D-5E940CDF015B}"/>
    <cellStyle name="20% - Accent5 39 2 2 2" xfId="7375" xr:uid="{6DB2F767-5690-4AF3-9CCC-E4884D2A9C2C}"/>
    <cellStyle name="20% - Accent5 39 2 2 2 2" xfId="7376" xr:uid="{131DDA16-D0AC-40F4-8F28-FEB77A216DE5}"/>
    <cellStyle name="20% - Accent5 39 2 2 3" xfId="7377" xr:uid="{1F8A595F-31CC-4B58-8205-6B9E5137AC53}"/>
    <cellStyle name="20% - Accent5 39 2 3" xfId="7378" xr:uid="{C353BF90-ECFA-483D-B9B9-072D437B89E7}"/>
    <cellStyle name="20% - Accent5 39 2 3 2" xfId="7379" xr:uid="{B66519A1-D0E4-4EE4-B1B5-9655FE3FF3DE}"/>
    <cellStyle name="20% - Accent5 39 2 3 2 2" xfId="7380" xr:uid="{FAAB06A5-18B0-4C31-8CD0-40B548F532FF}"/>
    <cellStyle name="20% - Accent5 39 2 3 3" xfId="7381" xr:uid="{FF8F6D4B-74E8-44A8-A27D-B33D80460F87}"/>
    <cellStyle name="20% - Accent5 39 2 4" xfId="7382" xr:uid="{E32B1CCF-F046-4D6D-9B9B-25B388C82FC3}"/>
    <cellStyle name="20% - Accent5 39 2 4 2" xfId="7383" xr:uid="{F71E757D-8DFC-4FB5-A588-85EEC304EF47}"/>
    <cellStyle name="20% - Accent5 39 2 5" xfId="7384" xr:uid="{82DF961A-3F17-4F46-8162-71436E745507}"/>
    <cellStyle name="20% - Accent5 39 3" xfId="7385" xr:uid="{017C8BF3-E3E7-4208-81D5-6F7F93ADF38A}"/>
    <cellStyle name="20% - Accent5 39 3 2" xfId="7386" xr:uid="{AC2F3F37-2F18-4C55-8632-8241DB3C8C51}"/>
    <cellStyle name="20% - Accent5 39 3 2 2" xfId="7387" xr:uid="{88AAC1DC-F67A-4E7C-ABAA-9273FEF018BD}"/>
    <cellStyle name="20% - Accent5 39 3 3" xfId="7388" xr:uid="{021B450A-43FA-4C43-B09C-555FBEEBDCDA}"/>
    <cellStyle name="20% - Accent5 39 4" xfId="7389" xr:uid="{E5AFF715-F619-49F2-B5A8-5354C370009F}"/>
    <cellStyle name="20% - Accent5 39 4 2" xfId="7390" xr:uid="{1E5759FB-6EB2-42AC-BB47-8958E6385C56}"/>
    <cellStyle name="20% - Accent5 39 4 2 2" xfId="7391" xr:uid="{E9811290-05A1-4AAC-A254-B95A0B32486B}"/>
    <cellStyle name="20% - Accent5 39 4 3" xfId="7392" xr:uid="{34FC983C-EDCA-4611-93B5-A5AB242B1CC9}"/>
    <cellStyle name="20% - Accent5 39 5" xfId="7393" xr:uid="{7F840BC3-1323-45C6-B9DB-490C9C567F94}"/>
    <cellStyle name="20% - Accent5 39 5 2" xfId="7394" xr:uid="{DCBCCA9F-21B5-4E1C-8CC9-46D26388F1FB}"/>
    <cellStyle name="20% - Accent5 39 6" xfId="36375" xr:uid="{8A659B58-2AA9-4572-9C09-B10994012FF4}"/>
    <cellStyle name="20% - Accent5 4" xfId="7395" xr:uid="{D1CDC953-9ED4-4CB6-8B4E-0718B862262D}"/>
    <cellStyle name="20% - Accent5 4 2" xfId="7396" xr:uid="{F6497CF6-BD9F-4C14-9E3C-1BACE33105A3}"/>
    <cellStyle name="20% - Accent5 4 2 2" xfId="7397" xr:uid="{AA292606-B265-43AD-A3BA-D65CB1DE1D80}"/>
    <cellStyle name="20% - Accent5 4 2 2 2" xfId="36376" xr:uid="{508CB075-A95D-4F3C-81CC-D7E3AF6686B5}"/>
    <cellStyle name="20% - Accent5 4 2 3" xfId="36377" xr:uid="{4B14964D-F7FC-424A-819F-69983F7A4510}"/>
    <cellStyle name="20% - Accent5 4 2 4" xfId="36378" xr:uid="{59D25496-19C3-4BA9-84C7-F1BC0EA0BD68}"/>
    <cellStyle name="20% - Accent5 4 3" xfId="7398" xr:uid="{95BA3D29-7418-4E12-B107-B3C2BE064EC3}"/>
    <cellStyle name="20% - Accent5 4 3 2" xfId="36379" xr:uid="{AD1DE127-E915-423C-BF27-6F0691B6A212}"/>
    <cellStyle name="20% - Accent5 4 4" xfId="36380" xr:uid="{187AB9AF-3541-4EB2-80C2-3EDE531B7B9A}"/>
    <cellStyle name="20% - Accent5 4 5" xfId="36381" xr:uid="{4FA3F2D4-8D22-4AB8-B7CD-B35CAE2256B8}"/>
    <cellStyle name="20% - Accent5 40" xfId="7399" xr:uid="{6E380AF3-24F0-438B-B30B-92ABC1D85C79}"/>
    <cellStyle name="20% - Accent5 40 2" xfId="7400" xr:uid="{0720BFFD-4981-45BD-8F4D-4E50FC328E61}"/>
    <cellStyle name="20% - Accent5 40 2 2" xfId="7401" xr:uid="{5B78F16E-6A0E-4356-84EB-79B9D1D08CC0}"/>
    <cellStyle name="20% - Accent5 40 2 2 2" xfId="7402" xr:uid="{9D718634-39DF-455D-865E-35B250C6A8F2}"/>
    <cellStyle name="20% - Accent5 40 2 2 2 2" xfId="7403" xr:uid="{EDB51660-DCA8-47E4-9779-F4A92B478665}"/>
    <cellStyle name="20% - Accent5 40 2 2 3" xfId="7404" xr:uid="{C0EA0C8E-3A59-4767-9A69-142F09B0FDF4}"/>
    <cellStyle name="20% - Accent5 40 2 3" xfId="7405" xr:uid="{B9F01824-D3A8-4205-8E97-832D3C8C0EC0}"/>
    <cellStyle name="20% - Accent5 40 2 3 2" xfId="7406" xr:uid="{1DAC5A20-D5AB-4BB0-98EE-13BB474B00B0}"/>
    <cellStyle name="20% - Accent5 40 2 3 2 2" xfId="7407" xr:uid="{8DF4A3CC-0B9D-4ED4-85A7-20C781DB1682}"/>
    <cellStyle name="20% - Accent5 40 2 3 3" xfId="7408" xr:uid="{20582EC5-C25C-4872-8C53-AE84B830B94B}"/>
    <cellStyle name="20% - Accent5 40 2 4" xfId="7409" xr:uid="{1A421185-D538-4E22-B9AB-EF8697CFDC56}"/>
    <cellStyle name="20% - Accent5 40 2 4 2" xfId="7410" xr:uid="{72633339-62A5-4C06-B2BE-2E1028182C83}"/>
    <cellStyle name="20% - Accent5 40 2 5" xfId="7411" xr:uid="{FBB2DAFD-6C62-4137-BD54-F70CB7DB5022}"/>
    <cellStyle name="20% - Accent5 40 3" xfId="7412" xr:uid="{6B49EB31-A2DE-42F5-B73A-9F14E9075622}"/>
    <cellStyle name="20% - Accent5 40 3 2" xfId="7413" xr:uid="{903EEB2D-5F4B-463E-9F4A-5D353C3E9F18}"/>
    <cellStyle name="20% - Accent5 40 3 2 2" xfId="7414" xr:uid="{2485327C-88D9-462A-A5E0-F36488FEA39E}"/>
    <cellStyle name="20% - Accent5 40 3 3" xfId="7415" xr:uid="{0711D765-CFD1-491D-89BD-BDCF0B3E55DD}"/>
    <cellStyle name="20% - Accent5 40 4" xfId="7416" xr:uid="{C5F60BC4-6E2A-497C-BBC3-DEF5339AB140}"/>
    <cellStyle name="20% - Accent5 40 4 2" xfId="7417" xr:uid="{4102C05D-A80E-43A4-B6AA-D500C5319175}"/>
    <cellStyle name="20% - Accent5 40 4 2 2" xfId="7418" xr:uid="{DED6D760-8CE5-46CC-A959-EF97DF3D53B1}"/>
    <cellStyle name="20% - Accent5 40 4 3" xfId="7419" xr:uid="{77686EDA-F41E-4EA3-ADDD-3A9D362D1412}"/>
    <cellStyle name="20% - Accent5 40 5" xfId="7420" xr:uid="{A4533E2E-81D0-487B-9197-CE7D26E593CB}"/>
    <cellStyle name="20% - Accent5 40 5 2" xfId="7421" xr:uid="{CE616A4C-B6C2-4DAB-839E-53272EC5A2C8}"/>
    <cellStyle name="20% - Accent5 40 6" xfId="36382" xr:uid="{5D993E4F-1753-4A95-BC0E-EF956D9052FD}"/>
    <cellStyle name="20% - Accent5 41" xfId="7422" xr:uid="{36C31063-0D0F-4A8A-B8EE-3DC3CD5E033D}"/>
    <cellStyle name="20% - Accent5 41 2" xfId="7423" xr:uid="{1CC7C90A-748A-4274-BC45-C13E3DC0801B}"/>
    <cellStyle name="20% - Accent5 41 2 2" xfId="7424" xr:uid="{A54D4C19-4675-4D8B-9DE4-E19377D25E30}"/>
    <cellStyle name="20% - Accent5 41 2 2 2" xfId="7425" xr:uid="{6A1308CA-E381-4628-AD15-0FE39D2D0BBD}"/>
    <cellStyle name="20% - Accent5 41 2 2 2 2" xfId="7426" xr:uid="{E5ADB3C7-81E2-4C22-B611-19DF6C25557F}"/>
    <cellStyle name="20% - Accent5 41 2 2 3" xfId="7427" xr:uid="{15275233-62CD-4ED8-83A6-351BA1F7D2FE}"/>
    <cellStyle name="20% - Accent5 41 2 3" xfId="7428" xr:uid="{CCE30D75-DD07-4B56-A019-DDBC1868B8C9}"/>
    <cellStyle name="20% - Accent5 41 2 3 2" xfId="7429" xr:uid="{D4712F96-1373-4400-8FA9-66CCA434281B}"/>
    <cellStyle name="20% - Accent5 41 2 3 2 2" xfId="7430" xr:uid="{688D0CB6-EC7F-4816-943E-5909995CAC62}"/>
    <cellStyle name="20% - Accent5 41 2 3 3" xfId="7431" xr:uid="{2BC35225-F08F-469A-9766-A4B5FAD40461}"/>
    <cellStyle name="20% - Accent5 41 2 4" xfId="7432" xr:uid="{E258981D-CE8E-4283-91A4-9E1BB4F6FF48}"/>
    <cellStyle name="20% - Accent5 41 2 4 2" xfId="7433" xr:uid="{182B4215-23F2-479C-9555-39905450FE64}"/>
    <cellStyle name="20% - Accent5 41 2 5" xfId="7434" xr:uid="{EE9CE410-FDB7-40C2-8F6F-CB5396F5D18A}"/>
    <cellStyle name="20% - Accent5 41 3" xfId="7435" xr:uid="{2062A2B9-46EE-45ED-B813-46FD34F06504}"/>
    <cellStyle name="20% - Accent5 41 3 2" xfId="7436" xr:uid="{13384F4E-875D-4899-B56D-ECA57E4F7FE4}"/>
    <cellStyle name="20% - Accent5 41 3 2 2" xfId="7437" xr:uid="{0649C4C3-ED07-4060-B722-A1202E8867B0}"/>
    <cellStyle name="20% - Accent5 41 3 3" xfId="7438" xr:uid="{B34DB325-F8FB-4BC4-B1ED-15B1F33822F6}"/>
    <cellStyle name="20% - Accent5 41 4" xfId="7439" xr:uid="{A9318C89-9DB7-4855-9A66-DCFD03F9C5EE}"/>
    <cellStyle name="20% - Accent5 41 4 2" xfId="7440" xr:uid="{02759FDA-9956-481C-B6E5-B77ACD161B11}"/>
    <cellStyle name="20% - Accent5 41 4 2 2" xfId="7441" xr:uid="{7E032E9D-E741-45DD-8A12-67584FE4E3A0}"/>
    <cellStyle name="20% - Accent5 41 4 3" xfId="7442" xr:uid="{88E0CF3F-636E-476C-A4B7-6A35EDCB0A5D}"/>
    <cellStyle name="20% - Accent5 41 5" xfId="7443" xr:uid="{1893F12C-9FF4-4769-9D8A-91970BFEF920}"/>
    <cellStyle name="20% - Accent5 41 5 2" xfId="7444" xr:uid="{B51555DF-1057-42D3-B339-46E19CFF00D0}"/>
    <cellStyle name="20% - Accent5 41 6" xfId="36383" xr:uid="{1A349E69-4FEC-44F7-997E-BC6219CD6FE1}"/>
    <cellStyle name="20% - Accent5 42" xfId="7445" xr:uid="{F1894564-3F54-499A-9AB0-9AB0714511EA}"/>
    <cellStyle name="20% - Accent5 42 2" xfId="7446" xr:uid="{B84071AE-89A2-478D-B506-29148040D579}"/>
    <cellStyle name="20% - Accent5 42 2 2" xfId="7447" xr:uid="{F05D9B52-68EA-4946-9E90-11E08DBCF174}"/>
    <cellStyle name="20% - Accent5 42 2 2 2" xfId="7448" xr:uid="{9BEC63A9-9455-4990-BDA1-C38E619FC267}"/>
    <cellStyle name="20% - Accent5 42 2 2 2 2" xfId="7449" xr:uid="{442CBDCC-9111-4EBB-ADBE-A85D8CA45CF3}"/>
    <cellStyle name="20% - Accent5 42 2 2 3" xfId="7450" xr:uid="{6D8C65E1-D03E-4D06-90B0-ACFF1E5B1152}"/>
    <cellStyle name="20% - Accent5 42 2 3" xfId="7451" xr:uid="{AA5D2208-A2F0-4546-8AB7-4FF6FF97CAF2}"/>
    <cellStyle name="20% - Accent5 42 2 3 2" xfId="7452" xr:uid="{58A8B353-8F1F-4324-9DA6-5C94EFCCC6D2}"/>
    <cellStyle name="20% - Accent5 42 2 3 2 2" xfId="7453" xr:uid="{975E8818-C138-49A3-92FD-0896B77E7973}"/>
    <cellStyle name="20% - Accent5 42 2 3 3" xfId="7454" xr:uid="{D04EE75C-1E80-4648-82AF-D598624888C9}"/>
    <cellStyle name="20% - Accent5 42 2 4" xfId="7455" xr:uid="{683AB214-0461-4DCC-B0A3-B15BC2F7AE38}"/>
    <cellStyle name="20% - Accent5 42 2 4 2" xfId="7456" xr:uid="{1FEA1204-4C10-44F9-9350-80CB9BEDD9F2}"/>
    <cellStyle name="20% - Accent5 42 2 5" xfId="7457" xr:uid="{3917ABA5-1297-431D-AD66-ED7115E26E6C}"/>
    <cellStyle name="20% - Accent5 42 3" xfId="7458" xr:uid="{EA48B712-D602-4796-82E9-A50584EB19AB}"/>
    <cellStyle name="20% - Accent5 42 3 2" xfId="7459" xr:uid="{A80B3CE0-70D1-48E3-BF17-F977F341AAB0}"/>
    <cellStyle name="20% - Accent5 42 3 2 2" xfId="7460" xr:uid="{4D527AC0-825E-4B25-81F9-E2D1F564FEE5}"/>
    <cellStyle name="20% - Accent5 42 3 3" xfId="7461" xr:uid="{6FF3EDA6-6364-4C9D-91E1-F2FBEA20F864}"/>
    <cellStyle name="20% - Accent5 42 4" xfId="7462" xr:uid="{C92857BC-DC1B-47A2-8E0F-635152817CF4}"/>
    <cellStyle name="20% - Accent5 42 4 2" xfId="7463" xr:uid="{CEEB3DD1-33AE-4A60-8C20-70B8D98833EB}"/>
    <cellStyle name="20% - Accent5 42 4 2 2" xfId="7464" xr:uid="{6BD91B09-7529-46E8-AA18-5504C26B5EA4}"/>
    <cellStyle name="20% - Accent5 42 4 3" xfId="7465" xr:uid="{C12C62EE-840E-41E5-9B83-90442927E602}"/>
    <cellStyle name="20% - Accent5 42 5" xfId="7466" xr:uid="{7B038902-8496-4267-BE20-DC22C5608C55}"/>
    <cellStyle name="20% - Accent5 42 5 2" xfId="7467" xr:uid="{0EE85979-116A-46A4-B0A1-55DB48EE0E05}"/>
    <cellStyle name="20% - Accent5 42 6" xfId="36384" xr:uid="{3954EB9B-6B7A-4388-9CBB-9C560D3828E5}"/>
    <cellStyle name="20% - Accent5 43" xfId="7468" xr:uid="{5B824A38-8BCC-466C-BBAC-6B9704C73D1F}"/>
    <cellStyle name="20% - Accent5 43 2" xfId="7469" xr:uid="{C29D2BD5-03CC-4C94-9E3B-CF249E18A487}"/>
    <cellStyle name="20% - Accent5 43 3" xfId="36385" xr:uid="{A3A9EC28-5780-4469-9C07-45724C68AB37}"/>
    <cellStyle name="20% - Accent5 44" xfId="7470" xr:uid="{A99A4FD6-95F1-454A-A1B4-13DFD061863B}"/>
    <cellStyle name="20% - Accent5 44 2" xfId="7471" xr:uid="{FCF8D7C0-A4AB-4416-BE7A-A49229520B5C}"/>
    <cellStyle name="20% - Accent5 44 3" xfId="36386" xr:uid="{AF33945F-2D84-4200-856C-449EABC1E328}"/>
    <cellStyle name="20% - Accent5 45" xfId="7472" xr:uid="{9BA24977-4AFE-424E-8F49-448611482BCF}"/>
    <cellStyle name="20% - Accent5 45 2" xfId="7473" xr:uid="{874CA5D4-0273-49E8-8E23-E16DD35746D1}"/>
    <cellStyle name="20% - Accent5 45 3" xfId="36387" xr:uid="{248298FC-B166-4D62-985A-AA67DB5E886A}"/>
    <cellStyle name="20% - Accent5 46" xfId="7474" xr:uid="{43D017DF-325C-4A1F-B2A1-F9B8B3B40432}"/>
    <cellStyle name="20% - Accent5 46 2" xfId="7475" xr:uid="{01A86BFF-6C0B-4C42-815E-1E2B25C6C5E2}"/>
    <cellStyle name="20% - Accent5 46 3" xfId="36388" xr:uid="{8A19F015-473B-4756-84C2-37D2D545A05E}"/>
    <cellStyle name="20% - Accent5 47" xfId="7476" xr:uid="{A3D53281-C445-466D-8E89-AE6E687914E4}"/>
    <cellStyle name="20% - Accent5 47 2" xfId="7477" xr:uid="{23EF72C9-CC6F-4995-8A26-64F3DED01D70}"/>
    <cellStyle name="20% - Accent5 47 3" xfId="36389" xr:uid="{69A0C150-11E5-4E27-8ACB-F6E706CDCC9E}"/>
    <cellStyle name="20% - Accent5 48" xfId="7478" xr:uid="{E96F3430-9FD6-45E5-A7D9-5C1E7F1E3712}"/>
    <cellStyle name="20% - Accent5 48 2" xfId="7479" xr:uid="{4C2402FC-F36B-45D5-931E-46210E21D7CE}"/>
    <cellStyle name="20% - Accent5 48 3" xfId="36390" xr:uid="{E0F9774B-1825-4900-A8EE-289B72E937EF}"/>
    <cellStyle name="20% - Accent5 49" xfId="7480" xr:uid="{3B57DEDC-352E-483B-9B26-DBEEE5293BF3}"/>
    <cellStyle name="20% - Accent5 49 2" xfId="7481" xr:uid="{9DC83933-504D-4343-9258-0D512C9ACC1F}"/>
    <cellStyle name="20% - Accent5 49 3" xfId="36391" xr:uid="{15D0D3DE-0E6E-48F8-AF12-888DAC1FE6FD}"/>
    <cellStyle name="20% - Accent5 5" xfId="7482" xr:uid="{62B0845C-EBE0-4FD1-89B1-C7905D999657}"/>
    <cellStyle name="20% - Accent5 5 2" xfId="7483" xr:uid="{2074EEC6-A264-4CE4-A0C0-3A3D0E9E4EFA}"/>
    <cellStyle name="20% - Accent5 5 2 2" xfId="7484" xr:uid="{2DD46E86-1CA6-4330-91CC-0F14B3475589}"/>
    <cellStyle name="20% - Accent5 5 2 2 2" xfId="36392" xr:uid="{489E58C3-3765-47E1-BF2E-72F7EB4E95CD}"/>
    <cellStyle name="20% - Accent5 5 2 3" xfId="36393" xr:uid="{B358DEE6-3D7F-4448-A266-F4324AE11373}"/>
    <cellStyle name="20% - Accent5 5 2 4" xfId="36394" xr:uid="{532E2D24-DC16-434C-ABD7-3B98B17600A1}"/>
    <cellStyle name="20% - Accent5 5 3" xfId="7485" xr:uid="{CEA5E608-C667-4E88-8260-CC08DF7E9739}"/>
    <cellStyle name="20% - Accent5 5 3 2" xfId="36395" xr:uid="{15A92C93-7DB6-4AE1-8E79-A4D7C6AC67A9}"/>
    <cellStyle name="20% - Accent5 5 4" xfId="36396" xr:uid="{3548CC86-88BE-4350-89DE-F4A7F0B2814D}"/>
    <cellStyle name="20% - Accent5 5 5" xfId="36397" xr:uid="{67EC2822-3D7D-48B6-8F08-13C2D84868A3}"/>
    <cellStyle name="20% - Accent5 50" xfId="7486" xr:uid="{4BEABF43-BC28-4258-8FB6-56CA1FB7E76C}"/>
    <cellStyle name="20% - Accent5 50 2" xfId="7487" xr:uid="{F0F26071-E186-40DA-9D8F-FCA4EDEC8663}"/>
    <cellStyle name="20% - Accent5 50 3" xfId="36398" xr:uid="{5BCA9395-B930-4F87-82BF-3DB76C8CDE6B}"/>
    <cellStyle name="20% - Accent5 51" xfId="7488" xr:uid="{2F4BC46E-41BD-4AE4-B2F7-935C632B89EB}"/>
    <cellStyle name="20% - Accent5 51 2" xfId="36399" xr:uid="{B4187FEF-D97B-4755-904D-43F183B16DC9}"/>
    <cellStyle name="20% - Accent5 52" xfId="7489" xr:uid="{04547C6A-E04C-42EB-9E33-7DD5E15B3239}"/>
    <cellStyle name="20% - Accent5 52 2" xfId="36400" xr:uid="{2FE8E661-63F5-42B5-9FD4-2152C7891CDE}"/>
    <cellStyle name="20% - Accent5 53" xfId="7490" xr:uid="{8EFD8B54-9831-4B7D-959D-FAE91744650C}"/>
    <cellStyle name="20% - Accent5 53 2" xfId="36401" xr:uid="{0C32F126-60EE-4393-A61F-646BB43BD757}"/>
    <cellStyle name="20% - Accent5 54" xfId="7491" xr:uid="{9B16AE85-9B0F-46AF-BFAE-93B977AEFF54}"/>
    <cellStyle name="20% - Accent5 54 2" xfId="36402" xr:uid="{A9FB1742-0865-4379-A28B-925C0C92146B}"/>
    <cellStyle name="20% - Accent5 55" xfId="7492" xr:uid="{844EC1F0-3BB1-4842-BDC7-7769B4A0350E}"/>
    <cellStyle name="20% - Accent5 55 2" xfId="36403" xr:uid="{F2D7F749-CBE2-4321-862B-69CC0237B652}"/>
    <cellStyle name="20% - Accent5 56" xfId="7493" xr:uid="{C91D5B4B-B621-45A4-91B8-02079D48C07D}"/>
    <cellStyle name="20% - Accent5 56 2" xfId="36404" xr:uid="{2CE37D0C-D27D-4E95-9640-68BC44783A68}"/>
    <cellStyle name="20% - Accent5 57" xfId="7494" xr:uid="{88D4C553-152D-4C6F-850B-7E7959633EA4}"/>
    <cellStyle name="20% - Accent5 57 2" xfId="36405" xr:uid="{0CA2D67D-C125-4F33-AF88-E4E237BA8A2A}"/>
    <cellStyle name="20% - Accent5 58" xfId="7495" xr:uid="{7CB01BE1-03A9-444D-8F29-54705861FC17}"/>
    <cellStyle name="20% - Accent5 58 2" xfId="36406" xr:uid="{0B2EA4A4-C075-4FCA-9CD9-15EF2D002002}"/>
    <cellStyle name="20% - Accent5 59" xfId="7496" xr:uid="{B5C6F171-3798-4011-8E4B-79AD7D6D7614}"/>
    <cellStyle name="20% - Accent5 59 2" xfId="36407" xr:uid="{731C43ED-1710-4DD4-A608-1574AEA88029}"/>
    <cellStyle name="20% - Accent5 6" xfId="7497" xr:uid="{556EFBA0-579B-4E6A-9AC0-453CC0FCC4A9}"/>
    <cellStyle name="20% - Accent5 6 2" xfId="7498" xr:uid="{74BC686F-0227-452E-9A29-AA4F7488D082}"/>
    <cellStyle name="20% - Accent5 6 2 2" xfId="7499" xr:uid="{CC3F2E09-ACA4-4FC5-A29A-D45388BC8090}"/>
    <cellStyle name="20% - Accent5 6 2 2 2" xfId="36408" xr:uid="{DAD9D2BC-6F3D-4DDE-9D7E-552EDCF0AAD5}"/>
    <cellStyle name="20% - Accent5 6 2 3" xfId="36409" xr:uid="{76B85ECD-6B02-4A96-9C8C-A7A17480740B}"/>
    <cellStyle name="20% - Accent5 6 2 4" xfId="36410" xr:uid="{68117C19-F8F2-4DD0-87CE-B7BE1F4604DF}"/>
    <cellStyle name="20% - Accent5 6 3" xfId="7500" xr:uid="{50D0C652-8080-4249-9A0F-C2E1A5910366}"/>
    <cellStyle name="20% - Accent5 6 3 2" xfId="36411" xr:uid="{458335DF-6C6F-4DCC-BC31-08299C16A615}"/>
    <cellStyle name="20% - Accent5 6 4" xfId="36412" xr:uid="{5A037967-C62D-4B40-AE31-A11B5B6DCD09}"/>
    <cellStyle name="20% - Accent5 6 5" xfId="36413" xr:uid="{67BDED7B-56A1-4689-A4DD-CDC8F8963EBF}"/>
    <cellStyle name="20% - Accent5 60" xfId="7501" xr:uid="{7C95ADB5-785E-41FA-AC10-1409C2459851}"/>
    <cellStyle name="20% - Accent5 60 2" xfId="36414" xr:uid="{63E07509-E84F-41E7-A5EB-D7D90C70F1C8}"/>
    <cellStyle name="20% - Accent5 61" xfId="7502" xr:uid="{34656CD1-1378-46CA-B645-9BDA33DB0A55}"/>
    <cellStyle name="20% - Accent5 61 2" xfId="36415" xr:uid="{E40C8F12-4F4E-4956-BE1C-CAD24E09A954}"/>
    <cellStyle name="20% - Accent5 62" xfId="7503" xr:uid="{CBBECD48-A40E-4483-8663-3B266B53484F}"/>
    <cellStyle name="20% - Accent5 62 2" xfId="36416" xr:uid="{D86D9934-B655-40BF-B088-C8F0B1039441}"/>
    <cellStyle name="20% - Accent5 63" xfId="7504" xr:uid="{49CEFED2-59B0-454D-9701-9B94E2F79E63}"/>
    <cellStyle name="20% - Accent5 63 2" xfId="36417" xr:uid="{89C7ABC7-3039-4EAB-883F-B23E7EB75CC2}"/>
    <cellStyle name="20% - Accent5 64" xfId="7505" xr:uid="{4643566D-F6AB-47B8-9459-439A7EF0981F}"/>
    <cellStyle name="20% - Accent5 64 2" xfId="36418" xr:uid="{7F39BA9D-8D7F-4714-8966-416DB55A2251}"/>
    <cellStyle name="20% - Accent5 65" xfId="7506" xr:uid="{EC9E425F-3A97-400E-9E67-3F5FBBE7CF60}"/>
    <cellStyle name="20% - Accent5 65 2" xfId="36419" xr:uid="{6F17C9AD-9AE1-4D3A-A934-4072987443C2}"/>
    <cellStyle name="20% - Accent5 66" xfId="7507" xr:uid="{94BFB657-993A-46B0-9DD1-CCFF0E7ABBA5}"/>
    <cellStyle name="20% - Accent5 66 2" xfId="7508" xr:uid="{C0E1C52D-718B-4215-A662-316E49701325}"/>
    <cellStyle name="20% - Accent5 66 2 2" xfId="7509" xr:uid="{8442F1DA-6CDE-4FDC-A4FB-3F2F8BDE71F4}"/>
    <cellStyle name="20% - Accent5 66 3" xfId="7510" xr:uid="{D485FAEA-9983-40FD-8726-E15F82DD9CD6}"/>
    <cellStyle name="20% - Accent5 66 3 2" xfId="7511" xr:uid="{C4BE07AD-B42E-467E-B742-DA97A9B587F9}"/>
    <cellStyle name="20% - Accent5 66 4" xfId="7512" xr:uid="{68FF3E4B-B7B5-430C-B784-5905482BDBC1}"/>
    <cellStyle name="20% - Accent5 66 5" xfId="36420" xr:uid="{E904CA64-CF95-4B3C-8DD2-C39592B80B72}"/>
    <cellStyle name="20% - Accent5 67" xfId="7513" xr:uid="{3A1515BE-E55B-4B76-898E-BF03AB036B74}"/>
    <cellStyle name="20% - Accent5 67 2" xfId="7514" xr:uid="{2F1C5FF7-184C-4A36-BB50-A5CC20CE2369}"/>
    <cellStyle name="20% - Accent5 67 2 2" xfId="7515" xr:uid="{EA4FDCC2-931E-4BE5-A902-9ADB7DBE1C22}"/>
    <cellStyle name="20% - Accent5 67 3" xfId="7516" xr:uid="{4F40AB54-5C91-4496-B27B-E51D9D2EAEF6}"/>
    <cellStyle name="20% - Accent5 67 3 2" xfId="7517" xr:uid="{D4ED17EF-79D4-4A45-A7F7-460C796A1A13}"/>
    <cellStyle name="20% - Accent5 67 4" xfId="7518" xr:uid="{E2CB1C74-1726-48D1-8A1C-1790A6FA50D7}"/>
    <cellStyle name="20% - Accent5 67 5" xfId="36421" xr:uid="{8B71B81A-03D0-4167-B778-C3D02237E0CF}"/>
    <cellStyle name="20% - Accent5 68" xfId="7519" xr:uid="{5FBD95E8-516F-4DDB-A435-9F79727479C1}"/>
    <cellStyle name="20% - Accent5 68 2" xfId="7520" xr:uid="{006C753A-56CD-4E24-8E5F-7721417C10A3}"/>
    <cellStyle name="20% - Accent5 68 2 2" xfId="7521" xr:uid="{B8BD7911-A0BF-4A80-B060-E186BD2226CF}"/>
    <cellStyle name="20% - Accent5 68 3" xfId="7522" xr:uid="{8A443B2D-F03D-470D-AC85-9BADBCA27664}"/>
    <cellStyle name="20% - Accent5 68 3 2" xfId="7523" xr:uid="{9AAB46C9-34FF-4D6D-AD48-C71D6D279A56}"/>
    <cellStyle name="20% - Accent5 68 4" xfId="7524" xr:uid="{411E76C2-B9F1-4875-9E39-A6D89D9E6CBE}"/>
    <cellStyle name="20% - Accent5 68 5" xfId="36422" xr:uid="{5DA9466C-E734-4BD2-AD03-A9683C627109}"/>
    <cellStyle name="20% - Accent5 69" xfId="7525" xr:uid="{09D0E55E-68D9-48EB-9A12-CA19345E335C}"/>
    <cellStyle name="20% - Accent5 69 2" xfId="7526" xr:uid="{0BF3F9F9-C3BC-4FD2-8984-A2C53D6D47B2}"/>
    <cellStyle name="20% - Accent5 69 2 2" xfId="7527" xr:uid="{4BCB56BB-81F3-460F-86E5-D119A3F8DD2D}"/>
    <cellStyle name="20% - Accent5 69 3" xfId="7528" xr:uid="{2A7FB377-BBD4-4426-8856-322CE0B0499D}"/>
    <cellStyle name="20% - Accent5 69 4" xfId="36423" xr:uid="{234FF1E1-D440-47BB-B861-14E7943DC220}"/>
    <cellStyle name="20% - Accent5 7" xfId="7529" xr:uid="{781CB9C9-820A-4094-87D6-5B82F5BB42B5}"/>
    <cellStyle name="20% - Accent5 7 2" xfId="7530" xr:uid="{328E3BC7-1172-4C6E-A2F6-26FF1B63E54D}"/>
    <cellStyle name="20% - Accent5 7 2 2" xfId="7531" xr:uid="{F63BC5FA-D84D-4233-A7F6-C1D0762A8AC7}"/>
    <cellStyle name="20% - Accent5 7 2 2 2" xfId="36424" xr:uid="{BDBF89EF-FFDE-4D6B-9168-11C38DAA945C}"/>
    <cellStyle name="20% - Accent5 7 2 3" xfId="36425" xr:uid="{78F7F9AB-7BA9-4083-B5D8-28B348CE5124}"/>
    <cellStyle name="20% - Accent5 7 2 4" xfId="36426" xr:uid="{2F61EA37-A762-4242-AE6E-DC2BFA7F698A}"/>
    <cellStyle name="20% - Accent5 7 3" xfId="7532" xr:uid="{F71B2A10-D224-430D-8AEC-698B20D8C895}"/>
    <cellStyle name="20% - Accent5 7 3 2" xfId="36427" xr:uid="{6D63AACC-928F-4680-81F8-5CD6D58809CC}"/>
    <cellStyle name="20% - Accent5 7 4" xfId="36428" xr:uid="{4BF41D9A-BFF6-434A-A4CC-A2F9C0FC62F2}"/>
    <cellStyle name="20% - Accent5 7 5" xfId="36429" xr:uid="{A53067A4-2D53-4B7A-A59B-D3BCEB58B69C}"/>
    <cellStyle name="20% - Accent5 70" xfId="7533" xr:uid="{FE0C9453-BFD2-411F-AF2C-570F463847E8}"/>
    <cellStyle name="20% - Accent5 70 2" xfId="7534" xr:uid="{3EAFF0C1-11AF-404D-A1F0-E8F66FF12378}"/>
    <cellStyle name="20% - Accent5 70 2 2" xfId="7535" xr:uid="{7C7C7F13-1098-499B-A406-20C1B212B5A3}"/>
    <cellStyle name="20% - Accent5 70 3" xfId="7536" xr:uid="{0D7D3730-1AB5-4994-AB9B-EAC7D04CDCF4}"/>
    <cellStyle name="20% - Accent5 70 4" xfId="36430" xr:uid="{1823A130-F2E5-4118-95CC-86F0A041E324}"/>
    <cellStyle name="20% - Accent5 71" xfId="7537" xr:uid="{6BC80EBE-CBF6-4925-A8AF-011E7FF31A64}"/>
    <cellStyle name="20% - Accent5 71 2" xfId="7538" xr:uid="{1CCB51A2-C521-4428-BF44-60C144559CAA}"/>
    <cellStyle name="20% - Accent5 71 2 2" xfId="7539" xr:uid="{B0D55C97-5F02-4A33-B61E-D86A955C7828}"/>
    <cellStyle name="20% - Accent5 71 3" xfId="7540" xr:uid="{45620233-D900-4020-8619-6C8B71D1DE64}"/>
    <cellStyle name="20% - Accent5 71 4" xfId="36431" xr:uid="{A1568A05-5EC5-4A3C-BB18-560F29A2FB8B}"/>
    <cellStyle name="20% - Accent5 72" xfId="7541" xr:uid="{16078A86-35D8-4A00-B343-4996EA63ADB5}"/>
    <cellStyle name="20% - Accent5 72 2" xfId="7542" xr:uid="{A5529984-5CD9-44F8-87A1-A3734758B66D}"/>
    <cellStyle name="20% - Accent5 72 2 2" xfId="7543" xr:uid="{CDB607F7-BE17-49DB-A395-5E9BC447E29A}"/>
    <cellStyle name="20% - Accent5 72 3" xfId="7544" xr:uid="{6B68CFC6-B844-4E11-B8E2-8E8D2A884447}"/>
    <cellStyle name="20% - Accent5 72 4" xfId="36432" xr:uid="{5732A11A-D1EF-4298-B241-2DB9FE1573A6}"/>
    <cellStyle name="20% - Accent5 73" xfId="7545" xr:uid="{1AA8AA1E-1363-4E59-8773-9E2936F03C1F}"/>
    <cellStyle name="20% - Accent5 73 2" xfId="7546" xr:uid="{44C149FD-601B-4930-91DF-244A3A478DE7}"/>
    <cellStyle name="20% - Accent5 73 2 2" xfId="7547" xr:uid="{312666A5-DA41-4210-B007-1303EE11F7FA}"/>
    <cellStyle name="20% - Accent5 73 3" xfId="7548" xr:uid="{A7D7B969-F81D-4A7E-84D8-22681DA36028}"/>
    <cellStyle name="20% - Accent5 73 4" xfId="36433" xr:uid="{B21D83C0-256F-44B8-863F-8DCBC350AC40}"/>
    <cellStyle name="20% - Accent5 74" xfId="7549" xr:uid="{DE04DC2F-2108-41B9-A5DD-B0488577756A}"/>
    <cellStyle name="20% - Accent5 74 2" xfId="7550" xr:uid="{7037A6D5-0FEC-44D1-A433-579BAAB4625D}"/>
    <cellStyle name="20% - Accent5 74 2 2" xfId="7551" xr:uid="{0944D0F6-CF9D-4145-ABB5-2E02A823416F}"/>
    <cellStyle name="20% - Accent5 74 3" xfId="7552" xr:uid="{6DD0AB01-3F75-44D0-A490-7234A29CBED4}"/>
    <cellStyle name="20% - Accent5 74 4" xfId="36434" xr:uid="{F515917A-DF06-42FC-AAEA-11A703208B62}"/>
    <cellStyle name="20% - Accent5 75" xfId="7553" xr:uid="{B7C2FF8A-2298-4078-94DD-5A917D717256}"/>
    <cellStyle name="20% - Accent5 75 2" xfId="7554" xr:uid="{78EF7695-409A-4705-9208-06A85F43DDFE}"/>
    <cellStyle name="20% - Accent5 75 2 2" xfId="7555" xr:uid="{6D87E063-D3DE-4CCF-9BDD-E99DEB901441}"/>
    <cellStyle name="20% - Accent5 75 3" xfId="7556" xr:uid="{7BFD034E-038E-4B25-BB9C-7D527E5A5C0F}"/>
    <cellStyle name="20% - Accent5 75 4" xfId="36435" xr:uid="{24A8DA37-0275-4A88-A1AC-B5FB48C9057F}"/>
    <cellStyle name="20% - Accent5 76" xfId="7557" xr:uid="{1E924898-B4C4-4828-A70F-5A549960B6C8}"/>
    <cellStyle name="20% - Accent5 76 2" xfId="7558" xr:uid="{903523B3-35E6-4587-8B7F-58B73024DC3C}"/>
    <cellStyle name="20% - Accent5 76 2 2" xfId="7559" xr:uid="{D1FCAAB7-EC77-4390-BBE1-12E8243563B8}"/>
    <cellStyle name="20% - Accent5 76 3" xfId="7560" xr:uid="{F5842D24-C01A-45AF-943F-AA353F57199A}"/>
    <cellStyle name="20% - Accent5 76 4" xfId="36436" xr:uid="{78561AC6-B772-4F6A-8E44-1F4739B75A35}"/>
    <cellStyle name="20% - Accent5 77" xfId="7561" xr:uid="{A1EFB398-A123-45A7-9844-6FC9D5B0CDDE}"/>
    <cellStyle name="20% - Accent5 77 2" xfId="7562" xr:uid="{172F1B7C-65CD-4B7A-BD2C-28C4F8B6EE46}"/>
    <cellStyle name="20% - Accent5 77 2 2" xfId="7563" xr:uid="{DE3FE69D-5BCC-4DD1-AE66-4D64B8994ED0}"/>
    <cellStyle name="20% - Accent5 77 3" xfId="7564" xr:uid="{8245878D-C851-46D6-9BC5-82B08AE5CE22}"/>
    <cellStyle name="20% - Accent5 77 4" xfId="36437" xr:uid="{B6178163-A0C1-4BC7-9003-414193855FC2}"/>
    <cellStyle name="20% - Accent5 78" xfId="7565" xr:uid="{0B9B5DEF-3722-4AEA-82F4-2216D3822B86}"/>
    <cellStyle name="20% - Accent5 78 2" xfId="7566" xr:uid="{99F8ED1F-B190-40C3-A8E9-39A865DB8E06}"/>
    <cellStyle name="20% - Accent5 78 2 2" xfId="7567" xr:uid="{F512D952-1768-459A-9C4A-9F5AF6DAC3A3}"/>
    <cellStyle name="20% - Accent5 78 3" xfId="7568" xr:uid="{F0DA19F5-62D7-4330-80C6-D5FB44726E10}"/>
    <cellStyle name="20% - Accent5 78 4" xfId="36438" xr:uid="{29EE8914-F30E-4ED8-915F-6D200B9A38E6}"/>
    <cellStyle name="20% - Accent5 79" xfId="7569" xr:uid="{3A5A2FC1-C3E4-4D96-93B2-0C0B59A6BCFE}"/>
    <cellStyle name="20% - Accent5 79 2" xfId="7570" xr:uid="{FF21C39D-F1CA-4E9B-84C9-A12AC95BC7AB}"/>
    <cellStyle name="20% - Accent5 79 3" xfId="36439" xr:uid="{B2CED707-EFE1-421A-A525-0442FB39FBDD}"/>
    <cellStyle name="20% - Accent5 8" xfId="7571" xr:uid="{BB6F4415-C7A1-43F8-BF32-52D163528730}"/>
    <cellStyle name="20% - Accent5 8 2" xfId="7572" xr:uid="{723C65B6-DE37-45C3-9A0D-FCB4EEEA13FE}"/>
    <cellStyle name="20% - Accent5 8 2 2" xfId="7573" xr:uid="{70F24FAE-B348-4143-A7DE-856AE0119C65}"/>
    <cellStyle name="20% - Accent5 8 2 2 2" xfId="36440" xr:uid="{C11CA9DC-B907-4C16-AD4B-E93411D12471}"/>
    <cellStyle name="20% - Accent5 8 2 3" xfId="36441" xr:uid="{E87B90DA-9A5E-4748-8DD6-F9C73C7D88F6}"/>
    <cellStyle name="20% - Accent5 8 3" xfId="7574" xr:uid="{E13BC4C8-0AC3-4C42-9E63-B26A8764F1E1}"/>
    <cellStyle name="20% - Accent5 8 3 2" xfId="36442" xr:uid="{39BCAFE0-3DE1-4ABE-B923-AE1E2461685F}"/>
    <cellStyle name="20% - Accent5 8 4" xfId="36443" xr:uid="{072E447E-CD33-48C2-B72E-E393C0F4AD81}"/>
    <cellStyle name="20% - Accent5 8 5" xfId="36444" xr:uid="{C5924982-E381-4EE8-AD6B-724D6D988397}"/>
    <cellStyle name="20% - Accent5 8 6" xfId="36445" xr:uid="{F3B56630-5D2F-4CBC-82F5-A4EB3A43C85B}"/>
    <cellStyle name="20% - Accent5 8 7" xfId="36446" xr:uid="{F39A63A9-0ABF-466D-BCBB-C26E1B221073}"/>
    <cellStyle name="20% - Accent5 80" xfId="7575" xr:uid="{D5B11D2A-B48C-4759-9F23-CC452817DB63}"/>
    <cellStyle name="20% - Accent5 80 2" xfId="7576" xr:uid="{D62D1397-9D60-426B-A9FE-1A455F507B1E}"/>
    <cellStyle name="20% - Accent5 80 3" xfId="36447" xr:uid="{CF5D7222-3BD0-4817-A49D-F603CAFEC5F7}"/>
    <cellStyle name="20% - Accent5 81" xfId="7577" xr:uid="{F89DA534-314B-462A-8D16-5D3332B364DB}"/>
    <cellStyle name="20% - Accent5 81 2" xfId="7578" xr:uid="{3D0FC620-A63E-40E6-8673-ADE95A04FE9C}"/>
    <cellStyle name="20% - Accent5 81 3" xfId="36448" xr:uid="{B69FD8A5-A992-4265-ADC7-5F2E5FE0F683}"/>
    <cellStyle name="20% - Accent5 82" xfId="7579" xr:uid="{BA40D08E-1084-44B2-A691-BDFFA5E95791}"/>
    <cellStyle name="20% - Accent5 82 2" xfId="7580" xr:uid="{5284B644-5DC0-46DE-A71B-6559EF0013AA}"/>
    <cellStyle name="20% - Accent5 82 3" xfId="36449" xr:uid="{E36482B1-39AA-40B6-ADD9-EF2FFF300DD7}"/>
    <cellStyle name="20% - Accent5 83" xfId="7581" xr:uid="{1795D53D-EBEF-44C0-9588-5200D9A504C1}"/>
    <cellStyle name="20% - Accent5 83 2" xfId="7582" xr:uid="{266AACCA-E974-4CB4-B5B2-A728A09E4DB2}"/>
    <cellStyle name="20% - Accent5 83 3" xfId="36450" xr:uid="{DE823966-AB17-416E-B863-2E74FABA1E65}"/>
    <cellStyle name="20% - Accent5 84" xfId="7583" xr:uid="{5D5B6899-8033-4E57-9751-D677E5FA0219}"/>
    <cellStyle name="20% - Accent5 84 2" xfId="7584" xr:uid="{D9A92608-F841-4914-B3B9-0AA97875060E}"/>
    <cellStyle name="20% - Accent5 84 3" xfId="36451" xr:uid="{07CB3DA1-0284-4074-B001-A3255BC53648}"/>
    <cellStyle name="20% - Accent5 85" xfId="7585" xr:uid="{D0B1CB0D-625C-462B-9762-C27C27EE5959}"/>
    <cellStyle name="20% - Accent5 85 2" xfId="7586" xr:uid="{575828EC-5000-4CA4-AD78-CB3D337E4513}"/>
    <cellStyle name="20% - Accent5 85 3" xfId="36452" xr:uid="{2983E34E-5D24-4D5D-AAE6-2DCF26901CD5}"/>
    <cellStyle name="20% - Accent5 86" xfId="7587" xr:uid="{1BE66AA0-6A5F-451B-AAC9-262638A7C527}"/>
    <cellStyle name="20% - Accent5 86 2" xfId="7588" xr:uid="{AACBD1AC-ED7A-4C09-BE73-01F3673065FB}"/>
    <cellStyle name="20% - Accent5 86 3" xfId="36453" xr:uid="{CD5231D6-7F24-4100-A873-B5779AB14BE5}"/>
    <cellStyle name="20% - Accent5 87" xfId="7589" xr:uid="{E2F01C11-D14B-4D23-A24F-EB6306C49A3D}"/>
    <cellStyle name="20% - Accent5 87 2" xfId="7590" xr:uid="{4A6516F5-F6C9-4891-89C2-86A563B74CA1}"/>
    <cellStyle name="20% - Accent5 87 3" xfId="36454" xr:uid="{A97D8A9C-796B-4064-AA01-1D29D3D7187A}"/>
    <cellStyle name="20% - Accent5 88" xfId="7591" xr:uid="{E353005E-7C1C-4C68-86B9-34C4A94DDCD3}"/>
    <cellStyle name="20% - Accent5 88 2" xfId="7592" xr:uid="{3A56AC03-23A9-4BFA-B9DE-B9D44078D3C2}"/>
    <cellStyle name="20% - Accent5 88 3" xfId="36455" xr:uid="{10E17539-243B-4BE2-82CF-1301574E4F5A}"/>
    <cellStyle name="20% - Accent5 89" xfId="7593" xr:uid="{9AA10488-8E31-409A-9A6B-4493248257C2}"/>
    <cellStyle name="20% - Accent5 89 2" xfId="7594" xr:uid="{82ABE205-15C0-48CF-BAB4-A082770275EA}"/>
    <cellStyle name="20% - Accent5 89 3" xfId="36456" xr:uid="{01B15A36-5364-4814-A65F-C939FF5FD835}"/>
    <cellStyle name="20% - Accent5 9" xfId="7595" xr:uid="{7F0EC372-9A85-4990-B91E-72DF73CC511B}"/>
    <cellStyle name="20% - Accent5 9 2" xfId="7596" xr:uid="{B955023E-4B3E-4B0B-9FF2-24C81D0E95BD}"/>
    <cellStyle name="20% - Accent5 9 2 2" xfId="7597" xr:uid="{8B7F4996-FCE7-432B-8E7C-C3A31EBBEEAE}"/>
    <cellStyle name="20% - Accent5 9 2 2 2" xfId="36457" xr:uid="{67C2D4DA-7478-44D3-8E47-136AC6D2DAEA}"/>
    <cellStyle name="20% - Accent5 9 2 3" xfId="36458" xr:uid="{EF6B7D25-F1CC-4128-8989-97030A765C2D}"/>
    <cellStyle name="20% - Accent5 9 3" xfId="7598" xr:uid="{21343196-ADD2-417D-8D75-7926FB285401}"/>
    <cellStyle name="20% - Accent5 9 3 2" xfId="36459" xr:uid="{8863D0A0-643B-4DA1-850A-489BEEE0C088}"/>
    <cellStyle name="20% - Accent5 9 4" xfId="36460" xr:uid="{9B58A8C5-3ED1-4F32-B52A-F11C1EB123C5}"/>
    <cellStyle name="20% - Accent5 9 5" xfId="36461" xr:uid="{E0FD00D1-FF86-4B14-85E4-A22392471457}"/>
    <cellStyle name="20% - Accent5 9 6" xfId="36462" xr:uid="{F45B9109-64D4-4EA0-936B-7356E902F5D5}"/>
    <cellStyle name="20% - Accent5 90" xfId="7599" xr:uid="{02694B70-2238-4FC7-AD11-4A352702935E}"/>
    <cellStyle name="20% - Accent5 90 2" xfId="7600" xr:uid="{8D5594A2-CCFC-4E64-923E-DE0668C29D7F}"/>
    <cellStyle name="20% - Accent5 90 3" xfId="36463" xr:uid="{A987BD26-D879-492A-A476-692D800BC7E9}"/>
    <cellStyle name="20% - Accent5 91" xfId="7601" xr:uid="{4585D3AB-AFA6-4D8C-A934-486779C7AEEB}"/>
    <cellStyle name="20% - Accent5 91 2" xfId="7602" xr:uid="{90B9A2F0-1D6E-41DA-854F-4332B1ACE096}"/>
    <cellStyle name="20% - Accent5 91 3" xfId="36464" xr:uid="{254FDA49-080E-49DA-948B-8179806A94B5}"/>
    <cellStyle name="20% - Accent5 92" xfId="7603" xr:uid="{74B6FED4-6B58-4F6F-8A2F-5ABD30576CB6}"/>
    <cellStyle name="20% - Accent5 92 2" xfId="7604" xr:uid="{5B97CE10-5CF3-43F2-82E9-3BCBC0B2E042}"/>
    <cellStyle name="20% - Accent5 92 3" xfId="36465" xr:uid="{4E6368BB-DBB9-4203-8348-73B3C8566A45}"/>
    <cellStyle name="20% - Accent5 93" xfId="7605" xr:uid="{663CFBC5-E81B-4C03-8F60-CFEEFC54FBAF}"/>
    <cellStyle name="20% - Accent5 93 2" xfId="7606" xr:uid="{F8DFCCF7-B708-4BB3-82D1-F47CFC595ECF}"/>
    <cellStyle name="20% - Accent5 93 3" xfId="36466" xr:uid="{C0E536B0-9AFD-4CA3-823F-272E645F9CA3}"/>
    <cellStyle name="20% - Accent5 94" xfId="7607" xr:uid="{A6B8D869-CBE4-41CC-8F29-4A390349380E}"/>
    <cellStyle name="20% - Accent5 94 2" xfId="7608" xr:uid="{EA7C5316-4D9F-46A1-85F5-81BBEAE3A05E}"/>
    <cellStyle name="20% - Accent5 94 3" xfId="36467" xr:uid="{ED06C0F6-AEA1-4EBA-9ECB-77223064B2A1}"/>
    <cellStyle name="20% - Accent5 95" xfId="7609" xr:uid="{9E606BAE-F8A3-42C7-8B85-177A6DFBBDA0}"/>
    <cellStyle name="20% - Accent5 95 2" xfId="7610" xr:uid="{9A4EFBAE-D7D0-4934-9325-5C03D8451480}"/>
    <cellStyle name="20% - Accent5 95 3" xfId="36468" xr:uid="{FDB9BF76-CAEF-468B-B690-EB8121224052}"/>
    <cellStyle name="20% - Accent5 96" xfId="7611" xr:uid="{33E1F223-4F75-4E1A-A98A-8A03CBD61750}"/>
    <cellStyle name="20% - Accent5 96 2" xfId="7612" xr:uid="{11C92D0F-B0CA-40E5-A173-199957A4EC79}"/>
    <cellStyle name="20% - Accent5 96 3" xfId="36469" xr:uid="{90D5E83A-7454-49C7-A012-C68AED75FE2A}"/>
    <cellStyle name="20% - Accent5 97" xfId="7613" xr:uid="{E481F0BE-5376-4F5B-A77E-87A7F9F0ACBC}"/>
    <cellStyle name="20% - Accent5 97 2" xfId="7614" xr:uid="{A8CA2995-8930-4F80-A45C-D5F94002E9E3}"/>
    <cellStyle name="20% - Accent5 97 3" xfId="36470" xr:uid="{28D55CCD-5D82-4E79-8E81-9B62A016A65A}"/>
    <cellStyle name="20% - Accent5 98" xfId="7615" xr:uid="{D2602400-F727-4BFE-997D-F2072E66FBD7}"/>
    <cellStyle name="20% - Accent5 98 2" xfId="7616" xr:uid="{9AA4DECE-B419-40B5-A9F6-202D9CCE2B84}"/>
    <cellStyle name="20% - Accent5 98 3" xfId="36471" xr:uid="{9A508126-AA78-468E-A8B8-EF2C931D9B03}"/>
    <cellStyle name="20% - Accent5 99" xfId="7617" xr:uid="{D314CD14-7716-40FF-8266-9D384328C3BD}"/>
    <cellStyle name="20% - Accent5 99 2" xfId="7618" xr:uid="{583461C3-9866-49DF-8F76-7CCBBDCAE174}"/>
    <cellStyle name="20% - Accent5 99 3" xfId="36472" xr:uid="{231FDCC4-AF73-499A-8CD3-BBC9BBCA9AD7}"/>
    <cellStyle name="20% - Accent6" xfId="51" builtinId="50" hidden="1"/>
    <cellStyle name="20% - Accent6" xfId="125" builtinId="50" customBuiltin="1"/>
    <cellStyle name="20% - Accent6 10" xfId="7619" xr:uid="{3CCADF33-42DE-4D27-B176-6491290AA04C}"/>
    <cellStyle name="20% - Accent6 10 2" xfId="7620" xr:uid="{0463AB0C-7CE5-4DB8-8254-811959E53EB1}"/>
    <cellStyle name="20% - Accent6 10 2 2" xfId="7621" xr:uid="{4CA29964-D2A1-4213-AF6E-C28B3874726C}"/>
    <cellStyle name="20% - Accent6 10 2 2 2" xfId="36473" xr:uid="{91B2B27A-AC65-4BF0-9EE6-E58CA958A661}"/>
    <cellStyle name="20% - Accent6 10 2 3" xfId="36474" xr:uid="{15681335-E34B-483D-9419-27EE80226EED}"/>
    <cellStyle name="20% - Accent6 10 3" xfId="7622" xr:uid="{91B27C82-A962-444E-A73B-0F8AB64B5493}"/>
    <cellStyle name="20% - Accent6 10 3 2" xfId="36475" xr:uid="{539F9B5F-8BC7-498A-AE90-030C4A992AFF}"/>
    <cellStyle name="20% - Accent6 10 4" xfId="36476" xr:uid="{1E4BB9E8-9DB3-4E39-971F-3E901499BFDB}"/>
    <cellStyle name="20% - Accent6 10 5" xfId="36477" xr:uid="{2442F2C0-B5B0-43BA-A1BB-4DAA969478AA}"/>
    <cellStyle name="20% - Accent6 10 6" xfId="36478" xr:uid="{8F932035-5B8B-442A-A3C0-6680155EAD7C}"/>
    <cellStyle name="20% - Accent6 100" xfId="7623" xr:uid="{1970C0CE-93E9-448D-AF7E-7A1938665D5A}"/>
    <cellStyle name="20% - Accent6 100 2" xfId="7624" xr:uid="{3F467F6C-A772-4015-980E-DED02B5BBAE3}"/>
    <cellStyle name="20% - Accent6 100 3" xfId="36479" xr:uid="{ECBC8E48-F677-4BF9-97F3-97C8F61374E2}"/>
    <cellStyle name="20% - Accent6 101" xfId="7625" xr:uid="{66DB9644-CE38-4065-AFFC-2653F2F9F857}"/>
    <cellStyle name="20% - Accent6 102" xfId="7626" xr:uid="{70306E9E-36FA-4F44-A8FB-A5587F4D3C26}"/>
    <cellStyle name="20% - Accent6 103" xfId="7627" xr:uid="{97B628FD-6FE9-49EB-A442-56E9B4AA677B}"/>
    <cellStyle name="20% - Accent6 104" xfId="7628" xr:uid="{B76377C3-74B2-4C99-A608-4F6F459B1D21}"/>
    <cellStyle name="20% - Accent6 105" xfId="7629" xr:uid="{F08B2637-3017-42B8-9C31-DAEBF750B6D6}"/>
    <cellStyle name="20% - Accent6 106" xfId="7630" xr:uid="{570CADFE-D538-497E-989A-55899A2F3BD7}"/>
    <cellStyle name="20% - Accent6 107" xfId="7631" xr:uid="{2B4EB9E1-340E-4204-A321-21C86DAFA669}"/>
    <cellStyle name="20% - Accent6 108" xfId="7632" xr:uid="{29E02AE1-C426-4DF3-9EC3-20DADB1D2CE1}"/>
    <cellStyle name="20% - Accent6 109" xfId="7633" xr:uid="{7EBBB402-E648-4414-B9BE-13FDEB7C3E05}"/>
    <cellStyle name="20% - Accent6 11" xfId="7634" xr:uid="{7478E181-B181-4BEA-B688-4768C01BD010}"/>
    <cellStyle name="20% - Accent6 11 2" xfId="7635" xr:uid="{A15D18EE-4A6C-4FA7-B168-1318F65414B7}"/>
    <cellStyle name="20% - Accent6 11 2 2" xfId="7636" xr:uid="{8AB9AD8A-CAE4-4B74-BE6F-8C05DFEFC76E}"/>
    <cellStyle name="20% - Accent6 11 2 2 2" xfId="36480" xr:uid="{637D89CD-7664-4A2F-9927-2227446EBD09}"/>
    <cellStyle name="20% - Accent6 11 2 3" xfId="36481" xr:uid="{CDE65D35-83DB-41B3-941F-D32FE18CF3D7}"/>
    <cellStyle name="20% - Accent6 11 3" xfId="7637" xr:uid="{DD4580CD-438C-46B1-86A3-47506751C2FC}"/>
    <cellStyle name="20% - Accent6 11 3 2" xfId="36482" xr:uid="{10054EE5-3711-41AE-B74F-51F8DF3DBCE7}"/>
    <cellStyle name="20% - Accent6 11 4" xfId="36483" xr:uid="{8E5D1593-1701-469A-9820-6FD35BD4B010}"/>
    <cellStyle name="20% - Accent6 11 5" xfId="36484" xr:uid="{36AFEC0D-F60E-43AA-9F79-C98420E97770}"/>
    <cellStyle name="20% - Accent6 11 6" xfId="36485" xr:uid="{950FCD85-6B11-42AC-9E8F-26A15D4D1B06}"/>
    <cellStyle name="20% - Accent6 110" xfId="7638" xr:uid="{A116A317-025E-4949-9490-C399A75DEF91}"/>
    <cellStyle name="20% - Accent6 111" xfId="7639" xr:uid="{1EEA76DE-21C5-4883-ABAA-7FE6612A2D53}"/>
    <cellStyle name="20% - Accent6 112" xfId="7640" xr:uid="{D30F1D3D-8871-47CB-B65A-0F15007230DD}"/>
    <cellStyle name="20% - Accent6 113" xfId="7641" xr:uid="{D7E45A3A-6494-455B-A178-4765DD8A8CF4}"/>
    <cellStyle name="20% - Accent6 114" xfId="7642" xr:uid="{D8A815CD-1B22-4437-9628-E1F89033AF89}"/>
    <cellStyle name="20% - Accent6 115" xfId="7643" xr:uid="{B454B488-A27D-4F6C-89A4-308BA414AAFD}"/>
    <cellStyle name="20% - Accent6 116" xfId="7644" xr:uid="{74C0C093-651B-40D4-A961-F49964F0BC55}"/>
    <cellStyle name="20% - Accent6 117" xfId="7645" xr:uid="{EBAC8BC4-9FA6-4E9C-AE9F-578BFA8969C4}"/>
    <cellStyle name="20% - Accent6 118" xfId="7646" xr:uid="{63EAEFD4-C077-485F-8C3E-E868A0254E96}"/>
    <cellStyle name="20% - Accent6 119" xfId="7647" xr:uid="{763B3942-4D24-4550-ACFE-93FC2CA493C9}"/>
    <cellStyle name="20% - Accent6 12" xfId="7648" xr:uid="{BEA9727A-42AA-473B-9EB1-D3F788BB142D}"/>
    <cellStyle name="20% - Accent6 12 2" xfId="7649" xr:uid="{D404D7DA-7B87-45B8-B9FD-683A6A59F2B9}"/>
    <cellStyle name="20% - Accent6 12 2 2" xfId="7650" xr:uid="{43532508-433A-4DFA-8C4C-7DA8184569E2}"/>
    <cellStyle name="20% - Accent6 12 2 2 2" xfId="36486" xr:uid="{48CD49F9-3EC9-4FA9-9BA1-77CBB9BB586C}"/>
    <cellStyle name="20% - Accent6 12 2 3" xfId="36487" xr:uid="{D9CE8965-FB65-4FC9-A0D3-BF0B7DE5A20E}"/>
    <cellStyle name="20% - Accent6 12 3" xfId="7651" xr:uid="{DE47FAB0-0CA7-46DE-AE46-7EA75E31DE89}"/>
    <cellStyle name="20% - Accent6 12 3 2" xfId="36488" xr:uid="{BAFB3CEA-177C-4F8F-922B-0E5A775067F2}"/>
    <cellStyle name="20% - Accent6 12 4" xfId="36489" xr:uid="{7F490C53-12F0-4303-9BF0-4FC27242A6DE}"/>
    <cellStyle name="20% - Accent6 12 5" xfId="36490" xr:uid="{8DE9973E-FAE7-4BAD-99F4-FDFC003C94DD}"/>
    <cellStyle name="20% - Accent6 12 6" xfId="36491" xr:uid="{B443C8E0-CD81-4A3E-92D9-E209315E6996}"/>
    <cellStyle name="20% - Accent6 120" xfId="7652" xr:uid="{1F3396E9-04E8-408E-A7FD-60BC183CEFCE}"/>
    <cellStyle name="20% - Accent6 121" xfId="7653" xr:uid="{FA23A1B9-03CD-4FE2-A45B-28A6C241C95B}"/>
    <cellStyle name="20% - Accent6 122" xfId="7654" xr:uid="{DE317244-3FCB-4D39-A185-7BD2B9ACD695}"/>
    <cellStyle name="20% - Accent6 123" xfId="7655" xr:uid="{367BF66F-16DE-4E64-AF80-65A0562E8A98}"/>
    <cellStyle name="20% - Accent6 124" xfId="7656" xr:uid="{90B4A845-8053-40D0-A24B-F25C90B58A13}"/>
    <cellStyle name="20% - Accent6 125" xfId="7657" xr:uid="{8761F9D9-566E-4B06-8F45-19288A2D44F9}"/>
    <cellStyle name="20% - Accent6 126" xfId="7658" xr:uid="{2D084A32-505E-4949-A189-7A12C107C739}"/>
    <cellStyle name="20% - Accent6 127" xfId="7659" xr:uid="{99A78B14-FB8A-45B0-A7E0-660A3C72C3BA}"/>
    <cellStyle name="20% - Accent6 128" xfId="7660" xr:uid="{FB461E3A-FA9F-4379-AFF7-D88AE66632DA}"/>
    <cellStyle name="20% - Accent6 129" xfId="7661" xr:uid="{D14315A3-CFA2-4178-A955-3928B9E9F259}"/>
    <cellStyle name="20% - Accent6 13" xfId="7662" xr:uid="{1946E1F4-C7EF-4D88-B401-83E1EA0F6B61}"/>
    <cellStyle name="20% - Accent6 13 2" xfId="7663" xr:uid="{00448E9F-CF89-4D37-BF4E-F35790E35466}"/>
    <cellStyle name="20% - Accent6 13 2 2" xfId="7664" xr:uid="{F8A4E11D-D5F7-4636-A02C-BFB5CE09AB45}"/>
    <cellStyle name="20% - Accent6 13 2 2 2" xfId="36492" xr:uid="{028E4D66-BC4C-4A34-A2DD-32DD1C7D23DB}"/>
    <cellStyle name="20% - Accent6 13 2 3" xfId="36493" xr:uid="{550ECB03-BBDE-4882-AE0F-98C85CEC3979}"/>
    <cellStyle name="20% - Accent6 13 3" xfId="7665" xr:uid="{10B825FF-6760-457C-8E31-3353DF7ABED4}"/>
    <cellStyle name="20% - Accent6 13 3 2" xfId="36494" xr:uid="{8C48265E-FB07-4953-8D84-6A5D3BB9AAA1}"/>
    <cellStyle name="20% - Accent6 13 4" xfId="36495" xr:uid="{2D001C7D-7202-41FF-9629-D4252BCA97E7}"/>
    <cellStyle name="20% - Accent6 13 5" xfId="36496" xr:uid="{419BA131-44AC-4A0F-BB81-2CE713B2AB78}"/>
    <cellStyle name="20% - Accent6 13 6" xfId="36497" xr:uid="{197F620E-E868-44AF-9237-5A8141511FD3}"/>
    <cellStyle name="20% - Accent6 130" xfId="7666" xr:uid="{54090C73-D7F7-4E87-86E9-9FFE97940E26}"/>
    <cellStyle name="20% - Accent6 131" xfId="7667" xr:uid="{913588EF-9678-4B33-B6B1-65EE31AFED1D}"/>
    <cellStyle name="20% - Accent6 132" xfId="7668" xr:uid="{B2BE8A37-ADCD-4D68-B4B6-3C9CCD93E630}"/>
    <cellStyle name="20% - Accent6 133" xfId="7669" xr:uid="{8C8FCB74-02B9-480E-8451-9FA669C51DE5}"/>
    <cellStyle name="20% - Accent6 134" xfId="7670" xr:uid="{A3CDEF1A-D045-426F-B374-2FAF69664201}"/>
    <cellStyle name="20% - Accent6 135" xfId="7671" xr:uid="{F45EAB4E-B1E5-4492-91A1-621D32D4388B}"/>
    <cellStyle name="20% - Accent6 136" xfId="7672" xr:uid="{36AA6A72-6D68-458D-8F45-621D13D79142}"/>
    <cellStyle name="20% - Accent6 137" xfId="7673" xr:uid="{CC65731E-65C6-4909-9C27-7A41EF4649F3}"/>
    <cellStyle name="20% - Accent6 138" xfId="7674" xr:uid="{D1488C63-FBE4-4ADD-8766-44468DFCC7BF}"/>
    <cellStyle name="20% - Accent6 139" xfId="7675" xr:uid="{3A6A940C-0660-4B61-9DC0-36ED428ABD22}"/>
    <cellStyle name="20% - Accent6 14" xfId="7676" xr:uid="{B2A7CBC1-008A-4D14-8217-214625FAAE4D}"/>
    <cellStyle name="20% - Accent6 14 2" xfId="7677" xr:uid="{D9F04871-6C82-4B02-90B3-A6B925C1C8DB}"/>
    <cellStyle name="20% - Accent6 14 2 2" xfId="7678" xr:uid="{63224BB2-9A4C-4246-9F98-6907F83F9D14}"/>
    <cellStyle name="20% - Accent6 14 2 2 2" xfId="36498" xr:uid="{89CD3A95-0D3E-4CB3-A2A4-B5E730723B41}"/>
    <cellStyle name="20% - Accent6 14 2 3" xfId="36499" xr:uid="{AF670850-B7C5-424D-A3DE-C76B21000C10}"/>
    <cellStyle name="20% - Accent6 14 3" xfId="7679" xr:uid="{3150C175-07F8-4AA3-A5EE-5C061023A017}"/>
    <cellStyle name="20% - Accent6 14 3 2" xfId="36500" xr:uid="{2FB37343-0FA6-4A40-B305-1960D6E31F3E}"/>
    <cellStyle name="20% - Accent6 14 4" xfId="36501" xr:uid="{D3978AD7-B11F-4402-B944-1490B27AE8CD}"/>
    <cellStyle name="20% - Accent6 14 5" xfId="36502" xr:uid="{81DAF258-7491-4CD4-B7CB-F9D623887170}"/>
    <cellStyle name="20% - Accent6 14 6" xfId="36503" xr:uid="{27B12444-D981-4C74-9B4A-DFB6F773F581}"/>
    <cellStyle name="20% - Accent6 140" xfId="7680" xr:uid="{624A9403-05C7-4331-951D-733C08367FA4}"/>
    <cellStyle name="20% - Accent6 141" xfId="7681" xr:uid="{F3FCFEE0-88FC-44E9-9096-9D94E864D283}"/>
    <cellStyle name="20% - Accent6 142" xfId="7682" xr:uid="{23DD77C9-D83F-42C7-AB52-482D188FA031}"/>
    <cellStyle name="20% - Accent6 143" xfId="7683" xr:uid="{9428B089-ACC7-4F02-8687-16388384A7C6}"/>
    <cellStyle name="20% - Accent6 144" xfId="7684" xr:uid="{0C32455A-0C21-41CD-87E8-E753A53484CC}"/>
    <cellStyle name="20% - Accent6 145" xfId="7685" xr:uid="{F096C913-F540-48AA-8AD2-1C1BCBD1247B}"/>
    <cellStyle name="20% - Accent6 146" xfId="7686" xr:uid="{4BC2613E-9009-4B4E-B00F-61E7286E46A3}"/>
    <cellStyle name="20% - Accent6 147" xfId="7687" xr:uid="{BD19FF40-E2B2-474F-AD9D-F597AE5F6E7C}"/>
    <cellStyle name="20% - Accent6 148" xfId="7688" xr:uid="{2E963A3C-D8EB-40C8-A4F9-CEA504990ADB}"/>
    <cellStyle name="20% - Accent6 149" xfId="7689" xr:uid="{28616E5A-7FA9-4100-84C4-B62F4C4ECE7D}"/>
    <cellStyle name="20% - Accent6 15" xfId="7690" xr:uid="{054E7301-7185-44FD-91C7-F9C078C181A8}"/>
    <cellStyle name="20% - Accent6 15 2" xfId="7691" xr:uid="{DED0C599-2E30-4AF6-A9E1-C575114C1262}"/>
    <cellStyle name="20% - Accent6 15 2 2" xfId="7692" xr:uid="{7CC79621-B232-4A00-B392-A7E80211AF7D}"/>
    <cellStyle name="20% - Accent6 15 2 2 2" xfId="36504" xr:uid="{BFC123B6-0890-4007-A995-A7FE94085C00}"/>
    <cellStyle name="20% - Accent6 15 2 3" xfId="36505" xr:uid="{A3AAFA50-1156-4050-9B66-1426960D66F6}"/>
    <cellStyle name="20% - Accent6 15 3" xfId="7693" xr:uid="{388A6023-B64A-4815-91CC-7D65D81E0B1E}"/>
    <cellStyle name="20% - Accent6 15 3 2" xfId="36506" xr:uid="{0C0341C4-0BED-40EF-85B7-D03D3CDDF8F5}"/>
    <cellStyle name="20% - Accent6 15 4" xfId="36507" xr:uid="{AE339963-0D47-4B16-9D54-090DDD3524EA}"/>
    <cellStyle name="20% - Accent6 15 5" xfId="36508" xr:uid="{CAAB8888-1719-4741-8C2A-FF0D776712BF}"/>
    <cellStyle name="20% - Accent6 15 6" xfId="36509" xr:uid="{77D56EE6-4C96-458C-84A3-B34891214DE4}"/>
    <cellStyle name="20% - Accent6 150" xfId="7694" xr:uid="{CEDF8572-23F3-434B-9662-646D48DE237A}"/>
    <cellStyle name="20% - Accent6 151" xfId="7695" xr:uid="{8391DF99-1E45-425F-A3E1-3436EBDB4EC4}"/>
    <cellStyle name="20% - Accent6 152" xfId="7696" xr:uid="{A07AE7AA-3C4E-44DD-9F3F-FCA86EB999D8}"/>
    <cellStyle name="20% - Accent6 153" xfId="7697" xr:uid="{FC06D5BD-1CAD-468E-A53B-3A23AEC00C75}"/>
    <cellStyle name="20% - Accent6 154" xfId="7698" xr:uid="{EB796D70-C526-4A86-8BE0-E3FEB9F5B52E}"/>
    <cellStyle name="20% - Accent6 155" xfId="7699" xr:uid="{1F8D65DD-C148-4482-87C0-E8B6086EB690}"/>
    <cellStyle name="20% - Accent6 156" xfId="7700" xr:uid="{09C4FAFC-0EA9-428C-852D-32CBDB0E4283}"/>
    <cellStyle name="20% - Accent6 157" xfId="7701" xr:uid="{6E55DA91-5279-4F36-983A-3EA7CE17BE2C}"/>
    <cellStyle name="20% - Accent6 158" xfId="7702" xr:uid="{65A0A184-8606-4286-93F7-56EAF6863FCF}"/>
    <cellStyle name="20% - Accent6 159" xfId="7703" xr:uid="{5AF099CB-69FC-4996-9E27-557828F912DE}"/>
    <cellStyle name="20% - Accent6 16" xfId="7704" xr:uid="{4C5348E0-7EC2-45C5-92D4-A650F86B85A4}"/>
    <cellStyle name="20% - Accent6 16 2" xfId="7705" xr:uid="{96302C26-9CDF-4E8F-856D-0E193DA09B91}"/>
    <cellStyle name="20% - Accent6 16 2 2" xfId="7706" xr:uid="{77F8A46F-6ABC-4C31-9B29-CF199F9BF92A}"/>
    <cellStyle name="20% - Accent6 16 2 2 2" xfId="36510" xr:uid="{3DB23139-9535-4B1A-A423-B56779AC2F19}"/>
    <cellStyle name="20% - Accent6 16 2 3" xfId="36511" xr:uid="{C8DD0B3B-D64F-413A-92F7-81760459AAAE}"/>
    <cellStyle name="20% - Accent6 16 3" xfId="7707" xr:uid="{417982A5-BFE4-4736-B1DF-90864BC6B45E}"/>
    <cellStyle name="20% - Accent6 16 3 2" xfId="36512" xr:uid="{1A50B4C2-D26D-4819-AA57-2629C919704D}"/>
    <cellStyle name="20% - Accent6 16 4" xfId="36513" xr:uid="{B3448F24-5EAD-4723-8BC7-020C07D6B407}"/>
    <cellStyle name="20% - Accent6 16 5" xfId="36514" xr:uid="{4F07B50A-2857-4E5B-B57E-9B6202AA3695}"/>
    <cellStyle name="20% - Accent6 16 6" xfId="36515" xr:uid="{4625062A-1CDD-4699-9F0A-214F9AB8BAB5}"/>
    <cellStyle name="20% - Accent6 160" xfId="7708" xr:uid="{D33C3890-C4D1-411D-8DFB-4581DCFD84ED}"/>
    <cellStyle name="20% - Accent6 17" xfId="7709" xr:uid="{3F82C4AA-5CC6-42E4-898F-918F9CF8BABD}"/>
    <cellStyle name="20% - Accent6 17 2" xfId="7710" xr:uid="{B4856062-59FE-404A-8289-E97B985DC05B}"/>
    <cellStyle name="20% - Accent6 17 2 2" xfId="7711" xr:uid="{8848109F-1E9E-4F37-8CB1-2BE50E48FE6B}"/>
    <cellStyle name="20% - Accent6 17 2 2 2" xfId="36516" xr:uid="{9F8A5AEE-77A5-42C6-8ED1-FDCE2CDC6C29}"/>
    <cellStyle name="20% - Accent6 17 2 3" xfId="36517" xr:uid="{C0C03A27-F78D-4C3D-ADE2-CB6E4D53879D}"/>
    <cellStyle name="20% - Accent6 17 3" xfId="7712" xr:uid="{D5BE6431-C4B8-491A-AFD1-31BD346F8F59}"/>
    <cellStyle name="20% - Accent6 17 3 2" xfId="36518" xr:uid="{A3C62B36-63D4-45F8-AD3B-9840DB4EC826}"/>
    <cellStyle name="20% - Accent6 17 4" xfId="36519" xr:uid="{BE0E4BFD-4DE1-4BDC-A48B-26E2463DF8C5}"/>
    <cellStyle name="20% - Accent6 17 5" xfId="36520" xr:uid="{4D15C469-14B3-4E6A-B5FC-CDBE5896B0D3}"/>
    <cellStyle name="20% - Accent6 17 6" xfId="36521" xr:uid="{536BD80F-4B9F-42B0-94A1-6B02A2C7F1D6}"/>
    <cellStyle name="20% - Accent6 18" xfId="7713" xr:uid="{340200F6-8512-426E-AEEC-115B155723A4}"/>
    <cellStyle name="20% - Accent6 18 2" xfId="7714" xr:uid="{EF68E68C-5E99-402B-9A4B-EBB690F54720}"/>
    <cellStyle name="20% - Accent6 18 2 2" xfId="7715" xr:uid="{63A01774-1791-4686-8CD7-987B3D94B62E}"/>
    <cellStyle name="20% - Accent6 18 2 2 2" xfId="36522" xr:uid="{AA472FEA-E240-49A3-B719-1152A10D4F7E}"/>
    <cellStyle name="20% - Accent6 18 2 3" xfId="36523" xr:uid="{632DD93C-6D22-416F-A8C9-93C1A66912ED}"/>
    <cellStyle name="20% - Accent6 18 3" xfId="7716" xr:uid="{D6663FFE-733B-4E4C-88C9-2746D5842326}"/>
    <cellStyle name="20% - Accent6 18 3 2" xfId="36524" xr:uid="{846A6413-293F-4DB5-AD4A-4820A2ABCA8F}"/>
    <cellStyle name="20% - Accent6 18 4" xfId="36525" xr:uid="{47CA9F29-9ADC-49FB-BEB1-04E5D7439A47}"/>
    <cellStyle name="20% - Accent6 18 5" xfId="36526" xr:uid="{6F5D78CB-86C0-4AE7-8365-8939F2F26424}"/>
    <cellStyle name="20% - Accent6 18 6" xfId="36527" xr:uid="{97041425-6953-4433-B46C-BCC67A4D11D8}"/>
    <cellStyle name="20% - Accent6 19" xfId="7717" xr:uid="{4C4DA5A8-7EC1-48BE-A575-16BB821A2EB9}"/>
    <cellStyle name="20% - Accent6 19 2" xfId="7718" xr:uid="{AAE3ED78-F739-4FA6-8C5C-D98D28795A8D}"/>
    <cellStyle name="20% - Accent6 19 2 2" xfId="36528" xr:uid="{195C8100-C0D1-4771-B273-C1E87FDC63C3}"/>
    <cellStyle name="20% - Accent6 19 3" xfId="36529" xr:uid="{66EB58B6-9A0B-4F52-994B-726A5B1A3EAB}"/>
    <cellStyle name="20% - Accent6 19 4" xfId="36530" xr:uid="{EA3EFD10-D9CE-4890-AB90-BAF274123292}"/>
    <cellStyle name="20% - Accent6 19 5" xfId="36531" xr:uid="{A27310FD-8808-46E3-9EB6-6B56D97D6551}"/>
    <cellStyle name="20% - Accent6 2" xfId="7719" xr:uid="{0827AEBC-B46D-478C-B7CA-E8D2D43E42A9}"/>
    <cellStyle name="20% - Accent6 2 2" xfId="7720" xr:uid="{1DAA71E0-3926-4D7B-86A9-689D0DF1B614}"/>
    <cellStyle name="20% - Accent6 2 2 2" xfId="7721" xr:uid="{10367EF9-D882-482C-9A32-33796FEDFAEC}"/>
    <cellStyle name="20% - Accent6 2 2 2 2" xfId="36532" xr:uid="{D111E186-7FA3-4956-99A6-EA8BEC4F40DE}"/>
    <cellStyle name="20% - Accent6 2 2 3" xfId="36533" xr:uid="{FEA318CA-B6C3-4172-9994-DE297175EB63}"/>
    <cellStyle name="20% - Accent6 2 2 4" xfId="36534" xr:uid="{96DBB9FC-2002-4126-AD8B-6F582CDA044B}"/>
    <cellStyle name="20% - Accent6 2 3" xfId="7722" xr:uid="{B192B0F8-58CD-4313-B1A1-BCCC1FFF141D}"/>
    <cellStyle name="20% - Accent6 2 3 2" xfId="36535" xr:uid="{E28CDC31-B59F-4D69-825C-8990E095C137}"/>
    <cellStyle name="20% - Accent6 2 3 3" xfId="36536" xr:uid="{367E1EBF-5CFF-4026-9B39-371A84D1B5BF}"/>
    <cellStyle name="20% - Accent6 2 3 4" xfId="36537" xr:uid="{8D5F02DD-015E-4460-9CCB-DF4A562BF277}"/>
    <cellStyle name="20% - Accent6 2 4" xfId="7723" xr:uid="{B4C9DD17-2C7F-4FD1-8B8E-9EB96206CE41}"/>
    <cellStyle name="20% - Accent6 2 4 2" xfId="36538" xr:uid="{DB3945D6-918F-4A93-B5C0-393DDA101057}"/>
    <cellStyle name="20% - Accent6 2 5" xfId="36539" xr:uid="{F5E81E21-82DF-4978-9811-43A4F07080BA}"/>
    <cellStyle name="20% - Accent6 2 6" xfId="36540" xr:uid="{C66B3F85-53B5-4262-BEB9-0C81AA8AB0D4}"/>
    <cellStyle name="20% - Accent6 2_Jun 11 details" xfId="7724" xr:uid="{994773FB-5A2D-4FB2-BCAE-AE0DFA43459B}"/>
    <cellStyle name="20% - Accent6 20" xfId="7725" xr:uid="{63738836-A80B-4167-8084-9D741F0195B2}"/>
    <cellStyle name="20% - Accent6 20 2" xfId="36541" xr:uid="{0AD4040A-5B05-4C86-AD39-759B9CAD14A0}"/>
    <cellStyle name="20% - Accent6 20 3" xfId="36542" xr:uid="{9F62958A-D705-4561-B2E0-877D91202A41}"/>
    <cellStyle name="20% - Accent6 20 4" xfId="36543" xr:uid="{80FB6473-B024-48B0-9013-1DE4828C7DC5}"/>
    <cellStyle name="20% - Accent6 21" xfId="7726" xr:uid="{F50E5790-5494-4B07-B6CF-A66168FCEFE7}"/>
    <cellStyle name="20% - Accent6 21 2" xfId="36544" xr:uid="{C498FBC5-D71E-40B9-9C7C-5B1B1DDE3E5D}"/>
    <cellStyle name="20% - Accent6 21 3" xfId="36545" xr:uid="{F5FC3A38-E698-4B60-A7FD-90CE47730595}"/>
    <cellStyle name="20% - Accent6 22" xfId="7727" xr:uid="{91229C78-3FE9-4515-A6F0-74957D407F04}"/>
    <cellStyle name="20% - Accent6 22 2" xfId="36546" xr:uid="{6961A5B3-C7DC-4B8A-8F29-8EA31B0A37A1}"/>
    <cellStyle name="20% - Accent6 22 3" xfId="36547" xr:uid="{6CD86785-93E1-4598-891E-7A6F4880DCC7}"/>
    <cellStyle name="20% - Accent6 23" xfId="7728" xr:uid="{FD611F19-1CA2-4BE0-997B-EF699DC84B77}"/>
    <cellStyle name="20% - Accent6 23 2" xfId="36548" xr:uid="{C79B4832-BC5D-402A-AC39-75F30D4B7921}"/>
    <cellStyle name="20% - Accent6 24" xfId="7729" xr:uid="{EA6461CF-7155-4AEB-98B4-A903CC13B9B0}"/>
    <cellStyle name="20% - Accent6 24 2" xfId="36549" xr:uid="{A44215ED-5D90-4BB7-BE4E-2CD592DABAC0}"/>
    <cellStyle name="20% - Accent6 25" xfId="7730" xr:uid="{2217AD00-225A-4F87-A993-18B411CC456C}"/>
    <cellStyle name="20% - Accent6 25 2" xfId="36550" xr:uid="{E6CC60F5-953C-438A-A6B3-B5ABBC1673EA}"/>
    <cellStyle name="20% - Accent6 26" xfId="7731" xr:uid="{AAD63A63-7957-46DB-8A31-5D21C18CDC2C}"/>
    <cellStyle name="20% - Accent6 26 2" xfId="36551" xr:uid="{D624767E-7FEC-465C-9409-1659C1811ECF}"/>
    <cellStyle name="20% - Accent6 27" xfId="7732" xr:uid="{22F598A7-1C3D-4432-89E2-4EF74B0E4265}"/>
    <cellStyle name="20% - Accent6 27 2" xfId="36552" xr:uid="{A8A0C598-C635-419B-80C6-9A408226E97F}"/>
    <cellStyle name="20% - Accent6 28" xfId="7733" xr:uid="{D3EE31DE-C0AB-4D4D-BE66-E1A907A5FF12}"/>
    <cellStyle name="20% - Accent6 28 10" xfId="7734" xr:uid="{B6BEF270-FFF2-4556-9BED-C61E76127ED1}"/>
    <cellStyle name="20% - Accent6 28 10 2" xfId="7735" xr:uid="{A00E7C88-66D8-4C7F-A082-09BFEF87BB8E}"/>
    <cellStyle name="20% - Accent6 28 10 2 2" xfId="7736" xr:uid="{DDA1B86C-A902-4B1B-BED5-91BF9962AE7E}"/>
    <cellStyle name="20% - Accent6 28 10 2 2 2" xfId="7737" xr:uid="{71263CE2-913C-48A5-B316-C001987F85C6}"/>
    <cellStyle name="20% - Accent6 28 10 2 2 2 2" xfId="7738" xr:uid="{9306C666-95F4-4E27-AA46-7A3C2E43C4B4}"/>
    <cellStyle name="20% - Accent6 28 10 2 2 3" xfId="7739" xr:uid="{DBA66B30-801B-4A7E-82A6-72364A982387}"/>
    <cellStyle name="20% - Accent6 28 10 2 3" xfId="7740" xr:uid="{00EA0AF7-F42A-4F31-BB43-BBD31D672272}"/>
    <cellStyle name="20% - Accent6 28 10 2 3 2" xfId="7741" xr:uid="{8EC73C89-C09E-459B-BDD0-6C9CFB8946C9}"/>
    <cellStyle name="20% - Accent6 28 10 2 3 2 2" xfId="7742" xr:uid="{CD3E6896-C710-41AA-A01C-FBD1BE77C2FB}"/>
    <cellStyle name="20% - Accent6 28 10 2 3 3" xfId="7743" xr:uid="{5F43DB02-4F3A-4879-8079-5E4DE5D4BE0E}"/>
    <cellStyle name="20% - Accent6 28 10 2 4" xfId="7744" xr:uid="{F963DFC8-C3C3-4CEC-939E-0FDBA673B212}"/>
    <cellStyle name="20% - Accent6 28 10 2 4 2" xfId="7745" xr:uid="{9A6B9048-3425-4821-98B8-229370EF4960}"/>
    <cellStyle name="20% - Accent6 28 10 2 5" xfId="7746" xr:uid="{716CC038-F71B-4858-B657-C3DE5795EE1C}"/>
    <cellStyle name="20% - Accent6 28 10 3" xfId="7747" xr:uid="{3F7835D9-7F3D-4A3D-A759-12BED41AA104}"/>
    <cellStyle name="20% - Accent6 28 10 3 2" xfId="7748" xr:uid="{1654ECF1-91F0-41E2-A4DF-5E886E38E468}"/>
    <cellStyle name="20% - Accent6 28 10 3 2 2" xfId="7749" xr:uid="{C7533403-CA31-4AE6-85B9-354A76290CCC}"/>
    <cellStyle name="20% - Accent6 28 10 3 3" xfId="7750" xr:uid="{2EDD3847-F0CD-485E-90EF-6D6BEA042D44}"/>
    <cellStyle name="20% - Accent6 28 10 4" xfId="7751" xr:uid="{529DC4DA-7FC7-44DF-BAA7-362BE143D80B}"/>
    <cellStyle name="20% - Accent6 28 10 4 2" xfId="7752" xr:uid="{99279DF0-74F5-4F7C-B4E9-CACF3DBF03F6}"/>
    <cellStyle name="20% - Accent6 28 10 4 2 2" xfId="7753" xr:uid="{EA49514C-82CC-42CF-82EB-A35865E15CB3}"/>
    <cellStyle name="20% - Accent6 28 10 4 3" xfId="7754" xr:uid="{14FBFAF1-C738-4A08-992C-F8991418B5A0}"/>
    <cellStyle name="20% - Accent6 28 10 5" xfId="7755" xr:uid="{3108E30B-D1B6-448C-A6F9-F307E5617BAB}"/>
    <cellStyle name="20% - Accent6 28 10 5 2" xfId="7756" xr:uid="{DA32148C-9689-4BAA-8103-CE2A35E24E4A}"/>
    <cellStyle name="20% - Accent6 28 10 6" xfId="7757" xr:uid="{D9F13D98-1DD8-4B9E-AF59-FC03821A40F6}"/>
    <cellStyle name="20% - Accent6 28 11" xfId="7758" xr:uid="{579E26D4-4BCB-4AC9-AC88-05B8560EE46E}"/>
    <cellStyle name="20% - Accent6 28 11 2" xfId="7759" xr:uid="{09674F01-0D58-40FE-A8A8-B308B41E3FCB}"/>
    <cellStyle name="20% - Accent6 28 11 2 2" xfId="7760" xr:uid="{EBA1BD59-70FF-4D51-A867-E659C6FF6C48}"/>
    <cellStyle name="20% - Accent6 28 11 2 2 2" xfId="7761" xr:uid="{38C659C0-A056-4FB1-83F6-9B21FA7B6E94}"/>
    <cellStyle name="20% - Accent6 28 11 2 3" xfId="7762" xr:uid="{C2974279-D1B4-4F32-B2B8-339E75890C82}"/>
    <cellStyle name="20% - Accent6 28 11 3" xfId="7763" xr:uid="{A7C8BE87-BC46-4BC8-8597-42FAE6EFA0A8}"/>
    <cellStyle name="20% - Accent6 28 11 3 2" xfId="7764" xr:uid="{539DAD59-3489-4D73-9529-E7A13BB33BAC}"/>
    <cellStyle name="20% - Accent6 28 11 3 2 2" xfId="7765" xr:uid="{03F6C0C3-FA42-4916-A44B-79053141CACF}"/>
    <cellStyle name="20% - Accent6 28 11 3 3" xfId="7766" xr:uid="{A2918D2E-CE89-4001-87D1-4676E51632EB}"/>
    <cellStyle name="20% - Accent6 28 11 4" xfId="7767" xr:uid="{A5F2E881-B81F-4E72-A043-256BA94C6C09}"/>
    <cellStyle name="20% - Accent6 28 11 4 2" xfId="7768" xr:uid="{0CA8500A-BDD7-4D2C-B238-52A8AEA833F6}"/>
    <cellStyle name="20% - Accent6 28 11 5" xfId="7769" xr:uid="{462C8017-8DA2-4BBF-9749-5E5AD72174E0}"/>
    <cellStyle name="20% - Accent6 28 12" xfId="7770" xr:uid="{0A7E1E68-936C-444D-9F76-2BDD65696AA5}"/>
    <cellStyle name="20% - Accent6 28 12 2" xfId="7771" xr:uid="{CFDDF97E-E2C1-4D52-BF95-24D3E517570A}"/>
    <cellStyle name="20% - Accent6 28 12 2 2" xfId="7772" xr:uid="{2562AFC6-D8C9-4110-ADCD-FB1A5173058B}"/>
    <cellStyle name="20% - Accent6 28 12 3" xfId="7773" xr:uid="{E08D65D9-F1AA-49DA-9761-F9769FEBEB09}"/>
    <cellStyle name="20% - Accent6 28 13" xfId="7774" xr:uid="{5CF9C5C9-70D4-4746-B3D7-7EBA18E61DE9}"/>
    <cellStyle name="20% - Accent6 28 13 2" xfId="7775" xr:uid="{2CED7B7F-0268-4C26-987C-9F05E3B3AA9E}"/>
    <cellStyle name="20% - Accent6 28 13 2 2" xfId="7776" xr:uid="{7C2D0BAB-0AF5-4842-A353-15030A81A73F}"/>
    <cellStyle name="20% - Accent6 28 13 3" xfId="7777" xr:uid="{86AB107F-D3F0-4122-9DBF-BFF1C8F4970A}"/>
    <cellStyle name="20% - Accent6 28 14" xfId="7778" xr:uid="{A93891C7-C05D-4887-8FED-28F15142BADC}"/>
    <cellStyle name="20% - Accent6 28 14 2" xfId="7779" xr:uid="{85D5193F-F67F-428D-A9FA-AC1F25CCE864}"/>
    <cellStyle name="20% - Accent6 28 15" xfId="7780" xr:uid="{EC845811-0F13-42ED-AEAB-9F7655D0BCE9}"/>
    <cellStyle name="20% - Accent6 28 16" xfId="36553" xr:uid="{68F2F78A-9845-4CFD-AFD0-DAA43D54CB4D}"/>
    <cellStyle name="20% - Accent6 28 2" xfId="7781" xr:uid="{B0E4F679-4581-438B-84B8-6963647963B7}"/>
    <cellStyle name="20% - Accent6 28 2 2" xfId="7782" xr:uid="{AD94AF1B-DBF1-4399-BD94-FC2784D47813}"/>
    <cellStyle name="20% - Accent6 28 2 2 2" xfId="7783" xr:uid="{F0F63788-13E9-425F-B92D-BAE1A843B83E}"/>
    <cellStyle name="20% - Accent6 28 2 2 2 2" xfId="7784" xr:uid="{DEF33D73-9B79-4F34-BF26-721CCA93780A}"/>
    <cellStyle name="20% - Accent6 28 2 2 2 2 2" xfId="7785" xr:uid="{3E7295D3-F998-4324-B1F1-9156B04AD941}"/>
    <cellStyle name="20% - Accent6 28 2 2 2 3" xfId="7786" xr:uid="{55E40DD6-E29D-4795-B39E-9BBF3DC7789A}"/>
    <cellStyle name="20% - Accent6 28 2 2 3" xfId="7787" xr:uid="{FB028010-4840-4554-AC34-5CD726280A68}"/>
    <cellStyle name="20% - Accent6 28 2 2 3 2" xfId="7788" xr:uid="{9139D0EE-D21E-47AE-9EA7-5BFF7B38A416}"/>
    <cellStyle name="20% - Accent6 28 2 2 3 2 2" xfId="7789" xr:uid="{0872EE41-1657-40A7-AF2B-F440AC4DEFD2}"/>
    <cellStyle name="20% - Accent6 28 2 2 3 3" xfId="7790" xr:uid="{DEE65E71-160A-4C29-9692-DF08B4351AA0}"/>
    <cellStyle name="20% - Accent6 28 2 2 4" xfId="7791" xr:uid="{BF24CAA2-0F0B-47E3-B698-7B7CA72D8FF6}"/>
    <cellStyle name="20% - Accent6 28 2 2 4 2" xfId="7792" xr:uid="{88E3CA6A-493B-49E3-828D-31C2629B914F}"/>
    <cellStyle name="20% - Accent6 28 2 2 5" xfId="7793" xr:uid="{DEAD74F0-3E28-42C2-8271-972C7BFEC625}"/>
    <cellStyle name="20% - Accent6 28 2 3" xfId="7794" xr:uid="{66C93838-31FA-458C-A8AC-4D9B05BB73AC}"/>
    <cellStyle name="20% - Accent6 28 2 3 2" xfId="7795" xr:uid="{DC0FBE6D-04BD-431F-9F14-13CDD9CCAB7A}"/>
    <cellStyle name="20% - Accent6 28 2 3 2 2" xfId="7796" xr:uid="{C894DBF7-683A-4E0B-AE08-038C863ECC9A}"/>
    <cellStyle name="20% - Accent6 28 2 3 3" xfId="7797" xr:uid="{9D760C8C-9DD9-452A-86B6-A37AB20C73CA}"/>
    <cellStyle name="20% - Accent6 28 2 4" xfId="7798" xr:uid="{73E3301A-480B-4C0F-BDAE-826AFE1628FF}"/>
    <cellStyle name="20% - Accent6 28 2 4 2" xfId="7799" xr:uid="{CC10BBA8-A4B6-4533-9E7A-C41BFF63C0CB}"/>
    <cellStyle name="20% - Accent6 28 2 4 2 2" xfId="7800" xr:uid="{7B529B88-52DE-4136-A42E-ABA8126EB2A0}"/>
    <cellStyle name="20% - Accent6 28 2 4 3" xfId="7801" xr:uid="{F6601F6D-2752-444E-A754-239242B59EFB}"/>
    <cellStyle name="20% - Accent6 28 2 5" xfId="7802" xr:uid="{71E69EBC-006D-41E2-9DFC-0656493E5919}"/>
    <cellStyle name="20% - Accent6 28 2 5 2" xfId="7803" xr:uid="{6F81930F-2F8E-4370-91CB-30848D309F32}"/>
    <cellStyle name="20% - Accent6 28 2 6" xfId="7804" xr:uid="{28E8649B-E3A1-4562-9A42-4C5A9791DC4B}"/>
    <cellStyle name="20% - Accent6 28 3" xfId="7805" xr:uid="{7752ED44-083D-4205-BC34-23797A453D32}"/>
    <cellStyle name="20% - Accent6 28 3 2" xfId="7806" xr:uid="{5A8B7043-AB29-4972-A428-C0F510928D34}"/>
    <cellStyle name="20% - Accent6 28 3 2 2" xfId="7807" xr:uid="{1575138E-EE0C-439E-865C-3242934729ED}"/>
    <cellStyle name="20% - Accent6 28 3 2 2 2" xfId="7808" xr:uid="{AFB8F467-D508-4319-8CE8-CCAD3B5C168B}"/>
    <cellStyle name="20% - Accent6 28 3 2 2 2 2" xfId="7809" xr:uid="{A1D6105B-C112-4749-9C43-80B8D839BD1F}"/>
    <cellStyle name="20% - Accent6 28 3 2 2 3" xfId="7810" xr:uid="{0936905A-583D-4D0B-8F28-6FDA241AE055}"/>
    <cellStyle name="20% - Accent6 28 3 2 3" xfId="7811" xr:uid="{86BF421B-7B35-4585-9B0B-14463C1EA811}"/>
    <cellStyle name="20% - Accent6 28 3 2 3 2" xfId="7812" xr:uid="{FE4F197A-F078-45ED-B104-C5C249D85C6F}"/>
    <cellStyle name="20% - Accent6 28 3 2 3 2 2" xfId="7813" xr:uid="{A85B1598-8931-4EB3-867E-47AA3AF48017}"/>
    <cellStyle name="20% - Accent6 28 3 2 3 3" xfId="7814" xr:uid="{E967C307-09D2-4D9E-A62D-2C3D215308DB}"/>
    <cellStyle name="20% - Accent6 28 3 2 4" xfId="7815" xr:uid="{A49B3070-466B-4F69-8DD1-2263398D68BD}"/>
    <cellStyle name="20% - Accent6 28 3 2 4 2" xfId="7816" xr:uid="{4002C40A-AA34-4648-82C5-924E62989B4F}"/>
    <cellStyle name="20% - Accent6 28 3 2 5" xfId="7817" xr:uid="{515DF58D-25E0-4F70-B0C4-452291BE5825}"/>
    <cellStyle name="20% - Accent6 28 3 3" xfId="7818" xr:uid="{47E26BF5-878F-4A22-9132-683DF5F045F7}"/>
    <cellStyle name="20% - Accent6 28 3 3 2" xfId="7819" xr:uid="{99410FC4-9DD8-42DF-B08E-2DB08E43734B}"/>
    <cellStyle name="20% - Accent6 28 3 3 2 2" xfId="7820" xr:uid="{F0837FFA-A385-4434-8C9B-5B16065B344C}"/>
    <cellStyle name="20% - Accent6 28 3 3 3" xfId="7821" xr:uid="{BFC6F29A-723B-4EB6-ADF9-363C66BDD68E}"/>
    <cellStyle name="20% - Accent6 28 3 4" xfId="7822" xr:uid="{772D0203-A2CC-45CF-A038-7377B035EDAF}"/>
    <cellStyle name="20% - Accent6 28 3 4 2" xfId="7823" xr:uid="{AD0545BE-B91B-4660-ABF6-93C78E327B36}"/>
    <cellStyle name="20% - Accent6 28 3 4 2 2" xfId="7824" xr:uid="{28BBE227-F42A-479D-8C02-146655B8839D}"/>
    <cellStyle name="20% - Accent6 28 3 4 3" xfId="7825" xr:uid="{0BF2EDBB-697F-496D-9877-01C79A8C9A75}"/>
    <cellStyle name="20% - Accent6 28 3 5" xfId="7826" xr:uid="{83D71F63-EDE4-403A-AF20-1C9863F24699}"/>
    <cellStyle name="20% - Accent6 28 3 5 2" xfId="7827" xr:uid="{8C05D5B2-4E5C-49C6-A4D5-8F19AF95F4C8}"/>
    <cellStyle name="20% - Accent6 28 3 6" xfId="7828" xr:uid="{A40810B0-4741-4625-B250-9F6E895232D6}"/>
    <cellStyle name="20% - Accent6 28 4" xfId="7829" xr:uid="{1D54EE7A-3F59-4824-BF38-B0C0F67B1734}"/>
    <cellStyle name="20% - Accent6 28 4 2" xfId="7830" xr:uid="{B5B5B782-3856-4187-BEBF-40D574678792}"/>
    <cellStyle name="20% - Accent6 28 4 2 2" xfId="7831" xr:uid="{5C846563-3454-4131-A2FB-6D5A54F60096}"/>
    <cellStyle name="20% - Accent6 28 4 2 2 2" xfId="7832" xr:uid="{8C0D9962-75CE-4A42-A0B1-5AC55A08F6D7}"/>
    <cellStyle name="20% - Accent6 28 4 2 2 2 2" xfId="7833" xr:uid="{89EF088E-BE0E-4A42-B798-5CE25F43E513}"/>
    <cellStyle name="20% - Accent6 28 4 2 2 3" xfId="7834" xr:uid="{D9CC607A-46AE-4B20-9355-5398AD899752}"/>
    <cellStyle name="20% - Accent6 28 4 2 3" xfId="7835" xr:uid="{876BD860-F0FA-46D7-A904-138208B82EAF}"/>
    <cellStyle name="20% - Accent6 28 4 2 3 2" xfId="7836" xr:uid="{87AAABB9-E6A1-4DFC-8B44-BC24F88C191F}"/>
    <cellStyle name="20% - Accent6 28 4 2 3 2 2" xfId="7837" xr:uid="{B82EA2B1-7E83-463D-A026-177E6324F9B6}"/>
    <cellStyle name="20% - Accent6 28 4 2 3 3" xfId="7838" xr:uid="{F8C2688D-FF0A-429A-AA03-C5EBA5C512BE}"/>
    <cellStyle name="20% - Accent6 28 4 2 4" xfId="7839" xr:uid="{B2EF7A3A-3E45-49D9-894F-ED8BBA5623D6}"/>
    <cellStyle name="20% - Accent6 28 4 2 4 2" xfId="7840" xr:uid="{BC13895F-5078-4638-8563-28C7158E9C11}"/>
    <cellStyle name="20% - Accent6 28 4 2 5" xfId="7841" xr:uid="{8436A676-B1B8-4EE3-9FF7-1AC287904EAE}"/>
    <cellStyle name="20% - Accent6 28 4 3" xfId="7842" xr:uid="{4316F413-FB31-4B1E-8B80-AAD42427368E}"/>
    <cellStyle name="20% - Accent6 28 4 3 2" xfId="7843" xr:uid="{D0CB6A78-C7E1-4B63-A43F-39FC2D3AF313}"/>
    <cellStyle name="20% - Accent6 28 4 3 2 2" xfId="7844" xr:uid="{F0A51474-4B01-4846-89EF-7E4D0A148BBF}"/>
    <cellStyle name="20% - Accent6 28 4 3 3" xfId="7845" xr:uid="{468FA6A7-F514-4175-97E4-AC2B22210D82}"/>
    <cellStyle name="20% - Accent6 28 4 4" xfId="7846" xr:uid="{461CBEDA-2D25-4047-BD3E-74EA56DB3F63}"/>
    <cellStyle name="20% - Accent6 28 4 4 2" xfId="7847" xr:uid="{1AB60844-CAFA-4391-B624-542361E0DB51}"/>
    <cellStyle name="20% - Accent6 28 4 4 2 2" xfId="7848" xr:uid="{28BC4CBC-1FF0-4884-B24D-9BB37570CE5A}"/>
    <cellStyle name="20% - Accent6 28 4 4 3" xfId="7849" xr:uid="{B01DEDA8-9502-4A16-86BB-135ED63A5E99}"/>
    <cellStyle name="20% - Accent6 28 4 5" xfId="7850" xr:uid="{39B2509F-268F-48FE-91C4-BC4870BBFED8}"/>
    <cellStyle name="20% - Accent6 28 4 5 2" xfId="7851" xr:uid="{F1DF61CD-C02C-4E6F-97B4-DCA7F64E8402}"/>
    <cellStyle name="20% - Accent6 28 4 6" xfId="7852" xr:uid="{B44B5321-8CB6-464D-8D74-37A3769D0702}"/>
    <cellStyle name="20% - Accent6 28 5" xfId="7853" xr:uid="{C36CAD2E-51BA-4C6F-8556-C8A377F79A1E}"/>
    <cellStyle name="20% - Accent6 28 5 2" xfId="7854" xr:uid="{B539E1A8-6857-4BA1-8B63-ABB0BE53E76D}"/>
    <cellStyle name="20% - Accent6 28 5 2 2" xfId="7855" xr:uid="{43CACA1E-107B-4336-8EFF-13E32526AA99}"/>
    <cellStyle name="20% - Accent6 28 5 2 2 2" xfId="7856" xr:uid="{D1A2C731-0325-446A-9ADA-E23722A8AAC5}"/>
    <cellStyle name="20% - Accent6 28 5 2 2 2 2" xfId="7857" xr:uid="{47BBD47A-5908-4616-B0AA-F76BE8397EFB}"/>
    <cellStyle name="20% - Accent6 28 5 2 2 3" xfId="7858" xr:uid="{49AE0DA9-F0D1-44B8-BC3A-725CD0753CEF}"/>
    <cellStyle name="20% - Accent6 28 5 2 3" xfId="7859" xr:uid="{28EA453A-F50A-4F1F-9203-CD7C8CB9A16F}"/>
    <cellStyle name="20% - Accent6 28 5 2 3 2" xfId="7860" xr:uid="{C465590F-32CC-44DF-A604-9CB8FD19A0D9}"/>
    <cellStyle name="20% - Accent6 28 5 2 3 2 2" xfId="7861" xr:uid="{814776F4-7306-4603-B6B8-297CF51233A3}"/>
    <cellStyle name="20% - Accent6 28 5 2 3 3" xfId="7862" xr:uid="{10F753E7-BF52-4752-938A-6BB4E4C2FD60}"/>
    <cellStyle name="20% - Accent6 28 5 2 4" xfId="7863" xr:uid="{DE9150F6-DC31-4575-A5AF-B0C9CAF550DC}"/>
    <cellStyle name="20% - Accent6 28 5 2 4 2" xfId="7864" xr:uid="{9C9C88BA-09FD-454A-946F-47A970CC2793}"/>
    <cellStyle name="20% - Accent6 28 5 2 5" xfId="7865" xr:uid="{53B04392-3E71-4C60-893C-A1AAB7664BC6}"/>
    <cellStyle name="20% - Accent6 28 5 3" xfId="7866" xr:uid="{50715F3E-7064-4281-81BC-BC69C23F8E60}"/>
    <cellStyle name="20% - Accent6 28 5 3 2" xfId="7867" xr:uid="{1847F49D-D66E-442B-B59B-EE62324A4645}"/>
    <cellStyle name="20% - Accent6 28 5 3 2 2" xfId="7868" xr:uid="{F48AEF52-011F-4209-A1BE-278C0DC893D8}"/>
    <cellStyle name="20% - Accent6 28 5 3 3" xfId="7869" xr:uid="{FE3D200E-8B3B-45D6-9A18-D4A5946A9348}"/>
    <cellStyle name="20% - Accent6 28 5 4" xfId="7870" xr:uid="{B0C3605B-A696-4F09-A7FD-59792FAFDCBC}"/>
    <cellStyle name="20% - Accent6 28 5 4 2" xfId="7871" xr:uid="{52F4E0D8-EA75-4558-9EE4-01393076AE47}"/>
    <cellStyle name="20% - Accent6 28 5 4 2 2" xfId="7872" xr:uid="{EC49FE32-3724-44F4-AE6D-F194F022FB52}"/>
    <cellStyle name="20% - Accent6 28 5 4 3" xfId="7873" xr:uid="{AFD4AB5D-1D6F-48F7-965E-FC7EA15A74A7}"/>
    <cellStyle name="20% - Accent6 28 5 5" xfId="7874" xr:uid="{54E94C81-49C4-4131-8E80-368CEA7E54CF}"/>
    <cellStyle name="20% - Accent6 28 5 5 2" xfId="7875" xr:uid="{7DB95F5D-6712-49B0-A3DF-BDE38F61237F}"/>
    <cellStyle name="20% - Accent6 28 5 6" xfId="7876" xr:uid="{14E344A1-F5DE-4847-A986-52F50539C25F}"/>
    <cellStyle name="20% - Accent6 28 6" xfId="7877" xr:uid="{CE47DA82-D0D6-4235-B0B6-70F09FCCD4BC}"/>
    <cellStyle name="20% - Accent6 28 6 2" xfId="7878" xr:uid="{8FAFEA21-3A0B-4D0F-B255-1F9B0C17F25F}"/>
    <cellStyle name="20% - Accent6 28 6 2 2" xfId="7879" xr:uid="{FAE87552-0155-47D6-8AFD-9AE5FD271F1A}"/>
    <cellStyle name="20% - Accent6 28 6 2 2 2" xfId="7880" xr:uid="{6A772F36-8744-44AF-BE19-BBB0148D269C}"/>
    <cellStyle name="20% - Accent6 28 6 2 2 2 2" xfId="7881" xr:uid="{0ADA2F60-6ABD-4356-A3E7-623E6738D9EA}"/>
    <cellStyle name="20% - Accent6 28 6 2 2 3" xfId="7882" xr:uid="{0A93F30D-111D-49B6-81A8-CC4BF680AAA6}"/>
    <cellStyle name="20% - Accent6 28 6 2 3" xfId="7883" xr:uid="{FB269617-9067-4215-9B73-62430B857D96}"/>
    <cellStyle name="20% - Accent6 28 6 2 3 2" xfId="7884" xr:uid="{A13DC302-ABAE-44BE-BBC8-152BFF2059B8}"/>
    <cellStyle name="20% - Accent6 28 6 2 3 2 2" xfId="7885" xr:uid="{60A9AE07-BEF1-4977-8FD9-A76EBB90D100}"/>
    <cellStyle name="20% - Accent6 28 6 2 3 3" xfId="7886" xr:uid="{53297C52-E91C-4D04-81CA-CA8DD8DB9FDB}"/>
    <cellStyle name="20% - Accent6 28 6 2 4" xfId="7887" xr:uid="{A950FDA5-0525-49FB-A5DF-1F0FFC968F3E}"/>
    <cellStyle name="20% - Accent6 28 6 2 4 2" xfId="7888" xr:uid="{B8FF3CAD-40BC-4E87-86A9-1E37BEC2D44B}"/>
    <cellStyle name="20% - Accent6 28 6 2 5" xfId="7889" xr:uid="{BBFAD0A0-4F27-416A-BA28-835EBE1097CE}"/>
    <cellStyle name="20% - Accent6 28 6 3" xfId="7890" xr:uid="{4A7B11DB-58B4-4D01-A1FC-1127A7A8A3C7}"/>
    <cellStyle name="20% - Accent6 28 6 3 2" xfId="7891" xr:uid="{54EAAB11-19BE-44C7-9B31-E2FA8136B954}"/>
    <cellStyle name="20% - Accent6 28 6 3 2 2" xfId="7892" xr:uid="{4C425518-EB56-4CA5-B014-AC4F38A31B46}"/>
    <cellStyle name="20% - Accent6 28 6 3 3" xfId="7893" xr:uid="{33B30F8C-208D-4CF5-9F56-B88200FA4635}"/>
    <cellStyle name="20% - Accent6 28 6 4" xfId="7894" xr:uid="{377F8DF1-3A65-4833-B24F-7766359BD98A}"/>
    <cellStyle name="20% - Accent6 28 6 4 2" xfId="7895" xr:uid="{8C4773DA-52BA-4F03-A67B-A19AC1D1C708}"/>
    <cellStyle name="20% - Accent6 28 6 4 2 2" xfId="7896" xr:uid="{0BE5638C-6C8A-48D6-9FA0-3E6BAD8BD788}"/>
    <cellStyle name="20% - Accent6 28 6 4 3" xfId="7897" xr:uid="{A0D29E8A-F5D8-460E-8BBB-E83C2E3F62EC}"/>
    <cellStyle name="20% - Accent6 28 6 5" xfId="7898" xr:uid="{FC9CDE97-63FA-4BAB-9B14-67891572A9D3}"/>
    <cellStyle name="20% - Accent6 28 6 5 2" xfId="7899" xr:uid="{625AF9C4-3AE5-4EEF-BD52-17880B3CFF47}"/>
    <cellStyle name="20% - Accent6 28 6 6" xfId="7900" xr:uid="{FFF3DDE2-0E2E-44AC-8813-6366960A63C2}"/>
    <cellStyle name="20% - Accent6 28 7" xfId="7901" xr:uid="{447221F5-BAAA-4096-87A0-B66672F8FC0A}"/>
    <cellStyle name="20% - Accent6 28 7 2" xfId="7902" xr:uid="{B0B34F2D-3453-4F16-B785-240737EA84A6}"/>
    <cellStyle name="20% - Accent6 28 7 2 2" xfId="7903" xr:uid="{C2008266-D42B-4D81-B33D-5DAEA85935DA}"/>
    <cellStyle name="20% - Accent6 28 7 2 2 2" xfId="7904" xr:uid="{93F11253-A270-4064-B365-118D9F089E7B}"/>
    <cellStyle name="20% - Accent6 28 7 2 2 2 2" xfId="7905" xr:uid="{F72719D5-928E-426B-8832-B8F977DFE87F}"/>
    <cellStyle name="20% - Accent6 28 7 2 2 3" xfId="7906" xr:uid="{145F3518-F586-45B9-A56C-C34B72B63114}"/>
    <cellStyle name="20% - Accent6 28 7 2 3" xfId="7907" xr:uid="{334546D1-3BA9-447A-9706-F322939287B9}"/>
    <cellStyle name="20% - Accent6 28 7 2 3 2" xfId="7908" xr:uid="{75613683-195A-4DBB-974C-A95BA6402999}"/>
    <cellStyle name="20% - Accent6 28 7 2 3 2 2" xfId="7909" xr:uid="{6A854302-4E65-4ADB-A81A-07476EB1A4B7}"/>
    <cellStyle name="20% - Accent6 28 7 2 3 3" xfId="7910" xr:uid="{B388C5F8-A61C-40A8-B866-0B5742387EBA}"/>
    <cellStyle name="20% - Accent6 28 7 2 4" xfId="7911" xr:uid="{9E891E95-BAA8-4ACC-BC4D-1E197656BBD5}"/>
    <cellStyle name="20% - Accent6 28 7 2 4 2" xfId="7912" xr:uid="{2D5F066B-FFE0-4EE1-8073-9A03DF888AE2}"/>
    <cellStyle name="20% - Accent6 28 7 2 5" xfId="7913" xr:uid="{E187C18B-0227-41A9-BAC1-A52E042D9413}"/>
    <cellStyle name="20% - Accent6 28 7 3" xfId="7914" xr:uid="{C2A51C3D-702F-477D-82D8-6A870EADA197}"/>
    <cellStyle name="20% - Accent6 28 7 3 2" xfId="7915" xr:uid="{00451921-B9A8-46AD-8B4E-4A2A18E18B16}"/>
    <cellStyle name="20% - Accent6 28 7 3 2 2" xfId="7916" xr:uid="{F100563D-C010-4323-AE3D-CD013251B744}"/>
    <cellStyle name="20% - Accent6 28 7 3 3" xfId="7917" xr:uid="{885812A6-9CDA-4DE2-B9EE-A91D45190671}"/>
    <cellStyle name="20% - Accent6 28 7 4" xfId="7918" xr:uid="{DF433CF3-2530-48AD-9A62-BE323DDDEF7C}"/>
    <cellStyle name="20% - Accent6 28 7 4 2" xfId="7919" xr:uid="{E225ED53-01D4-4A2E-90A7-97DB7B7499F2}"/>
    <cellStyle name="20% - Accent6 28 7 4 2 2" xfId="7920" xr:uid="{DE9216B0-DBFA-4ABB-BDAD-0E08169781EE}"/>
    <cellStyle name="20% - Accent6 28 7 4 3" xfId="7921" xr:uid="{72D56AF4-47A9-4A2A-962E-BB05BAA6A91C}"/>
    <cellStyle name="20% - Accent6 28 7 5" xfId="7922" xr:uid="{36ED676B-C9CC-47C1-931D-D8770FA3457E}"/>
    <cellStyle name="20% - Accent6 28 7 5 2" xfId="7923" xr:uid="{BF9E1D1C-92FF-4A7C-A678-61D8BF2B27DA}"/>
    <cellStyle name="20% - Accent6 28 7 6" xfId="7924" xr:uid="{B59265AA-44FE-4665-A784-52EEE7F59C4B}"/>
    <cellStyle name="20% - Accent6 28 8" xfId="7925" xr:uid="{28458C60-3AB2-4947-9408-4F1299AC2DAA}"/>
    <cellStyle name="20% - Accent6 28 8 2" xfId="7926" xr:uid="{B9B0F724-003B-4644-8F15-FC2C24D7C92D}"/>
    <cellStyle name="20% - Accent6 28 8 2 2" xfId="7927" xr:uid="{AF5DB5E8-D59A-4266-9B7F-9CF155EE078B}"/>
    <cellStyle name="20% - Accent6 28 8 2 2 2" xfId="7928" xr:uid="{0E62CD82-D0B4-40E9-96B0-5E1E6FF5762D}"/>
    <cellStyle name="20% - Accent6 28 8 2 2 2 2" xfId="7929" xr:uid="{A5312BA5-A4C2-46C5-8CA7-DD0CF6D1E438}"/>
    <cellStyle name="20% - Accent6 28 8 2 2 3" xfId="7930" xr:uid="{E14977E2-BE7E-4D3D-BA1C-2E219A816D9C}"/>
    <cellStyle name="20% - Accent6 28 8 2 3" xfId="7931" xr:uid="{FF767275-C7AB-4032-812C-458ECF1816D6}"/>
    <cellStyle name="20% - Accent6 28 8 2 3 2" xfId="7932" xr:uid="{9F34FEE2-A0F8-4446-BB3E-77DB350F123C}"/>
    <cellStyle name="20% - Accent6 28 8 2 3 2 2" xfId="7933" xr:uid="{52A5DF8A-71F3-4F1B-8AF2-BA8B270AFE4F}"/>
    <cellStyle name="20% - Accent6 28 8 2 3 3" xfId="7934" xr:uid="{D116AE03-A2C0-4140-8E57-87857D161EAC}"/>
    <cellStyle name="20% - Accent6 28 8 2 4" xfId="7935" xr:uid="{8EAFA8CD-B56D-434F-A9F4-39CD13BD191A}"/>
    <cellStyle name="20% - Accent6 28 8 2 4 2" xfId="7936" xr:uid="{F2610F1D-E8F7-450C-B1BB-97278B7AD8CF}"/>
    <cellStyle name="20% - Accent6 28 8 2 5" xfId="7937" xr:uid="{D63DC917-7536-4A2F-A8F0-7739F3ECD2E1}"/>
    <cellStyle name="20% - Accent6 28 8 3" xfId="7938" xr:uid="{992CACC0-A484-401C-9C7B-1493738C6A21}"/>
    <cellStyle name="20% - Accent6 28 8 3 2" xfId="7939" xr:uid="{D267DF87-9900-413B-8542-43704FBB39EA}"/>
    <cellStyle name="20% - Accent6 28 8 3 2 2" xfId="7940" xr:uid="{27E67BB0-1A7B-4C73-8FBE-B9DA6429C785}"/>
    <cellStyle name="20% - Accent6 28 8 3 3" xfId="7941" xr:uid="{CE94CF70-7DF8-41DE-87D1-B9CD20582159}"/>
    <cellStyle name="20% - Accent6 28 8 4" xfId="7942" xr:uid="{0A109F0C-46EB-4DE7-8395-CEFE51BD11C5}"/>
    <cellStyle name="20% - Accent6 28 8 4 2" xfId="7943" xr:uid="{884F2E08-05EA-43AC-830D-3E0378DBE220}"/>
    <cellStyle name="20% - Accent6 28 8 4 2 2" xfId="7944" xr:uid="{25F26B8A-769C-4000-AF2C-7A3CA06009D0}"/>
    <cellStyle name="20% - Accent6 28 8 4 3" xfId="7945" xr:uid="{4D61B5D9-4790-48B9-A761-F6497F51E8A9}"/>
    <cellStyle name="20% - Accent6 28 8 5" xfId="7946" xr:uid="{63F6630B-DB0C-4E67-96BE-FCB38424CC9E}"/>
    <cellStyle name="20% - Accent6 28 8 5 2" xfId="7947" xr:uid="{1BBF676D-4A3E-40D3-AB31-D63BD70FC3D5}"/>
    <cellStyle name="20% - Accent6 28 8 6" xfId="7948" xr:uid="{51E4352F-1FF6-459B-B828-EC416ECF91DC}"/>
    <cellStyle name="20% - Accent6 28 9" xfId="7949" xr:uid="{C26C6067-EED2-4897-9CEA-6C1D3574C281}"/>
    <cellStyle name="20% - Accent6 28 9 2" xfId="7950" xr:uid="{13291090-A891-4FF6-A5B8-7522289946CE}"/>
    <cellStyle name="20% - Accent6 28 9 2 2" xfId="7951" xr:uid="{B3E4C9DB-27E6-414F-AD7E-F98BC5393F68}"/>
    <cellStyle name="20% - Accent6 28 9 2 2 2" xfId="7952" xr:uid="{FC04E999-FE90-4B73-94D8-2F246D72423F}"/>
    <cellStyle name="20% - Accent6 28 9 2 2 2 2" xfId="7953" xr:uid="{9A8AECDC-D3AC-401A-B46B-7CE221C857CB}"/>
    <cellStyle name="20% - Accent6 28 9 2 2 3" xfId="7954" xr:uid="{B3A25B91-2C3D-443B-99E1-323C0D2179C1}"/>
    <cellStyle name="20% - Accent6 28 9 2 3" xfId="7955" xr:uid="{2C301AB8-E3CC-4472-84AD-9FB903120F32}"/>
    <cellStyle name="20% - Accent6 28 9 2 3 2" xfId="7956" xr:uid="{1A4F0A4F-BBA2-4171-90B7-D542A1C46A87}"/>
    <cellStyle name="20% - Accent6 28 9 2 3 2 2" xfId="7957" xr:uid="{34CA481F-D79E-4471-BC86-514DE750A1E2}"/>
    <cellStyle name="20% - Accent6 28 9 2 3 3" xfId="7958" xr:uid="{54B9B82A-D4C5-4DF5-B7E1-7CB6A5DE2C7C}"/>
    <cellStyle name="20% - Accent6 28 9 2 4" xfId="7959" xr:uid="{674910A3-275C-422C-A8EA-4DB01EC80DCC}"/>
    <cellStyle name="20% - Accent6 28 9 2 4 2" xfId="7960" xr:uid="{A0B7BC2F-7EE3-4494-81EF-71136E49CB56}"/>
    <cellStyle name="20% - Accent6 28 9 2 5" xfId="7961" xr:uid="{7D0AF1B7-19FB-45D1-98CC-9D41BE75DDCA}"/>
    <cellStyle name="20% - Accent6 28 9 3" xfId="7962" xr:uid="{3270656C-73D8-44CA-AC25-A0B23BEA0C6A}"/>
    <cellStyle name="20% - Accent6 28 9 3 2" xfId="7963" xr:uid="{A1FE9839-C1AB-4DE1-B709-ABE0865232AE}"/>
    <cellStyle name="20% - Accent6 28 9 3 2 2" xfId="7964" xr:uid="{DD768A6B-567C-4A9C-99BB-93527D7368FB}"/>
    <cellStyle name="20% - Accent6 28 9 3 3" xfId="7965" xr:uid="{FD33BB3D-44AF-4E2C-BBEE-530066449FDA}"/>
    <cellStyle name="20% - Accent6 28 9 4" xfId="7966" xr:uid="{20F950CD-D30F-4636-ACA6-D5ABC17998E2}"/>
    <cellStyle name="20% - Accent6 28 9 4 2" xfId="7967" xr:uid="{2EEEF93E-572A-4722-A19E-8456179A9733}"/>
    <cellStyle name="20% - Accent6 28 9 4 2 2" xfId="7968" xr:uid="{198D3B95-EF96-4F33-A9E4-ACB248B5E027}"/>
    <cellStyle name="20% - Accent6 28 9 4 3" xfId="7969" xr:uid="{B8494740-1194-4C19-9F22-033E19D65597}"/>
    <cellStyle name="20% - Accent6 28 9 5" xfId="7970" xr:uid="{0C846948-A894-482E-83C1-150A81F27F78}"/>
    <cellStyle name="20% - Accent6 28 9 5 2" xfId="7971" xr:uid="{F0FFC1F9-E5A8-433D-8586-7B80EF8FB538}"/>
    <cellStyle name="20% - Accent6 28 9 6" xfId="7972" xr:uid="{2FFE204C-734D-4614-8184-86C58520BC87}"/>
    <cellStyle name="20% - Accent6 29" xfId="7973" xr:uid="{52688B5C-C2F7-49C2-952D-80EEB5C353D9}"/>
    <cellStyle name="20% - Accent6 29 10" xfId="7974" xr:uid="{29F88CD4-16B9-405F-AA05-CCEF48725769}"/>
    <cellStyle name="20% - Accent6 29 10 2" xfId="7975" xr:uid="{98E05741-250E-409B-9D5B-E17A6F99A177}"/>
    <cellStyle name="20% - Accent6 29 10 2 2" xfId="7976" xr:uid="{C9E16214-9D6C-42B5-A00E-A3CCDE2F6C94}"/>
    <cellStyle name="20% - Accent6 29 10 2 2 2" xfId="7977" xr:uid="{73FBED7C-81C0-4571-BD0C-F6F5528BD84F}"/>
    <cellStyle name="20% - Accent6 29 10 2 2 2 2" xfId="7978" xr:uid="{05BEE157-626B-4FD4-97AE-B8A78D971C50}"/>
    <cellStyle name="20% - Accent6 29 10 2 2 3" xfId="7979" xr:uid="{974ADEE0-BD83-4D5F-8550-B810CF28EE85}"/>
    <cellStyle name="20% - Accent6 29 10 2 3" xfId="7980" xr:uid="{7C65BEF4-6D17-4F1E-B904-888246CC375F}"/>
    <cellStyle name="20% - Accent6 29 10 2 3 2" xfId="7981" xr:uid="{4F426F21-8F3F-4B67-A3B9-FA02058FCB9B}"/>
    <cellStyle name="20% - Accent6 29 10 2 3 2 2" xfId="7982" xr:uid="{D547FE48-095B-4278-AF2C-0596FB2F72CD}"/>
    <cellStyle name="20% - Accent6 29 10 2 3 3" xfId="7983" xr:uid="{257D056B-9CD7-417A-BE93-0781E74C4F0C}"/>
    <cellStyle name="20% - Accent6 29 10 2 4" xfId="7984" xr:uid="{AF1774DB-A670-4051-84D9-8B7C1A9287CA}"/>
    <cellStyle name="20% - Accent6 29 10 2 4 2" xfId="7985" xr:uid="{FF9ABD98-C64B-41F2-9DD2-F926D7109161}"/>
    <cellStyle name="20% - Accent6 29 10 2 5" xfId="7986" xr:uid="{9F0D54D2-6872-444E-9704-088B32ADB4ED}"/>
    <cellStyle name="20% - Accent6 29 10 3" xfId="7987" xr:uid="{E5E149D7-793B-4C1D-BA93-05BB3C939E08}"/>
    <cellStyle name="20% - Accent6 29 10 3 2" xfId="7988" xr:uid="{CA9BB9B2-3D68-42F7-B1BA-AD5E1586F8BE}"/>
    <cellStyle name="20% - Accent6 29 10 3 2 2" xfId="7989" xr:uid="{7E377633-E6A2-437A-A9DE-536661A68FD8}"/>
    <cellStyle name="20% - Accent6 29 10 3 3" xfId="7990" xr:uid="{DC138C47-7511-40B5-A895-983D0341C11E}"/>
    <cellStyle name="20% - Accent6 29 10 4" xfId="7991" xr:uid="{B513BE77-2EB5-44C2-ADC5-53F60B4B48D4}"/>
    <cellStyle name="20% - Accent6 29 10 4 2" xfId="7992" xr:uid="{FDD90016-DB17-45AC-AC9E-DCDF25013DB2}"/>
    <cellStyle name="20% - Accent6 29 10 4 2 2" xfId="7993" xr:uid="{7063D616-2200-490B-80C4-B234962FE156}"/>
    <cellStyle name="20% - Accent6 29 10 4 3" xfId="7994" xr:uid="{B111CAD0-7AB4-4686-8EF2-D2A7DC9C3F15}"/>
    <cellStyle name="20% - Accent6 29 10 5" xfId="7995" xr:uid="{1E466962-1D24-437E-BA36-3B7B0B3AF7B7}"/>
    <cellStyle name="20% - Accent6 29 10 5 2" xfId="7996" xr:uid="{AEA8720F-E040-4533-967C-AC959B02DC37}"/>
    <cellStyle name="20% - Accent6 29 10 6" xfId="7997" xr:uid="{0F34C06D-0873-4C32-B227-121AFC47B1ED}"/>
    <cellStyle name="20% - Accent6 29 11" xfId="7998" xr:uid="{56595479-9360-4C0D-84B7-8B57A73DA7B1}"/>
    <cellStyle name="20% - Accent6 29 11 2" xfId="7999" xr:uid="{218B8D8D-B34E-4A63-A3B4-F21084B82610}"/>
    <cellStyle name="20% - Accent6 29 11 2 2" xfId="8000" xr:uid="{54676137-5268-4B4C-B41E-7E7B2A303188}"/>
    <cellStyle name="20% - Accent6 29 11 2 2 2" xfId="8001" xr:uid="{4D1FBC0D-C5DB-45A8-8BCC-76666FC16DB1}"/>
    <cellStyle name="20% - Accent6 29 11 2 3" xfId="8002" xr:uid="{0C25C8BF-8B32-40FD-869D-A6CC989EC7A8}"/>
    <cellStyle name="20% - Accent6 29 11 3" xfId="8003" xr:uid="{527B1447-ED33-47A9-B6CF-3DA9637B1B0B}"/>
    <cellStyle name="20% - Accent6 29 11 3 2" xfId="8004" xr:uid="{919C7876-220C-41F0-980B-7C203167447C}"/>
    <cellStyle name="20% - Accent6 29 11 3 2 2" xfId="8005" xr:uid="{DFE9FE96-DB12-4700-AF72-592203A9AEA9}"/>
    <cellStyle name="20% - Accent6 29 11 3 3" xfId="8006" xr:uid="{5AF07EBE-7513-4FAA-A69C-8CBD9B5A3831}"/>
    <cellStyle name="20% - Accent6 29 11 4" xfId="8007" xr:uid="{8867E074-09B3-4889-9E2E-4D81C351F235}"/>
    <cellStyle name="20% - Accent6 29 11 4 2" xfId="8008" xr:uid="{0318D31B-8730-4235-B607-E13EF2FCD080}"/>
    <cellStyle name="20% - Accent6 29 11 5" xfId="8009" xr:uid="{E586051A-52FE-45D1-968F-1199536CC238}"/>
    <cellStyle name="20% - Accent6 29 12" xfId="8010" xr:uid="{C94429A0-89C2-4ECE-9390-9B99DE6C0D3C}"/>
    <cellStyle name="20% - Accent6 29 12 2" xfId="8011" xr:uid="{4DC9C0A8-76BF-4A7B-A77F-2594094EA1D6}"/>
    <cellStyle name="20% - Accent6 29 12 2 2" xfId="8012" xr:uid="{7385C7DD-B09E-4169-A976-9C9E45168A77}"/>
    <cellStyle name="20% - Accent6 29 12 3" xfId="8013" xr:uid="{C1875FFA-D0F1-4DAE-BDA5-CBF119B69826}"/>
    <cellStyle name="20% - Accent6 29 13" xfId="8014" xr:uid="{B40999A3-6F50-49AE-AA41-37F3AE979995}"/>
    <cellStyle name="20% - Accent6 29 13 2" xfId="8015" xr:uid="{3082B817-FB9E-43C8-A2CE-C0C325021C1D}"/>
    <cellStyle name="20% - Accent6 29 13 2 2" xfId="8016" xr:uid="{5FEC4FAC-961A-4C46-B045-166D42248185}"/>
    <cellStyle name="20% - Accent6 29 13 3" xfId="8017" xr:uid="{BA93959E-81B3-469D-8939-87FE9A0C220A}"/>
    <cellStyle name="20% - Accent6 29 14" xfId="8018" xr:uid="{E2B86999-C416-4544-A727-970348393ECC}"/>
    <cellStyle name="20% - Accent6 29 14 2" xfId="8019" xr:uid="{76194C61-4EB2-469D-AC50-3FAD70BCFB46}"/>
    <cellStyle name="20% - Accent6 29 15" xfId="8020" xr:uid="{C2C397CF-9257-498C-878B-C8C28E44FBA1}"/>
    <cellStyle name="20% - Accent6 29 16" xfId="36554" xr:uid="{8C214B5B-B059-4267-9660-B3C469C04C36}"/>
    <cellStyle name="20% - Accent6 29 2" xfId="8021" xr:uid="{D79E5083-C24D-4D2A-877A-766BFC0FD776}"/>
    <cellStyle name="20% - Accent6 29 2 2" xfId="8022" xr:uid="{E65BF96E-27A9-4CEA-86FA-D52466D706AE}"/>
    <cellStyle name="20% - Accent6 29 2 2 2" xfId="8023" xr:uid="{403457C6-AB6C-4942-9709-6E00193D0219}"/>
    <cellStyle name="20% - Accent6 29 2 2 2 2" xfId="8024" xr:uid="{3488D1C3-46FA-4318-9932-A6BB1A68960E}"/>
    <cellStyle name="20% - Accent6 29 2 2 2 2 2" xfId="8025" xr:uid="{A78D21F0-7E40-4F13-94AB-08D4EABA0DE3}"/>
    <cellStyle name="20% - Accent6 29 2 2 2 3" xfId="8026" xr:uid="{99F76555-A4A2-45EA-8FDF-D0DD691F076C}"/>
    <cellStyle name="20% - Accent6 29 2 2 3" xfId="8027" xr:uid="{C06E88DE-6A4D-448C-B9DC-6A8CB3DF0260}"/>
    <cellStyle name="20% - Accent6 29 2 2 3 2" xfId="8028" xr:uid="{17F29FF3-83A9-42F0-AC27-BD6489D05276}"/>
    <cellStyle name="20% - Accent6 29 2 2 3 2 2" xfId="8029" xr:uid="{E7204E21-4290-432B-B5ED-254706374DB3}"/>
    <cellStyle name="20% - Accent6 29 2 2 3 3" xfId="8030" xr:uid="{61D6D0F7-5CA7-40C2-8BAF-EA3AA26FF56A}"/>
    <cellStyle name="20% - Accent6 29 2 2 4" xfId="8031" xr:uid="{11E39D2F-2A3C-4224-A558-5234C0F0243D}"/>
    <cellStyle name="20% - Accent6 29 2 2 4 2" xfId="8032" xr:uid="{450C6913-2900-4E7D-8DCE-E87771307B39}"/>
    <cellStyle name="20% - Accent6 29 2 2 5" xfId="8033" xr:uid="{2ED1104E-6579-4D74-804A-0A99FCE91D27}"/>
    <cellStyle name="20% - Accent6 29 2 3" xfId="8034" xr:uid="{FEE64D62-CCCF-43C2-88CC-3533F5A499E1}"/>
    <cellStyle name="20% - Accent6 29 2 3 2" xfId="8035" xr:uid="{FC59C5F1-56D9-4B70-85B1-43CA8A828206}"/>
    <cellStyle name="20% - Accent6 29 2 3 2 2" xfId="8036" xr:uid="{A62ED61A-D4BB-49FE-8C32-CFF9905A58D4}"/>
    <cellStyle name="20% - Accent6 29 2 3 3" xfId="8037" xr:uid="{9AE7DFA4-0DF9-4062-98EE-DF543E2005A1}"/>
    <cellStyle name="20% - Accent6 29 2 4" xfId="8038" xr:uid="{9366CED7-A6DA-4085-AB67-787DB11483EF}"/>
    <cellStyle name="20% - Accent6 29 2 4 2" xfId="8039" xr:uid="{3AA804FE-C6EC-4FE8-9C2D-CBBCD0B1F517}"/>
    <cellStyle name="20% - Accent6 29 2 4 2 2" xfId="8040" xr:uid="{B58353CA-DA7F-43A8-8EEA-C0F61BE893A5}"/>
    <cellStyle name="20% - Accent6 29 2 4 3" xfId="8041" xr:uid="{DC4D1473-400E-48A3-A19B-6DEA4761870B}"/>
    <cellStyle name="20% - Accent6 29 2 5" xfId="8042" xr:uid="{67384F0C-5EA3-43F1-A284-11E34B142481}"/>
    <cellStyle name="20% - Accent6 29 2 5 2" xfId="8043" xr:uid="{597CCF50-6B51-40BB-B99A-15866A2D0EE6}"/>
    <cellStyle name="20% - Accent6 29 2 6" xfId="8044" xr:uid="{CF31C8A0-163E-4491-9BA6-AE754885BE40}"/>
    <cellStyle name="20% - Accent6 29 3" xfId="8045" xr:uid="{12B119C6-90D2-4783-8044-2D4A09CC4FD9}"/>
    <cellStyle name="20% - Accent6 29 3 2" xfId="8046" xr:uid="{275B71FC-5649-48D2-ADA7-3FF337564841}"/>
    <cellStyle name="20% - Accent6 29 3 2 2" xfId="8047" xr:uid="{2780E702-D2DE-4DCE-8E2B-A02B43942D0F}"/>
    <cellStyle name="20% - Accent6 29 3 2 2 2" xfId="8048" xr:uid="{BD571FFD-24DF-459B-B240-8F08B9BB7510}"/>
    <cellStyle name="20% - Accent6 29 3 2 2 2 2" xfId="8049" xr:uid="{6D3FA6F6-9798-4310-8961-1E77E9B05A82}"/>
    <cellStyle name="20% - Accent6 29 3 2 2 3" xfId="8050" xr:uid="{1B0A2F9B-60FD-4D72-9870-78C80ED34623}"/>
    <cellStyle name="20% - Accent6 29 3 2 3" xfId="8051" xr:uid="{E8F6647D-EB9F-41A4-9B3F-B196FBF1B4ED}"/>
    <cellStyle name="20% - Accent6 29 3 2 3 2" xfId="8052" xr:uid="{73ECD283-6976-4A67-966D-BB1F12B93E47}"/>
    <cellStyle name="20% - Accent6 29 3 2 3 2 2" xfId="8053" xr:uid="{6FC5452A-0FF5-4EC3-A3C7-6CC45FEF32C6}"/>
    <cellStyle name="20% - Accent6 29 3 2 3 3" xfId="8054" xr:uid="{F61E1A7E-03C8-4943-BAEB-461430829436}"/>
    <cellStyle name="20% - Accent6 29 3 2 4" xfId="8055" xr:uid="{A3D2B2D3-29D7-416B-AA2B-D1735F642EB6}"/>
    <cellStyle name="20% - Accent6 29 3 2 4 2" xfId="8056" xr:uid="{FAF68B7E-B343-4C7C-8C5F-62B9932C9BDB}"/>
    <cellStyle name="20% - Accent6 29 3 2 5" xfId="8057" xr:uid="{CB129A4C-03F6-409A-8DD3-6872BC596C0A}"/>
    <cellStyle name="20% - Accent6 29 3 3" xfId="8058" xr:uid="{6CF40C77-1C1C-492A-8DDF-8ED69CA1A263}"/>
    <cellStyle name="20% - Accent6 29 3 3 2" xfId="8059" xr:uid="{F1F5B990-6401-4D4F-A580-DF4051C4CF4A}"/>
    <cellStyle name="20% - Accent6 29 3 3 2 2" xfId="8060" xr:uid="{82CE1953-5458-4F97-911C-18A8D2BFEA6C}"/>
    <cellStyle name="20% - Accent6 29 3 3 3" xfId="8061" xr:uid="{70BFE0DA-7482-4873-80AC-FA8ABFC2804E}"/>
    <cellStyle name="20% - Accent6 29 3 4" xfId="8062" xr:uid="{9F146C25-C124-43EC-A1A1-8A769CE239D9}"/>
    <cellStyle name="20% - Accent6 29 3 4 2" xfId="8063" xr:uid="{DEE90B18-4C0C-458E-80FA-FB8EE0A24F81}"/>
    <cellStyle name="20% - Accent6 29 3 4 2 2" xfId="8064" xr:uid="{4A6EB074-EB38-442D-BBDE-7F8014425949}"/>
    <cellStyle name="20% - Accent6 29 3 4 3" xfId="8065" xr:uid="{BC375D12-709E-4C32-80A3-5888D92A5AE1}"/>
    <cellStyle name="20% - Accent6 29 3 5" xfId="8066" xr:uid="{537B772F-DF71-4AF6-AA12-9B14B7A8FF3A}"/>
    <cellStyle name="20% - Accent6 29 3 5 2" xfId="8067" xr:uid="{E6C1E447-C3BD-4602-9A3B-9082E6F59693}"/>
    <cellStyle name="20% - Accent6 29 3 6" xfId="8068" xr:uid="{8F779ACD-5734-4BFB-830F-62F1636272F5}"/>
    <cellStyle name="20% - Accent6 29 4" xfId="8069" xr:uid="{24C828F3-30C1-4C74-9BA6-7B015FE1DE63}"/>
    <cellStyle name="20% - Accent6 29 4 2" xfId="8070" xr:uid="{3CAD8133-52BE-459C-BA9C-A67111AF8E9C}"/>
    <cellStyle name="20% - Accent6 29 4 2 2" xfId="8071" xr:uid="{BEBF3281-0CEC-4BB0-B422-CF7BA1596F20}"/>
    <cellStyle name="20% - Accent6 29 4 2 2 2" xfId="8072" xr:uid="{39C9B24C-D06E-4461-AE25-379E6FD9A997}"/>
    <cellStyle name="20% - Accent6 29 4 2 2 2 2" xfId="8073" xr:uid="{E77C3503-4C92-467B-845B-D1C7CF67CA65}"/>
    <cellStyle name="20% - Accent6 29 4 2 2 3" xfId="8074" xr:uid="{CC192272-222B-44D9-82F2-14E3341D563B}"/>
    <cellStyle name="20% - Accent6 29 4 2 3" xfId="8075" xr:uid="{13E6E699-7BAC-4E0A-AA2A-B8ED0E648333}"/>
    <cellStyle name="20% - Accent6 29 4 2 3 2" xfId="8076" xr:uid="{C9FF9381-DB97-4A87-8F91-FD978DA980FB}"/>
    <cellStyle name="20% - Accent6 29 4 2 3 2 2" xfId="8077" xr:uid="{3501B56E-B897-4D75-B400-784E4F59FEA8}"/>
    <cellStyle name="20% - Accent6 29 4 2 3 3" xfId="8078" xr:uid="{C93A796B-D306-4D2F-BBC5-08C35B91FFCB}"/>
    <cellStyle name="20% - Accent6 29 4 2 4" xfId="8079" xr:uid="{97EFF79A-17AA-4E06-9F9D-B1F3E54BDD3B}"/>
    <cellStyle name="20% - Accent6 29 4 2 4 2" xfId="8080" xr:uid="{6162F688-98E1-4402-AE56-3F996D27FD4E}"/>
    <cellStyle name="20% - Accent6 29 4 2 5" xfId="8081" xr:uid="{FFBA0D39-394C-452F-AA56-4FA424121E4A}"/>
    <cellStyle name="20% - Accent6 29 4 3" xfId="8082" xr:uid="{D775165C-3D76-42CF-8550-3D3B885BE3C5}"/>
    <cellStyle name="20% - Accent6 29 4 3 2" xfId="8083" xr:uid="{FFDDB8B0-4102-459E-BCAA-B9E05B1C3F02}"/>
    <cellStyle name="20% - Accent6 29 4 3 2 2" xfId="8084" xr:uid="{4278422B-7A74-4468-B4B2-DDC5BAE64FE2}"/>
    <cellStyle name="20% - Accent6 29 4 3 3" xfId="8085" xr:uid="{BE1DDF74-B03A-4974-A4F4-32A187AA4B10}"/>
    <cellStyle name="20% - Accent6 29 4 4" xfId="8086" xr:uid="{AB7F7D00-4F4C-42FE-B0DB-1773160A8141}"/>
    <cellStyle name="20% - Accent6 29 4 4 2" xfId="8087" xr:uid="{EAE31FF4-06E1-4417-8B48-8567CC14F49E}"/>
    <cellStyle name="20% - Accent6 29 4 4 2 2" xfId="8088" xr:uid="{D7C01277-9670-4FAA-9187-1009D0627AE0}"/>
    <cellStyle name="20% - Accent6 29 4 4 3" xfId="8089" xr:uid="{9A16358F-D5CD-41C7-B3C5-A4664C35BCCB}"/>
    <cellStyle name="20% - Accent6 29 4 5" xfId="8090" xr:uid="{04656F82-C761-46A0-954B-2F6B920C02B3}"/>
    <cellStyle name="20% - Accent6 29 4 5 2" xfId="8091" xr:uid="{6D1A78C1-6155-414D-B909-ADD1B1753B17}"/>
    <cellStyle name="20% - Accent6 29 4 6" xfId="8092" xr:uid="{DF7BE574-3BC9-44B2-A248-56A7D39C43FE}"/>
    <cellStyle name="20% - Accent6 29 5" xfId="8093" xr:uid="{68AF3D3F-2E46-4320-BEA2-03D862678CE8}"/>
    <cellStyle name="20% - Accent6 29 5 2" xfId="8094" xr:uid="{EDEB830E-FB05-418D-B58C-CBC5B952F3FD}"/>
    <cellStyle name="20% - Accent6 29 5 2 2" xfId="8095" xr:uid="{3734E548-F471-4493-AB6C-E2256BA2A8A7}"/>
    <cellStyle name="20% - Accent6 29 5 2 2 2" xfId="8096" xr:uid="{F7699E70-F714-4A9D-9E24-FDADF8A07850}"/>
    <cellStyle name="20% - Accent6 29 5 2 2 2 2" xfId="8097" xr:uid="{A4F16E4D-FDBD-4254-8155-F08617D09B86}"/>
    <cellStyle name="20% - Accent6 29 5 2 2 3" xfId="8098" xr:uid="{F306DB7D-32AB-4479-A3A1-D7E5AA89037F}"/>
    <cellStyle name="20% - Accent6 29 5 2 3" xfId="8099" xr:uid="{FD6816A2-4EA0-4C4E-A8E0-C7A755A5382D}"/>
    <cellStyle name="20% - Accent6 29 5 2 3 2" xfId="8100" xr:uid="{8ADC2A93-101A-4DF8-8716-F52BE9464D7E}"/>
    <cellStyle name="20% - Accent6 29 5 2 3 2 2" xfId="8101" xr:uid="{2F223BDE-31CD-4AE3-A493-A1579C3B8E39}"/>
    <cellStyle name="20% - Accent6 29 5 2 3 3" xfId="8102" xr:uid="{CBB7168E-A975-4BAA-A479-4EABBF1BB22F}"/>
    <cellStyle name="20% - Accent6 29 5 2 4" xfId="8103" xr:uid="{687F0FE4-83FF-4BDA-BE53-FD892256E445}"/>
    <cellStyle name="20% - Accent6 29 5 2 4 2" xfId="8104" xr:uid="{269932D4-C56C-4A57-9253-EF94C46C0D4F}"/>
    <cellStyle name="20% - Accent6 29 5 2 5" xfId="8105" xr:uid="{6BCC9612-C9C4-46A8-BB97-11BC8131FA55}"/>
    <cellStyle name="20% - Accent6 29 5 3" xfId="8106" xr:uid="{021895CF-3FE2-45F2-85ED-5E872A548212}"/>
    <cellStyle name="20% - Accent6 29 5 3 2" xfId="8107" xr:uid="{652D9169-9A54-4572-AF4B-CB3162A3E470}"/>
    <cellStyle name="20% - Accent6 29 5 3 2 2" xfId="8108" xr:uid="{760B8776-90A9-4B4F-9F01-8F1E494A9340}"/>
    <cellStyle name="20% - Accent6 29 5 3 3" xfId="8109" xr:uid="{9CBD5ABA-491C-4711-930F-45E6C532F32A}"/>
    <cellStyle name="20% - Accent6 29 5 4" xfId="8110" xr:uid="{C1D9AD77-4D24-456F-A1CB-EF73921F3DBC}"/>
    <cellStyle name="20% - Accent6 29 5 4 2" xfId="8111" xr:uid="{270F1D92-1C07-4BA8-B365-726820DC4906}"/>
    <cellStyle name="20% - Accent6 29 5 4 2 2" xfId="8112" xr:uid="{A7F049F6-B721-4509-98B4-BC5AB2F97E95}"/>
    <cellStyle name="20% - Accent6 29 5 4 3" xfId="8113" xr:uid="{CE0A2D65-F7E7-48C3-9755-CD9715732065}"/>
    <cellStyle name="20% - Accent6 29 5 5" xfId="8114" xr:uid="{3D13AB19-0269-4736-B57A-2B9E6C264CFD}"/>
    <cellStyle name="20% - Accent6 29 5 5 2" xfId="8115" xr:uid="{E8A6D574-7BA5-44CD-B2B7-B2301643276F}"/>
    <cellStyle name="20% - Accent6 29 5 6" xfId="8116" xr:uid="{F8808707-AEA2-412F-BCEF-CAA0A4C7A85B}"/>
    <cellStyle name="20% - Accent6 29 6" xfId="8117" xr:uid="{17535F7E-2CD0-4453-8F30-20B02CAB6A9E}"/>
    <cellStyle name="20% - Accent6 29 6 2" xfId="8118" xr:uid="{2BEDA9CD-4718-4036-BB73-C531D07A8CC4}"/>
    <cellStyle name="20% - Accent6 29 6 2 2" xfId="8119" xr:uid="{2BB0E09E-7807-4965-AD32-1E0BACAEC785}"/>
    <cellStyle name="20% - Accent6 29 6 2 2 2" xfId="8120" xr:uid="{75A16737-9103-403A-A61D-936BD4FBC623}"/>
    <cellStyle name="20% - Accent6 29 6 2 2 2 2" xfId="8121" xr:uid="{ACBBCB54-E068-41FD-8B6E-69723C5A4086}"/>
    <cellStyle name="20% - Accent6 29 6 2 2 3" xfId="8122" xr:uid="{05C2673B-7611-43E4-9748-1F4FA041453F}"/>
    <cellStyle name="20% - Accent6 29 6 2 3" xfId="8123" xr:uid="{5BACA1A6-9387-4201-8B27-4524869F0D2A}"/>
    <cellStyle name="20% - Accent6 29 6 2 3 2" xfId="8124" xr:uid="{78F3CE3C-43DF-4CE2-B7C8-9D3CBD0A6A73}"/>
    <cellStyle name="20% - Accent6 29 6 2 3 2 2" xfId="8125" xr:uid="{F17F24C5-2628-4EEA-A7D8-91968577539C}"/>
    <cellStyle name="20% - Accent6 29 6 2 3 3" xfId="8126" xr:uid="{D0632475-8799-413A-9177-6D8C788A604E}"/>
    <cellStyle name="20% - Accent6 29 6 2 4" xfId="8127" xr:uid="{A56FC229-5139-422D-8C4E-68FCFEAE1C1F}"/>
    <cellStyle name="20% - Accent6 29 6 2 4 2" xfId="8128" xr:uid="{0CBF460F-876B-4277-B094-93E180C83A5E}"/>
    <cellStyle name="20% - Accent6 29 6 2 5" xfId="8129" xr:uid="{F6C4FA7D-C722-4077-8F89-CD65BB560CF1}"/>
    <cellStyle name="20% - Accent6 29 6 3" xfId="8130" xr:uid="{AD497B75-D0D2-4FE1-85E6-8E4FD107001F}"/>
    <cellStyle name="20% - Accent6 29 6 3 2" xfId="8131" xr:uid="{E4D660E9-072E-43FC-8896-0B5E8FF6BA19}"/>
    <cellStyle name="20% - Accent6 29 6 3 2 2" xfId="8132" xr:uid="{BE6DF15E-69D9-40D3-94CE-C07C13DD4642}"/>
    <cellStyle name="20% - Accent6 29 6 3 3" xfId="8133" xr:uid="{BF234778-3763-4D70-89B2-87D0AA9D87DA}"/>
    <cellStyle name="20% - Accent6 29 6 4" xfId="8134" xr:uid="{2BDF86C8-3970-4FB6-B5BC-34C04773997B}"/>
    <cellStyle name="20% - Accent6 29 6 4 2" xfId="8135" xr:uid="{748335D2-E767-45E1-9DCE-6F9F41104817}"/>
    <cellStyle name="20% - Accent6 29 6 4 2 2" xfId="8136" xr:uid="{03F13D97-000C-446F-A6A9-DEB67C8E36A4}"/>
    <cellStyle name="20% - Accent6 29 6 4 3" xfId="8137" xr:uid="{97F8D4BA-A7F5-46FC-B88A-5A0C46D8D2EE}"/>
    <cellStyle name="20% - Accent6 29 6 5" xfId="8138" xr:uid="{4B4F4240-B09D-4864-9CA0-063A6ADA30DD}"/>
    <cellStyle name="20% - Accent6 29 6 5 2" xfId="8139" xr:uid="{899562E6-9876-4A20-98F6-F7894684B7DB}"/>
    <cellStyle name="20% - Accent6 29 6 6" xfId="8140" xr:uid="{EAC373FC-F1A7-4354-BD7C-E9249C3B32E9}"/>
    <cellStyle name="20% - Accent6 29 7" xfId="8141" xr:uid="{E506CEDE-7209-4CE0-88C9-3C8D07A8CF7C}"/>
    <cellStyle name="20% - Accent6 29 7 2" xfId="8142" xr:uid="{84A8778C-978E-4FE9-ABEC-189811B19ED0}"/>
    <cellStyle name="20% - Accent6 29 7 2 2" xfId="8143" xr:uid="{A7126315-9E5D-4B13-B71F-21798F42D484}"/>
    <cellStyle name="20% - Accent6 29 7 2 2 2" xfId="8144" xr:uid="{301AF08A-A208-4382-9EAF-E74258FB90AE}"/>
    <cellStyle name="20% - Accent6 29 7 2 2 2 2" xfId="8145" xr:uid="{82E9F7CE-681E-41F9-AE11-5FBFEA07A307}"/>
    <cellStyle name="20% - Accent6 29 7 2 2 3" xfId="8146" xr:uid="{45AB97E5-9042-4347-BC67-9989F2CAA68A}"/>
    <cellStyle name="20% - Accent6 29 7 2 3" xfId="8147" xr:uid="{199B31F4-5D37-4AF8-8B4D-D454CC371ADB}"/>
    <cellStyle name="20% - Accent6 29 7 2 3 2" xfId="8148" xr:uid="{C0B68253-3986-4493-A8B7-B990C56B7D80}"/>
    <cellStyle name="20% - Accent6 29 7 2 3 2 2" xfId="8149" xr:uid="{A98D6549-AC63-49D6-A970-B084CA22F38F}"/>
    <cellStyle name="20% - Accent6 29 7 2 3 3" xfId="8150" xr:uid="{5CAD0A26-5D89-49CB-AF85-002BF55BDEF6}"/>
    <cellStyle name="20% - Accent6 29 7 2 4" xfId="8151" xr:uid="{01002C88-A1F6-43FA-980C-1581D8BAA02F}"/>
    <cellStyle name="20% - Accent6 29 7 2 4 2" xfId="8152" xr:uid="{9A5376FC-4B0B-4D95-992C-599DB72CB90D}"/>
    <cellStyle name="20% - Accent6 29 7 2 5" xfId="8153" xr:uid="{24093A4E-102F-4195-9484-9B4059BC714F}"/>
    <cellStyle name="20% - Accent6 29 7 3" xfId="8154" xr:uid="{6CC88315-B19E-4329-A965-9C3DCCBEA4F9}"/>
    <cellStyle name="20% - Accent6 29 7 3 2" xfId="8155" xr:uid="{B246C031-E099-4831-9F8D-7B21D2F59FD1}"/>
    <cellStyle name="20% - Accent6 29 7 3 2 2" xfId="8156" xr:uid="{2895F025-E19D-4211-B0C6-2EDA902C5499}"/>
    <cellStyle name="20% - Accent6 29 7 3 3" xfId="8157" xr:uid="{942D26CA-603C-4EEE-9072-4FF7ED2ED02F}"/>
    <cellStyle name="20% - Accent6 29 7 4" xfId="8158" xr:uid="{8A9C96B4-176B-40D4-849C-291C33EEBB72}"/>
    <cellStyle name="20% - Accent6 29 7 4 2" xfId="8159" xr:uid="{595263E0-96C2-4862-883A-FCAD316BAB99}"/>
    <cellStyle name="20% - Accent6 29 7 4 2 2" xfId="8160" xr:uid="{88B8D45B-E65C-466C-AAB2-C301FC2CAD77}"/>
    <cellStyle name="20% - Accent6 29 7 4 3" xfId="8161" xr:uid="{FDA96F15-93BE-4581-96A6-EAF937226CF6}"/>
    <cellStyle name="20% - Accent6 29 7 5" xfId="8162" xr:uid="{1715A7FC-12EF-43CA-88EF-82592DE77D6C}"/>
    <cellStyle name="20% - Accent6 29 7 5 2" xfId="8163" xr:uid="{AF5C8599-C3FA-4B72-A53E-77B8F39859F6}"/>
    <cellStyle name="20% - Accent6 29 7 6" xfId="8164" xr:uid="{CB5AF7AA-A7A8-4F95-BAF7-9760615F91DE}"/>
    <cellStyle name="20% - Accent6 29 8" xfId="8165" xr:uid="{9F92B350-AA11-4362-82D2-3BF1EDDC11ED}"/>
    <cellStyle name="20% - Accent6 29 8 2" xfId="8166" xr:uid="{D03E3209-6C13-432D-A6FE-66C0070BFC21}"/>
    <cellStyle name="20% - Accent6 29 8 2 2" xfId="8167" xr:uid="{A07E8D8C-D9CC-4CBE-9AEF-113960D61947}"/>
    <cellStyle name="20% - Accent6 29 8 2 2 2" xfId="8168" xr:uid="{D20D819C-1870-4ACA-8377-52EB46FF5A4D}"/>
    <cellStyle name="20% - Accent6 29 8 2 2 2 2" xfId="8169" xr:uid="{31739F7F-00AA-492B-8CF7-448FF51C43CF}"/>
    <cellStyle name="20% - Accent6 29 8 2 2 3" xfId="8170" xr:uid="{B907FA26-5C0C-4E9A-B895-F2B331393232}"/>
    <cellStyle name="20% - Accent6 29 8 2 3" xfId="8171" xr:uid="{A9F6159A-628D-4010-9FB8-BDCFB738F73E}"/>
    <cellStyle name="20% - Accent6 29 8 2 3 2" xfId="8172" xr:uid="{1F75430B-E3DD-45A8-A14A-689C3AF5A1D0}"/>
    <cellStyle name="20% - Accent6 29 8 2 3 2 2" xfId="8173" xr:uid="{7F344575-036D-4386-B2D2-3B8E08F58FF1}"/>
    <cellStyle name="20% - Accent6 29 8 2 3 3" xfId="8174" xr:uid="{6A565247-318C-4A49-BBDA-207982109C1D}"/>
    <cellStyle name="20% - Accent6 29 8 2 4" xfId="8175" xr:uid="{52478C61-B2BD-4441-A8E5-A1A9F7CC3A7A}"/>
    <cellStyle name="20% - Accent6 29 8 2 4 2" xfId="8176" xr:uid="{5F65E969-99C5-4633-BB18-3F060DB232E3}"/>
    <cellStyle name="20% - Accent6 29 8 2 5" xfId="8177" xr:uid="{3FAD129E-37CD-4716-BDBF-0A3CF2657FEF}"/>
    <cellStyle name="20% - Accent6 29 8 3" xfId="8178" xr:uid="{36B7ECEB-43BE-40EC-86B1-0CD9B1B8E278}"/>
    <cellStyle name="20% - Accent6 29 8 3 2" xfId="8179" xr:uid="{ACB8CBE9-EB4E-4854-A6B4-AAB327F319B9}"/>
    <cellStyle name="20% - Accent6 29 8 3 2 2" xfId="8180" xr:uid="{79BD8805-5CEF-4A49-BD22-3045B19A055D}"/>
    <cellStyle name="20% - Accent6 29 8 3 3" xfId="8181" xr:uid="{9D62539F-E154-4D14-9BAB-3D8BEE5F5B10}"/>
    <cellStyle name="20% - Accent6 29 8 4" xfId="8182" xr:uid="{A599C4A6-FD94-45FA-9EB7-5940BFE13676}"/>
    <cellStyle name="20% - Accent6 29 8 4 2" xfId="8183" xr:uid="{0139B457-ADF2-4C06-A5AF-C87BEA0D9425}"/>
    <cellStyle name="20% - Accent6 29 8 4 2 2" xfId="8184" xr:uid="{D57F7DEE-63EE-4B7C-9E3A-89AFE07A68B2}"/>
    <cellStyle name="20% - Accent6 29 8 4 3" xfId="8185" xr:uid="{22B6AA3E-323F-4499-A7CE-4BCBFC8183CB}"/>
    <cellStyle name="20% - Accent6 29 8 5" xfId="8186" xr:uid="{D2C3D111-FAA0-4D43-AD01-C4A2AF610817}"/>
    <cellStyle name="20% - Accent6 29 8 5 2" xfId="8187" xr:uid="{DF400512-DA1E-40F9-A724-E18A30C65F68}"/>
    <cellStyle name="20% - Accent6 29 8 6" xfId="8188" xr:uid="{172B9EDD-B076-41B9-9E2A-3DF97D3AD5E0}"/>
    <cellStyle name="20% - Accent6 29 9" xfId="8189" xr:uid="{8750C21C-A4CA-419B-AB0D-15A0C7F11161}"/>
    <cellStyle name="20% - Accent6 29 9 2" xfId="8190" xr:uid="{A80E85FA-85BB-47D0-95B8-A1AEE5CD844B}"/>
    <cellStyle name="20% - Accent6 29 9 2 2" xfId="8191" xr:uid="{48FDB2DE-37C2-46D2-AF4A-8BBFFBD4A92D}"/>
    <cellStyle name="20% - Accent6 29 9 2 2 2" xfId="8192" xr:uid="{89AF92A4-835C-4BB7-B019-6AC895B1BF60}"/>
    <cellStyle name="20% - Accent6 29 9 2 2 2 2" xfId="8193" xr:uid="{C087F4F4-4FC8-4A6A-980A-F712B7BF0DCE}"/>
    <cellStyle name="20% - Accent6 29 9 2 2 3" xfId="8194" xr:uid="{DB7E4159-31A7-4C09-BEF2-0EE085246C75}"/>
    <cellStyle name="20% - Accent6 29 9 2 3" xfId="8195" xr:uid="{9F8F683D-1848-47B5-A2A1-308EF637DA64}"/>
    <cellStyle name="20% - Accent6 29 9 2 3 2" xfId="8196" xr:uid="{4358CA67-1612-4811-A82F-2484C21A9E67}"/>
    <cellStyle name="20% - Accent6 29 9 2 3 2 2" xfId="8197" xr:uid="{459D4799-98D6-47B3-9CF4-5851728871B4}"/>
    <cellStyle name="20% - Accent6 29 9 2 3 3" xfId="8198" xr:uid="{E160F79C-7323-4541-998C-F7636D77594E}"/>
    <cellStyle name="20% - Accent6 29 9 2 4" xfId="8199" xr:uid="{EF92113F-1ED2-4FC5-9FA5-19E4AB81AC02}"/>
    <cellStyle name="20% - Accent6 29 9 2 4 2" xfId="8200" xr:uid="{08AEB9C0-2856-4AEE-9DAE-BCB7A6E5CCE4}"/>
    <cellStyle name="20% - Accent6 29 9 2 5" xfId="8201" xr:uid="{5D541D59-9037-4CB8-A643-E17D0A2372B9}"/>
    <cellStyle name="20% - Accent6 29 9 3" xfId="8202" xr:uid="{A28476AB-183E-4392-B62F-30DF0BABF463}"/>
    <cellStyle name="20% - Accent6 29 9 3 2" xfId="8203" xr:uid="{A3B293AA-5BC4-417C-BC5F-1F7138EF469E}"/>
    <cellStyle name="20% - Accent6 29 9 3 2 2" xfId="8204" xr:uid="{04A2FF31-381C-4B25-9FE3-37E36FD61D0A}"/>
    <cellStyle name="20% - Accent6 29 9 3 3" xfId="8205" xr:uid="{0D77BC0C-B317-42CE-949A-5E683D8BCA53}"/>
    <cellStyle name="20% - Accent6 29 9 4" xfId="8206" xr:uid="{F7C6E9EA-98DE-45E8-9CFF-4263998A1A93}"/>
    <cellStyle name="20% - Accent6 29 9 4 2" xfId="8207" xr:uid="{8E789262-9CFE-4D2C-A55F-F4CB648AA15B}"/>
    <cellStyle name="20% - Accent6 29 9 4 2 2" xfId="8208" xr:uid="{974E6BE9-B951-4316-9707-77E2B5FDB2E6}"/>
    <cellStyle name="20% - Accent6 29 9 4 3" xfId="8209" xr:uid="{FC47909B-E601-4079-9A6C-CCF974950C28}"/>
    <cellStyle name="20% - Accent6 29 9 5" xfId="8210" xr:uid="{A652F16F-0565-4B1E-AAA6-81520B1E039D}"/>
    <cellStyle name="20% - Accent6 29 9 5 2" xfId="8211" xr:uid="{F95AB85F-724F-4628-8C78-43DECD1E2AF2}"/>
    <cellStyle name="20% - Accent6 29 9 6" xfId="8212" xr:uid="{25EF4822-5D3E-46AD-A521-2068FDFF576D}"/>
    <cellStyle name="20% - Accent6 3" xfId="8213" xr:uid="{69E0A375-93AF-4EFA-9F9F-5297DE2D52C2}"/>
    <cellStyle name="20% - Accent6 3 2" xfId="8214" xr:uid="{A16E3A2C-CEC0-4B37-961D-773F6C9A9256}"/>
    <cellStyle name="20% - Accent6 3 2 2" xfId="8215" xr:uid="{A07B12D9-36D5-4ADD-8AF1-070C9559EF77}"/>
    <cellStyle name="20% - Accent6 3 2 2 2" xfId="36555" xr:uid="{05510417-A0F2-40B8-BC83-308ED98DFF64}"/>
    <cellStyle name="20% - Accent6 3 2 3" xfId="36556" xr:uid="{CF1C7AEF-6E8B-4EB8-B690-434F4C7AB790}"/>
    <cellStyle name="20% - Accent6 3 2 4" xfId="36557" xr:uid="{B54F3FCF-0E8F-458A-9E23-EC247C292C52}"/>
    <cellStyle name="20% - Accent6 3 3" xfId="8216" xr:uid="{DCC702AA-90F1-4D7C-A0D9-EB6B4A7C3C2D}"/>
    <cellStyle name="20% - Accent6 3 3 2" xfId="36558" xr:uid="{24C6CEB3-3E38-45BB-B258-45C6E6C24596}"/>
    <cellStyle name="20% - Accent6 3 4" xfId="36559" xr:uid="{F0BA16E4-B02E-4774-9521-AAEB73867FA4}"/>
    <cellStyle name="20% - Accent6 3 5" xfId="36560" xr:uid="{FAEC9D9A-0CCC-4679-95B5-C10691EB14C6}"/>
    <cellStyle name="20% - Accent6 3 6" xfId="36561" xr:uid="{436CEE2E-FA35-49A6-A152-A46D84BAA8A5}"/>
    <cellStyle name="20% - Accent6 30" xfId="8217" xr:uid="{9095552C-18B6-4D0A-908F-843BC69B96D1}"/>
    <cellStyle name="20% - Accent6 30 10" xfId="8218" xr:uid="{97807B92-3D62-46FE-BD16-4D706C36C277}"/>
    <cellStyle name="20% - Accent6 30 10 2" xfId="8219" xr:uid="{471AB846-07CE-4D24-96D0-2B680D6629AB}"/>
    <cellStyle name="20% - Accent6 30 10 2 2" xfId="8220" xr:uid="{2BC47555-CE87-412D-A929-37B89B7EE7D4}"/>
    <cellStyle name="20% - Accent6 30 10 2 2 2" xfId="8221" xr:uid="{7F40A9D5-3AAA-4445-A5EA-81C3810986B1}"/>
    <cellStyle name="20% - Accent6 30 10 2 2 2 2" xfId="8222" xr:uid="{A91FFD25-9B25-4C8F-BB12-DD3B29BF2D2A}"/>
    <cellStyle name="20% - Accent6 30 10 2 2 3" xfId="8223" xr:uid="{D98FA1A2-49BB-427E-A16A-301D37B68AB1}"/>
    <cellStyle name="20% - Accent6 30 10 2 3" xfId="8224" xr:uid="{108CB936-58E8-424E-A73D-7CF96FF6BBF8}"/>
    <cellStyle name="20% - Accent6 30 10 2 3 2" xfId="8225" xr:uid="{B6EBECEB-F6D0-4469-8E3C-282721AD38E2}"/>
    <cellStyle name="20% - Accent6 30 10 2 3 2 2" xfId="8226" xr:uid="{E275E781-E77A-4195-8106-1E382985E93D}"/>
    <cellStyle name="20% - Accent6 30 10 2 3 3" xfId="8227" xr:uid="{22BFB7DE-7F69-4194-B7EB-190ED420B5E5}"/>
    <cellStyle name="20% - Accent6 30 10 2 4" xfId="8228" xr:uid="{46450285-5B75-4726-98BB-5617395DE292}"/>
    <cellStyle name="20% - Accent6 30 10 2 4 2" xfId="8229" xr:uid="{0AB6CCAC-4B9D-47C6-8C14-D8E5377C1E15}"/>
    <cellStyle name="20% - Accent6 30 10 2 5" xfId="8230" xr:uid="{9FB1F2BF-2E5E-4086-AF2C-D5DD4ECF5222}"/>
    <cellStyle name="20% - Accent6 30 10 3" xfId="8231" xr:uid="{8869EE2A-9E7C-44AC-BF88-87B577601BF8}"/>
    <cellStyle name="20% - Accent6 30 10 3 2" xfId="8232" xr:uid="{5EF0DDE8-1106-4A7F-A758-FAE1F7D43A05}"/>
    <cellStyle name="20% - Accent6 30 10 3 2 2" xfId="8233" xr:uid="{6300C3CC-0BF6-4392-A257-0E01CB345A68}"/>
    <cellStyle name="20% - Accent6 30 10 3 3" xfId="8234" xr:uid="{5802D7E2-E4BB-4603-9C60-36A2D58A6B6B}"/>
    <cellStyle name="20% - Accent6 30 10 4" xfId="8235" xr:uid="{081F621F-BFF5-433A-AD11-5C8D896EB47F}"/>
    <cellStyle name="20% - Accent6 30 10 4 2" xfId="8236" xr:uid="{BCE45462-3B5C-4355-92CA-99286B0B8AA6}"/>
    <cellStyle name="20% - Accent6 30 10 4 2 2" xfId="8237" xr:uid="{63F13DE7-238D-4BC9-ADBA-62A078311455}"/>
    <cellStyle name="20% - Accent6 30 10 4 3" xfId="8238" xr:uid="{D46EE2AD-6186-41D4-ADDB-FCAC0B89BAA3}"/>
    <cellStyle name="20% - Accent6 30 10 5" xfId="8239" xr:uid="{81AA0A09-4992-458D-9648-47E89869051A}"/>
    <cellStyle name="20% - Accent6 30 10 5 2" xfId="8240" xr:uid="{E6CF1835-EB18-4C95-A31B-C5236E7396E7}"/>
    <cellStyle name="20% - Accent6 30 10 6" xfId="8241" xr:uid="{66227BDB-3884-4358-9204-6E52AD941760}"/>
    <cellStyle name="20% - Accent6 30 11" xfId="8242" xr:uid="{86C6106B-7791-474B-A950-745EAE88D569}"/>
    <cellStyle name="20% - Accent6 30 11 2" xfId="8243" xr:uid="{AE21A38D-85DB-4531-8EA0-CEA1D586A3EA}"/>
    <cellStyle name="20% - Accent6 30 11 2 2" xfId="8244" xr:uid="{CB810B00-868F-42AC-940C-8E2B8B892BC7}"/>
    <cellStyle name="20% - Accent6 30 11 2 2 2" xfId="8245" xr:uid="{213C692F-50D6-462D-BB5F-C79BDE17B5AA}"/>
    <cellStyle name="20% - Accent6 30 11 2 3" xfId="8246" xr:uid="{477A55B9-6C90-4BE5-A87D-3B4653DBE381}"/>
    <cellStyle name="20% - Accent6 30 11 3" xfId="8247" xr:uid="{FE72D99E-75AA-4D37-8388-D16887F3462C}"/>
    <cellStyle name="20% - Accent6 30 11 3 2" xfId="8248" xr:uid="{87FFB7AA-CB22-44E5-8288-1AA6131A6E48}"/>
    <cellStyle name="20% - Accent6 30 11 3 2 2" xfId="8249" xr:uid="{06227FAB-7F5C-47FA-B5C1-19C7CA5C3229}"/>
    <cellStyle name="20% - Accent6 30 11 3 3" xfId="8250" xr:uid="{62A01D0E-2055-46E0-BC1E-8ACD2795ED1E}"/>
    <cellStyle name="20% - Accent6 30 11 4" xfId="8251" xr:uid="{661FD72A-963D-4454-BFF6-2C2D4A907F6B}"/>
    <cellStyle name="20% - Accent6 30 11 4 2" xfId="8252" xr:uid="{E2C61C3E-E5D9-431A-909E-18FDD0473537}"/>
    <cellStyle name="20% - Accent6 30 11 5" xfId="8253" xr:uid="{CCBAE2A2-AE49-4188-8FBC-B47F3FD4DA29}"/>
    <cellStyle name="20% - Accent6 30 12" xfId="8254" xr:uid="{7D8872E0-1769-4B66-BED7-B332542527FC}"/>
    <cellStyle name="20% - Accent6 30 12 2" xfId="8255" xr:uid="{86A2D6E6-B642-4046-80E4-4BFD8BC499EA}"/>
    <cellStyle name="20% - Accent6 30 12 2 2" xfId="8256" xr:uid="{6160DFF2-C7C7-4620-9B22-F4681C205373}"/>
    <cellStyle name="20% - Accent6 30 12 3" xfId="8257" xr:uid="{4CC753DF-C214-4831-831B-FB303E75B51B}"/>
    <cellStyle name="20% - Accent6 30 13" xfId="8258" xr:uid="{A9FA5191-FFA4-414F-BD4E-370E3FDAE0E1}"/>
    <cellStyle name="20% - Accent6 30 13 2" xfId="8259" xr:uid="{DA8CB7A2-3861-4BDF-B1F6-67D635921B7D}"/>
    <cellStyle name="20% - Accent6 30 13 2 2" xfId="8260" xr:uid="{5B7F9949-37C7-4108-8E31-3FF192290789}"/>
    <cellStyle name="20% - Accent6 30 13 3" xfId="8261" xr:uid="{7F00D3F1-5F39-4494-A642-DDF7B406B126}"/>
    <cellStyle name="20% - Accent6 30 14" xfId="8262" xr:uid="{8389B01A-7D1C-4AAF-A16E-E4DCA7D6ED69}"/>
    <cellStyle name="20% - Accent6 30 14 2" xfId="8263" xr:uid="{96D8AA32-7967-4A60-9443-EF0AA4DEF5EF}"/>
    <cellStyle name="20% - Accent6 30 15" xfId="8264" xr:uid="{58C6174B-F26B-4BB2-80E5-E998289FDA85}"/>
    <cellStyle name="20% - Accent6 30 16" xfId="36562" xr:uid="{C9F42F9D-D682-46A7-9636-B9B83F0ADCD8}"/>
    <cellStyle name="20% - Accent6 30 2" xfId="8265" xr:uid="{83B7536E-ECFF-4D24-9A4D-BF2EA2AFF3FC}"/>
    <cellStyle name="20% - Accent6 30 2 2" xfId="8266" xr:uid="{30BC086B-301C-4880-AB73-6E17DB0FF4C5}"/>
    <cellStyle name="20% - Accent6 30 2 2 2" xfId="8267" xr:uid="{8C6CC158-F194-4057-A616-984DCCAB00D8}"/>
    <cellStyle name="20% - Accent6 30 2 2 2 2" xfId="8268" xr:uid="{F330AE9B-20FE-446D-88FF-9D5803A4CDA9}"/>
    <cellStyle name="20% - Accent6 30 2 2 2 2 2" xfId="8269" xr:uid="{6E495F4F-1F19-4F70-8E27-042937AB18C0}"/>
    <cellStyle name="20% - Accent6 30 2 2 2 3" xfId="8270" xr:uid="{4976C4F8-F543-45E1-8F75-7677ADDAF763}"/>
    <cellStyle name="20% - Accent6 30 2 2 3" xfId="8271" xr:uid="{B25ED8C2-0835-4AD7-93AC-962AE63842D6}"/>
    <cellStyle name="20% - Accent6 30 2 2 3 2" xfId="8272" xr:uid="{9E5F6350-8E88-46A3-89A3-167EB5C0E185}"/>
    <cellStyle name="20% - Accent6 30 2 2 3 2 2" xfId="8273" xr:uid="{4FE1B0BE-CED5-4FD6-B031-0612CDF93DB9}"/>
    <cellStyle name="20% - Accent6 30 2 2 3 3" xfId="8274" xr:uid="{9BA018D3-17CD-456D-B536-197A0FDD8B88}"/>
    <cellStyle name="20% - Accent6 30 2 2 4" xfId="8275" xr:uid="{6725753E-54D2-432F-BCCA-9374A3F39EA8}"/>
    <cellStyle name="20% - Accent6 30 2 2 4 2" xfId="8276" xr:uid="{7D588443-524F-4174-9EC4-A4F5DB5D1451}"/>
    <cellStyle name="20% - Accent6 30 2 2 5" xfId="8277" xr:uid="{49FB4922-0D8A-4C9F-B364-0E4240D8997F}"/>
    <cellStyle name="20% - Accent6 30 2 3" xfId="8278" xr:uid="{C87C6454-5647-458E-B806-4E08383F15A4}"/>
    <cellStyle name="20% - Accent6 30 2 3 2" xfId="8279" xr:uid="{CE97C823-9166-4426-B673-00361F4B4E82}"/>
    <cellStyle name="20% - Accent6 30 2 3 2 2" xfId="8280" xr:uid="{095C2ED6-B2BB-46EA-AF58-AF9A2134FE0D}"/>
    <cellStyle name="20% - Accent6 30 2 3 3" xfId="8281" xr:uid="{CBAD13F3-4237-476F-A200-25ACA4C240B8}"/>
    <cellStyle name="20% - Accent6 30 2 4" xfId="8282" xr:uid="{7E1742D9-B810-48BC-940F-7299A4F79537}"/>
    <cellStyle name="20% - Accent6 30 2 4 2" xfId="8283" xr:uid="{1BD0972B-36BE-4E22-A5FC-5C670CBFDE3A}"/>
    <cellStyle name="20% - Accent6 30 2 4 2 2" xfId="8284" xr:uid="{14D398EB-DDB3-4AEA-9FD1-51A3A351BF51}"/>
    <cellStyle name="20% - Accent6 30 2 4 3" xfId="8285" xr:uid="{1D1FB9AF-4401-46EE-A98F-60D8358D0775}"/>
    <cellStyle name="20% - Accent6 30 2 5" xfId="8286" xr:uid="{BA5DC8C4-C098-48FE-AD6F-D1A14E6C9691}"/>
    <cellStyle name="20% - Accent6 30 2 5 2" xfId="8287" xr:uid="{0A249240-919C-4024-A699-1ED7DE40C50A}"/>
    <cellStyle name="20% - Accent6 30 2 6" xfId="8288" xr:uid="{0B28CA6A-694E-4F2B-9056-D91269EDB20F}"/>
    <cellStyle name="20% - Accent6 30 3" xfId="8289" xr:uid="{EE14D229-5A89-40FB-BDD0-2F7DA8185FDF}"/>
    <cellStyle name="20% - Accent6 30 3 2" xfId="8290" xr:uid="{FD757D9B-BDEC-40B0-AD0A-F96FCF8C6766}"/>
    <cellStyle name="20% - Accent6 30 3 2 2" xfId="8291" xr:uid="{35FDD4A6-6592-4544-AC07-6A3AF2A83AF3}"/>
    <cellStyle name="20% - Accent6 30 3 2 2 2" xfId="8292" xr:uid="{605DA491-8359-48E8-BCF8-2277FF3CBD00}"/>
    <cellStyle name="20% - Accent6 30 3 2 2 2 2" xfId="8293" xr:uid="{993E6EC0-E98D-40FB-ADCF-AA676EE71E24}"/>
    <cellStyle name="20% - Accent6 30 3 2 2 3" xfId="8294" xr:uid="{A49B6719-CF0B-4AE1-85AA-075DE54A5A67}"/>
    <cellStyle name="20% - Accent6 30 3 2 3" xfId="8295" xr:uid="{596752A1-76F0-43E4-A92B-3A9E9BC75A20}"/>
    <cellStyle name="20% - Accent6 30 3 2 3 2" xfId="8296" xr:uid="{6A7E5C43-3AB9-46DD-9F1D-C4CA7D2585F9}"/>
    <cellStyle name="20% - Accent6 30 3 2 3 2 2" xfId="8297" xr:uid="{00C10FFD-4778-478E-B741-30BC587DFEDD}"/>
    <cellStyle name="20% - Accent6 30 3 2 3 3" xfId="8298" xr:uid="{6D7EBBD6-2E46-4B84-82C7-073DC2E65A0D}"/>
    <cellStyle name="20% - Accent6 30 3 2 4" xfId="8299" xr:uid="{5975EECE-02D7-4DFF-8CFB-FA41FB83A0A2}"/>
    <cellStyle name="20% - Accent6 30 3 2 4 2" xfId="8300" xr:uid="{DD05F9C9-46B3-46E6-963F-D04EEEF5EF5F}"/>
    <cellStyle name="20% - Accent6 30 3 2 5" xfId="8301" xr:uid="{7CE6EF12-58B0-4375-B023-940942FBCDE3}"/>
    <cellStyle name="20% - Accent6 30 3 3" xfId="8302" xr:uid="{3EA007AC-25A7-452F-8574-E8F88DCE1C7C}"/>
    <cellStyle name="20% - Accent6 30 3 3 2" xfId="8303" xr:uid="{E4175396-70F3-49A9-BC63-A1CD85386C7B}"/>
    <cellStyle name="20% - Accent6 30 3 3 2 2" xfId="8304" xr:uid="{48B445DA-72F3-4A42-8C04-B5A9C0F09B67}"/>
    <cellStyle name="20% - Accent6 30 3 3 3" xfId="8305" xr:uid="{A85450CD-A8BC-47AB-B6F8-E7B81BB568C7}"/>
    <cellStyle name="20% - Accent6 30 3 4" xfId="8306" xr:uid="{067E1D67-FB97-4CEE-9786-46E1F4DB6582}"/>
    <cellStyle name="20% - Accent6 30 3 4 2" xfId="8307" xr:uid="{E4105EA3-BD07-4771-BEC2-734BF8361B9D}"/>
    <cellStyle name="20% - Accent6 30 3 4 2 2" xfId="8308" xr:uid="{B1E52A23-F296-42AF-B02A-6EC542FBA7FD}"/>
    <cellStyle name="20% - Accent6 30 3 4 3" xfId="8309" xr:uid="{9C934384-E84E-4EF7-8C8C-6986CE5A1FF0}"/>
    <cellStyle name="20% - Accent6 30 3 5" xfId="8310" xr:uid="{05F9DB8D-12D2-43AF-B4DE-0FC3367CA64C}"/>
    <cellStyle name="20% - Accent6 30 3 5 2" xfId="8311" xr:uid="{DFF51490-B617-4764-8336-DC636AA28943}"/>
    <cellStyle name="20% - Accent6 30 3 6" xfId="8312" xr:uid="{5E7787DD-D421-417C-87EB-C6DCEFDA9ED7}"/>
    <cellStyle name="20% - Accent6 30 4" xfId="8313" xr:uid="{313488C4-89C9-4625-8895-B6B98B1B894B}"/>
    <cellStyle name="20% - Accent6 30 4 2" xfId="8314" xr:uid="{EC677BEE-FF2B-4CAF-8AD6-494F2FB89674}"/>
    <cellStyle name="20% - Accent6 30 4 2 2" xfId="8315" xr:uid="{B4D01C7A-F692-4E92-AE67-B1CFBFF71718}"/>
    <cellStyle name="20% - Accent6 30 4 2 2 2" xfId="8316" xr:uid="{86F0523A-70CE-4F08-AF2C-F3576F7375DE}"/>
    <cellStyle name="20% - Accent6 30 4 2 2 2 2" xfId="8317" xr:uid="{7D92C982-2913-4ABD-A479-7B62CB2B786B}"/>
    <cellStyle name="20% - Accent6 30 4 2 2 3" xfId="8318" xr:uid="{AB90B734-8BF7-4142-B649-140D4D49B16B}"/>
    <cellStyle name="20% - Accent6 30 4 2 3" xfId="8319" xr:uid="{6B335DB1-9B19-435B-AAC2-163F570D33F6}"/>
    <cellStyle name="20% - Accent6 30 4 2 3 2" xfId="8320" xr:uid="{725B9105-DED3-481F-BB4A-EFCF1F26EA04}"/>
    <cellStyle name="20% - Accent6 30 4 2 3 2 2" xfId="8321" xr:uid="{0E899887-044C-4606-94DD-DD78F2F46DBD}"/>
    <cellStyle name="20% - Accent6 30 4 2 3 3" xfId="8322" xr:uid="{E37E13BB-7E2C-47E1-A8A7-165F2F3846D5}"/>
    <cellStyle name="20% - Accent6 30 4 2 4" xfId="8323" xr:uid="{6226AF7A-DB8A-4C8D-9E6D-C166968541D4}"/>
    <cellStyle name="20% - Accent6 30 4 2 4 2" xfId="8324" xr:uid="{74D95C80-95E7-4FB9-AF7C-D2B3B682D360}"/>
    <cellStyle name="20% - Accent6 30 4 2 5" xfId="8325" xr:uid="{CDF35AC2-318D-4166-9DE6-33C9CC75E92D}"/>
    <cellStyle name="20% - Accent6 30 4 3" xfId="8326" xr:uid="{44360A1D-2AA9-422C-9347-B1E92655EAC7}"/>
    <cellStyle name="20% - Accent6 30 4 3 2" xfId="8327" xr:uid="{AAAED6C3-CE6F-4439-9156-74AAC20FBD32}"/>
    <cellStyle name="20% - Accent6 30 4 3 2 2" xfId="8328" xr:uid="{FF348CCD-34EE-4663-A2E7-4DD9048D0466}"/>
    <cellStyle name="20% - Accent6 30 4 3 3" xfId="8329" xr:uid="{CB8389E9-9DD5-44B5-80D6-AE7DCB8C382A}"/>
    <cellStyle name="20% - Accent6 30 4 4" xfId="8330" xr:uid="{DAB766C9-B087-4272-9C8F-DAA18A85861B}"/>
    <cellStyle name="20% - Accent6 30 4 4 2" xfId="8331" xr:uid="{A179E833-CB76-4D04-9394-6B375AE83DD9}"/>
    <cellStyle name="20% - Accent6 30 4 4 2 2" xfId="8332" xr:uid="{E0EFB856-7F93-42EC-8CFA-7564AD731B8D}"/>
    <cellStyle name="20% - Accent6 30 4 4 3" xfId="8333" xr:uid="{951F9740-1DC4-4D70-A116-FE6BF29548CD}"/>
    <cellStyle name="20% - Accent6 30 4 5" xfId="8334" xr:uid="{A0B7AF0D-6E57-4CEC-8323-DB38B6DB0C87}"/>
    <cellStyle name="20% - Accent6 30 4 5 2" xfId="8335" xr:uid="{551D4BEF-BBFB-43EF-8F7B-F3838EF77E04}"/>
    <cellStyle name="20% - Accent6 30 4 6" xfId="8336" xr:uid="{35ECD505-47CD-4090-AEED-D6F24B2A1D69}"/>
    <cellStyle name="20% - Accent6 30 5" xfId="8337" xr:uid="{A8139340-7921-430E-B1CC-995FE8F9320F}"/>
    <cellStyle name="20% - Accent6 30 5 2" xfId="8338" xr:uid="{7D5D3D1C-315B-44F3-AD89-7A4A812A2C35}"/>
    <cellStyle name="20% - Accent6 30 5 2 2" xfId="8339" xr:uid="{FC32B1DE-C629-4BD0-91C2-23C845F5D5ED}"/>
    <cellStyle name="20% - Accent6 30 5 2 2 2" xfId="8340" xr:uid="{EB20AF1F-F0C8-474F-B559-326CCB0F4DEB}"/>
    <cellStyle name="20% - Accent6 30 5 2 2 2 2" xfId="8341" xr:uid="{8FD211D9-0C9A-467E-B29D-895002740AC0}"/>
    <cellStyle name="20% - Accent6 30 5 2 2 3" xfId="8342" xr:uid="{7A665A7B-C5FB-4341-87F4-F3E8950A6A56}"/>
    <cellStyle name="20% - Accent6 30 5 2 3" xfId="8343" xr:uid="{EACD4C27-F47F-41CC-8949-B47B1584E6B6}"/>
    <cellStyle name="20% - Accent6 30 5 2 3 2" xfId="8344" xr:uid="{B0724E64-D0F8-416B-924B-8FF03097F5E0}"/>
    <cellStyle name="20% - Accent6 30 5 2 3 2 2" xfId="8345" xr:uid="{BD165C3E-8601-4036-9A1E-B27B32BA2F59}"/>
    <cellStyle name="20% - Accent6 30 5 2 3 3" xfId="8346" xr:uid="{AB6D8B9C-94B2-4575-9BB4-CD7A1BE702F3}"/>
    <cellStyle name="20% - Accent6 30 5 2 4" xfId="8347" xr:uid="{C3B816C0-F063-4CA2-AFD0-107EFCD92C3C}"/>
    <cellStyle name="20% - Accent6 30 5 2 4 2" xfId="8348" xr:uid="{68C14F0F-377D-4290-8DEE-42830284C5BD}"/>
    <cellStyle name="20% - Accent6 30 5 2 5" xfId="8349" xr:uid="{F7ED1523-426C-4F9C-A72E-E18C44C14FB6}"/>
    <cellStyle name="20% - Accent6 30 5 3" xfId="8350" xr:uid="{A03AC080-DE4A-4788-B90D-964578993ECA}"/>
    <cellStyle name="20% - Accent6 30 5 3 2" xfId="8351" xr:uid="{D7225F78-B04B-4052-B30E-824E8C891D4A}"/>
    <cellStyle name="20% - Accent6 30 5 3 2 2" xfId="8352" xr:uid="{0030D8F0-E552-44B2-9BF4-ADAAFE0BD4A3}"/>
    <cellStyle name="20% - Accent6 30 5 3 3" xfId="8353" xr:uid="{BF3B1600-10E2-4FCB-896A-EC0ACB2DCD26}"/>
    <cellStyle name="20% - Accent6 30 5 4" xfId="8354" xr:uid="{29BA2B79-97CC-4369-8A5D-7C430A79F0D0}"/>
    <cellStyle name="20% - Accent6 30 5 4 2" xfId="8355" xr:uid="{3184AE41-D390-4951-A058-10884A459DA4}"/>
    <cellStyle name="20% - Accent6 30 5 4 2 2" xfId="8356" xr:uid="{43B2105B-A706-4304-8ED8-F26712698EF0}"/>
    <cellStyle name="20% - Accent6 30 5 4 3" xfId="8357" xr:uid="{DAACA89D-ADE7-422F-AE6D-E91D9146D459}"/>
    <cellStyle name="20% - Accent6 30 5 5" xfId="8358" xr:uid="{CD2050C2-2F15-459A-85FC-560FFDEBC2A5}"/>
    <cellStyle name="20% - Accent6 30 5 5 2" xfId="8359" xr:uid="{80CA6649-1D6B-4BE1-9C31-287C92A83B07}"/>
    <cellStyle name="20% - Accent6 30 5 6" xfId="8360" xr:uid="{464E11C6-FA69-46C6-AAD3-7979FBCC4219}"/>
    <cellStyle name="20% - Accent6 30 6" xfId="8361" xr:uid="{3B6197A3-6BD2-434F-9C19-F13DA42ABCFD}"/>
    <cellStyle name="20% - Accent6 30 6 2" xfId="8362" xr:uid="{0B817D90-1045-487A-A3C4-A4511BD4BA5F}"/>
    <cellStyle name="20% - Accent6 30 6 2 2" xfId="8363" xr:uid="{345D6F1C-D211-442E-839E-194165623A7D}"/>
    <cellStyle name="20% - Accent6 30 6 2 2 2" xfId="8364" xr:uid="{E23D724C-50CC-4EC2-96F0-5FAD1EECAA93}"/>
    <cellStyle name="20% - Accent6 30 6 2 2 2 2" xfId="8365" xr:uid="{938EFD63-F332-4C59-932C-A8C99AEF1756}"/>
    <cellStyle name="20% - Accent6 30 6 2 2 3" xfId="8366" xr:uid="{87539A6D-4185-4EFC-AC1B-FB0133A69E64}"/>
    <cellStyle name="20% - Accent6 30 6 2 3" xfId="8367" xr:uid="{83D038FA-7F04-4C22-A8A4-A886AE7BDA3B}"/>
    <cellStyle name="20% - Accent6 30 6 2 3 2" xfId="8368" xr:uid="{13D7788E-0C9F-4E39-987E-1FE60959B62C}"/>
    <cellStyle name="20% - Accent6 30 6 2 3 2 2" xfId="8369" xr:uid="{B5480AFC-D5D1-4B3D-8F20-AF6EAE7599AA}"/>
    <cellStyle name="20% - Accent6 30 6 2 3 3" xfId="8370" xr:uid="{A261168F-14C1-49FC-ACB6-32E1E075CDC6}"/>
    <cellStyle name="20% - Accent6 30 6 2 4" xfId="8371" xr:uid="{00256849-0762-44B8-A15D-3F72363D39EE}"/>
    <cellStyle name="20% - Accent6 30 6 2 4 2" xfId="8372" xr:uid="{22E17BC6-40E5-4B56-93C7-FBB83F118AF3}"/>
    <cellStyle name="20% - Accent6 30 6 2 5" xfId="8373" xr:uid="{F9794F3E-9BDB-4262-8735-C112C664F30B}"/>
    <cellStyle name="20% - Accent6 30 6 3" xfId="8374" xr:uid="{4006B6DD-3BA4-4ACA-9357-E9131AE867D2}"/>
    <cellStyle name="20% - Accent6 30 6 3 2" xfId="8375" xr:uid="{E2778586-30D0-4A8B-85A2-4D54456CB7FC}"/>
    <cellStyle name="20% - Accent6 30 6 3 2 2" xfId="8376" xr:uid="{1F8DF6A4-DC34-4290-B84F-CEA9E0619EB0}"/>
    <cellStyle name="20% - Accent6 30 6 3 3" xfId="8377" xr:uid="{2333A5B2-3986-4238-8B4B-8A3D1A61F217}"/>
    <cellStyle name="20% - Accent6 30 6 4" xfId="8378" xr:uid="{69AB115E-481C-4C3B-A31C-BF36CC8BFA72}"/>
    <cellStyle name="20% - Accent6 30 6 4 2" xfId="8379" xr:uid="{D777152E-78B2-49C5-A42E-789B64BC2DDB}"/>
    <cellStyle name="20% - Accent6 30 6 4 2 2" xfId="8380" xr:uid="{9AD959A7-4159-4390-A991-6BF6AABEA1C4}"/>
    <cellStyle name="20% - Accent6 30 6 4 3" xfId="8381" xr:uid="{64767919-24BC-4D28-95E8-4EFF888D318E}"/>
    <cellStyle name="20% - Accent6 30 6 5" xfId="8382" xr:uid="{3F963A97-21EE-484E-8A0A-9BA2A9C688CC}"/>
    <cellStyle name="20% - Accent6 30 6 5 2" xfId="8383" xr:uid="{F836A95B-6480-431E-8C37-C3DC64468336}"/>
    <cellStyle name="20% - Accent6 30 6 6" xfId="8384" xr:uid="{EF16F93D-3F40-46C5-A1E6-77417CA80BDB}"/>
    <cellStyle name="20% - Accent6 30 7" xfId="8385" xr:uid="{0E9D8578-86C3-4D66-A39A-98A1C009DFD4}"/>
    <cellStyle name="20% - Accent6 30 7 2" xfId="8386" xr:uid="{52F53815-F5ED-4338-875F-D4BE018D4CA7}"/>
    <cellStyle name="20% - Accent6 30 7 2 2" xfId="8387" xr:uid="{F4138728-A6E1-4FD2-8E36-280238CC2940}"/>
    <cellStyle name="20% - Accent6 30 7 2 2 2" xfId="8388" xr:uid="{70DF1EA2-A7F9-4D6C-AAEE-FE0AA41C3994}"/>
    <cellStyle name="20% - Accent6 30 7 2 2 2 2" xfId="8389" xr:uid="{8CC45FCB-0778-483A-AB8D-DD11997236D2}"/>
    <cellStyle name="20% - Accent6 30 7 2 2 3" xfId="8390" xr:uid="{1F28163D-54A1-40B3-8B85-51FB3ECF219F}"/>
    <cellStyle name="20% - Accent6 30 7 2 3" xfId="8391" xr:uid="{1D0E280B-9379-4FCD-BBF9-DC62A991A009}"/>
    <cellStyle name="20% - Accent6 30 7 2 3 2" xfId="8392" xr:uid="{3BD706B6-CCE6-4C9A-8E9E-327303FBCFD3}"/>
    <cellStyle name="20% - Accent6 30 7 2 3 2 2" xfId="8393" xr:uid="{CF1C5B13-8848-4396-9FB0-0CFE95E74D5F}"/>
    <cellStyle name="20% - Accent6 30 7 2 3 3" xfId="8394" xr:uid="{2185BA81-6E32-478F-8929-D8AAECECC74F}"/>
    <cellStyle name="20% - Accent6 30 7 2 4" xfId="8395" xr:uid="{354D9641-C998-4688-9A4F-FCBFF935B2AF}"/>
    <cellStyle name="20% - Accent6 30 7 2 4 2" xfId="8396" xr:uid="{A373A4D9-52AC-4FB6-A43F-EC4CFF7E4F76}"/>
    <cellStyle name="20% - Accent6 30 7 2 5" xfId="8397" xr:uid="{BBAD585B-77D6-4A28-93A4-C4E0F5EC8B64}"/>
    <cellStyle name="20% - Accent6 30 7 3" xfId="8398" xr:uid="{82089223-EBDD-424A-8503-C781AF9A1AD8}"/>
    <cellStyle name="20% - Accent6 30 7 3 2" xfId="8399" xr:uid="{053BCCAD-CB60-4D6A-AC09-D54544E4E5D8}"/>
    <cellStyle name="20% - Accent6 30 7 3 2 2" xfId="8400" xr:uid="{062CB6E1-5667-42E6-BA3B-75FC53BFF6A4}"/>
    <cellStyle name="20% - Accent6 30 7 3 3" xfId="8401" xr:uid="{AF669ECC-CF02-42C4-9B8E-DB7C56D0C1A1}"/>
    <cellStyle name="20% - Accent6 30 7 4" xfId="8402" xr:uid="{2E87A442-49BF-4232-8F12-6FCD30A1326D}"/>
    <cellStyle name="20% - Accent6 30 7 4 2" xfId="8403" xr:uid="{2545D9FD-49C9-4AEC-BAA1-EB706B626A15}"/>
    <cellStyle name="20% - Accent6 30 7 4 2 2" xfId="8404" xr:uid="{25E8B796-590C-4589-BD2B-7105E0139554}"/>
    <cellStyle name="20% - Accent6 30 7 4 3" xfId="8405" xr:uid="{97D29A43-6672-4D32-9D11-4C7F6411DD21}"/>
    <cellStyle name="20% - Accent6 30 7 5" xfId="8406" xr:uid="{10B3AFE5-6A7D-4214-B769-6E1CD3776F0C}"/>
    <cellStyle name="20% - Accent6 30 7 5 2" xfId="8407" xr:uid="{52E5B172-AF22-4A73-A1A5-775D8D95B870}"/>
    <cellStyle name="20% - Accent6 30 7 6" xfId="8408" xr:uid="{8B45F1D6-7206-49D4-9A21-8409A48D3837}"/>
    <cellStyle name="20% - Accent6 30 8" xfId="8409" xr:uid="{6613028D-A7FA-47C3-9CA4-285651D9B78E}"/>
    <cellStyle name="20% - Accent6 30 8 2" xfId="8410" xr:uid="{D4665DAD-8A50-478A-8997-B0D849DEC6A6}"/>
    <cellStyle name="20% - Accent6 30 8 2 2" xfId="8411" xr:uid="{EE8F5865-BE51-4F5F-9A60-E76E51250C2E}"/>
    <cellStyle name="20% - Accent6 30 8 2 2 2" xfId="8412" xr:uid="{F9C246FD-498F-47FF-89DB-D0DA0FBAAB5D}"/>
    <cellStyle name="20% - Accent6 30 8 2 2 2 2" xfId="8413" xr:uid="{77C3945C-1CC1-4C49-9EAA-2221B98F1D81}"/>
    <cellStyle name="20% - Accent6 30 8 2 2 3" xfId="8414" xr:uid="{1BC3495B-0A1F-4297-8F93-613412F58A26}"/>
    <cellStyle name="20% - Accent6 30 8 2 3" xfId="8415" xr:uid="{B59A9D35-B269-4C2A-8C5B-17D20035B3EF}"/>
    <cellStyle name="20% - Accent6 30 8 2 3 2" xfId="8416" xr:uid="{8C73CA02-1495-4258-85C8-5E20A5F280FE}"/>
    <cellStyle name="20% - Accent6 30 8 2 3 2 2" xfId="8417" xr:uid="{254C8CB5-2638-40F7-AA65-AD7FBD37DA91}"/>
    <cellStyle name="20% - Accent6 30 8 2 3 3" xfId="8418" xr:uid="{86A8094A-1C83-48EB-9504-8317FBB17B48}"/>
    <cellStyle name="20% - Accent6 30 8 2 4" xfId="8419" xr:uid="{DC3315BA-C9C3-4BA2-A596-56610D9DEA9D}"/>
    <cellStyle name="20% - Accent6 30 8 2 4 2" xfId="8420" xr:uid="{72366133-77C9-4FA2-838D-14DBBA0DDD02}"/>
    <cellStyle name="20% - Accent6 30 8 2 5" xfId="8421" xr:uid="{DBEB123A-B0DC-47ED-9C43-53B2DA628B33}"/>
    <cellStyle name="20% - Accent6 30 8 3" xfId="8422" xr:uid="{1EED773C-F80A-4BE2-A0EE-032F7F6462E5}"/>
    <cellStyle name="20% - Accent6 30 8 3 2" xfId="8423" xr:uid="{1930AC19-DD63-4B42-A141-C2F8C0125BE4}"/>
    <cellStyle name="20% - Accent6 30 8 3 2 2" xfId="8424" xr:uid="{4045EC75-E46A-467C-BFDE-3B56C6DB439E}"/>
    <cellStyle name="20% - Accent6 30 8 3 3" xfId="8425" xr:uid="{E5205900-9E77-4594-9716-D5516C656F52}"/>
    <cellStyle name="20% - Accent6 30 8 4" xfId="8426" xr:uid="{D40B07AE-E0F5-4380-BEBD-8E65977ADB7E}"/>
    <cellStyle name="20% - Accent6 30 8 4 2" xfId="8427" xr:uid="{1071567B-DF22-4582-9BE1-FDFA75B01EFC}"/>
    <cellStyle name="20% - Accent6 30 8 4 2 2" xfId="8428" xr:uid="{9554EA12-C0B6-46F9-B47F-1A7F963738EA}"/>
    <cellStyle name="20% - Accent6 30 8 4 3" xfId="8429" xr:uid="{9780260C-D6F3-45F2-81E8-1A0FAAD33C8F}"/>
    <cellStyle name="20% - Accent6 30 8 5" xfId="8430" xr:uid="{11BC34C7-AF2B-46E3-9FF0-D0DB6580D8A5}"/>
    <cellStyle name="20% - Accent6 30 8 5 2" xfId="8431" xr:uid="{68CAC897-D644-4FE6-A7C8-CCAD3D6FB9D6}"/>
    <cellStyle name="20% - Accent6 30 8 6" xfId="8432" xr:uid="{C9D3DC03-361B-4455-B877-A51864F3E8F5}"/>
    <cellStyle name="20% - Accent6 30 9" xfId="8433" xr:uid="{C583A012-BF5E-4263-8A01-E6EF0BA7C0FC}"/>
    <cellStyle name="20% - Accent6 30 9 2" xfId="8434" xr:uid="{CDB7EEA9-785B-4AAE-BAFA-8BF0F7A6C52A}"/>
    <cellStyle name="20% - Accent6 30 9 2 2" xfId="8435" xr:uid="{6E32990D-6302-4970-A546-FC95877740CF}"/>
    <cellStyle name="20% - Accent6 30 9 2 2 2" xfId="8436" xr:uid="{30BE13C9-9ABE-42B9-89D8-1BF842697A9D}"/>
    <cellStyle name="20% - Accent6 30 9 2 2 2 2" xfId="8437" xr:uid="{77924536-3185-4529-A7CE-CDC5E8F03DC7}"/>
    <cellStyle name="20% - Accent6 30 9 2 2 3" xfId="8438" xr:uid="{89CE3182-CDC2-462A-9FC5-55E559F7E417}"/>
    <cellStyle name="20% - Accent6 30 9 2 3" xfId="8439" xr:uid="{2876F706-12FA-48C2-B3DA-51B6107865D4}"/>
    <cellStyle name="20% - Accent6 30 9 2 3 2" xfId="8440" xr:uid="{7886070A-155E-47F2-ADA3-9E9196007CB0}"/>
    <cellStyle name="20% - Accent6 30 9 2 3 2 2" xfId="8441" xr:uid="{A310F148-AE5B-4E70-BD56-2532680D6755}"/>
    <cellStyle name="20% - Accent6 30 9 2 3 3" xfId="8442" xr:uid="{2D177A7D-E7F9-4BB9-9BAE-157639CE0704}"/>
    <cellStyle name="20% - Accent6 30 9 2 4" xfId="8443" xr:uid="{6E782F3F-C269-42FB-BFBE-B8B4861BDBA1}"/>
    <cellStyle name="20% - Accent6 30 9 2 4 2" xfId="8444" xr:uid="{D4EF390C-7AE4-4351-A043-D689A9FB94F3}"/>
    <cellStyle name="20% - Accent6 30 9 2 5" xfId="8445" xr:uid="{2CAECF2F-460F-411B-8903-3F6AF9C5D93D}"/>
    <cellStyle name="20% - Accent6 30 9 3" xfId="8446" xr:uid="{5DFC9745-DAEC-46E4-8CB0-7EAFA77AECFA}"/>
    <cellStyle name="20% - Accent6 30 9 3 2" xfId="8447" xr:uid="{2484B3B2-4BE3-4005-9DA2-5C25C80DBC99}"/>
    <cellStyle name="20% - Accent6 30 9 3 2 2" xfId="8448" xr:uid="{C37FB531-9F3B-47A0-BC40-1C7AB81344D5}"/>
    <cellStyle name="20% - Accent6 30 9 3 3" xfId="8449" xr:uid="{4540D7DE-C8BB-4676-B8F1-680E96EB1376}"/>
    <cellStyle name="20% - Accent6 30 9 4" xfId="8450" xr:uid="{B2787E2E-9F6C-4BBE-983C-D2314324BC97}"/>
    <cellStyle name="20% - Accent6 30 9 4 2" xfId="8451" xr:uid="{854F83B3-2BA0-4610-B4CF-0FF12F0F67DB}"/>
    <cellStyle name="20% - Accent6 30 9 4 2 2" xfId="8452" xr:uid="{3ACF3CE7-1486-439B-8597-D75BA7E72276}"/>
    <cellStyle name="20% - Accent6 30 9 4 3" xfId="8453" xr:uid="{BE9FF542-28AE-44EF-8A37-27B31655FD26}"/>
    <cellStyle name="20% - Accent6 30 9 5" xfId="8454" xr:uid="{D8892649-E81C-4D59-A27A-046D35F9117B}"/>
    <cellStyle name="20% - Accent6 30 9 5 2" xfId="8455" xr:uid="{BFB45E67-2217-48C5-BD76-42B9D8472458}"/>
    <cellStyle name="20% - Accent6 30 9 6" xfId="8456" xr:uid="{994D5881-6949-46F6-ADEA-6DE59FE2005C}"/>
    <cellStyle name="20% - Accent6 31" xfId="8457" xr:uid="{344B3E7B-0B61-411C-AB36-85D4EB786985}"/>
    <cellStyle name="20% - Accent6 31 10" xfId="8458" xr:uid="{4E7F7826-BB0B-466A-9D07-5198443C4AC4}"/>
    <cellStyle name="20% - Accent6 31 10 2" xfId="8459" xr:uid="{03B14794-C667-4A3D-9006-52EA51A521BF}"/>
    <cellStyle name="20% - Accent6 31 10 2 2" xfId="8460" xr:uid="{BED24D3F-C62F-4E1B-939B-4E7B15959D0A}"/>
    <cellStyle name="20% - Accent6 31 10 2 2 2" xfId="8461" xr:uid="{B2EB7706-9BAF-4B38-BFB8-E772D6D26957}"/>
    <cellStyle name="20% - Accent6 31 10 2 2 2 2" xfId="8462" xr:uid="{F657BB62-B9E4-4D97-B709-542551784F2A}"/>
    <cellStyle name="20% - Accent6 31 10 2 2 3" xfId="8463" xr:uid="{B7E516F2-3B8C-4401-98FA-7B3B71A35C87}"/>
    <cellStyle name="20% - Accent6 31 10 2 3" xfId="8464" xr:uid="{300C1CB4-40BA-4E81-BEB8-745201EF0CB5}"/>
    <cellStyle name="20% - Accent6 31 10 2 3 2" xfId="8465" xr:uid="{08280F1B-BECA-4B18-A55F-770046D24B2B}"/>
    <cellStyle name="20% - Accent6 31 10 2 3 2 2" xfId="8466" xr:uid="{DBE2F4C4-9722-4E5A-8B18-9EC520AF1738}"/>
    <cellStyle name="20% - Accent6 31 10 2 3 3" xfId="8467" xr:uid="{6299CE8C-2850-4653-A476-73E103637A91}"/>
    <cellStyle name="20% - Accent6 31 10 2 4" xfId="8468" xr:uid="{71B193F0-FCA3-4317-8879-2418EAD133E6}"/>
    <cellStyle name="20% - Accent6 31 10 2 4 2" xfId="8469" xr:uid="{F6431EAE-6F0D-422A-A5DA-69B967480918}"/>
    <cellStyle name="20% - Accent6 31 10 2 5" xfId="8470" xr:uid="{F25C0348-D814-4573-985B-1086701F0DBB}"/>
    <cellStyle name="20% - Accent6 31 10 3" xfId="8471" xr:uid="{A7C3CC55-73D2-4A93-8C88-1939F936861A}"/>
    <cellStyle name="20% - Accent6 31 10 3 2" xfId="8472" xr:uid="{2844B755-6890-4FDB-AA08-356F2323E387}"/>
    <cellStyle name="20% - Accent6 31 10 3 2 2" xfId="8473" xr:uid="{7B3191AA-D5B2-41CC-A40C-DC2C6A4FC9C4}"/>
    <cellStyle name="20% - Accent6 31 10 3 3" xfId="8474" xr:uid="{35F72877-5427-481A-96B3-E7288E189FC6}"/>
    <cellStyle name="20% - Accent6 31 10 4" xfId="8475" xr:uid="{AB3BBF1A-90ED-4956-9EB9-C3E28D494BB7}"/>
    <cellStyle name="20% - Accent6 31 10 4 2" xfId="8476" xr:uid="{5F6CA932-D368-497F-95E7-B79AEF2C8626}"/>
    <cellStyle name="20% - Accent6 31 10 4 2 2" xfId="8477" xr:uid="{B9BD09E9-A417-46E2-943A-E5F6CDBFE5CE}"/>
    <cellStyle name="20% - Accent6 31 10 4 3" xfId="8478" xr:uid="{9AC855E2-E63E-45F6-AA8D-15409D9D7744}"/>
    <cellStyle name="20% - Accent6 31 10 5" xfId="8479" xr:uid="{7D859932-5ED3-4C1C-89A8-DDCA1D35BA99}"/>
    <cellStyle name="20% - Accent6 31 10 5 2" xfId="8480" xr:uid="{69D20367-8800-48CF-9AE0-F300B6F2950A}"/>
    <cellStyle name="20% - Accent6 31 10 6" xfId="8481" xr:uid="{B3D5D1F1-A18C-4736-8868-A1F459E3CE91}"/>
    <cellStyle name="20% - Accent6 31 11" xfId="8482" xr:uid="{F478209B-C737-44CC-A4DD-713720DD2C23}"/>
    <cellStyle name="20% - Accent6 31 11 2" xfId="8483" xr:uid="{108B021A-876F-4664-BF61-42E954E230C9}"/>
    <cellStyle name="20% - Accent6 31 11 2 2" xfId="8484" xr:uid="{48C68729-0369-415A-B9CF-31114F22B0AC}"/>
    <cellStyle name="20% - Accent6 31 11 2 2 2" xfId="8485" xr:uid="{606AD776-B51B-4943-8B37-643963DA3533}"/>
    <cellStyle name="20% - Accent6 31 11 2 3" xfId="8486" xr:uid="{3F18A0D2-5379-4D9D-80AE-3E5E3C41ED24}"/>
    <cellStyle name="20% - Accent6 31 11 3" xfId="8487" xr:uid="{3113E503-E352-4B82-B4E2-F367C8516CCC}"/>
    <cellStyle name="20% - Accent6 31 11 3 2" xfId="8488" xr:uid="{6CDF323E-F3F7-46D6-81E2-F8FA1335CE21}"/>
    <cellStyle name="20% - Accent6 31 11 3 2 2" xfId="8489" xr:uid="{312AABB3-DDA1-4760-BF7F-265D2C9511AE}"/>
    <cellStyle name="20% - Accent6 31 11 3 3" xfId="8490" xr:uid="{CC78C3BE-825B-40FF-B910-5AB58B01E704}"/>
    <cellStyle name="20% - Accent6 31 11 4" xfId="8491" xr:uid="{5BC74541-C45B-45C9-86F1-EE0DA44790E0}"/>
    <cellStyle name="20% - Accent6 31 11 4 2" xfId="8492" xr:uid="{AC6C4ACB-5B6A-4B1C-A3BA-805867F5DE90}"/>
    <cellStyle name="20% - Accent6 31 11 5" xfId="8493" xr:uid="{901DF024-8BBC-441E-9873-AFA2C8A1C67D}"/>
    <cellStyle name="20% - Accent6 31 12" xfId="8494" xr:uid="{4BE80B3B-9B97-493F-9CEB-2C42EA97F84A}"/>
    <cellStyle name="20% - Accent6 31 12 2" xfId="8495" xr:uid="{FBF07820-5A8A-4FB9-A3A3-23178922E65E}"/>
    <cellStyle name="20% - Accent6 31 12 2 2" xfId="8496" xr:uid="{FB4C8ADD-4129-4DEE-9BAD-0F0FD3F89B8C}"/>
    <cellStyle name="20% - Accent6 31 12 3" xfId="8497" xr:uid="{0308ABC2-AE2F-4B69-9A43-23817DF398DC}"/>
    <cellStyle name="20% - Accent6 31 13" xfId="8498" xr:uid="{F20B709F-E8C8-4721-83DC-6096799478F7}"/>
    <cellStyle name="20% - Accent6 31 13 2" xfId="8499" xr:uid="{11A98960-EFB7-4876-9B76-EFB038D521D0}"/>
    <cellStyle name="20% - Accent6 31 13 2 2" xfId="8500" xr:uid="{A0B31F81-5D22-4BB2-ABB2-A9E79EBE4984}"/>
    <cellStyle name="20% - Accent6 31 13 3" xfId="8501" xr:uid="{206E5736-ECE6-4B54-814A-A4CB34D32F7C}"/>
    <cellStyle name="20% - Accent6 31 14" xfId="8502" xr:uid="{54E09FEC-891B-4274-AAB1-22764544677E}"/>
    <cellStyle name="20% - Accent6 31 14 2" xfId="8503" xr:uid="{7132A885-8BEC-4911-80AF-E35F7EA19924}"/>
    <cellStyle name="20% - Accent6 31 15" xfId="8504" xr:uid="{3422B899-A8A4-48E7-81C3-FA749DDF4E48}"/>
    <cellStyle name="20% - Accent6 31 16" xfId="36563" xr:uid="{4CCBBEAB-4EAA-462A-BCC1-456C3D459939}"/>
    <cellStyle name="20% - Accent6 31 2" xfId="8505" xr:uid="{B61F20A4-32D3-4F06-8FB6-1D64BA93A6B2}"/>
    <cellStyle name="20% - Accent6 31 2 2" xfId="8506" xr:uid="{D2E06923-BE38-4339-B030-909B716ED30B}"/>
    <cellStyle name="20% - Accent6 31 2 2 2" xfId="8507" xr:uid="{B660D1C6-15EE-47A1-9E23-01AEB169DD08}"/>
    <cellStyle name="20% - Accent6 31 2 2 2 2" xfId="8508" xr:uid="{332C951B-572D-4088-BBF6-020BDF989203}"/>
    <cellStyle name="20% - Accent6 31 2 2 2 2 2" xfId="8509" xr:uid="{0EF9E1F0-D11F-433D-9205-CE2CC59E7563}"/>
    <cellStyle name="20% - Accent6 31 2 2 2 3" xfId="8510" xr:uid="{CF05AAF1-639A-40AB-A385-CBFA07B3F17A}"/>
    <cellStyle name="20% - Accent6 31 2 2 3" xfId="8511" xr:uid="{4A3528C3-973B-4D3E-89AB-530ADBA936D7}"/>
    <cellStyle name="20% - Accent6 31 2 2 3 2" xfId="8512" xr:uid="{B7927970-8F7B-4BE9-BD18-42EC041D6BDC}"/>
    <cellStyle name="20% - Accent6 31 2 2 3 2 2" xfId="8513" xr:uid="{10CDF552-3F13-445E-A636-9A9ABE855089}"/>
    <cellStyle name="20% - Accent6 31 2 2 3 3" xfId="8514" xr:uid="{3A597B98-2CB0-4F54-B92B-72617226ADC1}"/>
    <cellStyle name="20% - Accent6 31 2 2 4" xfId="8515" xr:uid="{46916751-9E47-4223-B941-67482B878178}"/>
    <cellStyle name="20% - Accent6 31 2 2 4 2" xfId="8516" xr:uid="{E06F4DAF-CBD7-4140-81A3-F21538B7F362}"/>
    <cellStyle name="20% - Accent6 31 2 2 5" xfId="8517" xr:uid="{BD6D3C3D-1CEA-45D2-8EFD-D22DCFE31C9B}"/>
    <cellStyle name="20% - Accent6 31 2 3" xfId="8518" xr:uid="{3191B562-6160-49DB-97F0-87F8FA45309D}"/>
    <cellStyle name="20% - Accent6 31 2 3 2" xfId="8519" xr:uid="{91AC7FC2-E4FA-4898-9D76-793F8502D967}"/>
    <cellStyle name="20% - Accent6 31 2 3 2 2" xfId="8520" xr:uid="{BA8D8B7D-7AC4-4506-B23F-5CEB68ADED2C}"/>
    <cellStyle name="20% - Accent6 31 2 3 3" xfId="8521" xr:uid="{AD9FDBEC-8CE3-4B58-A2A7-B5C05ABBB923}"/>
    <cellStyle name="20% - Accent6 31 2 4" xfId="8522" xr:uid="{1CF1AF46-3417-4074-B81E-5B6668C8F6D6}"/>
    <cellStyle name="20% - Accent6 31 2 4 2" xfId="8523" xr:uid="{5BBFE0AC-D833-479A-842C-FE55C67B9221}"/>
    <cellStyle name="20% - Accent6 31 2 4 2 2" xfId="8524" xr:uid="{FA811DD5-095D-44A5-A05F-456A730EE798}"/>
    <cellStyle name="20% - Accent6 31 2 4 3" xfId="8525" xr:uid="{6A4C78B9-E6B0-463C-8104-216DE62AD4B7}"/>
    <cellStyle name="20% - Accent6 31 2 5" xfId="8526" xr:uid="{66B79987-1262-4B77-ABE3-D88B53260247}"/>
    <cellStyle name="20% - Accent6 31 2 5 2" xfId="8527" xr:uid="{4B310C83-1349-4EE2-9E4D-5B2E11CFD37A}"/>
    <cellStyle name="20% - Accent6 31 2 6" xfId="8528" xr:uid="{C165ACFD-8AF9-4994-B100-1908899EBD92}"/>
    <cellStyle name="20% - Accent6 31 3" xfId="8529" xr:uid="{91D809A7-2C4E-4512-87E9-C616DF088292}"/>
    <cellStyle name="20% - Accent6 31 3 2" xfId="8530" xr:uid="{A5FFA357-70A3-4E84-8299-3C546B82B1E0}"/>
    <cellStyle name="20% - Accent6 31 3 2 2" xfId="8531" xr:uid="{EA392FBF-6CE1-4020-AD04-4683DD2E1B89}"/>
    <cellStyle name="20% - Accent6 31 3 2 2 2" xfId="8532" xr:uid="{DC2E8292-7B0D-446E-B621-EBEE7663BE26}"/>
    <cellStyle name="20% - Accent6 31 3 2 2 2 2" xfId="8533" xr:uid="{951904CC-2963-4D01-9DA3-D864A52A221F}"/>
    <cellStyle name="20% - Accent6 31 3 2 2 3" xfId="8534" xr:uid="{7B68EC65-115D-4799-B9D2-476A751E9587}"/>
    <cellStyle name="20% - Accent6 31 3 2 3" xfId="8535" xr:uid="{44367F6D-26F6-4B69-9EC5-2024023385F9}"/>
    <cellStyle name="20% - Accent6 31 3 2 3 2" xfId="8536" xr:uid="{AABA4C47-2563-4E54-86B2-37F324743D65}"/>
    <cellStyle name="20% - Accent6 31 3 2 3 2 2" xfId="8537" xr:uid="{09FDF409-CE87-49C5-AF2E-C006D352DB0C}"/>
    <cellStyle name="20% - Accent6 31 3 2 3 3" xfId="8538" xr:uid="{A227FE1A-4B3A-4888-84E0-A2CEA4309693}"/>
    <cellStyle name="20% - Accent6 31 3 2 4" xfId="8539" xr:uid="{2C791CEF-A0C2-4C2D-AA6A-933D812776D5}"/>
    <cellStyle name="20% - Accent6 31 3 2 4 2" xfId="8540" xr:uid="{3D1C8CE1-BBF9-4D54-A618-8BE7503EDB48}"/>
    <cellStyle name="20% - Accent6 31 3 2 5" xfId="8541" xr:uid="{6A3D53AA-BBE8-490C-B569-273F727AFD1B}"/>
    <cellStyle name="20% - Accent6 31 3 3" xfId="8542" xr:uid="{E7B598E6-32EE-4A66-8099-D4E693DD5EB2}"/>
    <cellStyle name="20% - Accent6 31 3 3 2" xfId="8543" xr:uid="{11887960-A90D-4785-BF65-FAE77A933F82}"/>
    <cellStyle name="20% - Accent6 31 3 3 2 2" xfId="8544" xr:uid="{92B4501C-FF40-4697-ADFA-DEF604C14BEA}"/>
    <cellStyle name="20% - Accent6 31 3 3 3" xfId="8545" xr:uid="{550F4D7C-3BFD-4443-BB96-5D51C226D67D}"/>
    <cellStyle name="20% - Accent6 31 3 4" xfId="8546" xr:uid="{CDF684CA-D54D-4F13-A238-933FE0B4693D}"/>
    <cellStyle name="20% - Accent6 31 3 4 2" xfId="8547" xr:uid="{E03872BF-41B4-496B-B87E-CB7AAF99120E}"/>
    <cellStyle name="20% - Accent6 31 3 4 2 2" xfId="8548" xr:uid="{E8A0F14C-E38A-4AF1-B5D6-8A439E748DCB}"/>
    <cellStyle name="20% - Accent6 31 3 4 3" xfId="8549" xr:uid="{3D4F968F-C933-4AAB-8FFE-F61451E28463}"/>
    <cellStyle name="20% - Accent6 31 3 5" xfId="8550" xr:uid="{A7CB98DD-6D47-4F90-9CBC-FED2D8126E94}"/>
    <cellStyle name="20% - Accent6 31 3 5 2" xfId="8551" xr:uid="{522769FA-EB3E-4C73-ABDE-A1AEECD0A579}"/>
    <cellStyle name="20% - Accent6 31 3 6" xfId="8552" xr:uid="{E05F4C60-CD9B-4228-803A-AF01039C07F7}"/>
    <cellStyle name="20% - Accent6 31 4" xfId="8553" xr:uid="{9DD30F70-CC6E-42C7-8584-66713CF32B44}"/>
    <cellStyle name="20% - Accent6 31 4 2" xfId="8554" xr:uid="{1ADC1CBC-60D1-4791-B0F6-92AB9AFD3E8F}"/>
    <cellStyle name="20% - Accent6 31 4 2 2" xfId="8555" xr:uid="{72EA4819-B65C-4D5D-9D48-8A737F360E60}"/>
    <cellStyle name="20% - Accent6 31 4 2 2 2" xfId="8556" xr:uid="{282E8F8D-74B8-4C8A-A802-15A2A6A76ED7}"/>
    <cellStyle name="20% - Accent6 31 4 2 2 2 2" xfId="8557" xr:uid="{AAB9A347-2C4A-4A27-BB8F-BA0313B70DED}"/>
    <cellStyle name="20% - Accent6 31 4 2 2 3" xfId="8558" xr:uid="{F31AEC31-1E93-42F8-83DC-3CC98370EA96}"/>
    <cellStyle name="20% - Accent6 31 4 2 3" xfId="8559" xr:uid="{BA7E8899-4444-485F-8581-1EF2DFF744E8}"/>
    <cellStyle name="20% - Accent6 31 4 2 3 2" xfId="8560" xr:uid="{08003A70-016B-4D9F-80C1-E96FAACAAE68}"/>
    <cellStyle name="20% - Accent6 31 4 2 3 2 2" xfId="8561" xr:uid="{DFA0F876-8682-4A40-8D08-50988786A18B}"/>
    <cellStyle name="20% - Accent6 31 4 2 3 3" xfId="8562" xr:uid="{EBED59B6-AF89-47D2-91D1-500EC17A7140}"/>
    <cellStyle name="20% - Accent6 31 4 2 4" xfId="8563" xr:uid="{31AE804E-E953-4FEC-8F8B-C57B655CC718}"/>
    <cellStyle name="20% - Accent6 31 4 2 4 2" xfId="8564" xr:uid="{C6AEF156-2E54-4CAF-ADE9-52654633E9DB}"/>
    <cellStyle name="20% - Accent6 31 4 2 5" xfId="8565" xr:uid="{938E63F3-AA9F-400A-A1AC-AF3AD76FA256}"/>
    <cellStyle name="20% - Accent6 31 4 3" xfId="8566" xr:uid="{D05382A7-37C7-4B6E-A2A5-5066363F3F1D}"/>
    <cellStyle name="20% - Accent6 31 4 3 2" xfId="8567" xr:uid="{08845FEE-097A-4AF4-8EFD-5E53B57352BC}"/>
    <cellStyle name="20% - Accent6 31 4 3 2 2" xfId="8568" xr:uid="{232B4D0B-4CB7-4291-BED2-3418C64DCBAF}"/>
    <cellStyle name="20% - Accent6 31 4 3 3" xfId="8569" xr:uid="{07D5EA2A-6D35-4848-B197-B0B9D1F2A869}"/>
    <cellStyle name="20% - Accent6 31 4 4" xfId="8570" xr:uid="{A130767B-B14A-43F9-8E21-37D0A1984612}"/>
    <cellStyle name="20% - Accent6 31 4 4 2" xfId="8571" xr:uid="{6C15F7EE-9DA1-4724-88F7-C91B5D212626}"/>
    <cellStyle name="20% - Accent6 31 4 4 2 2" xfId="8572" xr:uid="{E23FE2ED-C19C-4BC7-B245-770C32836624}"/>
    <cellStyle name="20% - Accent6 31 4 4 3" xfId="8573" xr:uid="{2662EEB2-FDD6-445D-8DA9-1E6A92D39F6F}"/>
    <cellStyle name="20% - Accent6 31 4 5" xfId="8574" xr:uid="{B9B95B2D-3BE2-4E33-81B9-5EAE741141BD}"/>
    <cellStyle name="20% - Accent6 31 4 5 2" xfId="8575" xr:uid="{FC8B5EED-DCC6-4D8A-B472-9DBE5CF85BAF}"/>
    <cellStyle name="20% - Accent6 31 4 6" xfId="8576" xr:uid="{115BC2AD-AB6B-441B-A025-4DEEAE472974}"/>
    <cellStyle name="20% - Accent6 31 5" xfId="8577" xr:uid="{0314F836-2004-4BAF-BAE8-A3104B500079}"/>
    <cellStyle name="20% - Accent6 31 5 2" xfId="8578" xr:uid="{EEBE022D-8D64-4FD5-8987-D4B15AFD16DD}"/>
    <cellStyle name="20% - Accent6 31 5 2 2" xfId="8579" xr:uid="{791ACB69-5E03-45FA-9293-E46DFE3BD34D}"/>
    <cellStyle name="20% - Accent6 31 5 2 2 2" xfId="8580" xr:uid="{46097427-59EC-46BB-AC22-26D24CCC95C6}"/>
    <cellStyle name="20% - Accent6 31 5 2 2 2 2" xfId="8581" xr:uid="{E1E97830-7592-4303-B271-98425D9AAFE5}"/>
    <cellStyle name="20% - Accent6 31 5 2 2 3" xfId="8582" xr:uid="{D5E06330-67C2-4BAA-8EF2-7774BF772E89}"/>
    <cellStyle name="20% - Accent6 31 5 2 3" xfId="8583" xr:uid="{D59182F7-76AB-4FE3-883F-7FC6B81D34E9}"/>
    <cellStyle name="20% - Accent6 31 5 2 3 2" xfId="8584" xr:uid="{DF6134D8-2849-446B-9697-D666214C73C9}"/>
    <cellStyle name="20% - Accent6 31 5 2 3 2 2" xfId="8585" xr:uid="{87657B05-527C-4A03-AEC8-B507797A38AB}"/>
    <cellStyle name="20% - Accent6 31 5 2 3 3" xfId="8586" xr:uid="{81954106-14B3-4E67-90C4-CD6A5B27F29F}"/>
    <cellStyle name="20% - Accent6 31 5 2 4" xfId="8587" xr:uid="{22993FD5-5ED5-4C8F-B51E-4DDF5424D684}"/>
    <cellStyle name="20% - Accent6 31 5 2 4 2" xfId="8588" xr:uid="{6FADCFA5-591F-4959-A2D2-D7A4DEF4CD56}"/>
    <cellStyle name="20% - Accent6 31 5 2 5" xfId="8589" xr:uid="{A44D5978-3F76-49D2-96F4-6F39AB961F35}"/>
    <cellStyle name="20% - Accent6 31 5 3" xfId="8590" xr:uid="{B45C3499-8228-4572-965D-DB59C29C6FDB}"/>
    <cellStyle name="20% - Accent6 31 5 3 2" xfId="8591" xr:uid="{F137122B-E73F-4B32-AC39-A760D2BBB986}"/>
    <cellStyle name="20% - Accent6 31 5 3 2 2" xfId="8592" xr:uid="{941759DA-2BC4-4C4F-988D-0822BFBD64F1}"/>
    <cellStyle name="20% - Accent6 31 5 3 3" xfId="8593" xr:uid="{D8854A00-5ACE-4B30-9014-FE678989846F}"/>
    <cellStyle name="20% - Accent6 31 5 4" xfId="8594" xr:uid="{F031A4FD-4A4D-45C4-AAC6-4CF74694A6EE}"/>
    <cellStyle name="20% - Accent6 31 5 4 2" xfId="8595" xr:uid="{D4F82665-E956-4FA9-9AAD-A2BB78A06B08}"/>
    <cellStyle name="20% - Accent6 31 5 4 2 2" xfId="8596" xr:uid="{3BF30741-9BA3-43DA-8790-3BC360FB5E6C}"/>
    <cellStyle name="20% - Accent6 31 5 4 3" xfId="8597" xr:uid="{7A71963D-0C9C-4E2E-BB23-F834251A4C1B}"/>
    <cellStyle name="20% - Accent6 31 5 5" xfId="8598" xr:uid="{889C7A19-D503-4EB0-84A4-4CE0C191AD23}"/>
    <cellStyle name="20% - Accent6 31 5 5 2" xfId="8599" xr:uid="{969BB138-2F67-454B-B937-AD5EAC45D14C}"/>
    <cellStyle name="20% - Accent6 31 5 6" xfId="8600" xr:uid="{EE66C5EB-34F4-4B07-9E6B-07224598CB67}"/>
    <cellStyle name="20% - Accent6 31 6" xfId="8601" xr:uid="{FAC176F2-812C-4CF2-B34A-AAB01AD888B3}"/>
    <cellStyle name="20% - Accent6 31 6 2" xfId="8602" xr:uid="{CFDAFC7D-54CB-41A0-9BF6-2445E7BFA77D}"/>
    <cellStyle name="20% - Accent6 31 6 2 2" xfId="8603" xr:uid="{59C125D4-BFDE-4396-A11B-CD4F92ED9A42}"/>
    <cellStyle name="20% - Accent6 31 6 2 2 2" xfId="8604" xr:uid="{CA91A9C0-0982-45ED-BF7D-8B8E493E7483}"/>
    <cellStyle name="20% - Accent6 31 6 2 2 2 2" xfId="8605" xr:uid="{29762D3B-33A8-4BF0-B713-DFE7C94DCD41}"/>
    <cellStyle name="20% - Accent6 31 6 2 2 3" xfId="8606" xr:uid="{E79D6980-B7B1-49A0-B958-1A1CA5419055}"/>
    <cellStyle name="20% - Accent6 31 6 2 3" xfId="8607" xr:uid="{1B2AA2A5-32C8-4630-82D6-08CBCA0DA4CE}"/>
    <cellStyle name="20% - Accent6 31 6 2 3 2" xfId="8608" xr:uid="{E9106675-8F7C-41CD-A5A8-1DF881B7279D}"/>
    <cellStyle name="20% - Accent6 31 6 2 3 2 2" xfId="8609" xr:uid="{4538D6A0-6B09-4FA2-AA91-6D5967C78C4A}"/>
    <cellStyle name="20% - Accent6 31 6 2 3 3" xfId="8610" xr:uid="{DABD8AFB-FE59-46A8-B820-01BB69D49EBF}"/>
    <cellStyle name="20% - Accent6 31 6 2 4" xfId="8611" xr:uid="{B47BAC99-896F-4467-8BEB-EB82D210A3E9}"/>
    <cellStyle name="20% - Accent6 31 6 2 4 2" xfId="8612" xr:uid="{05F4965D-D7EE-4305-A100-96A8F57D540A}"/>
    <cellStyle name="20% - Accent6 31 6 2 5" xfId="8613" xr:uid="{1E7B518D-E502-4221-B3B2-06D4F92B0443}"/>
    <cellStyle name="20% - Accent6 31 6 3" xfId="8614" xr:uid="{176CFEEA-C589-4608-AE3B-1DDE9C84E456}"/>
    <cellStyle name="20% - Accent6 31 6 3 2" xfId="8615" xr:uid="{42D7F309-BDB7-4779-9C56-A975DEA38A54}"/>
    <cellStyle name="20% - Accent6 31 6 3 2 2" xfId="8616" xr:uid="{36326345-F52B-4F71-B5E9-AD8C7C1829E0}"/>
    <cellStyle name="20% - Accent6 31 6 3 3" xfId="8617" xr:uid="{ED46587F-BF10-42F8-B57E-4F25B01056C4}"/>
    <cellStyle name="20% - Accent6 31 6 4" xfId="8618" xr:uid="{6CB14D38-9FF5-43AB-A843-95659C55CE29}"/>
    <cellStyle name="20% - Accent6 31 6 4 2" xfId="8619" xr:uid="{93CB250E-FEBA-42B6-8AF7-C1E08E4B956B}"/>
    <cellStyle name="20% - Accent6 31 6 4 2 2" xfId="8620" xr:uid="{61C6AF1C-4F28-4626-8FBA-9E582CA2E853}"/>
    <cellStyle name="20% - Accent6 31 6 4 3" xfId="8621" xr:uid="{E6BE45FE-F2CE-4F7F-B81D-50BF8A41EFAC}"/>
    <cellStyle name="20% - Accent6 31 6 5" xfId="8622" xr:uid="{AFAE5638-303C-4B11-940D-66979A65BC12}"/>
    <cellStyle name="20% - Accent6 31 6 5 2" xfId="8623" xr:uid="{7C7B625E-F9DA-4C8A-84A4-A0491B721C97}"/>
    <cellStyle name="20% - Accent6 31 6 6" xfId="8624" xr:uid="{4F05949A-E7EC-42EA-B884-E83650941A02}"/>
    <cellStyle name="20% - Accent6 31 7" xfId="8625" xr:uid="{32E3937E-B493-417A-9C08-82D419DCE17A}"/>
    <cellStyle name="20% - Accent6 31 7 2" xfId="8626" xr:uid="{2F434452-EB59-437D-B79D-A88A81946E19}"/>
    <cellStyle name="20% - Accent6 31 7 2 2" xfId="8627" xr:uid="{F4EAB122-5782-4291-974B-84186BFAC1BA}"/>
    <cellStyle name="20% - Accent6 31 7 2 2 2" xfId="8628" xr:uid="{344004F6-7B92-4988-BF45-D529A89A2689}"/>
    <cellStyle name="20% - Accent6 31 7 2 2 2 2" xfId="8629" xr:uid="{DC4F120A-3A69-4B4F-B61D-1F6872471B91}"/>
    <cellStyle name="20% - Accent6 31 7 2 2 3" xfId="8630" xr:uid="{E4E7A9DF-F0C4-43F0-B438-4CC55A9C00DE}"/>
    <cellStyle name="20% - Accent6 31 7 2 3" xfId="8631" xr:uid="{4C5BF2BC-CD30-44AB-84CA-CCA4CC92BA14}"/>
    <cellStyle name="20% - Accent6 31 7 2 3 2" xfId="8632" xr:uid="{44EE0211-D99F-4691-BDFC-2A045ABEF69D}"/>
    <cellStyle name="20% - Accent6 31 7 2 3 2 2" xfId="8633" xr:uid="{78CF6AD9-49A1-455C-B9CC-F9580692F740}"/>
    <cellStyle name="20% - Accent6 31 7 2 3 3" xfId="8634" xr:uid="{D2DAB20B-3EE6-4F1F-982C-096C877CD2D5}"/>
    <cellStyle name="20% - Accent6 31 7 2 4" xfId="8635" xr:uid="{590496D4-BA34-4AF9-A68B-DC0DA2B7CC64}"/>
    <cellStyle name="20% - Accent6 31 7 2 4 2" xfId="8636" xr:uid="{A4E160B0-CF22-48AC-9A33-0071BEF0E6AE}"/>
    <cellStyle name="20% - Accent6 31 7 2 5" xfId="8637" xr:uid="{BB690187-7AEC-4C1C-BF0E-9E9244B03E0C}"/>
    <cellStyle name="20% - Accent6 31 7 3" xfId="8638" xr:uid="{2E88FC88-6191-4D50-9163-448C35B6FC94}"/>
    <cellStyle name="20% - Accent6 31 7 3 2" xfId="8639" xr:uid="{200622E2-A9C4-46A4-A2BA-7978327DB242}"/>
    <cellStyle name="20% - Accent6 31 7 3 2 2" xfId="8640" xr:uid="{05328301-8173-4773-BE33-A3D02DCD9D9E}"/>
    <cellStyle name="20% - Accent6 31 7 3 3" xfId="8641" xr:uid="{46BCD930-9339-4A60-8DBD-F1B17FFB5923}"/>
    <cellStyle name="20% - Accent6 31 7 4" xfId="8642" xr:uid="{FEBF45A3-B475-47B1-A46B-E0FD81A96B53}"/>
    <cellStyle name="20% - Accent6 31 7 4 2" xfId="8643" xr:uid="{8DDFADEA-7920-4833-BCE2-83E94FDE4BB5}"/>
    <cellStyle name="20% - Accent6 31 7 4 2 2" xfId="8644" xr:uid="{FDCD67C4-7AE0-4983-881A-92B2078DF39D}"/>
    <cellStyle name="20% - Accent6 31 7 4 3" xfId="8645" xr:uid="{6145E09B-ADA4-4A66-A706-1D7D71321B97}"/>
    <cellStyle name="20% - Accent6 31 7 5" xfId="8646" xr:uid="{1F7443FE-7BD3-4E1C-8AA7-588FB7E0E25C}"/>
    <cellStyle name="20% - Accent6 31 7 5 2" xfId="8647" xr:uid="{49848ED7-9242-4F79-BCCF-8DF8FDCAF527}"/>
    <cellStyle name="20% - Accent6 31 7 6" xfId="8648" xr:uid="{62B2DE42-D933-4193-99AB-524C139D4B7F}"/>
    <cellStyle name="20% - Accent6 31 8" xfId="8649" xr:uid="{5E2CD770-AF69-4270-B7E8-7A517C6B80B7}"/>
    <cellStyle name="20% - Accent6 31 8 2" xfId="8650" xr:uid="{76018D6C-B4EF-4FB1-A605-2A57359F2335}"/>
    <cellStyle name="20% - Accent6 31 8 2 2" xfId="8651" xr:uid="{6A5F8230-A408-4551-82CF-600818F2781B}"/>
    <cellStyle name="20% - Accent6 31 8 2 2 2" xfId="8652" xr:uid="{87B51E58-2940-423A-A321-7DAC376A4CAE}"/>
    <cellStyle name="20% - Accent6 31 8 2 2 2 2" xfId="8653" xr:uid="{FF56BC85-0AD0-4D41-9AEC-39F80778B886}"/>
    <cellStyle name="20% - Accent6 31 8 2 2 3" xfId="8654" xr:uid="{FBFF658A-A28D-424D-8D1F-C56CD9C39D87}"/>
    <cellStyle name="20% - Accent6 31 8 2 3" xfId="8655" xr:uid="{F7D1E699-B431-43BC-9476-55726FF8DED0}"/>
    <cellStyle name="20% - Accent6 31 8 2 3 2" xfId="8656" xr:uid="{4F182550-F1C7-45AC-9EEB-734A1E060F2B}"/>
    <cellStyle name="20% - Accent6 31 8 2 3 2 2" xfId="8657" xr:uid="{47994FDA-2BAF-446E-9A70-D852FBB2D278}"/>
    <cellStyle name="20% - Accent6 31 8 2 3 3" xfId="8658" xr:uid="{278E6E14-3405-46B4-B076-1972AE79A201}"/>
    <cellStyle name="20% - Accent6 31 8 2 4" xfId="8659" xr:uid="{6BF10635-74D2-45F7-93D5-E8E8195F74AD}"/>
    <cellStyle name="20% - Accent6 31 8 2 4 2" xfId="8660" xr:uid="{52B2A03A-7F4F-46CC-9B63-D40C1F5D01D4}"/>
    <cellStyle name="20% - Accent6 31 8 2 5" xfId="8661" xr:uid="{7088D59F-31F7-4DCF-8077-88D5339E4D9C}"/>
    <cellStyle name="20% - Accent6 31 8 3" xfId="8662" xr:uid="{991DAA1C-F63F-4092-BDBD-47C2DE97F39A}"/>
    <cellStyle name="20% - Accent6 31 8 3 2" xfId="8663" xr:uid="{66701112-9E7D-4D43-A9F7-DF691A49ABC9}"/>
    <cellStyle name="20% - Accent6 31 8 3 2 2" xfId="8664" xr:uid="{F337F8EA-7C3A-4972-816C-FD93A52D242D}"/>
    <cellStyle name="20% - Accent6 31 8 3 3" xfId="8665" xr:uid="{0B7F7006-8374-4852-9C83-F5F14AD8CE83}"/>
    <cellStyle name="20% - Accent6 31 8 4" xfId="8666" xr:uid="{D2F6835A-26EE-4A4D-82AC-0FC67A859FFD}"/>
    <cellStyle name="20% - Accent6 31 8 4 2" xfId="8667" xr:uid="{227FC3C4-0DAB-48E9-8C86-042F614143C2}"/>
    <cellStyle name="20% - Accent6 31 8 4 2 2" xfId="8668" xr:uid="{67073173-006A-44D3-B158-929E47864C67}"/>
    <cellStyle name="20% - Accent6 31 8 4 3" xfId="8669" xr:uid="{0BD4417B-198B-44E7-99A0-52F89D99EDE6}"/>
    <cellStyle name="20% - Accent6 31 8 5" xfId="8670" xr:uid="{7FB0B50A-C76B-4A74-8092-56C0E3057DB8}"/>
    <cellStyle name="20% - Accent6 31 8 5 2" xfId="8671" xr:uid="{74E2E755-CE02-4452-84D0-5B2DE6C562BE}"/>
    <cellStyle name="20% - Accent6 31 8 6" xfId="8672" xr:uid="{8FCDC605-A8F1-40BF-8868-1250A12048F8}"/>
    <cellStyle name="20% - Accent6 31 9" xfId="8673" xr:uid="{03339FE1-08BD-4FF4-952D-384C94D75210}"/>
    <cellStyle name="20% - Accent6 31 9 2" xfId="8674" xr:uid="{B3AEEF04-0990-46F8-B6CE-390EE4196C52}"/>
    <cellStyle name="20% - Accent6 31 9 2 2" xfId="8675" xr:uid="{7D8CC993-06EB-47DB-BB66-63274E89CBDD}"/>
    <cellStyle name="20% - Accent6 31 9 2 2 2" xfId="8676" xr:uid="{7A71A262-EBFB-416D-8799-E2ACE5CE34F7}"/>
    <cellStyle name="20% - Accent6 31 9 2 2 2 2" xfId="8677" xr:uid="{8FC8894C-4E9E-4586-B8A5-BCE2E7DF796B}"/>
    <cellStyle name="20% - Accent6 31 9 2 2 3" xfId="8678" xr:uid="{66CD8696-663C-4C82-97D8-82A3D1D2C395}"/>
    <cellStyle name="20% - Accent6 31 9 2 3" xfId="8679" xr:uid="{F946A865-3EA7-4EE1-9A3B-8417C8A3B5B4}"/>
    <cellStyle name="20% - Accent6 31 9 2 3 2" xfId="8680" xr:uid="{D0A8828F-8A82-4501-9DB7-95B9BF494E10}"/>
    <cellStyle name="20% - Accent6 31 9 2 3 2 2" xfId="8681" xr:uid="{33B3EC40-D763-425A-A121-3B58075708CA}"/>
    <cellStyle name="20% - Accent6 31 9 2 3 3" xfId="8682" xr:uid="{4F0650DE-A34E-4523-814B-6D1C424DED80}"/>
    <cellStyle name="20% - Accent6 31 9 2 4" xfId="8683" xr:uid="{C3A09809-DE4B-41C6-905A-BA7A02E08B6C}"/>
    <cellStyle name="20% - Accent6 31 9 2 4 2" xfId="8684" xr:uid="{28652600-05E0-4EB9-B7E1-04EF030D0798}"/>
    <cellStyle name="20% - Accent6 31 9 2 5" xfId="8685" xr:uid="{0E19EE66-8282-481E-97C7-CC0FFB9D5B04}"/>
    <cellStyle name="20% - Accent6 31 9 3" xfId="8686" xr:uid="{4FCFF12D-3815-4CAE-A8E0-2876DAA27FD5}"/>
    <cellStyle name="20% - Accent6 31 9 3 2" xfId="8687" xr:uid="{DEDD502A-07B6-4863-A666-B4A7C495A27E}"/>
    <cellStyle name="20% - Accent6 31 9 3 2 2" xfId="8688" xr:uid="{7A09B807-A883-47B4-977A-304DD5C6AEC4}"/>
    <cellStyle name="20% - Accent6 31 9 3 3" xfId="8689" xr:uid="{32DF7924-4C01-459C-A27C-1F4CF1AAE410}"/>
    <cellStyle name="20% - Accent6 31 9 4" xfId="8690" xr:uid="{C8531399-070B-4169-B65A-959830A7FA5E}"/>
    <cellStyle name="20% - Accent6 31 9 4 2" xfId="8691" xr:uid="{6DA59040-7D50-45DB-BD1E-263AB07C4026}"/>
    <cellStyle name="20% - Accent6 31 9 4 2 2" xfId="8692" xr:uid="{BE3C72C8-4FE7-4301-B16F-F809E7A01DA8}"/>
    <cellStyle name="20% - Accent6 31 9 4 3" xfId="8693" xr:uid="{BA8E0E1F-8434-487C-9D8B-CAB698595948}"/>
    <cellStyle name="20% - Accent6 31 9 5" xfId="8694" xr:uid="{3D5E20C3-6D23-48C0-B0C2-7C5B36701CD1}"/>
    <cellStyle name="20% - Accent6 31 9 5 2" xfId="8695" xr:uid="{12E8A83E-559E-4F4D-A77D-8C455A39E01F}"/>
    <cellStyle name="20% - Accent6 31 9 6" xfId="8696" xr:uid="{72C7BD97-74E1-471A-B749-6021AE162A4C}"/>
    <cellStyle name="20% - Accent6 32" xfId="8697" xr:uid="{989F9897-0A14-41C0-8A8E-F2520514416A}"/>
    <cellStyle name="20% - Accent6 32 2" xfId="8698" xr:uid="{CABED767-A25F-4B40-9AEA-E0DB1CCF1C87}"/>
    <cellStyle name="20% - Accent6 32 2 2" xfId="8699" xr:uid="{2D5EAA72-8B66-43D9-AF63-AF35F5B15BA0}"/>
    <cellStyle name="20% - Accent6 32 2 2 2" xfId="8700" xr:uid="{8D162984-B35C-4029-8DFA-9A482E6EA538}"/>
    <cellStyle name="20% - Accent6 32 2 2 2 2" xfId="8701" xr:uid="{2E801F3C-B82A-4A45-8349-EB28372A9E6B}"/>
    <cellStyle name="20% - Accent6 32 2 2 3" xfId="8702" xr:uid="{C0D4CECD-AB51-406F-B6A9-7C77AB6AE107}"/>
    <cellStyle name="20% - Accent6 32 2 3" xfId="8703" xr:uid="{8685B28C-F2FD-4A79-964A-64673027601C}"/>
    <cellStyle name="20% - Accent6 32 2 3 2" xfId="8704" xr:uid="{27FD8736-3E21-4834-8B12-421DEE75809A}"/>
    <cellStyle name="20% - Accent6 32 2 3 2 2" xfId="8705" xr:uid="{A1F608BC-2036-4167-B701-03348BC4321F}"/>
    <cellStyle name="20% - Accent6 32 2 3 3" xfId="8706" xr:uid="{47737966-3A01-454D-944A-6D2F7348F668}"/>
    <cellStyle name="20% - Accent6 32 2 4" xfId="8707" xr:uid="{845107DC-0319-45BF-B586-50B927D2E618}"/>
    <cellStyle name="20% - Accent6 32 2 4 2" xfId="8708" xr:uid="{917C68B7-A062-4DA7-89C8-B11110BF0809}"/>
    <cellStyle name="20% - Accent6 32 2 5" xfId="8709" xr:uid="{0F92ABBF-5AF7-49A8-8B84-D0ADE6B969AC}"/>
    <cellStyle name="20% - Accent6 32 3" xfId="8710" xr:uid="{77D0E9A8-CF5D-4BCA-B634-BB16B254AF07}"/>
    <cellStyle name="20% - Accent6 32 3 2" xfId="8711" xr:uid="{511404FE-C58C-43A6-8452-3E51A1112342}"/>
    <cellStyle name="20% - Accent6 32 3 2 2" xfId="8712" xr:uid="{B3F70BED-1D48-46F8-ACF5-E5A7083E5238}"/>
    <cellStyle name="20% - Accent6 32 3 3" xfId="8713" xr:uid="{1A8A10B4-E928-43DF-A75B-EECF9C5B2FA2}"/>
    <cellStyle name="20% - Accent6 32 4" xfId="8714" xr:uid="{A15C7648-9989-4BD0-8852-66132AF09BF0}"/>
    <cellStyle name="20% - Accent6 32 4 2" xfId="8715" xr:uid="{BD7182AD-042A-48D8-BBF9-998067FD55BE}"/>
    <cellStyle name="20% - Accent6 32 4 2 2" xfId="8716" xr:uid="{6DBE9E4B-C069-4390-8271-D50E4C248975}"/>
    <cellStyle name="20% - Accent6 32 4 3" xfId="8717" xr:uid="{EBE33B31-7A00-4EC9-A596-17734AE96216}"/>
    <cellStyle name="20% - Accent6 32 5" xfId="8718" xr:uid="{B302BEC3-D0F8-41A7-859E-8C5E601D9E89}"/>
    <cellStyle name="20% - Accent6 32 5 2" xfId="8719" xr:uid="{928EBF1E-EF5C-41B5-B687-E047240B8C1C}"/>
    <cellStyle name="20% - Accent6 32 6" xfId="8720" xr:uid="{D1E16C75-6F4C-4F82-B369-7A5049026F88}"/>
    <cellStyle name="20% - Accent6 32 7" xfId="36564" xr:uid="{EAC9E429-6471-4271-A707-A2FD2A21E66C}"/>
    <cellStyle name="20% - Accent6 33" xfId="8721" xr:uid="{325119C0-F272-40CC-9B2E-5E417F998D82}"/>
    <cellStyle name="20% - Accent6 33 2" xfId="8722" xr:uid="{56D359AD-07E5-4365-A2BC-6385C26AF4E4}"/>
    <cellStyle name="20% - Accent6 33 2 2" xfId="8723" xr:uid="{91658620-BB8D-4A9B-9AB9-38A951D7968D}"/>
    <cellStyle name="20% - Accent6 33 2 2 2" xfId="8724" xr:uid="{EE94E56E-6F15-44FB-A408-E079F2DB13D8}"/>
    <cellStyle name="20% - Accent6 33 2 2 2 2" xfId="8725" xr:uid="{F2E2E2C7-40F4-4DFA-8091-5B4B0B7C0DC2}"/>
    <cellStyle name="20% - Accent6 33 2 2 3" xfId="8726" xr:uid="{B71FE023-29A2-444E-8DA2-F1DF23FA471E}"/>
    <cellStyle name="20% - Accent6 33 2 3" xfId="8727" xr:uid="{4578A9E3-46FD-4FA6-94C0-FEFFCA0230E2}"/>
    <cellStyle name="20% - Accent6 33 2 3 2" xfId="8728" xr:uid="{3E29E7DE-B7C0-47A3-BB29-5A14186EA228}"/>
    <cellStyle name="20% - Accent6 33 2 3 2 2" xfId="8729" xr:uid="{0EABB5F1-2257-4496-A766-FF0DF432C0FE}"/>
    <cellStyle name="20% - Accent6 33 2 3 3" xfId="8730" xr:uid="{D9D920B6-E3E3-422C-BFB6-0E533A119D19}"/>
    <cellStyle name="20% - Accent6 33 2 4" xfId="8731" xr:uid="{D6AB66B4-108E-43A0-BDAB-2321A619C342}"/>
    <cellStyle name="20% - Accent6 33 2 4 2" xfId="8732" xr:uid="{A058CA44-84DE-46E1-AFC7-69C435BAA264}"/>
    <cellStyle name="20% - Accent6 33 2 5" xfId="8733" xr:uid="{99437091-9632-4CA2-BB56-409B6DEEDB16}"/>
    <cellStyle name="20% - Accent6 33 3" xfId="8734" xr:uid="{4EF7BBD6-7F9C-42B8-B94D-C9D3530CAD6F}"/>
    <cellStyle name="20% - Accent6 33 3 2" xfId="8735" xr:uid="{FBD1916B-6596-49AA-9CF3-EA1E7F03F0F0}"/>
    <cellStyle name="20% - Accent6 33 3 2 2" xfId="8736" xr:uid="{B3682FC0-96E3-4C3F-956B-7830184BD492}"/>
    <cellStyle name="20% - Accent6 33 3 3" xfId="8737" xr:uid="{B373DAF4-86F3-45B5-9E4A-6D3BD47E409A}"/>
    <cellStyle name="20% - Accent6 33 4" xfId="8738" xr:uid="{1A851A13-D51E-47C3-ADB8-EABBB18F6261}"/>
    <cellStyle name="20% - Accent6 33 4 2" xfId="8739" xr:uid="{651295D8-2B7E-4F3E-8C75-A7D2A2F0776D}"/>
    <cellStyle name="20% - Accent6 33 4 2 2" xfId="8740" xr:uid="{2A5AC951-9F45-43B7-BCF2-0295213D72D3}"/>
    <cellStyle name="20% - Accent6 33 4 3" xfId="8741" xr:uid="{8B1B105C-CA9C-4D4D-B8CF-538E02694BF7}"/>
    <cellStyle name="20% - Accent6 33 5" xfId="8742" xr:uid="{4F86AA25-C270-4245-82E4-FE2879F73976}"/>
    <cellStyle name="20% - Accent6 33 5 2" xfId="8743" xr:uid="{92EB3CDA-D81C-40C7-BEA7-6B66EA88F76C}"/>
    <cellStyle name="20% - Accent6 33 6" xfId="36565" xr:uid="{5B1216E3-0A4B-4865-B2A6-C77542E3ECC7}"/>
    <cellStyle name="20% - Accent6 34" xfId="8744" xr:uid="{F146D6C6-77BD-47D3-89BF-ED2D30212BEF}"/>
    <cellStyle name="20% - Accent6 34 2" xfId="8745" xr:uid="{8B54C9E1-C28B-441F-9751-2D6420670CC8}"/>
    <cellStyle name="20% - Accent6 34 2 2" xfId="8746" xr:uid="{34B31DBC-EA59-4AE8-BD74-7736AB19A3A6}"/>
    <cellStyle name="20% - Accent6 34 2 2 2" xfId="8747" xr:uid="{4000D8A6-4DEF-46F2-8D17-A656A2449667}"/>
    <cellStyle name="20% - Accent6 34 2 2 2 2" xfId="8748" xr:uid="{F6518BEC-BC05-40AA-BCBE-00D3D75B720E}"/>
    <cellStyle name="20% - Accent6 34 2 2 3" xfId="8749" xr:uid="{5014CCF0-CF87-4BB9-B7F3-AB99A2E52A55}"/>
    <cellStyle name="20% - Accent6 34 2 3" xfId="8750" xr:uid="{A0D41D6B-89A1-41CC-BC25-C914058BD37D}"/>
    <cellStyle name="20% - Accent6 34 2 3 2" xfId="8751" xr:uid="{F098F8A9-BD96-4BAA-B553-AD16EC051767}"/>
    <cellStyle name="20% - Accent6 34 2 3 2 2" xfId="8752" xr:uid="{C8C295A4-DA2C-41D3-9241-D9AEE23497ED}"/>
    <cellStyle name="20% - Accent6 34 2 3 3" xfId="8753" xr:uid="{AB31AE53-05F7-4961-B32D-6594B0080DB5}"/>
    <cellStyle name="20% - Accent6 34 2 4" xfId="8754" xr:uid="{AFD92230-A6F3-4EBC-855A-A69964448148}"/>
    <cellStyle name="20% - Accent6 34 2 4 2" xfId="8755" xr:uid="{036FE66C-ECD3-40AC-B096-7E4F81DCE9E8}"/>
    <cellStyle name="20% - Accent6 34 2 5" xfId="8756" xr:uid="{96C78E16-5D77-48DB-B38A-A367BAE6F967}"/>
    <cellStyle name="20% - Accent6 34 3" xfId="8757" xr:uid="{4955267C-B1EA-42B9-957B-00D021DA0B0D}"/>
    <cellStyle name="20% - Accent6 34 3 2" xfId="8758" xr:uid="{3BF743D3-C29C-4F80-BB63-12F41206D30D}"/>
    <cellStyle name="20% - Accent6 34 3 2 2" xfId="8759" xr:uid="{ECEDBAC2-4501-4C9E-A239-8676644DB89E}"/>
    <cellStyle name="20% - Accent6 34 3 3" xfId="8760" xr:uid="{74E4C68A-CDFA-4F48-A6F7-257E6B912AF8}"/>
    <cellStyle name="20% - Accent6 34 4" xfId="8761" xr:uid="{B97F66AF-AE63-443B-835C-96D718A14A1A}"/>
    <cellStyle name="20% - Accent6 34 4 2" xfId="8762" xr:uid="{88790D2D-119E-47AC-ABFE-89ADAF146035}"/>
    <cellStyle name="20% - Accent6 34 4 2 2" xfId="8763" xr:uid="{2760AC83-869A-48E3-ACE9-CF84A3DBA289}"/>
    <cellStyle name="20% - Accent6 34 4 3" xfId="8764" xr:uid="{723203AC-18C3-48DC-88C7-A059258C53AD}"/>
    <cellStyle name="20% - Accent6 34 5" xfId="8765" xr:uid="{A0B45067-E9B8-4A6A-AA43-A46F12358171}"/>
    <cellStyle name="20% - Accent6 34 5 2" xfId="8766" xr:uid="{DCB74D20-F332-4977-AF86-0346DDC9062F}"/>
    <cellStyle name="20% - Accent6 34 6" xfId="36566" xr:uid="{58E8823C-E62F-477A-B7BA-E42422253DE5}"/>
    <cellStyle name="20% - Accent6 35" xfId="8767" xr:uid="{BF875FB9-6B95-4F27-8129-F8CE1AB51C3E}"/>
    <cellStyle name="20% - Accent6 35 2" xfId="8768" xr:uid="{F2D5EB36-249D-4883-BB6D-735F99C61E25}"/>
    <cellStyle name="20% - Accent6 35 2 2" xfId="8769" xr:uid="{0345A250-C531-46BC-9C0C-78D1F95FA807}"/>
    <cellStyle name="20% - Accent6 35 2 2 2" xfId="8770" xr:uid="{30D3F2CC-F504-4179-9F54-1C1C26AAEDB0}"/>
    <cellStyle name="20% - Accent6 35 2 2 2 2" xfId="8771" xr:uid="{4401D80B-7CF5-4106-A912-80FCB5D3CE3F}"/>
    <cellStyle name="20% - Accent6 35 2 2 3" xfId="8772" xr:uid="{01A36B10-9369-4595-864E-A849C8BF4C04}"/>
    <cellStyle name="20% - Accent6 35 2 3" xfId="8773" xr:uid="{C4FD72E8-B994-430F-9E01-39085124B6B1}"/>
    <cellStyle name="20% - Accent6 35 2 3 2" xfId="8774" xr:uid="{85A5D1C7-CE85-4CC7-B6B7-36F197EFE648}"/>
    <cellStyle name="20% - Accent6 35 2 3 2 2" xfId="8775" xr:uid="{17653C14-94C3-414D-A756-8A431C8D6A7C}"/>
    <cellStyle name="20% - Accent6 35 2 3 3" xfId="8776" xr:uid="{6791569D-2C99-44F2-8B60-8389845D2951}"/>
    <cellStyle name="20% - Accent6 35 2 4" xfId="8777" xr:uid="{A018E306-C4AA-4264-8FCD-7365FE9E0E85}"/>
    <cellStyle name="20% - Accent6 35 2 4 2" xfId="8778" xr:uid="{50C9F2D5-57E7-4084-AE10-44E55348FB46}"/>
    <cellStyle name="20% - Accent6 35 2 5" xfId="8779" xr:uid="{126A6178-EFFF-4A5E-A543-45CA51BF8580}"/>
    <cellStyle name="20% - Accent6 35 3" xfId="8780" xr:uid="{F33B4BBB-8C87-4DF3-AE53-5D123331858B}"/>
    <cellStyle name="20% - Accent6 35 3 2" xfId="8781" xr:uid="{E290247A-6768-43AE-B809-B1CB203EA1DD}"/>
    <cellStyle name="20% - Accent6 35 3 2 2" xfId="8782" xr:uid="{E27A588C-730C-4941-9344-3EA6524ED80A}"/>
    <cellStyle name="20% - Accent6 35 3 3" xfId="8783" xr:uid="{C08708AA-4208-4EEE-81B7-31DF03230E33}"/>
    <cellStyle name="20% - Accent6 35 4" xfId="8784" xr:uid="{FF216360-4D2C-4F0B-8314-AEEFE9EC6E7D}"/>
    <cellStyle name="20% - Accent6 35 4 2" xfId="8785" xr:uid="{1E4CF713-D3E2-4785-BD05-D5199DF4FE9C}"/>
    <cellStyle name="20% - Accent6 35 4 2 2" xfId="8786" xr:uid="{F8E2404F-1067-40BE-9532-2E6317921E61}"/>
    <cellStyle name="20% - Accent6 35 4 3" xfId="8787" xr:uid="{223ABDE1-BACE-47EF-B05F-47CB1DD83705}"/>
    <cellStyle name="20% - Accent6 35 5" xfId="8788" xr:uid="{9B183A75-A45B-4C8B-9B1F-0305DC077296}"/>
    <cellStyle name="20% - Accent6 35 5 2" xfId="8789" xr:uid="{F376C74C-473E-4AB6-9831-F5785B4DDF21}"/>
    <cellStyle name="20% - Accent6 35 6" xfId="36567" xr:uid="{9E4962C4-936A-4B5E-A371-0919ABB8FE0A}"/>
    <cellStyle name="20% - Accent6 36" xfId="8790" xr:uid="{90E4E6D6-51E8-49B8-A109-94F30FD88BCC}"/>
    <cellStyle name="20% - Accent6 36 2" xfId="8791" xr:uid="{0CD7387D-C50A-42AB-B62D-87A0532A2064}"/>
    <cellStyle name="20% - Accent6 36 2 2" xfId="8792" xr:uid="{0AAE2D9E-5D53-46A8-A174-510674E2FC92}"/>
    <cellStyle name="20% - Accent6 36 2 2 2" xfId="8793" xr:uid="{B46685CF-06DB-422F-9711-84E0CFD6880B}"/>
    <cellStyle name="20% - Accent6 36 2 2 2 2" xfId="8794" xr:uid="{1932E9BE-6CBC-4B10-99C6-F0205D32D797}"/>
    <cellStyle name="20% - Accent6 36 2 2 3" xfId="8795" xr:uid="{53353433-7000-4930-807A-55F24E20910D}"/>
    <cellStyle name="20% - Accent6 36 2 3" xfId="8796" xr:uid="{90BD0CBA-7E8D-4B56-B73A-44951E15E3FA}"/>
    <cellStyle name="20% - Accent6 36 2 3 2" xfId="8797" xr:uid="{DDE0D5FC-41CA-4719-8D72-CF14CA4FE1D7}"/>
    <cellStyle name="20% - Accent6 36 2 3 2 2" xfId="8798" xr:uid="{4DB722D5-CBC5-4029-BC76-EFD39E9B3A8A}"/>
    <cellStyle name="20% - Accent6 36 2 3 3" xfId="8799" xr:uid="{291758FF-2199-410A-92C5-D28CC015FDA3}"/>
    <cellStyle name="20% - Accent6 36 2 4" xfId="8800" xr:uid="{D67E0271-A9F8-4423-AF42-27A89529AC8D}"/>
    <cellStyle name="20% - Accent6 36 2 4 2" xfId="8801" xr:uid="{D6D7430E-1F47-41FC-BF41-22D3C7684C52}"/>
    <cellStyle name="20% - Accent6 36 2 5" xfId="8802" xr:uid="{3C7813BE-3A77-4D72-9673-C32CEEE7C01C}"/>
    <cellStyle name="20% - Accent6 36 3" xfId="8803" xr:uid="{9E2311C5-0CD8-4268-BB6E-688990179C92}"/>
    <cellStyle name="20% - Accent6 36 3 2" xfId="8804" xr:uid="{EB178FBF-C55E-4E90-B699-D13A4A3BC1C0}"/>
    <cellStyle name="20% - Accent6 36 3 2 2" xfId="8805" xr:uid="{328C6E03-F63F-45B2-A423-914C7DD079FC}"/>
    <cellStyle name="20% - Accent6 36 3 3" xfId="8806" xr:uid="{A21BE675-A15B-4CB3-8EA7-A84353CFD5E1}"/>
    <cellStyle name="20% - Accent6 36 4" xfId="8807" xr:uid="{FE6F7028-23A1-42D9-AAE1-4E2DDD409586}"/>
    <cellStyle name="20% - Accent6 36 4 2" xfId="8808" xr:uid="{430CEFC8-A35A-44DF-9DE6-FECD89A68B2E}"/>
    <cellStyle name="20% - Accent6 36 4 2 2" xfId="8809" xr:uid="{5AAAFDE5-12A9-4437-BB78-D7C0EBDE0695}"/>
    <cellStyle name="20% - Accent6 36 4 3" xfId="8810" xr:uid="{4D896E3F-6031-408F-AA95-0AF38D02E03A}"/>
    <cellStyle name="20% - Accent6 36 5" xfId="8811" xr:uid="{8B812353-E51A-4CFE-AD35-6A89A9A067DA}"/>
    <cellStyle name="20% - Accent6 36 5 2" xfId="8812" xr:uid="{ACF2D9B9-B5B9-476C-930B-E8903CAAF557}"/>
    <cellStyle name="20% - Accent6 36 6" xfId="36568" xr:uid="{13CA7987-63EC-4224-A018-5D21F2C8FC4E}"/>
    <cellStyle name="20% - Accent6 37" xfId="8813" xr:uid="{B2EE5AFF-12E7-4E5C-BC76-1648343E065E}"/>
    <cellStyle name="20% - Accent6 37 2" xfId="8814" xr:uid="{AD82C718-AB68-46C7-8ABD-C5B68E97FE96}"/>
    <cellStyle name="20% - Accent6 37 2 2" xfId="8815" xr:uid="{F3278C58-2EA9-4F76-8C05-E7D07FCCDA0F}"/>
    <cellStyle name="20% - Accent6 37 2 2 2" xfId="8816" xr:uid="{E2264467-5DE3-4CD5-946B-5089B3AA4672}"/>
    <cellStyle name="20% - Accent6 37 2 2 2 2" xfId="8817" xr:uid="{73EE6DA9-4D39-457F-B856-E35140B2F971}"/>
    <cellStyle name="20% - Accent6 37 2 2 3" xfId="8818" xr:uid="{1E624A27-CCDA-4E6A-9EF5-149F4F090951}"/>
    <cellStyle name="20% - Accent6 37 2 3" xfId="8819" xr:uid="{46A59366-C552-4FEB-B5ED-619F77C8DD37}"/>
    <cellStyle name="20% - Accent6 37 2 3 2" xfId="8820" xr:uid="{1E4A3A94-F800-46AB-AF23-0C67AA7D3565}"/>
    <cellStyle name="20% - Accent6 37 2 3 2 2" xfId="8821" xr:uid="{AFE9BD7B-B8D9-4201-AF94-DC873B7646C1}"/>
    <cellStyle name="20% - Accent6 37 2 3 3" xfId="8822" xr:uid="{AE054428-684C-4138-9442-DD43CC8A117C}"/>
    <cellStyle name="20% - Accent6 37 2 4" xfId="8823" xr:uid="{9875727F-A010-4F20-9C88-99EE00D37762}"/>
    <cellStyle name="20% - Accent6 37 2 4 2" xfId="8824" xr:uid="{D10F92B8-046C-4EC0-BC63-125BBF252464}"/>
    <cellStyle name="20% - Accent6 37 2 5" xfId="8825" xr:uid="{908D64AC-C067-4529-A0A5-B012460DC217}"/>
    <cellStyle name="20% - Accent6 37 3" xfId="8826" xr:uid="{6090BF6C-8EDA-44EE-80D3-B0FF15BF107D}"/>
    <cellStyle name="20% - Accent6 37 3 2" xfId="8827" xr:uid="{AB31BC29-4F75-4DDA-9568-B0587B8E3FB0}"/>
    <cellStyle name="20% - Accent6 37 3 2 2" xfId="8828" xr:uid="{1362C9A3-9E80-42F5-A25E-A4BDA15516E1}"/>
    <cellStyle name="20% - Accent6 37 3 3" xfId="8829" xr:uid="{AEE06C91-CE3B-46C4-B5F5-352A8EA72701}"/>
    <cellStyle name="20% - Accent6 37 4" xfId="8830" xr:uid="{D8DF45AF-DECF-4077-8EF4-691655D5C957}"/>
    <cellStyle name="20% - Accent6 37 4 2" xfId="8831" xr:uid="{A3C34B43-C9DE-4E90-B579-A7A53EBF387F}"/>
    <cellStyle name="20% - Accent6 37 4 2 2" xfId="8832" xr:uid="{9886C7E4-DC4C-47E6-BD1F-C5C484CECC94}"/>
    <cellStyle name="20% - Accent6 37 4 3" xfId="8833" xr:uid="{85C3AEDD-506C-44C5-9169-BDF0237AB099}"/>
    <cellStyle name="20% - Accent6 37 5" xfId="8834" xr:uid="{92121693-E420-4EFF-BD41-318EC93505EC}"/>
    <cellStyle name="20% - Accent6 37 5 2" xfId="8835" xr:uid="{54315C80-0ABA-48E3-B691-94D08F045CC6}"/>
    <cellStyle name="20% - Accent6 37 6" xfId="36569" xr:uid="{56EC2CBF-D919-4FA3-BBB9-DEDE42D84B9D}"/>
    <cellStyle name="20% - Accent6 38" xfId="8836" xr:uid="{EB504321-840C-4EFB-AE1A-E2CB10761CA4}"/>
    <cellStyle name="20% - Accent6 38 2" xfId="8837" xr:uid="{BD54B06C-D62C-42EF-886D-A763CC37015E}"/>
    <cellStyle name="20% - Accent6 38 2 2" xfId="8838" xr:uid="{EFE8FDFF-107D-4D66-BDCD-DFC9ECEC35BD}"/>
    <cellStyle name="20% - Accent6 38 2 2 2" xfId="8839" xr:uid="{9E962F47-8E34-469C-B862-C1F4A14C2CFA}"/>
    <cellStyle name="20% - Accent6 38 2 2 2 2" xfId="8840" xr:uid="{902699E3-6C2B-4CF4-ACD6-36F215EAB050}"/>
    <cellStyle name="20% - Accent6 38 2 2 3" xfId="8841" xr:uid="{4A69D6B4-FA45-4FAB-9921-32C83F92BB6E}"/>
    <cellStyle name="20% - Accent6 38 2 3" xfId="8842" xr:uid="{BFA72E6E-D994-4CF0-87C8-F0F6969F37EC}"/>
    <cellStyle name="20% - Accent6 38 2 3 2" xfId="8843" xr:uid="{A3256ED2-E20D-4C87-A752-1F0C9CAF76C7}"/>
    <cellStyle name="20% - Accent6 38 2 3 2 2" xfId="8844" xr:uid="{3D7E3D51-E8A7-4C67-B6BB-4ECB567F880C}"/>
    <cellStyle name="20% - Accent6 38 2 3 3" xfId="8845" xr:uid="{63B40EE7-E9A3-4DDA-BAF6-185C5143E4D7}"/>
    <cellStyle name="20% - Accent6 38 2 4" xfId="8846" xr:uid="{D2DC8427-A487-4B28-B6D1-00BC29F97852}"/>
    <cellStyle name="20% - Accent6 38 2 4 2" xfId="8847" xr:uid="{93C6596D-9B9A-474B-AFE7-B04BA68AD3C7}"/>
    <cellStyle name="20% - Accent6 38 2 5" xfId="8848" xr:uid="{4CE2F33F-A24C-41EB-9100-0A29E7B20C82}"/>
    <cellStyle name="20% - Accent6 38 3" xfId="8849" xr:uid="{0FAA80B8-A15B-4850-8563-07E4A854BC3A}"/>
    <cellStyle name="20% - Accent6 38 3 2" xfId="8850" xr:uid="{12E19900-E0B0-47A5-A3DE-2C919D3AA0B2}"/>
    <cellStyle name="20% - Accent6 38 3 2 2" xfId="8851" xr:uid="{CBEEF8DB-809D-4EFF-A270-CEE756A8897B}"/>
    <cellStyle name="20% - Accent6 38 3 3" xfId="8852" xr:uid="{5E63DA75-37A1-47E5-AB6C-AAF05601A32B}"/>
    <cellStyle name="20% - Accent6 38 4" xfId="8853" xr:uid="{F7DCF3F9-E921-4855-ADA0-B745B27287C4}"/>
    <cellStyle name="20% - Accent6 38 4 2" xfId="8854" xr:uid="{7D22F5B6-F46C-4F02-9C6D-64E74664A7A4}"/>
    <cellStyle name="20% - Accent6 38 4 2 2" xfId="8855" xr:uid="{11BA178C-8E86-46AB-B78D-9FBC127F5664}"/>
    <cellStyle name="20% - Accent6 38 4 3" xfId="8856" xr:uid="{B7A74F9D-7B6B-46A9-A45A-B68A82A88571}"/>
    <cellStyle name="20% - Accent6 38 5" xfId="8857" xr:uid="{771668AF-1868-4388-AA64-CC4F1FA304E3}"/>
    <cellStyle name="20% - Accent6 38 5 2" xfId="8858" xr:uid="{DB6E082D-FB48-4D9E-BC63-FD0B8E5F133B}"/>
    <cellStyle name="20% - Accent6 38 6" xfId="36570" xr:uid="{E7EE978C-5F18-4A23-9DDB-0A099402ECF2}"/>
    <cellStyle name="20% - Accent6 39" xfId="8859" xr:uid="{E4627424-4F0E-44C8-AF65-E8605BBC8C50}"/>
    <cellStyle name="20% - Accent6 39 2" xfId="8860" xr:uid="{667B03DF-F16A-4245-8FAE-299598365371}"/>
    <cellStyle name="20% - Accent6 39 2 2" xfId="8861" xr:uid="{DFF24F78-5CD1-4099-BEF4-C45DB3BDE8E3}"/>
    <cellStyle name="20% - Accent6 39 2 2 2" xfId="8862" xr:uid="{BEC807EB-3167-4E24-96E7-76B55154AEF0}"/>
    <cellStyle name="20% - Accent6 39 2 2 2 2" xfId="8863" xr:uid="{975CEC56-EE9F-453C-BCBF-4CFE13973838}"/>
    <cellStyle name="20% - Accent6 39 2 2 3" xfId="8864" xr:uid="{4CDD2AC7-4D52-4EDF-8491-A7FB05946C82}"/>
    <cellStyle name="20% - Accent6 39 2 3" xfId="8865" xr:uid="{B33AA467-1A29-4CA6-9119-617427282BE9}"/>
    <cellStyle name="20% - Accent6 39 2 3 2" xfId="8866" xr:uid="{445A4C12-364B-42EC-9B31-6F77BD01E803}"/>
    <cellStyle name="20% - Accent6 39 2 3 2 2" xfId="8867" xr:uid="{C197D832-B2AD-4582-80E1-776E82EF22AE}"/>
    <cellStyle name="20% - Accent6 39 2 3 3" xfId="8868" xr:uid="{AEE5CAF7-626A-47AD-8407-1B95D663FEFC}"/>
    <cellStyle name="20% - Accent6 39 2 4" xfId="8869" xr:uid="{20EDD0DB-D0F8-4FD1-B101-D1A0ACB740DF}"/>
    <cellStyle name="20% - Accent6 39 2 4 2" xfId="8870" xr:uid="{267A6CA2-636D-4185-A742-66A58B7BEAF9}"/>
    <cellStyle name="20% - Accent6 39 2 5" xfId="8871" xr:uid="{9D4EE6C9-3F7A-4C5D-A243-C8537D17F757}"/>
    <cellStyle name="20% - Accent6 39 3" xfId="8872" xr:uid="{7D10C5B9-1876-451F-AD2C-B31ED612DA28}"/>
    <cellStyle name="20% - Accent6 39 3 2" xfId="8873" xr:uid="{0E615B2C-F71A-48F7-9081-3438C633178E}"/>
    <cellStyle name="20% - Accent6 39 3 2 2" xfId="8874" xr:uid="{AAB330F1-D8E2-4F54-81CA-CAC639D8929E}"/>
    <cellStyle name="20% - Accent6 39 3 3" xfId="8875" xr:uid="{F596F3F6-7685-4879-B2B5-B5F3EBC0EE4D}"/>
    <cellStyle name="20% - Accent6 39 4" xfId="8876" xr:uid="{8E698AA8-DAA1-46E6-B96C-D3F4AC684AFE}"/>
    <cellStyle name="20% - Accent6 39 4 2" xfId="8877" xr:uid="{E082E985-596E-4EAC-ABA9-A7C1BA372713}"/>
    <cellStyle name="20% - Accent6 39 4 2 2" xfId="8878" xr:uid="{E15DC9C1-0FCD-45F2-B0BD-1C5E00E694CB}"/>
    <cellStyle name="20% - Accent6 39 4 3" xfId="8879" xr:uid="{49E6A9F9-DEEE-49A5-B586-E2CF1ED08061}"/>
    <cellStyle name="20% - Accent6 39 5" xfId="8880" xr:uid="{DCD632F5-CB8F-4B3B-AB98-BB5CF46C9DDD}"/>
    <cellStyle name="20% - Accent6 39 5 2" xfId="8881" xr:uid="{DC611CC9-27D0-4602-8890-BA0D5667911B}"/>
    <cellStyle name="20% - Accent6 39 6" xfId="36571" xr:uid="{281C2340-C94E-449C-9BAD-2124A7AAC29E}"/>
    <cellStyle name="20% - Accent6 4" xfId="8882" xr:uid="{188AA064-9977-432B-AA0C-7A6CEB5D3FEE}"/>
    <cellStyle name="20% - Accent6 4 2" xfId="8883" xr:uid="{AAB812C1-3FFB-427C-AE94-D29043917EBA}"/>
    <cellStyle name="20% - Accent6 4 2 2" xfId="8884" xr:uid="{0DD4C660-6E4A-434F-A417-953F6EB55FE9}"/>
    <cellStyle name="20% - Accent6 4 2 2 2" xfId="36572" xr:uid="{6F8B0887-E262-4650-A3D3-8E3955A9AB6C}"/>
    <cellStyle name="20% - Accent6 4 2 3" xfId="36573" xr:uid="{2652918C-8744-42C1-916F-DEE83FD15524}"/>
    <cellStyle name="20% - Accent6 4 2 4" xfId="36574" xr:uid="{0C88E0C7-05D5-4A0C-B59C-6EEC3908D642}"/>
    <cellStyle name="20% - Accent6 4 3" xfId="8885" xr:uid="{5DE3677E-88C3-447C-AC91-467BB584BA75}"/>
    <cellStyle name="20% - Accent6 4 3 2" xfId="36575" xr:uid="{560E57E9-B3BD-438E-88DE-25376E4BA381}"/>
    <cellStyle name="20% - Accent6 4 4" xfId="36576" xr:uid="{1AD5E4A1-81FF-4C16-8795-5DD7C4722233}"/>
    <cellStyle name="20% - Accent6 4 5" xfId="36577" xr:uid="{4A2240B7-E94E-44E9-8534-355B274A5F91}"/>
    <cellStyle name="20% - Accent6 40" xfId="8886" xr:uid="{6BB53A4B-7582-41AE-8F4E-4C65047FEF17}"/>
    <cellStyle name="20% - Accent6 40 2" xfId="8887" xr:uid="{03915F3E-4FB4-4C69-9C82-1F8B5F446BAB}"/>
    <cellStyle name="20% - Accent6 40 2 2" xfId="8888" xr:uid="{11626255-578A-4ED1-8A54-CE965439FD06}"/>
    <cellStyle name="20% - Accent6 40 2 2 2" xfId="8889" xr:uid="{E3A53589-E044-4130-8139-4B78658086ED}"/>
    <cellStyle name="20% - Accent6 40 2 2 2 2" xfId="8890" xr:uid="{2B89C8E9-47C9-426C-A196-CC7AA4DB516F}"/>
    <cellStyle name="20% - Accent6 40 2 2 3" xfId="8891" xr:uid="{58CADF40-370A-4DDF-8D97-A2F73FECA121}"/>
    <cellStyle name="20% - Accent6 40 2 3" xfId="8892" xr:uid="{6AF9BE05-A2F9-47AC-8E0E-CD9FF352A93F}"/>
    <cellStyle name="20% - Accent6 40 2 3 2" xfId="8893" xr:uid="{1FDC4A31-96ED-4900-AAD7-E22542C026C8}"/>
    <cellStyle name="20% - Accent6 40 2 3 2 2" xfId="8894" xr:uid="{0074A748-F4A0-4BEE-A569-818880559E19}"/>
    <cellStyle name="20% - Accent6 40 2 3 3" xfId="8895" xr:uid="{BE430861-CE66-4E64-9F30-08E1BBFC954E}"/>
    <cellStyle name="20% - Accent6 40 2 4" xfId="8896" xr:uid="{923DA824-EC4E-41D4-8856-D6F5CD05DB42}"/>
    <cellStyle name="20% - Accent6 40 2 4 2" xfId="8897" xr:uid="{2863C4F7-D732-4663-8211-8EDC29635670}"/>
    <cellStyle name="20% - Accent6 40 2 5" xfId="8898" xr:uid="{DF5250AD-4C61-4A04-890B-AD90A61206E2}"/>
    <cellStyle name="20% - Accent6 40 3" xfId="8899" xr:uid="{0923C4D9-2153-493F-B2D2-E4B99AD1F74F}"/>
    <cellStyle name="20% - Accent6 40 3 2" xfId="8900" xr:uid="{D7E0B945-74F6-45F8-B587-7F6411C6D7E1}"/>
    <cellStyle name="20% - Accent6 40 3 2 2" xfId="8901" xr:uid="{F95C4D25-9555-457D-944F-D21CB38161B0}"/>
    <cellStyle name="20% - Accent6 40 3 3" xfId="8902" xr:uid="{119FF89E-DBE5-4211-BD95-82D066D54357}"/>
    <cellStyle name="20% - Accent6 40 4" xfId="8903" xr:uid="{DAC7D8EF-9098-4196-9112-7C2D24C0418F}"/>
    <cellStyle name="20% - Accent6 40 4 2" xfId="8904" xr:uid="{98A24323-3964-498D-B1CA-A0ECAA88D13D}"/>
    <cellStyle name="20% - Accent6 40 4 2 2" xfId="8905" xr:uid="{0AA118C1-65F4-44D3-8135-BF97DB2288C9}"/>
    <cellStyle name="20% - Accent6 40 4 3" xfId="8906" xr:uid="{92EEB00A-6C25-48F9-B32C-51C7A5009FF8}"/>
    <cellStyle name="20% - Accent6 40 5" xfId="8907" xr:uid="{15D7FAC9-0449-461D-9571-F736416293E1}"/>
    <cellStyle name="20% - Accent6 40 5 2" xfId="8908" xr:uid="{20B74355-28D5-4ACD-A919-A0381788BFD6}"/>
    <cellStyle name="20% - Accent6 40 6" xfId="36578" xr:uid="{7063C328-89D2-48BD-A9A4-2E4C294F6E75}"/>
    <cellStyle name="20% - Accent6 41" xfId="8909" xr:uid="{C476B67E-7C17-474A-B03C-9A65DD29E6C3}"/>
    <cellStyle name="20% - Accent6 41 2" xfId="8910" xr:uid="{B2E34C49-7D77-48A3-9916-64B4FCB6405D}"/>
    <cellStyle name="20% - Accent6 41 2 2" xfId="8911" xr:uid="{7740C391-ABF3-4A5A-A360-482755CAE586}"/>
    <cellStyle name="20% - Accent6 41 2 2 2" xfId="8912" xr:uid="{68306270-06C3-4A64-9D91-FBF74D9A4AD6}"/>
    <cellStyle name="20% - Accent6 41 2 2 2 2" xfId="8913" xr:uid="{5FFB3DFB-4F37-4B56-8FA8-1F38DB277D79}"/>
    <cellStyle name="20% - Accent6 41 2 2 3" xfId="8914" xr:uid="{508A18DF-FB4D-4ABE-88FD-C44EC45C82DF}"/>
    <cellStyle name="20% - Accent6 41 2 3" xfId="8915" xr:uid="{2CF6F504-AADF-402D-95A1-3E370EC807CD}"/>
    <cellStyle name="20% - Accent6 41 2 3 2" xfId="8916" xr:uid="{52C497F0-D534-44B9-B588-7A8D2D586599}"/>
    <cellStyle name="20% - Accent6 41 2 3 2 2" xfId="8917" xr:uid="{3806D908-A38B-40B5-8A94-17A800623E33}"/>
    <cellStyle name="20% - Accent6 41 2 3 3" xfId="8918" xr:uid="{3C90C9D3-B14C-499F-B7E0-48E07B96CBE3}"/>
    <cellStyle name="20% - Accent6 41 2 4" xfId="8919" xr:uid="{6AAF93DC-74EB-4016-9642-D6641E618B30}"/>
    <cellStyle name="20% - Accent6 41 2 4 2" xfId="8920" xr:uid="{82F8500A-2FF7-4CCD-8E0D-78D3F17AC570}"/>
    <cellStyle name="20% - Accent6 41 2 5" xfId="8921" xr:uid="{855D5DC6-4F15-4F21-8110-2CA1983D45C6}"/>
    <cellStyle name="20% - Accent6 41 3" xfId="8922" xr:uid="{45077EF3-FAA5-4CFE-A900-8242E7AAD6AD}"/>
    <cellStyle name="20% - Accent6 41 3 2" xfId="8923" xr:uid="{0FE21693-C6F4-4889-B9B3-1FCF97E5B060}"/>
    <cellStyle name="20% - Accent6 41 3 2 2" xfId="8924" xr:uid="{4A27E1F3-212F-444F-AD65-76F3451F223F}"/>
    <cellStyle name="20% - Accent6 41 3 3" xfId="8925" xr:uid="{B1290ADF-18C9-4D9A-A770-92707C4BBD40}"/>
    <cellStyle name="20% - Accent6 41 4" xfId="8926" xr:uid="{D96C00FD-7A8D-4FB9-8BDE-9BED60BA967F}"/>
    <cellStyle name="20% - Accent6 41 4 2" xfId="8927" xr:uid="{82748FB9-99CB-4193-AC51-D6F383E4F914}"/>
    <cellStyle name="20% - Accent6 41 4 2 2" xfId="8928" xr:uid="{3A8400E3-2386-40D6-BC49-79C4F27FFEC1}"/>
    <cellStyle name="20% - Accent6 41 4 3" xfId="8929" xr:uid="{EE2F522D-0DBA-4A62-9668-06F7E5E8BB37}"/>
    <cellStyle name="20% - Accent6 41 5" xfId="8930" xr:uid="{B6AF31C3-8D78-439D-AA16-A171C6E6A642}"/>
    <cellStyle name="20% - Accent6 41 5 2" xfId="8931" xr:uid="{E06A3C58-A05E-4047-9E08-E77D40126F2F}"/>
    <cellStyle name="20% - Accent6 41 6" xfId="36579" xr:uid="{536FC2C4-490E-4D90-878C-5EC23090FA26}"/>
    <cellStyle name="20% - Accent6 42" xfId="8932" xr:uid="{3E17D8DB-B53F-4CC8-A4BE-DE7C75D9ED35}"/>
    <cellStyle name="20% - Accent6 42 2" xfId="8933" xr:uid="{49B8F364-A8A0-49D5-95D1-B302E47A6790}"/>
    <cellStyle name="20% - Accent6 42 2 2" xfId="8934" xr:uid="{3390713C-F5CA-46F5-AE82-D7B9D3C00467}"/>
    <cellStyle name="20% - Accent6 42 2 2 2" xfId="8935" xr:uid="{8E8B47F8-C301-4475-A44A-FE6F2E8F5014}"/>
    <cellStyle name="20% - Accent6 42 2 2 2 2" xfId="8936" xr:uid="{56AD88D3-B9AC-4D5C-95FC-B4BCDA4641BE}"/>
    <cellStyle name="20% - Accent6 42 2 2 3" xfId="8937" xr:uid="{27A61795-F32F-42F2-98EA-C312A9FE66F3}"/>
    <cellStyle name="20% - Accent6 42 2 3" xfId="8938" xr:uid="{D27108A0-549A-40CE-BBDE-D0A5EC1D06C3}"/>
    <cellStyle name="20% - Accent6 42 2 3 2" xfId="8939" xr:uid="{217BCB1E-56A1-460E-AC0C-8AD5C9CBB963}"/>
    <cellStyle name="20% - Accent6 42 2 3 2 2" xfId="8940" xr:uid="{BA50489E-5521-4EC2-BB44-69FDF8E39898}"/>
    <cellStyle name="20% - Accent6 42 2 3 3" xfId="8941" xr:uid="{DE2473AF-315E-4868-83EB-B001B3355661}"/>
    <cellStyle name="20% - Accent6 42 2 4" xfId="8942" xr:uid="{37A16DBE-30F6-4F5B-8CF9-2B3EBFB0E3B4}"/>
    <cellStyle name="20% - Accent6 42 2 4 2" xfId="8943" xr:uid="{F454E9D0-E548-40CA-BB87-C5AF9258C752}"/>
    <cellStyle name="20% - Accent6 42 2 5" xfId="8944" xr:uid="{A0ED4AE2-21D3-4CFB-9764-CAB85E6D1933}"/>
    <cellStyle name="20% - Accent6 42 3" xfId="8945" xr:uid="{06F475CE-E07D-4E10-ACCA-7409CB4C6820}"/>
    <cellStyle name="20% - Accent6 42 3 2" xfId="8946" xr:uid="{90E11F0E-A8CD-4F9C-B2A0-B3CCCBB2A9AC}"/>
    <cellStyle name="20% - Accent6 42 3 2 2" xfId="8947" xr:uid="{731C1501-E96D-494A-A6F4-34636D3227D0}"/>
    <cellStyle name="20% - Accent6 42 3 3" xfId="8948" xr:uid="{CCD1AFA7-D368-4C31-A2B8-E674EE2476ED}"/>
    <cellStyle name="20% - Accent6 42 4" xfId="8949" xr:uid="{C1332319-1E7C-4CBB-893E-E99E30706AD4}"/>
    <cellStyle name="20% - Accent6 42 4 2" xfId="8950" xr:uid="{FD5544EB-F81B-4A92-BDD0-55B1BE04DD87}"/>
    <cellStyle name="20% - Accent6 42 4 2 2" xfId="8951" xr:uid="{1BE61083-A303-46B1-B12F-A4164FA2E589}"/>
    <cellStyle name="20% - Accent6 42 4 3" xfId="8952" xr:uid="{52C23B93-3CB7-43AE-BA0D-8E1F28DA73DC}"/>
    <cellStyle name="20% - Accent6 42 5" xfId="8953" xr:uid="{4216B051-C171-455E-924C-58E429142C5B}"/>
    <cellStyle name="20% - Accent6 42 5 2" xfId="8954" xr:uid="{F52AE2E6-4A38-4554-904C-24C85495523C}"/>
    <cellStyle name="20% - Accent6 42 6" xfId="36580" xr:uid="{349EF297-5F46-4D5E-8E61-6C49BB53F346}"/>
    <cellStyle name="20% - Accent6 43" xfId="8955" xr:uid="{02473062-2E21-4489-A742-10DD01449D23}"/>
    <cellStyle name="20% - Accent6 43 2" xfId="8956" xr:uid="{08E498BD-8AAD-484A-A0CC-19C4A79CC775}"/>
    <cellStyle name="20% - Accent6 43 3" xfId="36581" xr:uid="{241C0D56-60C6-4261-B911-044A376DB75E}"/>
    <cellStyle name="20% - Accent6 44" xfId="8957" xr:uid="{21FB7B2B-3744-49A3-82BF-D2882C5FE48D}"/>
    <cellStyle name="20% - Accent6 44 2" xfId="8958" xr:uid="{08042196-0DDF-4E24-8B81-716392791744}"/>
    <cellStyle name="20% - Accent6 44 3" xfId="36582" xr:uid="{C0ABD8E7-6E48-4262-BDFE-8D9ECD12778F}"/>
    <cellStyle name="20% - Accent6 45" xfId="8959" xr:uid="{70210E19-072F-4435-B902-EF51AC62B3A3}"/>
    <cellStyle name="20% - Accent6 45 2" xfId="8960" xr:uid="{AA5F7D2A-12F2-4B5D-A2B1-6787D12C50D1}"/>
    <cellStyle name="20% - Accent6 45 3" xfId="36583" xr:uid="{98C7887A-0711-4169-8A91-DC5F12221726}"/>
    <cellStyle name="20% - Accent6 46" xfId="8961" xr:uid="{595B14F3-6E92-4803-9ECF-1321BA421CCB}"/>
    <cellStyle name="20% - Accent6 46 2" xfId="8962" xr:uid="{0822F95E-39FB-4F21-BF8D-6E9C4286805A}"/>
    <cellStyle name="20% - Accent6 46 3" xfId="36584" xr:uid="{AB7354CA-39D3-4494-BA0C-CD44786AE793}"/>
    <cellStyle name="20% - Accent6 47" xfId="8963" xr:uid="{939E95AF-34AB-4D1D-B675-85C648527332}"/>
    <cellStyle name="20% - Accent6 47 2" xfId="8964" xr:uid="{66D918BC-3737-4412-A78E-02D2AC9612A3}"/>
    <cellStyle name="20% - Accent6 47 3" xfId="36585" xr:uid="{420EC094-27E3-4EA8-B62F-98CAB2241E50}"/>
    <cellStyle name="20% - Accent6 48" xfId="8965" xr:uid="{64AEF57F-098B-4CD4-B1EA-CEB0BAE98011}"/>
    <cellStyle name="20% - Accent6 48 2" xfId="8966" xr:uid="{6EEA6BEE-1D9C-47A3-824E-67004EEC658F}"/>
    <cellStyle name="20% - Accent6 48 3" xfId="36586" xr:uid="{251D0666-7595-498C-BCA9-E5BC6480ACF6}"/>
    <cellStyle name="20% - Accent6 49" xfId="8967" xr:uid="{3DFA3732-9985-49E0-BA86-03C4D1BB284D}"/>
    <cellStyle name="20% - Accent6 49 2" xfId="8968" xr:uid="{86F7EB14-4C9B-4F4C-9137-2216B4B3CEE4}"/>
    <cellStyle name="20% - Accent6 49 3" xfId="36587" xr:uid="{1EA302BD-8107-47B1-9D7B-4C049D8B7D52}"/>
    <cellStyle name="20% - Accent6 5" xfId="8969" xr:uid="{D675B07D-349D-499F-9281-60C026E32C1E}"/>
    <cellStyle name="20% - Accent6 5 2" xfId="8970" xr:uid="{51C1C008-B207-4CCF-8DE6-1CEE8D769558}"/>
    <cellStyle name="20% - Accent6 5 2 2" xfId="8971" xr:uid="{A838BFC0-5A19-48E0-8561-0EC6613CC564}"/>
    <cellStyle name="20% - Accent6 5 2 2 2" xfId="36588" xr:uid="{E4F03C81-FCEA-4A3D-80C7-646CD61893C1}"/>
    <cellStyle name="20% - Accent6 5 2 3" xfId="36589" xr:uid="{CCCBD7AD-A080-4721-88EE-CC65E0DE1597}"/>
    <cellStyle name="20% - Accent6 5 2 4" xfId="36590" xr:uid="{A187E795-001E-4711-9680-A2B94ACF9DCB}"/>
    <cellStyle name="20% - Accent6 5 3" xfId="8972" xr:uid="{8429BD46-76D1-4339-8C40-1BC8BA860860}"/>
    <cellStyle name="20% - Accent6 5 3 2" xfId="36591" xr:uid="{F0D05BC3-731F-4268-9D71-C81F850501E0}"/>
    <cellStyle name="20% - Accent6 5 4" xfId="36592" xr:uid="{195D36CA-FF77-4F2C-90CD-552E4BEC668F}"/>
    <cellStyle name="20% - Accent6 5 5" xfId="36593" xr:uid="{3D223A53-D729-4ED6-A6AA-2052C214C410}"/>
    <cellStyle name="20% - Accent6 50" xfId="8973" xr:uid="{DF712D3C-D97B-48E7-9DA7-360797EBA730}"/>
    <cellStyle name="20% - Accent6 50 2" xfId="8974" xr:uid="{B1B29D22-A08D-4B7E-9044-518A932BB073}"/>
    <cellStyle name="20% - Accent6 50 3" xfId="36594" xr:uid="{6D40F1A1-20A3-4E9C-A8AB-E54B20C349DF}"/>
    <cellStyle name="20% - Accent6 51" xfId="8975" xr:uid="{3D76BC41-2A87-49A3-9A34-A6D4DCE6F4D2}"/>
    <cellStyle name="20% - Accent6 51 2" xfId="36595" xr:uid="{E8E63F54-219B-46A0-9B30-AED07AA614F9}"/>
    <cellStyle name="20% - Accent6 52" xfId="8976" xr:uid="{52B1A9FA-7713-499C-A3BE-10E730ADE837}"/>
    <cellStyle name="20% - Accent6 52 2" xfId="36596" xr:uid="{18DDC15F-89C0-475E-B7D0-A06F063348A0}"/>
    <cellStyle name="20% - Accent6 53" xfId="8977" xr:uid="{4C615AFE-ED2A-4F28-937F-2486EC0089FF}"/>
    <cellStyle name="20% - Accent6 53 2" xfId="36597" xr:uid="{D3013959-D4F8-42EA-8D2E-FDF049010BC6}"/>
    <cellStyle name="20% - Accent6 54" xfId="8978" xr:uid="{A9933080-6F59-4CF1-906A-010489D43DDA}"/>
    <cellStyle name="20% - Accent6 54 2" xfId="36598" xr:uid="{27F9B7DD-3A29-4379-82F1-3A7D4410AE79}"/>
    <cellStyle name="20% - Accent6 55" xfId="8979" xr:uid="{1FC642C1-E75A-4685-827D-1A7CBA9D8CFF}"/>
    <cellStyle name="20% - Accent6 55 2" xfId="36599" xr:uid="{5DA02250-E0DB-4647-AB7B-71107ABA9F58}"/>
    <cellStyle name="20% - Accent6 56" xfId="8980" xr:uid="{86CE193A-4E9A-4800-93DA-6CCF84E62936}"/>
    <cellStyle name="20% - Accent6 56 2" xfId="36600" xr:uid="{99BD7012-488A-40E5-B6AA-EB7AB5D44BBB}"/>
    <cellStyle name="20% - Accent6 57" xfId="8981" xr:uid="{5D0D1A3C-FC73-44D1-A351-906BFB3635E8}"/>
    <cellStyle name="20% - Accent6 57 2" xfId="36601" xr:uid="{F981FECE-49C2-4F25-822A-8B12A14DDDE7}"/>
    <cellStyle name="20% - Accent6 58" xfId="8982" xr:uid="{770DEF68-6EC8-423C-9374-BD8E3E8FB1DF}"/>
    <cellStyle name="20% - Accent6 58 2" xfId="36602" xr:uid="{8B074059-E8EF-44FD-A190-D5AB658473C2}"/>
    <cellStyle name="20% - Accent6 59" xfId="8983" xr:uid="{38F3D942-C9D2-4557-B044-609FD52F621A}"/>
    <cellStyle name="20% - Accent6 59 2" xfId="36603" xr:uid="{28F88D69-825B-4951-BF7A-9C69973C84ED}"/>
    <cellStyle name="20% - Accent6 6" xfId="8984" xr:uid="{DA6B02B3-3F6B-4D1E-BE01-34DB4500F438}"/>
    <cellStyle name="20% - Accent6 6 2" xfId="8985" xr:uid="{D394D713-F0E9-4B28-B1D6-88D6D67E9FC8}"/>
    <cellStyle name="20% - Accent6 6 2 2" xfId="8986" xr:uid="{DDE92110-0483-49C2-A130-8E58BB9150DA}"/>
    <cellStyle name="20% - Accent6 6 2 2 2" xfId="36604" xr:uid="{1C176D6F-9768-46EF-B948-3CE56C46B3E6}"/>
    <cellStyle name="20% - Accent6 6 2 3" xfId="36605" xr:uid="{FB731A25-B02C-446C-9C45-68594E885C85}"/>
    <cellStyle name="20% - Accent6 6 2 4" xfId="36606" xr:uid="{73BC7CA3-AE24-4B97-8619-68E3AA78617C}"/>
    <cellStyle name="20% - Accent6 6 3" xfId="8987" xr:uid="{22231B3E-3B3C-4FA5-A199-3C0EA34E5321}"/>
    <cellStyle name="20% - Accent6 6 3 2" xfId="36607" xr:uid="{B3726E36-14A8-4424-80CE-B39F25DD2757}"/>
    <cellStyle name="20% - Accent6 6 4" xfId="36608" xr:uid="{CC83EC37-DAFF-496C-8908-767D694B5CF4}"/>
    <cellStyle name="20% - Accent6 6 5" xfId="36609" xr:uid="{972A0C99-D803-479A-A0FA-9EB959D52EAA}"/>
    <cellStyle name="20% - Accent6 60" xfId="8988" xr:uid="{81CA3CC9-FC97-47FB-8540-2474028A0C0E}"/>
    <cellStyle name="20% - Accent6 60 2" xfId="36610" xr:uid="{2E35F6AD-24ED-43E8-85EC-64144BE81455}"/>
    <cellStyle name="20% - Accent6 61" xfId="8989" xr:uid="{F07F0B37-F4CF-4019-B832-9DF5FC7FAD56}"/>
    <cellStyle name="20% - Accent6 61 2" xfId="36611" xr:uid="{100AA7E2-4A5A-40C2-9CA4-B80533E16DC8}"/>
    <cellStyle name="20% - Accent6 62" xfId="8990" xr:uid="{70043BF9-54E5-45A9-9B64-F79FC95979B2}"/>
    <cellStyle name="20% - Accent6 62 2" xfId="36612" xr:uid="{E874966F-A0F7-49EF-A69E-591F31E72978}"/>
    <cellStyle name="20% - Accent6 63" xfId="8991" xr:uid="{A0A9D727-BF15-470C-BD20-B79562606384}"/>
    <cellStyle name="20% - Accent6 63 2" xfId="36613" xr:uid="{A4723CFA-5DD8-42F9-8503-E2A7A00A41E9}"/>
    <cellStyle name="20% - Accent6 64" xfId="8992" xr:uid="{9043A585-B2E2-4FD9-9EB8-E256E90D6705}"/>
    <cellStyle name="20% - Accent6 64 2" xfId="36614" xr:uid="{61156D65-5995-42C2-AAEF-2440AFCD3FA2}"/>
    <cellStyle name="20% - Accent6 65" xfId="8993" xr:uid="{02EFD8A5-CCD5-4C74-80B0-72CB0F19746C}"/>
    <cellStyle name="20% - Accent6 65 2" xfId="36615" xr:uid="{867D9808-E41D-4DF3-BF36-9B411AB77149}"/>
    <cellStyle name="20% - Accent6 66" xfId="8994" xr:uid="{BEF1FCD2-DD62-45D9-816F-BC24A0AB0BD4}"/>
    <cellStyle name="20% - Accent6 66 2" xfId="8995" xr:uid="{540FAA53-C538-4517-94BF-A5441686541C}"/>
    <cellStyle name="20% - Accent6 66 2 2" xfId="8996" xr:uid="{3D9B6E20-C8FC-4F82-84C2-48B4E93B02A5}"/>
    <cellStyle name="20% - Accent6 66 3" xfId="8997" xr:uid="{48F14597-27DF-409C-AC22-089FE5F1CEDF}"/>
    <cellStyle name="20% - Accent6 66 3 2" xfId="8998" xr:uid="{2A93D131-B33E-4372-952D-82478366A1E2}"/>
    <cellStyle name="20% - Accent6 66 4" xfId="8999" xr:uid="{B34DD703-A567-4693-AC03-0A13C11ABCB5}"/>
    <cellStyle name="20% - Accent6 66 5" xfId="36616" xr:uid="{AC51917D-ABEF-4576-AD3A-277A24653FFA}"/>
    <cellStyle name="20% - Accent6 67" xfId="9000" xr:uid="{A7F2CD14-2E34-47F9-91BC-836FBBE528D6}"/>
    <cellStyle name="20% - Accent6 67 2" xfId="9001" xr:uid="{874BC276-4082-43C8-B4AE-3FAF519663FE}"/>
    <cellStyle name="20% - Accent6 67 2 2" xfId="9002" xr:uid="{88539683-276F-45E2-8618-94B33651C8F3}"/>
    <cellStyle name="20% - Accent6 67 3" xfId="9003" xr:uid="{0678A20A-7F15-41FE-A795-370700AF330F}"/>
    <cellStyle name="20% - Accent6 67 3 2" xfId="9004" xr:uid="{72AD075D-BF29-43ED-81D0-6F041DF541FE}"/>
    <cellStyle name="20% - Accent6 67 4" xfId="9005" xr:uid="{69A9E325-27D3-4D70-A301-FB0AD8842F51}"/>
    <cellStyle name="20% - Accent6 67 5" xfId="36617" xr:uid="{633B557B-4D5E-45F6-84F0-D7F43D2AB250}"/>
    <cellStyle name="20% - Accent6 68" xfId="9006" xr:uid="{1954B504-89C5-4F23-BC76-24EA41B59BAC}"/>
    <cellStyle name="20% - Accent6 68 2" xfId="9007" xr:uid="{C9E1F9A6-F8E0-4565-AE94-7B0D0F5FA7A0}"/>
    <cellStyle name="20% - Accent6 68 2 2" xfId="9008" xr:uid="{BA3547D2-2454-4425-A4EB-6954D7DB7DA4}"/>
    <cellStyle name="20% - Accent6 68 3" xfId="9009" xr:uid="{EE57D697-BD7A-4AA1-BB0D-1C297223F8E4}"/>
    <cellStyle name="20% - Accent6 68 3 2" xfId="9010" xr:uid="{82E53ADD-DD70-4E02-B1F3-11514BE4B2D4}"/>
    <cellStyle name="20% - Accent6 68 4" xfId="9011" xr:uid="{3266220D-E1EC-4D14-8DFF-98CF6C0B392F}"/>
    <cellStyle name="20% - Accent6 68 5" xfId="36618" xr:uid="{65B48FB9-2BDD-4D42-86EE-6CDC76A40188}"/>
    <cellStyle name="20% - Accent6 69" xfId="9012" xr:uid="{BA1326A0-9C95-49D3-9199-06262C5D2700}"/>
    <cellStyle name="20% - Accent6 69 2" xfId="9013" xr:uid="{DB9B5655-3A29-4E69-ACF2-B2525A80060C}"/>
    <cellStyle name="20% - Accent6 69 2 2" xfId="9014" xr:uid="{10343639-ED2F-46F0-B69A-D065E31817FA}"/>
    <cellStyle name="20% - Accent6 69 3" xfId="9015" xr:uid="{1FA4F48D-54E0-4A68-B920-06239CB2C941}"/>
    <cellStyle name="20% - Accent6 69 4" xfId="36619" xr:uid="{53E72CA1-4D51-4D17-AF9F-1C9EACB1FEDC}"/>
    <cellStyle name="20% - Accent6 7" xfId="9016" xr:uid="{FD64BE7A-DDAD-44CB-B775-A8B01D03EC35}"/>
    <cellStyle name="20% - Accent6 7 2" xfId="9017" xr:uid="{908863F9-E049-413B-8DB3-EA0C623B4CCF}"/>
    <cellStyle name="20% - Accent6 7 2 2" xfId="9018" xr:uid="{86F2BF2E-33BD-4843-A8DA-09C8C0A8E829}"/>
    <cellStyle name="20% - Accent6 7 2 2 2" xfId="36620" xr:uid="{C369E9A6-7012-4A30-BD6C-E01F597263C1}"/>
    <cellStyle name="20% - Accent6 7 2 3" xfId="36621" xr:uid="{F80E81CE-44F2-425F-9AF6-E0C47887CB04}"/>
    <cellStyle name="20% - Accent6 7 2 4" xfId="36622" xr:uid="{370BB61A-F797-46B8-8445-6DA31456D866}"/>
    <cellStyle name="20% - Accent6 7 3" xfId="9019" xr:uid="{30D283A1-0B48-42A2-98E6-BB37243BE360}"/>
    <cellStyle name="20% - Accent6 7 3 2" xfId="36623" xr:uid="{44FD8EBA-2F4E-43BF-920C-BD24E09D8049}"/>
    <cellStyle name="20% - Accent6 7 4" xfId="36624" xr:uid="{911C4D60-B38C-4AA1-B250-015306409F7D}"/>
    <cellStyle name="20% - Accent6 7 5" xfId="36625" xr:uid="{9BADE43C-C631-4A38-B6FA-B050D6508272}"/>
    <cellStyle name="20% - Accent6 70" xfId="9020" xr:uid="{D0A9D482-2157-41EE-B61F-205DFF388830}"/>
    <cellStyle name="20% - Accent6 70 2" xfId="9021" xr:uid="{C6F692AE-1A1C-471B-9931-7AA6DF65F763}"/>
    <cellStyle name="20% - Accent6 70 2 2" xfId="9022" xr:uid="{9FD9FD55-5E7B-466F-98F9-764ACD105E3A}"/>
    <cellStyle name="20% - Accent6 70 3" xfId="9023" xr:uid="{0AF3EFAC-BB2E-4649-80FC-F134B1D056F6}"/>
    <cellStyle name="20% - Accent6 70 4" xfId="36626" xr:uid="{99EF60EE-C5FE-4AAE-84D7-52C95742527F}"/>
    <cellStyle name="20% - Accent6 71" xfId="9024" xr:uid="{A51BE5C6-2FFE-4940-B870-708F8A142F6A}"/>
    <cellStyle name="20% - Accent6 71 2" xfId="9025" xr:uid="{F87D341E-6286-4C18-8702-F28478E82571}"/>
    <cellStyle name="20% - Accent6 71 2 2" xfId="9026" xr:uid="{ABC8CB5B-F178-4F9E-A8DF-5C5A99162D8D}"/>
    <cellStyle name="20% - Accent6 71 3" xfId="9027" xr:uid="{0128A595-E322-4B14-ABCD-42E7A18E7157}"/>
    <cellStyle name="20% - Accent6 71 4" xfId="36627" xr:uid="{EBFF8F06-3F00-4E91-9120-D04EBEEC65A0}"/>
    <cellStyle name="20% - Accent6 72" xfId="9028" xr:uid="{CBF2A23D-231B-46A5-A691-8C1E2B05CDCE}"/>
    <cellStyle name="20% - Accent6 72 2" xfId="9029" xr:uid="{5A25006C-75E1-4230-B104-E47FDD6F0376}"/>
    <cellStyle name="20% - Accent6 72 2 2" xfId="9030" xr:uid="{0936FF9F-C2AF-408C-BF46-9D7C14E4B9A1}"/>
    <cellStyle name="20% - Accent6 72 3" xfId="9031" xr:uid="{C184E21D-F37C-4642-B276-22C078B6B7FC}"/>
    <cellStyle name="20% - Accent6 72 4" xfId="36628" xr:uid="{E5893EC8-5F3B-4FA8-B007-BC8FC96F6217}"/>
    <cellStyle name="20% - Accent6 73" xfId="9032" xr:uid="{0CEFA097-AB8E-4540-B0BC-5C67BA75EA9C}"/>
    <cellStyle name="20% - Accent6 73 2" xfId="9033" xr:uid="{8CA7D94B-609C-4A0B-9E70-CE9992F5A3D9}"/>
    <cellStyle name="20% - Accent6 73 2 2" xfId="9034" xr:uid="{E76136BF-BDA1-4E76-A026-F36CA90982DE}"/>
    <cellStyle name="20% - Accent6 73 3" xfId="9035" xr:uid="{36C0226F-7C06-4797-B8A8-2B9962D23D8A}"/>
    <cellStyle name="20% - Accent6 73 4" xfId="36629" xr:uid="{EB99D35C-21A5-4475-AA8C-6942190A89B0}"/>
    <cellStyle name="20% - Accent6 74" xfId="9036" xr:uid="{C059D9FE-0CB1-4694-A5B6-0ADB4694674A}"/>
    <cellStyle name="20% - Accent6 74 2" xfId="9037" xr:uid="{D2C5FB5D-2456-46AA-8A26-36B40EF445DA}"/>
    <cellStyle name="20% - Accent6 74 2 2" xfId="9038" xr:uid="{97C8B7E4-5FA9-4AAC-ADB4-04FB2B10F3DA}"/>
    <cellStyle name="20% - Accent6 74 3" xfId="9039" xr:uid="{73EB7F8A-1175-43AA-A6F0-764036BD4301}"/>
    <cellStyle name="20% - Accent6 74 4" xfId="36630" xr:uid="{9853EF85-6A04-4514-9673-FC7949B9ADB1}"/>
    <cellStyle name="20% - Accent6 75" xfId="9040" xr:uid="{C6C5A805-0802-4AD2-A723-A9A7C4E164D9}"/>
    <cellStyle name="20% - Accent6 75 2" xfId="9041" xr:uid="{30BD2976-7462-4299-B50B-01B6364043F6}"/>
    <cellStyle name="20% - Accent6 75 2 2" xfId="9042" xr:uid="{8E640E68-E263-4677-BBF0-0C2025A86CA8}"/>
    <cellStyle name="20% - Accent6 75 3" xfId="9043" xr:uid="{7EE32205-BFFC-42FD-93C6-335D028AB4BB}"/>
    <cellStyle name="20% - Accent6 75 4" xfId="36631" xr:uid="{9B3C0465-57EF-40E4-9507-179F4B53EADC}"/>
    <cellStyle name="20% - Accent6 76" xfId="9044" xr:uid="{83B29296-AAFC-4C55-A329-3FFAEB1B720A}"/>
    <cellStyle name="20% - Accent6 76 2" xfId="9045" xr:uid="{A579A0D5-E2B1-415C-B90A-CE496EE061FA}"/>
    <cellStyle name="20% - Accent6 76 2 2" xfId="9046" xr:uid="{DF5E8A72-6090-4820-8E5B-069245091971}"/>
    <cellStyle name="20% - Accent6 76 3" xfId="9047" xr:uid="{8319C3BE-C84A-4B07-A8DE-425A65A1A3BE}"/>
    <cellStyle name="20% - Accent6 76 4" xfId="36632" xr:uid="{DB7387A9-D0DE-4E59-B774-61883E235B34}"/>
    <cellStyle name="20% - Accent6 77" xfId="9048" xr:uid="{55664766-4BC5-496D-9A6D-67EBBC93B73D}"/>
    <cellStyle name="20% - Accent6 77 2" xfId="9049" xr:uid="{2FD6A65C-84CB-484B-A88A-713FE5D63CBA}"/>
    <cellStyle name="20% - Accent6 77 2 2" xfId="9050" xr:uid="{8FDC167C-D9E2-4D15-A2AB-0ADA0C45149C}"/>
    <cellStyle name="20% - Accent6 77 3" xfId="9051" xr:uid="{89DA5F9F-9B80-4FCE-BEAD-62A0F63ECA4A}"/>
    <cellStyle name="20% - Accent6 77 4" xfId="36633" xr:uid="{C0F45621-92E1-4CAA-A306-38E3DB75CFA1}"/>
    <cellStyle name="20% - Accent6 78" xfId="9052" xr:uid="{5ECFD9E2-2529-4225-A0A1-C2536438291A}"/>
    <cellStyle name="20% - Accent6 78 2" xfId="9053" xr:uid="{762B6D41-BE2B-4C9E-9234-77B44809E800}"/>
    <cellStyle name="20% - Accent6 78 2 2" xfId="9054" xr:uid="{D9978C0B-4011-4A5E-A1B4-9E5F417C8CAC}"/>
    <cellStyle name="20% - Accent6 78 3" xfId="9055" xr:uid="{1023AED3-4C91-4035-9320-3AA801295135}"/>
    <cellStyle name="20% - Accent6 78 4" xfId="36634" xr:uid="{AFCE9F8F-F20D-44B9-903E-D9259358D863}"/>
    <cellStyle name="20% - Accent6 79" xfId="9056" xr:uid="{42E4F980-098A-4CD3-8BE4-1EF84761DEDE}"/>
    <cellStyle name="20% - Accent6 79 2" xfId="9057" xr:uid="{327AD57C-6E59-48DA-A9F5-9E98484A3704}"/>
    <cellStyle name="20% - Accent6 79 3" xfId="36635" xr:uid="{C0E9FD71-8533-45A8-A36C-94D8D5323BC1}"/>
    <cellStyle name="20% - Accent6 8" xfId="9058" xr:uid="{85FC4031-219F-42BB-B6DC-390E7C3E810E}"/>
    <cellStyle name="20% - Accent6 8 2" xfId="9059" xr:uid="{594A4A7F-0433-4A1B-A8A4-ADA1CA6E4CFD}"/>
    <cellStyle name="20% - Accent6 8 2 2" xfId="9060" xr:uid="{56230A5D-543D-4143-ABBD-643576D2D13C}"/>
    <cellStyle name="20% - Accent6 8 2 2 2" xfId="36636" xr:uid="{E6DC815D-C257-46E3-9445-4E5762241322}"/>
    <cellStyle name="20% - Accent6 8 2 3" xfId="36637" xr:uid="{A0042316-3803-4BD2-AE6E-7672538B8A39}"/>
    <cellStyle name="20% - Accent6 8 3" xfId="9061" xr:uid="{BBB91F9C-245C-4473-ACAF-29F4569BA6DB}"/>
    <cellStyle name="20% - Accent6 8 3 2" xfId="36638" xr:uid="{72FE9160-4995-43C3-9FD5-05DF6AB3C486}"/>
    <cellStyle name="20% - Accent6 8 4" xfId="36639" xr:uid="{753F1963-1CB3-4CE9-8D95-279ADD4F88AA}"/>
    <cellStyle name="20% - Accent6 8 5" xfId="36640" xr:uid="{1E16ACAA-6804-4266-AB2E-9921B57D0CE9}"/>
    <cellStyle name="20% - Accent6 8 6" xfId="36641" xr:uid="{AE4ACC44-9825-48B5-B79F-F17D37A3DDB3}"/>
    <cellStyle name="20% - Accent6 8 7" xfId="36642" xr:uid="{32DEDCE5-7062-4436-BFA2-777268A4F9BC}"/>
    <cellStyle name="20% - Accent6 80" xfId="9062" xr:uid="{DE8AFFD2-7B55-4E1E-85F7-5C492B9C505E}"/>
    <cellStyle name="20% - Accent6 80 2" xfId="9063" xr:uid="{9D12D3EE-B8CD-4115-8203-91D7E282D358}"/>
    <cellStyle name="20% - Accent6 80 3" xfId="36643" xr:uid="{3CCB0D55-8ABF-48A6-8C22-FFD7A6C662C0}"/>
    <cellStyle name="20% - Accent6 81" xfId="9064" xr:uid="{F05CCD3B-5867-4035-9CD9-D96B64031C26}"/>
    <cellStyle name="20% - Accent6 81 2" xfId="9065" xr:uid="{150334EC-39FC-4D00-87DB-D56320D4766D}"/>
    <cellStyle name="20% - Accent6 81 3" xfId="36644" xr:uid="{1F0DE3A7-90DF-4595-B24E-4EB297F9885D}"/>
    <cellStyle name="20% - Accent6 82" xfId="9066" xr:uid="{1387F703-590D-4227-AA22-2BED8FB17203}"/>
    <cellStyle name="20% - Accent6 82 2" xfId="9067" xr:uid="{174F21EE-3797-456C-9623-AC46FA63DF9D}"/>
    <cellStyle name="20% - Accent6 82 3" xfId="36645" xr:uid="{23F8A9CD-4075-47F1-B40E-BCAD2EFD9ED3}"/>
    <cellStyle name="20% - Accent6 83" xfId="9068" xr:uid="{853A7F10-766B-4D26-9D9A-06D6342CB9BA}"/>
    <cellStyle name="20% - Accent6 83 2" xfId="9069" xr:uid="{9D8D178F-FBDA-42A6-B1D9-708CA3E1DBC1}"/>
    <cellStyle name="20% - Accent6 83 3" xfId="36646" xr:uid="{86C9B568-8379-45B7-856E-B78B352BA90F}"/>
    <cellStyle name="20% - Accent6 84" xfId="9070" xr:uid="{3A0AE1E8-DDAE-4210-A4B4-1D3E04C4D8EE}"/>
    <cellStyle name="20% - Accent6 84 2" xfId="9071" xr:uid="{E76E44EA-FFDF-41D2-929F-76D2B143CF71}"/>
    <cellStyle name="20% - Accent6 84 3" xfId="36647" xr:uid="{024034A9-785A-4799-ACD8-ECCE1441D651}"/>
    <cellStyle name="20% - Accent6 85" xfId="9072" xr:uid="{514D93D1-30D2-4A0F-AA8D-24B749BF7B31}"/>
    <cellStyle name="20% - Accent6 85 2" xfId="9073" xr:uid="{2FD262C9-A1FC-40AA-BB64-4C0476E010DD}"/>
    <cellStyle name="20% - Accent6 85 3" xfId="36648" xr:uid="{2BAF69C5-0982-422D-A08E-368FD3F6223E}"/>
    <cellStyle name="20% - Accent6 86" xfId="9074" xr:uid="{EDB85480-3F5E-4141-BA97-F7FDE0341077}"/>
    <cellStyle name="20% - Accent6 86 2" xfId="9075" xr:uid="{3F4850FB-BEE1-4F79-B224-CB1CE2BBB189}"/>
    <cellStyle name="20% - Accent6 86 3" xfId="36649" xr:uid="{805C05B3-145A-4908-A20A-B82D9C5DD95F}"/>
    <cellStyle name="20% - Accent6 87" xfId="9076" xr:uid="{273D0935-9D57-441E-A8CE-8A03B12E3749}"/>
    <cellStyle name="20% - Accent6 87 2" xfId="9077" xr:uid="{37EA44E7-3856-4220-AB6A-4CF76756025E}"/>
    <cellStyle name="20% - Accent6 87 3" xfId="36650" xr:uid="{BB836300-8833-4600-874F-37398EF2E163}"/>
    <cellStyle name="20% - Accent6 88" xfId="9078" xr:uid="{DB78D850-F5B7-4E27-8C9B-791A7F39DE91}"/>
    <cellStyle name="20% - Accent6 88 2" xfId="9079" xr:uid="{5CFC3BE5-673B-445B-92C0-4531DCBD28C2}"/>
    <cellStyle name="20% - Accent6 88 3" xfId="36651" xr:uid="{6733AA94-882C-4E95-91D7-E4B089BAA978}"/>
    <cellStyle name="20% - Accent6 89" xfId="9080" xr:uid="{982304C9-C8EA-4158-B580-AFC3C690FB9D}"/>
    <cellStyle name="20% - Accent6 89 2" xfId="9081" xr:uid="{3226C5FF-3287-4338-9DD3-5AFBD974799F}"/>
    <cellStyle name="20% - Accent6 89 3" xfId="36652" xr:uid="{50472C44-E49D-4557-9755-37FB4A236B92}"/>
    <cellStyle name="20% - Accent6 9" xfId="9082" xr:uid="{364BF3C0-918E-478C-927E-D08A8C45B319}"/>
    <cellStyle name="20% - Accent6 9 2" xfId="9083" xr:uid="{B2B4A847-AD77-48DF-8D5B-DE84E1FED2D1}"/>
    <cellStyle name="20% - Accent6 9 2 2" xfId="9084" xr:uid="{E320CE16-3079-4F52-A2C9-FA6DE4F002CF}"/>
    <cellStyle name="20% - Accent6 9 2 2 2" xfId="36653" xr:uid="{CE3207A1-2F69-4378-9F15-7E14C1172C8C}"/>
    <cellStyle name="20% - Accent6 9 2 3" xfId="36654" xr:uid="{20C9DCBB-55E6-4731-B668-2ACA2E82F110}"/>
    <cellStyle name="20% - Accent6 9 3" xfId="9085" xr:uid="{8BFFA11F-A501-437A-8710-1481AA268D7B}"/>
    <cellStyle name="20% - Accent6 9 3 2" xfId="36655" xr:uid="{B545F159-31EA-4F08-B112-926973040223}"/>
    <cellStyle name="20% - Accent6 9 4" xfId="36656" xr:uid="{416A6022-72A7-407D-A66B-D1281BCE27B0}"/>
    <cellStyle name="20% - Accent6 9 5" xfId="36657" xr:uid="{48685FAF-37FF-4445-8D80-D38D3171BE40}"/>
    <cellStyle name="20% - Accent6 9 6" xfId="36658" xr:uid="{9D0BB036-5D52-40A9-A4F4-F99058E05508}"/>
    <cellStyle name="20% - Accent6 90" xfId="9086" xr:uid="{3C33C1D8-865C-415B-BAF3-EC3F8B4EC780}"/>
    <cellStyle name="20% - Accent6 90 2" xfId="9087" xr:uid="{C7AFD987-9872-4CA1-B006-F08555C75629}"/>
    <cellStyle name="20% - Accent6 90 3" xfId="36659" xr:uid="{A35CDD74-1B92-4B21-B2CD-14266B986041}"/>
    <cellStyle name="20% - Accent6 91" xfId="9088" xr:uid="{A89A344D-4BE4-4434-909D-3692377D8575}"/>
    <cellStyle name="20% - Accent6 91 2" xfId="9089" xr:uid="{8D5599F4-F04E-4C19-A7C4-6236A90D7A68}"/>
    <cellStyle name="20% - Accent6 91 3" xfId="36660" xr:uid="{6DC5E124-5261-4E61-8171-123558F3A009}"/>
    <cellStyle name="20% - Accent6 92" xfId="9090" xr:uid="{ADD61CAE-E4DA-4DC4-AB98-D1D686938B12}"/>
    <cellStyle name="20% - Accent6 92 2" xfId="9091" xr:uid="{B8C5842F-1BCE-4B05-A453-7F4E2951B78E}"/>
    <cellStyle name="20% - Accent6 92 3" xfId="36661" xr:uid="{6860DADD-6C95-47DC-8C24-3A1B484481AB}"/>
    <cellStyle name="20% - Accent6 93" xfId="9092" xr:uid="{A63AAB01-B9B2-4C64-B0D0-EFF68767A91B}"/>
    <cellStyle name="20% - Accent6 93 2" xfId="9093" xr:uid="{D1083800-648D-4A9D-A76F-331139928110}"/>
    <cellStyle name="20% - Accent6 93 3" xfId="36662" xr:uid="{CBDB68E7-6A19-47BD-B060-6D8F6E7FDFF1}"/>
    <cellStyle name="20% - Accent6 94" xfId="9094" xr:uid="{8553F5ED-7F91-4EE0-85AC-9086FB27E60D}"/>
    <cellStyle name="20% - Accent6 94 2" xfId="9095" xr:uid="{6AEDE9CF-14E7-4378-AAAB-F2A3623A148B}"/>
    <cellStyle name="20% - Accent6 94 3" xfId="36663" xr:uid="{944EA656-7706-44B1-90D3-95962C2FFA3A}"/>
    <cellStyle name="20% - Accent6 95" xfId="9096" xr:uid="{0534B42A-5B65-4805-A09F-40A6732E5A76}"/>
    <cellStyle name="20% - Accent6 95 2" xfId="9097" xr:uid="{DAD28ABD-D74F-4107-922C-D65AFE29F444}"/>
    <cellStyle name="20% - Accent6 95 3" xfId="36664" xr:uid="{E8FE753A-C592-4C57-9C7A-15E99A6DEEE4}"/>
    <cellStyle name="20% - Accent6 96" xfId="9098" xr:uid="{E7581073-B1C0-4E5B-8737-1C49148D81C7}"/>
    <cellStyle name="20% - Accent6 96 2" xfId="9099" xr:uid="{211078C4-FB22-4C50-B0D2-C302C050D374}"/>
    <cellStyle name="20% - Accent6 96 3" xfId="36665" xr:uid="{E6334033-6A1F-4D5D-AD57-2787BAD7BF72}"/>
    <cellStyle name="20% - Accent6 97" xfId="9100" xr:uid="{08A3A576-C128-496E-A4A0-04A01A44506F}"/>
    <cellStyle name="20% - Accent6 97 2" xfId="9101" xr:uid="{1AD98457-43DE-4CC6-8233-31786A3ACC3F}"/>
    <cellStyle name="20% - Accent6 97 3" xfId="36666" xr:uid="{5121F3EB-5307-4F64-8517-79F7E129A7FF}"/>
    <cellStyle name="20% - Accent6 98" xfId="9102" xr:uid="{57D0D667-7E59-4AAB-8892-B963D3B96BDD}"/>
    <cellStyle name="20% - Accent6 98 2" xfId="9103" xr:uid="{33BF7231-D9D1-4554-88B3-FE79CC3E4793}"/>
    <cellStyle name="20% - Accent6 98 3" xfId="36667" xr:uid="{8AB14814-3B10-4911-B25D-9B4E666A2C19}"/>
    <cellStyle name="20% - Accent6 99" xfId="9104" xr:uid="{462FFD7B-D094-440C-B4D2-53466CF4898A}"/>
    <cellStyle name="20% - Accent6 99 2" xfId="9105" xr:uid="{07D18A42-6DFC-4911-BFCF-241D29C3344E}"/>
    <cellStyle name="20% - Accent6 99 3" xfId="36668" xr:uid="{442ED6B4-E142-4527-B8AC-F2D718D75843}"/>
    <cellStyle name="20% - Ênfase1" xfId="9106" xr:uid="{CA35E36A-FC09-48D8-9C33-01A40DD72230}"/>
    <cellStyle name="20% - Ênfase2" xfId="9107" xr:uid="{0716597D-CDBA-4671-9451-F71CE3FB1A55}"/>
    <cellStyle name="20% - Ênfase3" xfId="9108" xr:uid="{161AB6BB-AC56-4202-ABFB-1C9EE28CE460}"/>
    <cellStyle name="20% - Ênfase4" xfId="9109" xr:uid="{FE14D10D-22F7-4942-9007-C267504491F2}"/>
    <cellStyle name="20% - Ênfase5" xfId="9110" xr:uid="{83E50BF0-5EA0-4F96-8639-F567608F22B3}"/>
    <cellStyle name="20% - Ênfase6" xfId="9111" xr:uid="{11614BB1-6436-4E21-B132-E76E51F401DD}"/>
    <cellStyle name="40% - Accent1" xfId="32" builtinId="31" hidden="1"/>
    <cellStyle name="40% - Accent1" xfId="106" builtinId="31" customBuiltin="1"/>
    <cellStyle name="40% - Accent1 10" xfId="9112" xr:uid="{73B6B327-B9D8-44D0-80F2-DA326042BE64}"/>
    <cellStyle name="40% - Accent1 10 2" xfId="9113" xr:uid="{77D274B6-39E4-4C58-BD3D-561C7B921402}"/>
    <cellStyle name="40% - Accent1 10 2 2" xfId="9114" xr:uid="{F6D82A70-9F42-4987-AE75-7DBD96FD2915}"/>
    <cellStyle name="40% - Accent1 10 2 2 2" xfId="36669" xr:uid="{1FF146F8-58B5-467B-A7B5-80D9D5737AFF}"/>
    <cellStyle name="40% - Accent1 10 2 3" xfId="36670" xr:uid="{4266D269-BE01-4536-A441-FF07585F1A7A}"/>
    <cellStyle name="40% - Accent1 10 3" xfId="9115" xr:uid="{28A19AC4-A43E-40BB-A1CA-C8A1E0801219}"/>
    <cellStyle name="40% - Accent1 10 3 2" xfId="36671" xr:uid="{A3D223BD-2D6F-448D-A84F-4F0A24CDC3DB}"/>
    <cellStyle name="40% - Accent1 10 4" xfId="36672" xr:uid="{857F1206-652D-483F-A099-514D1CF38F09}"/>
    <cellStyle name="40% - Accent1 10 5" xfId="36673" xr:uid="{2E80A245-BB5E-436C-8CE4-711DDB700B0F}"/>
    <cellStyle name="40% - Accent1 10 6" xfId="36674" xr:uid="{048B338A-B1BE-4525-B975-41C4B84A76E6}"/>
    <cellStyle name="40% - Accent1 100" xfId="9116" xr:uid="{4C7949B7-54AB-43D4-8F35-AAE0EC56DE87}"/>
    <cellStyle name="40% - Accent1 100 2" xfId="9117" xr:uid="{DDBCF634-AACD-497B-9D8A-BB186937C691}"/>
    <cellStyle name="40% - Accent1 100 3" xfId="36675" xr:uid="{254F1252-3D56-456E-A7FD-3CC873C62393}"/>
    <cellStyle name="40% - Accent1 101" xfId="9118" xr:uid="{1B047379-2901-4F71-9430-FA6AAB941093}"/>
    <cellStyle name="40% - Accent1 102" xfId="9119" xr:uid="{43357019-28A8-484B-B039-29B76432F60A}"/>
    <cellStyle name="40% - Accent1 103" xfId="9120" xr:uid="{5C3DA0F8-B412-4CA4-AEEC-BC7A11CB23C7}"/>
    <cellStyle name="40% - Accent1 104" xfId="9121" xr:uid="{38459514-4A89-4D7A-9484-F36F60CF07E5}"/>
    <cellStyle name="40% - Accent1 105" xfId="9122" xr:uid="{BD026D01-7895-45F2-A3DB-A4557F505265}"/>
    <cellStyle name="40% - Accent1 106" xfId="9123" xr:uid="{CE6A8FB2-C47B-483B-B3D7-0BDE2C9FC3EB}"/>
    <cellStyle name="40% - Accent1 107" xfId="9124" xr:uid="{450E91EC-8A30-404A-AA02-0E099B50BD01}"/>
    <cellStyle name="40% - Accent1 108" xfId="9125" xr:uid="{1A50B29A-B1EB-45AA-96FE-F898878AF402}"/>
    <cellStyle name="40% - Accent1 109" xfId="9126" xr:uid="{FBBA82B4-F295-4CE8-BD27-242C5863A54E}"/>
    <cellStyle name="40% - Accent1 11" xfId="9127" xr:uid="{7B8D7AB7-1BFF-4313-A4FF-B486C934779D}"/>
    <cellStyle name="40% - Accent1 11 2" xfId="9128" xr:uid="{DC857678-D45C-4442-9EDB-A7C4F1AB48C5}"/>
    <cellStyle name="40% - Accent1 11 2 2" xfId="9129" xr:uid="{81008863-96B6-474E-BD99-34470D70080A}"/>
    <cellStyle name="40% - Accent1 11 2 2 2" xfId="36676" xr:uid="{6DBB3381-69D0-4C96-8CFD-107BD4AF4796}"/>
    <cellStyle name="40% - Accent1 11 2 3" xfId="36677" xr:uid="{884A4072-C957-4959-BB88-144947584F65}"/>
    <cellStyle name="40% - Accent1 11 3" xfId="9130" xr:uid="{4D05BAA8-E571-47C8-A28C-F841E50EAB92}"/>
    <cellStyle name="40% - Accent1 11 3 2" xfId="36678" xr:uid="{C3886B4A-2D7C-48AF-831C-2118754CE49E}"/>
    <cellStyle name="40% - Accent1 11 4" xfId="36679" xr:uid="{4283070D-7AB4-4ED4-B003-BCE979D06647}"/>
    <cellStyle name="40% - Accent1 11 5" xfId="36680" xr:uid="{D708C587-F5CB-4054-B2FC-0ACC3DE93397}"/>
    <cellStyle name="40% - Accent1 11 6" xfId="36681" xr:uid="{CD4E7BC9-A10F-4EC8-A432-9AC4DA099B7C}"/>
    <cellStyle name="40% - Accent1 110" xfId="9131" xr:uid="{E2F9CC96-52F2-463E-8B6F-05571F30002C}"/>
    <cellStyle name="40% - Accent1 111" xfId="9132" xr:uid="{C6959F62-8F3D-4D52-8894-8FBF747A9C5D}"/>
    <cellStyle name="40% - Accent1 112" xfId="9133" xr:uid="{48E6019F-FD5A-489D-8A75-AFD93DE17F9F}"/>
    <cellStyle name="40% - Accent1 113" xfId="9134" xr:uid="{CFC3DC9E-62D6-4005-ABE5-DA7D50DFA295}"/>
    <cellStyle name="40% - Accent1 114" xfId="9135" xr:uid="{5E14FA70-BB4F-48C9-AAB8-5E5E545E37F3}"/>
    <cellStyle name="40% - Accent1 115" xfId="9136" xr:uid="{E83F4A1E-122C-43C2-A54C-0240D22DA1C0}"/>
    <cellStyle name="40% - Accent1 116" xfId="9137" xr:uid="{0E780BE8-D37A-4F90-8F29-EFFC6E0F3858}"/>
    <cellStyle name="40% - Accent1 117" xfId="9138" xr:uid="{D3535C0D-E524-4EBB-9FCB-E9E8762C0915}"/>
    <cellStyle name="40% - Accent1 118" xfId="9139" xr:uid="{F93B60F3-44BF-4343-B27D-35924C6C6C5C}"/>
    <cellStyle name="40% - Accent1 119" xfId="9140" xr:uid="{1E04C023-0A6F-4F56-AD8E-EDA4202F8FD5}"/>
    <cellStyle name="40% - Accent1 12" xfId="9141" xr:uid="{F00EB725-D2E3-4A7A-BEC1-6D08A6E2198E}"/>
    <cellStyle name="40% - Accent1 12 2" xfId="9142" xr:uid="{E62C4B91-96AE-4A2E-8E54-BBB4DABCF409}"/>
    <cellStyle name="40% - Accent1 12 2 2" xfId="9143" xr:uid="{8111BE27-CE2F-4999-9064-8721A575E7E7}"/>
    <cellStyle name="40% - Accent1 12 2 2 2" xfId="36682" xr:uid="{51252800-784C-4774-8F76-A3AA2279EB4D}"/>
    <cellStyle name="40% - Accent1 12 2 3" xfId="36683" xr:uid="{626DED8B-BA32-405C-AF12-7C8A9ECE16BD}"/>
    <cellStyle name="40% - Accent1 12 3" xfId="9144" xr:uid="{AC040C90-A51D-457E-9ED6-2A0EF183EF0A}"/>
    <cellStyle name="40% - Accent1 12 3 2" xfId="36684" xr:uid="{B1610D55-3958-4D92-A470-4A15EF4CB07A}"/>
    <cellStyle name="40% - Accent1 12 4" xfId="36685" xr:uid="{DF224FF9-AC65-4E52-A357-F4215F39BE87}"/>
    <cellStyle name="40% - Accent1 12 5" xfId="36686" xr:uid="{F5EB83F3-C360-483E-8DE0-4E33F8472FD5}"/>
    <cellStyle name="40% - Accent1 12 6" xfId="36687" xr:uid="{0B9908B5-BA74-4612-B9A8-75C3E75B2C01}"/>
    <cellStyle name="40% - Accent1 120" xfId="9145" xr:uid="{DF952F12-3193-4A31-BA24-D2AFBA39A45E}"/>
    <cellStyle name="40% - Accent1 121" xfId="9146" xr:uid="{A8B76150-F9D5-4DD0-B5FF-C4B29F1DF363}"/>
    <cellStyle name="40% - Accent1 122" xfId="9147" xr:uid="{90CBBC91-CACE-4278-8952-EEC5927F723F}"/>
    <cellStyle name="40% - Accent1 123" xfId="9148" xr:uid="{7DF2D215-4645-4CAC-A8F8-7520D9C68D61}"/>
    <cellStyle name="40% - Accent1 124" xfId="9149" xr:uid="{498438C9-766A-4EAF-8533-B37CE06DBDB5}"/>
    <cellStyle name="40% - Accent1 125" xfId="9150" xr:uid="{5678EC8D-9FF8-433D-8A8C-2580E9CCF64E}"/>
    <cellStyle name="40% - Accent1 126" xfId="9151" xr:uid="{1055997F-3A81-48C7-850B-FE0E314EAF76}"/>
    <cellStyle name="40% - Accent1 127" xfId="9152" xr:uid="{9FB93A2F-9C6A-4A5E-AE6A-C5288DE28D77}"/>
    <cellStyle name="40% - Accent1 128" xfId="9153" xr:uid="{F6B8E272-8A42-4338-9896-347BA63E9844}"/>
    <cellStyle name="40% - Accent1 129" xfId="9154" xr:uid="{2D0C9EA9-0E40-49F1-B269-8C4D35103395}"/>
    <cellStyle name="40% - Accent1 13" xfId="9155" xr:uid="{C27BA7EE-71B3-4B4A-955B-F56A273D8F23}"/>
    <cellStyle name="40% - Accent1 13 2" xfId="9156" xr:uid="{954C177A-80C0-4B40-98A6-2CFF08DC7BDC}"/>
    <cellStyle name="40% - Accent1 13 2 2" xfId="9157" xr:uid="{BE6AFF25-8A1C-47A4-A42C-5C9FA9838024}"/>
    <cellStyle name="40% - Accent1 13 2 2 2" xfId="36688" xr:uid="{D06E0C76-214C-4FA0-968C-81F11FE723F8}"/>
    <cellStyle name="40% - Accent1 13 2 3" xfId="36689" xr:uid="{EA216FA2-4800-4C9B-A871-212FD8B07ECA}"/>
    <cellStyle name="40% - Accent1 13 3" xfId="9158" xr:uid="{FDDD2D8C-AEE3-48F7-A105-EF3B81925F26}"/>
    <cellStyle name="40% - Accent1 13 3 2" xfId="36690" xr:uid="{CB9B82B8-98A8-4DC1-B2E4-795A10AF5275}"/>
    <cellStyle name="40% - Accent1 13 4" xfId="36691" xr:uid="{8C4785CD-1D05-40BA-B0B1-29362729038B}"/>
    <cellStyle name="40% - Accent1 13 5" xfId="36692" xr:uid="{08701BF6-C160-47E6-90DD-B9567E4A73F8}"/>
    <cellStyle name="40% - Accent1 13 6" xfId="36693" xr:uid="{6167413B-634C-4962-ABCE-CECC5B056A5A}"/>
    <cellStyle name="40% - Accent1 130" xfId="9159" xr:uid="{5BBD8710-705B-44A7-A720-476CC7A98124}"/>
    <cellStyle name="40% - Accent1 131" xfId="9160" xr:uid="{399DE4D3-9034-4EF8-9D80-98A134FACAEE}"/>
    <cellStyle name="40% - Accent1 132" xfId="9161" xr:uid="{E1A4EA12-F844-41D2-A4BA-28C56F3D462E}"/>
    <cellStyle name="40% - Accent1 133" xfId="9162" xr:uid="{338C5CC1-9EFC-468C-B833-E60BEB368F98}"/>
    <cellStyle name="40% - Accent1 134" xfId="9163" xr:uid="{B4538B1C-D251-4DF4-8F29-63DB7D5331C8}"/>
    <cellStyle name="40% - Accent1 135" xfId="9164" xr:uid="{D30B2E26-EB1C-4135-BCC0-70F717B127FA}"/>
    <cellStyle name="40% - Accent1 136" xfId="9165" xr:uid="{D5043F3B-5FBA-4354-9C89-BDAE4E103C59}"/>
    <cellStyle name="40% - Accent1 137" xfId="9166" xr:uid="{6B8DCC4B-E1AB-4321-833A-6EA51A35070B}"/>
    <cellStyle name="40% - Accent1 138" xfId="9167" xr:uid="{D4A80A83-37DD-4CC4-9494-FDB27AC68A95}"/>
    <cellStyle name="40% - Accent1 139" xfId="9168" xr:uid="{F8B251D9-60FE-4B20-84AB-D6CA1E45F6D5}"/>
    <cellStyle name="40% - Accent1 14" xfId="9169" xr:uid="{87F67543-F5A5-477A-A26D-44DAB15A7175}"/>
    <cellStyle name="40% - Accent1 14 2" xfId="9170" xr:uid="{AD408C34-2BF2-4348-915E-E069A7A6EF6C}"/>
    <cellStyle name="40% - Accent1 14 2 2" xfId="9171" xr:uid="{B924D06B-A571-41DA-A858-CD1DF7C7DA46}"/>
    <cellStyle name="40% - Accent1 14 2 2 2" xfId="36694" xr:uid="{40EF6A4B-C1EB-46A9-9EE0-872C1A427D82}"/>
    <cellStyle name="40% - Accent1 14 2 3" xfId="36695" xr:uid="{079258ED-3EBB-4FB8-B4B5-AB36CF9DFEE9}"/>
    <cellStyle name="40% - Accent1 14 3" xfId="9172" xr:uid="{1075003F-F8C9-48CB-A24B-51D00F69F739}"/>
    <cellStyle name="40% - Accent1 14 3 2" xfId="36696" xr:uid="{06A78AB5-050C-4A48-80E9-513BE8B329E0}"/>
    <cellStyle name="40% - Accent1 14 4" xfId="36697" xr:uid="{225A97A3-0DCC-48C4-BB06-26BE2497C285}"/>
    <cellStyle name="40% - Accent1 14 5" xfId="36698" xr:uid="{EA7E13C8-AAF8-445E-BFD6-E6D54FAE2135}"/>
    <cellStyle name="40% - Accent1 14 6" xfId="36699" xr:uid="{8372BF3A-B5C9-4763-A0BF-CDB3B07DFFD6}"/>
    <cellStyle name="40% - Accent1 140" xfId="9173" xr:uid="{3CE23C33-6BCE-43F7-A330-41899896CFD8}"/>
    <cellStyle name="40% - Accent1 141" xfId="9174" xr:uid="{D6489CCA-8191-4E5A-B566-F5AD168282F6}"/>
    <cellStyle name="40% - Accent1 142" xfId="9175" xr:uid="{D4312BB5-9310-446B-A999-87EDB1FF5BCA}"/>
    <cellStyle name="40% - Accent1 143" xfId="9176" xr:uid="{62CE54D4-ACE6-4243-8233-17D5480FB30D}"/>
    <cellStyle name="40% - Accent1 144" xfId="9177" xr:uid="{6DCC1D75-F2E0-4761-AC03-C3A53716AEFA}"/>
    <cellStyle name="40% - Accent1 145" xfId="9178" xr:uid="{4C4FC05E-83BA-4F34-B58A-2E2E76CD2228}"/>
    <cellStyle name="40% - Accent1 146" xfId="9179" xr:uid="{6D3A0268-12A0-4988-BB42-B7691949461F}"/>
    <cellStyle name="40% - Accent1 147" xfId="9180" xr:uid="{5ACCE774-459F-4980-B7D5-FF358BDB440E}"/>
    <cellStyle name="40% - Accent1 148" xfId="9181" xr:uid="{8BA16F89-472C-4ACF-904F-47E147675869}"/>
    <cellStyle name="40% - Accent1 149" xfId="9182" xr:uid="{8ED568B9-4B79-407D-BA9F-A422D83E1628}"/>
    <cellStyle name="40% - Accent1 15" xfId="9183" xr:uid="{9B1DA390-86C0-4AD9-9C23-CD40C1FDD02E}"/>
    <cellStyle name="40% - Accent1 15 2" xfId="9184" xr:uid="{ACB5F395-2DCF-4DCF-AE21-64725946931A}"/>
    <cellStyle name="40% - Accent1 15 2 2" xfId="9185" xr:uid="{5113DAF8-E9EB-48FB-AAA9-7E468FB71819}"/>
    <cellStyle name="40% - Accent1 15 2 2 2" xfId="36700" xr:uid="{843B9FE6-B20A-4626-A4C4-469912B9867F}"/>
    <cellStyle name="40% - Accent1 15 2 3" xfId="36701" xr:uid="{6F5D2DB0-5843-4FC4-8146-9387788535A6}"/>
    <cellStyle name="40% - Accent1 15 3" xfId="9186" xr:uid="{3B1E3CCD-64AA-4F92-89C5-E77AFDA52A62}"/>
    <cellStyle name="40% - Accent1 15 3 2" xfId="36702" xr:uid="{EA1E8C03-FCD3-47A7-80FF-9611DC50C6AC}"/>
    <cellStyle name="40% - Accent1 15 4" xfId="36703" xr:uid="{BB8077B2-D065-417F-9E73-B332A8133094}"/>
    <cellStyle name="40% - Accent1 15 5" xfId="36704" xr:uid="{0E60CD87-3B92-4F09-84E9-420EB385F2FF}"/>
    <cellStyle name="40% - Accent1 15 6" xfId="36705" xr:uid="{05FC24C0-358A-4434-9A7A-6D76F1C7BF9B}"/>
    <cellStyle name="40% - Accent1 150" xfId="9187" xr:uid="{5BE74E8A-17C5-4031-A8F7-B08D05173952}"/>
    <cellStyle name="40% - Accent1 151" xfId="9188" xr:uid="{5C17A3BB-8FA6-4ADA-A755-6509F9C594CE}"/>
    <cellStyle name="40% - Accent1 152" xfId="9189" xr:uid="{C6263E78-06A6-426C-9094-438AA89F83C9}"/>
    <cellStyle name="40% - Accent1 153" xfId="9190" xr:uid="{70DC2D57-F6B4-4FCB-A2BB-3046E2078326}"/>
    <cellStyle name="40% - Accent1 154" xfId="9191" xr:uid="{BE3D16D9-A9E6-4705-8CA8-FE483735CD5E}"/>
    <cellStyle name="40% - Accent1 155" xfId="9192" xr:uid="{509649F3-51DB-465F-89CA-BF3B2AFC69E5}"/>
    <cellStyle name="40% - Accent1 156" xfId="9193" xr:uid="{A9F36223-230F-4DAC-9EB6-F36E80A2A1CA}"/>
    <cellStyle name="40% - Accent1 157" xfId="9194" xr:uid="{3CDA9858-2A2A-4F40-9E0A-154B4199C5ED}"/>
    <cellStyle name="40% - Accent1 158" xfId="9195" xr:uid="{4FAAC2F4-087E-4ACC-B1FF-42F993BA5026}"/>
    <cellStyle name="40% - Accent1 159" xfId="9196" xr:uid="{782B8443-4593-4738-B706-8AD2FFD8C0CC}"/>
    <cellStyle name="40% - Accent1 16" xfId="9197" xr:uid="{3ED38872-F60B-4F20-B26D-94089B5CBF09}"/>
    <cellStyle name="40% - Accent1 16 2" xfId="9198" xr:uid="{ABEF14C7-011E-4EF9-A00B-A06C87B778EE}"/>
    <cellStyle name="40% - Accent1 16 2 2" xfId="9199" xr:uid="{E1F07494-0CAF-4E28-B1EB-3D99F4CC5492}"/>
    <cellStyle name="40% - Accent1 16 2 2 2" xfId="36706" xr:uid="{70829612-FBE6-42E0-B618-336D042D933A}"/>
    <cellStyle name="40% - Accent1 16 2 3" xfId="36707" xr:uid="{EAAD3F3B-FEA3-4155-BCAC-27390685F394}"/>
    <cellStyle name="40% - Accent1 16 3" xfId="9200" xr:uid="{96CC29AE-6E61-4547-8AE4-CC1F8230304F}"/>
    <cellStyle name="40% - Accent1 16 3 2" xfId="36708" xr:uid="{6A25FCA0-1A41-4A4D-A6AB-B7F7D898F6F6}"/>
    <cellStyle name="40% - Accent1 16 4" xfId="36709" xr:uid="{94C83972-4839-4DDD-A6F2-705460B7A469}"/>
    <cellStyle name="40% - Accent1 16 5" xfId="36710" xr:uid="{E5526BDA-6C4E-4716-8C66-B4B3128ED25B}"/>
    <cellStyle name="40% - Accent1 16 6" xfId="36711" xr:uid="{A6AA476B-1CF2-4D96-8C13-C78C57632BB9}"/>
    <cellStyle name="40% - Accent1 160" xfId="9201" xr:uid="{FBB6BC75-AB3B-4600-B40F-02AA4C1B0580}"/>
    <cellStyle name="40% - Accent1 17" xfId="9202" xr:uid="{C45CA9E8-A79C-40ED-9643-5CA14AC0D983}"/>
    <cellStyle name="40% - Accent1 17 2" xfId="9203" xr:uid="{DBE2FB7F-6A22-4066-850A-9C219D187BC1}"/>
    <cellStyle name="40% - Accent1 17 2 2" xfId="9204" xr:uid="{E39FB90D-A8E9-4B49-83E3-4845F066DC69}"/>
    <cellStyle name="40% - Accent1 17 2 2 2" xfId="36712" xr:uid="{A733695F-ECFD-4E51-BC86-E82C860B9762}"/>
    <cellStyle name="40% - Accent1 17 2 3" xfId="36713" xr:uid="{E316A89D-D008-4131-BE63-164BA7997768}"/>
    <cellStyle name="40% - Accent1 17 3" xfId="9205" xr:uid="{F97D9B9E-D8DF-4774-A8B6-05C869463955}"/>
    <cellStyle name="40% - Accent1 17 3 2" xfId="36714" xr:uid="{B20D4E54-0CE3-4566-AFC4-DEB1CAD3FCAE}"/>
    <cellStyle name="40% - Accent1 17 4" xfId="36715" xr:uid="{38C1B8E8-851A-4BF6-8CA6-F60EA9FB283A}"/>
    <cellStyle name="40% - Accent1 17 5" xfId="36716" xr:uid="{36E6AE4E-F5A2-44BC-8872-237E038CD044}"/>
    <cellStyle name="40% - Accent1 17 6" xfId="36717" xr:uid="{523628B9-9288-4F40-9D43-D8717740C212}"/>
    <cellStyle name="40% - Accent1 18" xfId="9206" xr:uid="{492E54C6-5870-4D2C-B544-11680B86A720}"/>
    <cellStyle name="40% - Accent1 18 2" xfId="9207" xr:uid="{C3757316-CBD3-4ECC-8073-47CFE66237AB}"/>
    <cellStyle name="40% - Accent1 18 2 2" xfId="9208" xr:uid="{27EFB00D-7F3B-4CE5-9F7C-A7EAAE5ADFB6}"/>
    <cellStyle name="40% - Accent1 18 2 2 2" xfId="36718" xr:uid="{3A8FD03C-7F1F-4902-9B25-453434DB92B8}"/>
    <cellStyle name="40% - Accent1 18 2 3" xfId="36719" xr:uid="{8CEBB9E3-801C-4191-BC62-7F9AA89D9A55}"/>
    <cellStyle name="40% - Accent1 18 3" xfId="9209" xr:uid="{D2899630-FF9A-4D3E-9257-1B61760102B7}"/>
    <cellStyle name="40% - Accent1 18 3 2" xfId="36720" xr:uid="{D231F741-76A6-48DC-B83D-48CCC5A4C8D7}"/>
    <cellStyle name="40% - Accent1 18 4" xfId="36721" xr:uid="{407097BF-7994-4AAD-93CF-C880A9154236}"/>
    <cellStyle name="40% - Accent1 18 5" xfId="36722" xr:uid="{DD7BFCFF-8AB0-4849-A8EB-AB5230C4B586}"/>
    <cellStyle name="40% - Accent1 18 6" xfId="36723" xr:uid="{7DC1848B-40EE-4706-9936-585F06B05D60}"/>
    <cellStyle name="40% - Accent1 19" xfId="9210" xr:uid="{4A430517-3543-42CC-BBA6-FC90CCF214D5}"/>
    <cellStyle name="40% - Accent1 19 2" xfId="9211" xr:uid="{39F80498-2384-4CDE-A473-A8C3D1863282}"/>
    <cellStyle name="40% - Accent1 19 2 2" xfId="36724" xr:uid="{B3FD8B80-5FDB-4F97-85DE-EAC0C4D46573}"/>
    <cellStyle name="40% - Accent1 19 3" xfId="36725" xr:uid="{B3CFFEE3-5EBE-44AB-B3FC-74F7E4E752FA}"/>
    <cellStyle name="40% - Accent1 19 4" xfId="36726" xr:uid="{00015770-617F-40D4-A889-5188C56F90E1}"/>
    <cellStyle name="40% - Accent1 19 5" xfId="36727" xr:uid="{A38E24A9-5B71-4651-8628-460832318A65}"/>
    <cellStyle name="40% - Accent1 2" xfId="9212" xr:uid="{38505B74-B863-4FA0-9A63-2AF4CCC976FD}"/>
    <cellStyle name="40% - Accent1 2 2" xfId="9213" xr:uid="{47421706-EB3C-487C-B7C4-AB54BD61DE3C}"/>
    <cellStyle name="40% - Accent1 2 2 2" xfId="9214" xr:uid="{B2D0D4C8-1C08-4252-94CA-A2AD2F84F88F}"/>
    <cellStyle name="40% - Accent1 2 2 2 2" xfId="36728" xr:uid="{3175E812-8E4C-4D95-9C3D-D67C3754E1E8}"/>
    <cellStyle name="40% - Accent1 2 2 3" xfId="36729" xr:uid="{A55E47FD-28F1-4A07-8D62-6BFA75D83D45}"/>
    <cellStyle name="40% - Accent1 2 2 4" xfId="36730" xr:uid="{7F25F4C4-14F9-4AAD-8334-2B15A8178EF4}"/>
    <cellStyle name="40% - Accent1 2 3" xfId="9215" xr:uid="{79B6A3B5-54B5-4356-8462-CD1ED23C6778}"/>
    <cellStyle name="40% - Accent1 2 3 2" xfId="36731" xr:uid="{80CB4105-5A09-4462-AF21-67B57A2C12F2}"/>
    <cellStyle name="40% - Accent1 2 3 3" xfId="36732" xr:uid="{B4CEE067-3A26-4AC1-AACF-9D71A4F511A9}"/>
    <cellStyle name="40% - Accent1 2 3 4" xfId="36733" xr:uid="{077252DF-DFBB-4A15-8B67-0D7438B06A63}"/>
    <cellStyle name="40% - Accent1 2 4" xfId="9216" xr:uid="{FDF87BEA-F9EA-4AA4-A1EB-9FB665B5B761}"/>
    <cellStyle name="40% - Accent1 2 4 2" xfId="36734" xr:uid="{F2D17526-73CC-44AE-B6DE-C8532AC6D5CA}"/>
    <cellStyle name="40% - Accent1 2 5" xfId="36735" xr:uid="{A5656FBC-B600-46E0-AF83-BC956ABEE976}"/>
    <cellStyle name="40% - Accent1 2 6" xfId="36736" xr:uid="{0A8521B0-A1F5-4F2E-AC3B-4CC07D511930}"/>
    <cellStyle name="40% - Accent1 2_Jun 11 details" xfId="9217" xr:uid="{26B1E128-F0F9-49F0-BB47-74609E50D147}"/>
    <cellStyle name="40% - Accent1 20" xfId="9218" xr:uid="{33BAD9FB-91BD-4792-A007-BC6CCDF3C8ED}"/>
    <cellStyle name="40% - Accent1 20 2" xfId="36737" xr:uid="{BA5308B4-00C9-47B9-80A6-231ED476EBD1}"/>
    <cellStyle name="40% - Accent1 20 3" xfId="36738" xr:uid="{B6D169DE-A330-42E6-9A4F-6CB58F751722}"/>
    <cellStyle name="40% - Accent1 20 4" xfId="36739" xr:uid="{611FE58C-EB20-407E-A7B9-4C620672F817}"/>
    <cellStyle name="40% - Accent1 21" xfId="9219" xr:uid="{4A840ED6-376A-4CE9-B61A-77A0CDCEED0D}"/>
    <cellStyle name="40% - Accent1 21 2" xfId="36740" xr:uid="{D0C06F19-8256-4A0A-82F9-46D693B762C8}"/>
    <cellStyle name="40% - Accent1 21 3" xfId="36741" xr:uid="{90D8E108-736D-49FF-8299-EC7107A161AF}"/>
    <cellStyle name="40% - Accent1 22" xfId="9220" xr:uid="{A55C4A21-0462-4AF5-870A-6386EE1AB68B}"/>
    <cellStyle name="40% - Accent1 22 2" xfId="36742" xr:uid="{AEA9B843-2DE9-4D39-AD33-8593AA300D41}"/>
    <cellStyle name="40% - Accent1 22 3" xfId="36743" xr:uid="{EFAAC4E2-E5BB-47D7-9DD2-E35C98471AB5}"/>
    <cellStyle name="40% - Accent1 23" xfId="9221" xr:uid="{BFCC8A52-D7AF-499B-BE3A-070B7C85027A}"/>
    <cellStyle name="40% - Accent1 23 2" xfId="36744" xr:uid="{5482AA78-ECEB-40BC-907B-22D88A64E4CB}"/>
    <cellStyle name="40% - Accent1 24" xfId="9222" xr:uid="{4A23ADF5-1AF6-4B61-91AF-11F0318B6DC5}"/>
    <cellStyle name="40% - Accent1 24 2" xfId="36745" xr:uid="{A137AEBA-E542-403A-877F-05B96E2F23E3}"/>
    <cellStyle name="40% - Accent1 25" xfId="9223" xr:uid="{0F1507B0-4D25-4DD1-AA76-81C07B9F8F25}"/>
    <cellStyle name="40% - Accent1 25 2" xfId="36746" xr:uid="{C1C75ED8-340F-43E5-81D6-36CC9512B961}"/>
    <cellStyle name="40% - Accent1 26" xfId="9224" xr:uid="{E23633FD-E848-4238-9228-A49237EC84E9}"/>
    <cellStyle name="40% - Accent1 26 2" xfId="36747" xr:uid="{F48283C7-17E8-4D38-929B-D273D773BF0A}"/>
    <cellStyle name="40% - Accent1 27" xfId="9225" xr:uid="{70F335CF-87AB-4621-B885-6027411A2122}"/>
    <cellStyle name="40% - Accent1 27 2" xfId="36748" xr:uid="{075F134E-3259-48A3-8D7B-0A5F3B89B574}"/>
    <cellStyle name="40% - Accent1 28" xfId="9226" xr:uid="{C1D50C07-0239-498F-9569-3CF3258EB4AB}"/>
    <cellStyle name="40% - Accent1 28 10" xfId="9227" xr:uid="{74D24130-3A86-45E1-889B-10E45E05CAA1}"/>
    <cellStyle name="40% - Accent1 28 10 2" xfId="9228" xr:uid="{05B460CA-3BD4-4974-B106-F55E4D2F1116}"/>
    <cellStyle name="40% - Accent1 28 10 2 2" xfId="9229" xr:uid="{615A5976-74E6-4DBB-B93A-31F2CA630B17}"/>
    <cellStyle name="40% - Accent1 28 10 2 2 2" xfId="9230" xr:uid="{C59CA7DA-E39E-456C-9CAB-A33FB1594DF5}"/>
    <cellStyle name="40% - Accent1 28 10 2 2 2 2" xfId="9231" xr:uid="{F11BFD93-621D-4D60-9F66-C19D5A09D0FC}"/>
    <cellStyle name="40% - Accent1 28 10 2 2 3" xfId="9232" xr:uid="{36A81616-DC36-4094-94DA-24AD65248823}"/>
    <cellStyle name="40% - Accent1 28 10 2 3" xfId="9233" xr:uid="{42CE26FC-C6A5-436A-A67C-20B1D5D29712}"/>
    <cellStyle name="40% - Accent1 28 10 2 3 2" xfId="9234" xr:uid="{09339C06-948F-42C2-85B1-5A2F12349164}"/>
    <cellStyle name="40% - Accent1 28 10 2 3 2 2" xfId="9235" xr:uid="{9B6CE093-F236-4C74-85D5-2711CCB8D5CA}"/>
    <cellStyle name="40% - Accent1 28 10 2 3 3" xfId="9236" xr:uid="{53BC20A9-004E-44E8-8F3C-F7DA93C73CEA}"/>
    <cellStyle name="40% - Accent1 28 10 2 4" xfId="9237" xr:uid="{5D315A50-7792-4985-9D30-2523DC72C58D}"/>
    <cellStyle name="40% - Accent1 28 10 2 4 2" xfId="9238" xr:uid="{0DC8D4B1-7AE0-4537-B598-AE6920DBFEE2}"/>
    <cellStyle name="40% - Accent1 28 10 2 5" xfId="9239" xr:uid="{90154AA7-1794-430B-885A-185707807868}"/>
    <cellStyle name="40% - Accent1 28 10 3" xfId="9240" xr:uid="{4708B7F4-780A-4C3A-8EF0-D7993A35BBB4}"/>
    <cellStyle name="40% - Accent1 28 10 3 2" xfId="9241" xr:uid="{D16A846B-F593-46C0-993A-6668052115EE}"/>
    <cellStyle name="40% - Accent1 28 10 3 2 2" xfId="9242" xr:uid="{C4452215-4211-4EA8-96AD-16BD0828C219}"/>
    <cellStyle name="40% - Accent1 28 10 3 3" xfId="9243" xr:uid="{4F2DDE80-FF9E-4671-8E2C-75EC339F7AC6}"/>
    <cellStyle name="40% - Accent1 28 10 4" xfId="9244" xr:uid="{50F50830-A19C-4D48-B0DF-9E892567114B}"/>
    <cellStyle name="40% - Accent1 28 10 4 2" xfId="9245" xr:uid="{A978BD67-5027-43A7-AE51-F382EAD55E52}"/>
    <cellStyle name="40% - Accent1 28 10 4 2 2" xfId="9246" xr:uid="{1516EB48-811B-48CF-8946-6126E8FDBC84}"/>
    <cellStyle name="40% - Accent1 28 10 4 3" xfId="9247" xr:uid="{087F99EE-6C27-4D4D-A6E9-E22F16D2392F}"/>
    <cellStyle name="40% - Accent1 28 10 5" xfId="9248" xr:uid="{697D55BC-FBD2-411D-9EF8-FD8B1F16094E}"/>
    <cellStyle name="40% - Accent1 28 10 5 2" xfId="9249" xr:uid="{14B02FA5-BE7E-4794-BDF9-D6D5D11A3FD4}"/>
    <cellStyle name="40% - Accent1 28 10 6" xfId="9250" xr:uid="{DBB87F78-9419-463E-864A-30F5BDE4BD87}"/>
    <cellStyle name="40% - Accent1 28 11" xfId="9251" xr:uid="{C6D58E51-A247-4BE6-980D-E4D99F34B709}"/>
    <cellStyle name="40% - Accent1 28 11 2" xfId="9252" xr:uid="{9CBFD63E-B3B4-4769-BCAA-4D99C68C4212}"/>
    <cellStyle name="40% - Accent1 28 11 2 2" xfId="9253" xr:uid="{F493E64C-CC3C-4BF5-B408-20FED0D52CBE}"/>
    <cellStyle name="40% - Accent1 28 11 2 2 2" xfId="9254" xr:uid="{927DBE1C-65F0-46E7-BE7E-DFE5F08E66F2}"/>
    <cellStyle name="40% - Accent1 28 11 2 3" xfId="9255" xr:uid="{CE4467BC-DFBD-4A2A-8D44-35BF8AF7CB59}"/>
    <cellStyle name="40% - Accent1 28 11 3" xfId="9256" xr:uid="{3A623974-3A92-4D5D-B1EE-2FE0ED23FFCB}"/>
    <cellStyle name="40% - Accent1 28 11 3 2" xfId="9257" xr:uid="{B72B135A-CCA5-4082-B665-74D0EE30EF04}"/>
    <cellStyle name="40% - Accent1 28 11 3 2 2" xfId="9258" xr:uid="{1DAA8DBF-FAF7-47F2-BD16-D0A591A2EC50}"/>
    <cellStyle name="40% - Accent1 28 11 3 3" xfId="9259" xr:uid="{D548E436-6DC7-470D-91CF-88367BA40E13}"/>
    <cellStyle name="40% - Accent1 28 11 4" xfId="9260" xr:uid="{BFC0D742-DEE3-45DA-8EB9-A0A6AC006A80}"/>
    <cellStyle name="40% - Accent1 28 11 4 2" xfId="9261" xr:uid="{9B225E53-E1DA-4B29-B855-D7DCA21F4725}"/>
    <cellStyle name="40% - Accent1 28 11 5" xfId="9262" xr:uid="{1BAB12B2-3E78-46EE-BAA0-9703FF793F65}"/>
    <cellStyle name="40% - Accent1 28 12" xfId="9263" xr:uid="{BA326AE1-2655-421B-874A-4AADA8186023}"/>
    <cellStyle name="40% - Accent1 28 12 2" xfId="9264" xr:uid="{753A9667-410C-4596-8630-FB13805F01A2}"/>
    <cellStyle name="40% - Accent1 28 12 2 2" xfId="9265" xr:uid="{51F7E0A4-B4E3-496A-A8C9-1FC8C0DD4D43}"/>
    <cellStyle name="40% - Accent1 28 12 3" xfId="9266" xr:uid="{7156DC5E-B29C-4C17-9C41-1E4FA52076AA}"/>
    <cellStyle name="40% - Accent1 28 13" xfId="9267" xr:uid="{C4CDE33F-8337-49C6-B409-7D46EA7F4D4C}"/>
    <cellStyle name="40% - Accent1 28 13 2" xfId="9268" xr:uid="{C5E9EF53-26D9-44B5-ADDE-D12DD932335E}"/>
    <cellStyle name="40% - Accent1 28 13 2 2" xfId="9269" xr:uid="{C85E876F-794F-4FBD-83CB-DBB105849903}"/>
    <cellStyle name="40% - Accent1 28 13 3" xfId="9270" xr:uid="{5D820A72-BDEB-4DD4-99B7-07ED8103754D}"/>
    <cellStyle name="40% - Accent1 28 14" xfId="9271" xr:uid="{2E944406-ABBE-4B77-B8B7-F6F8C9B8B8F0}"/>
    <cellStyle name="40% - Accent1 28 14 2" xfId="9272" xr:uid="{6E43EB2E-1379-45DC-B502-C0208EDE2C6E}"/>
    <cellStyle name="40% - Accent1 28 15" xfId="9273" xr:uid="{08E18E17-44BA-4048-B5E0-4271B491607A}"/>
    <cellStyle name="40% - Accent1 28 16" xfId="36749" xr:uid="{0D6EB0B7-5FCE-4B40-911C-282708371025}"/>
    <cellStyle name="40% - Accent1 28 2" xfId="9274" xr:uid="{0DA3F3B7-0CD8-4E21-8453-44C648855A2A}"/>
    <cellStyle name="40% - Accent1 28 2 2" xfId="9275" xr:uid="{784002B7-9981-44C6-AF18-595BCAD635B5}"/>
    <cellStyle name="40% - Accent1 28 2 2 2" xfId="9276" xr:uid="{118860E2-98F1-413B-8FAA-122CB7A6661D}"/>
    <cellStyle name="40% - Accent1 28 2 2 2 2" xfId="9277" xr:uid="{8BF147C8-1A0C-4765-900B-42C2F80FD0B8}"/>
    <cellStyle name="40% - Accent1 28 2 2 2 2 2" xfId="9278" xr:uid="{0BA6D2F0-02C1-4E37-8E1A-158B47289443}"/>
    <cellStyle name="40% - Accent1 28 2 2 2 3" xfId="9279" xr:uid="{7FA6C9C8-DEEA-4CF0-ACF5-7C3B5F476794}"/>
    <cellStyle name="40% - Accent1 28 2 2 3" xfId="9280" xr:uid="{3C098F4A-597D-47AA-B846-28613E111168}"/>
    <cellStyle name="40% - Accent1 28 2 2 3 2" xfId="9281" xr:uid="{8620EF19-6E0B-4E13-BA5E-0B20C6D5BB89}"/>
    <cellStyle name="40% - Accent1 28 2 2 3 2 2" xfId="9282" xr:uid="{0FB5586C-0738-4F08-8120-AA50942D69BE}"/>
    <cellStyle name="40% - Accent1 28 2 2 3 3" xfId="9283" xr:uid="{03D59F7F-32D8-4FD4-BBD0-97813A31B3D7}"/>
    <cellStyle name="40% - Accent1 28 2 2 4" xfId="9284" xr:uid="{F7B42AFA-D48C-4BC3-B97F-FC39BB92391A}"/>
    <cellStyle name="40% - Accent1 28 2 2 4 2" xfId="9285" xr:uid="{ACF8F1A9-E06B-4261-808D-CE362BCF7735}"/>
    <cellStyle name="40% - Accent1 28 2 2 5" xfId="9286" xr:uid="{7220E110-375A-444C-87D3-BAB7B0374C18}"/>
    <cellStyle name="40% - Accent1 28 2 3" xfId="9287" xr:uid="{1A9EADAF-57F6-4300-BB9A-56D353131B86}"/>
    <cellStyle name="40% - Accent1 28 2 3 2" xfId="9288" xr:uid="{C5BBF7AA-C1FD-4094-B484-7468A98DCAD2}"/>
    <cellStyle name="40% - Accent1 28 2 3 2 2" xfId="9289" xr:uid="{5187DD3D-150D-46FF-BE85-D001CAF59AE1}"/>
    <cellStyle name="40% - Accent1 28 2 3 3" xfId="9290" xr:uid="{0F515472-18DB-4F82-98B7-9FDB60102FA2}"/>
    <cellStyle name="40% - Accent1 28 2 4" xfId="9291" xr:uid="{E6318505-469F-4C4F-A5C5-66D694605A16}"/>
    <cellStyle name="40% - Accent1 28 2 4 2" xfId="9292" xr:uid="{8A3B9C3C-2228-43E4-8370-201D023E3E05}"/>
    <cellStyle name="40% - Accent1 28 2 4 2 2" xfId="9293" xr:uid="{3F5F411D-F452-407D-9CD8-972CC96C9BFB}"/>
    <cellStyle name="40% - Accent1 28 2 4 3" xfId="9294" xr:uid="{C61B1094-98C3-4104-9A32-9A2984C25F77}"/>
    <cellStyle name="40% - Accent1 28 2 5" xfId="9295" xr:uid="{CB8F4AC3-15D0-402B-A5A2-C0ECA1B1C801}"/>
    <cellStyle name="40% - Accent1 28 2 5 2" xfId="9296" xr:uid="{E4AD101E-55C9-4780-9884-A3D35D70E9F0}"/>
    <cellStyle name="40% - Accent1 28 2 6" xfId="9297" xr:uid="{0CA785AD-01C9-4D8E-BC58-6738B94AA4AC}"/>
    <cellStyle name="40% - Accent1 28 3" xfId="9298" xr:uid="{9B74F4BA-2774-40C6-AD1C-59F6C771A06E}"/>
    <cellStyle name="40% - Accent1 28 3 2" xfId="9299" xr:uid="{192DA177-241B-44C9-97C8-01F9DAD16B58}"/>
    <cellStyle name="40% - Accent1 28 3 2 2" xfId="9300" xr:uid="{3FA325B3-28F6-4BDD-A5E7-6AD35FEF3C0E}"/>
    <cellStyle name="40% - Accent1 28 3 2 2 2" xfId="9301" xr:uid="{957B0821-A842-44B0-B120-A81B17A99670}"/>
    <cellStyle name="40% - Accent1 28 3 2 2 2 2" xfId="9302" xr:uid="{5C5F4D9C-575A-4A3C-99E3-B2242F60DA99}"/>
    <cellStyle name="40% - Accent1 28 3 2 2 3" xfId="9303" xr:uid="{E7FE9FD1-9DCE-459A-B84C-8B4E9ABDBD98}"/>
    <cellStyle name="40% - Accent1 28 3 2 3" xfId="9304" xr:uid="{DE27780C-2276-410B-821F-1B1D3A1C4D32}"/>
    <cellStyle name="40% - Accent1 28 3 2 3 2" xfId="9305" xr:uid="{56D170D2-BD5E-4010-8EE3-262E3301D03E}"/>
    <cellStyle name="40% - Accent1 28 3 2 3 2 2" xfId="9306" xr:uid="{26CEC7C1-8747-4C76-98FD-AE999C98B646}"/>
    <cellStyle name="40% - Accent1 28 3 2 3 3" xfId="9307" xr:uid="{AF147EA5-1E98-449C-A0C5-FE4F733BDCC7}"/>
    <cellStyle name="40% - Accent1 28 3 2 4" xfId="9308" xr:uid="{9220FD43-3DFD-407E-BFD8-191FB38D9F1F}"/>
    <cellStyle name="40% - Accent1 28 3 2 4 2" xfId="9309" xr:uid="{B74F07C0-4B4D-49BB-A51A-02B6AA0CC99A}"/>
    <cellStyle name="40% - Accent1 28 3 2 5" xfId="9310" xr:uid="{185C1EED-9803-4D23-9897-A94986938588}"/>
    <cellStyle name="40% - Accent1 28 3 3" xfId="9311" xr:uid="{4C07DBC6-4E98-497A-B227-1BD06065EDCD}"/>
    <cellStyle name="40% - Accent1 28 3 3 2" xfId="9312" xr:uid="{BF7238ED-3799-4A02-9D87-117F605FA464}"/>
    <cellStyle name="40% - Accent1 28 3 3 2 2" xfId="9313" xr:uid="{46548836-9127-45B8-B408-8E864B08B4A2}"/>
    <cellStyle name="40% - Accent1 28 3 3 3" xfId="9314" xr:uid="{0B529AFB-E4A3-4015-813D-DD472A834007}"/>
    <cellStyle name="40% - Accent1 28 3 4" xfId="9315" xr:uid="{7AA94481-344C-43FC-904A-85C4D1A5583B}"/>
    <cellStyle name="40% - Accent1 28 3 4 2" xfId="9316" xr:uid="{8AEB22EC-B131-483B-996E-4C45BFFBE30C}"/>
    <cellStyle name="40% - Accent1 28 3 4 2 2" xfId="9317" xr:uid="{6954AF27-4858-4BDE-ABCD-6AEBEE36C3A4}"/>
    <cellStyle name="40% - Accent1 28 3 4 3" xfId="9318" xr:uid="{D6415738-4668-4DF4-8ECE-FD8ACD94520B}"/>
    <cellStyle name="40% - Accent1 28 3 5" xfId="9319" xr:uid="{D7709209-C745-4EBE-8FDE-8E6357BD3113}"/>
    <cellStyle name="40% - Accent1 28 3 5 2" xfId="9320" xr:uid="{BC53F2A7-F472-43BD-B8F2-7A1921E8C7A3}"/>
    <cellStyle name="40% - Accent1 28 3 6" xfId="9321" xr:uid="{0854F19F-677F-4133-B198-05EF88B6CAAF}"/>
    <cellStyle name="40% - Accent1 28 4" xfId="9322" xr:uid="{EF5A52E1-CD72-4366-9BE1-DE932E5647EF}"/>
    <cellStyle name="40% - Accent1 28 4 2" xfId="9323" xr:uid="{34B62EC2-1C44-4F11-B9E7-131ECBCE41E2}"/>
    <cellStyle name="40% - Accent1 28 4 2 2" xfId="9324" xr:uid="{6CDC7FCB-CA65-4F18-A04E-75447B2C60D6}"/>
    <cellStyle name="40% - Accent1 28 4 2 2 2" xfId="9325" xr:uid="{80729048-2E0C-447A-841F-2104460D488F}"/>
    <cellStyle name="40% - Accent1 28 4 2 2 2 2" xfId="9326" xr:uid="{0B9551C9-2299-481B-876E-23223B202A5B}"/>
    <cellStyle name="40% - Accent1 28 4 2 2 3" xfId="9327" xr:uid="{43695E36-6555-4624-B6ED-A7EDAC083A94}"/>
    <cellStyle name="40% - Accent1 28 4 2 3" xfId="9328" xr:uid="{4D42140E-D737-4A38-8005-1CC43004C368}"/>
    <cellStyle name="40% - Accent1 28 4 2 3 2" xfId="9329" xr:uid="{8A64327D-A8A9-4293-87DC-F799F238D383}"/>
    <cellStyle name="40% - Accent1 28 4 2 3 2 2" xfId="9330" xr:uid="{2175B67C-CC4A-4056-A392-37992B762278}"/>
    <cellStyle name="40% - Accent1 28 4 2 3 3" xfId="9331" xr:uid="{C50CE469-531D-425C-A91C-DB599B79E127}"/>
    <cellStyle name="40% - Accent1 28 4 2 4" xfId="9332" xr:uid="{1C9666E7-C23C-4059-8142-66C15CD4C3CE}"/>
    <cellStyle name="40% - Accent1 28 4 2 4 2" xfId="9333" xr:uid="{ECABA979-D39B-4086-8C54-8BB1DFD58173}"/>
    <cellStyle name="40% - Accent1 28 4 2 5" xfId="9334" xr:uid="{AE8FB83C-554D-41AD-AF96-06E8A88A76F5}"/>
    <cellStyle name="40% - Accent1 28 4 3" xfId="9335" xr:uid="{A2408836-14AE-4E17-8B82-E697D4E5B551}"/>
    <cellStyle name="40% - Accent1 28 4 3 2" xfId="9336" xr:uid="{7EF9B27B-3094-47A3-82C6-5995981DEB7F}"/>
    <cellStyle name="40% - Accent1 28 4 3 2 2" xfId="9337" xr:uid="{AD820F93-DB8E-4662-96D5-0C5E765C9441}"/>
    <cellStyle name="40% - Accent1 28 4 3 3" xfId="9338" xr:uid="{C83D47B2-3C35-4670-B990-5D7EAC7E46F2}"/>
    <cellStyle name="40% - Accent1 28 4 4" xfId="9339" xr:uid="{DA6CA3BE-2215-4254-A809-678EA5930E27}"/>
    <cellStyle name="40% - Accent1 28 4 4 2" xfId="9340" xr:uid="{C4148C37-ACBB-4929-8170-83439B49DBEB}"/>
    <cellStyle name="40% - Accent1 28 4 4 2 2" xfId="9341" xr:uid="{B5CB4173-3B6A-4CB0-BD33-55111725E5CB}"/>
    <cellStyle name="40% - Accent1 28 4 4 3" xfId="9342" xr:uid="{640D72E5-5841-4A3F-BFE8-BAEC28A332E3}"/>
    <cellStyle name="40% - Accent1 28 4 5" xfId="9343" xr:uid="{C5CA1A46-0472-4347-B7CD-68F3D835F7B6}"/>
    <cellStyle name="40% - Accent1 28 4 5 2" xfId="9344" xr:uid="{55CCBD0C-3BF2-44D4-90BB-9DB8CEA40A60}"/>
    <cellStyle name="40% - Accent1 28 4 6" xfId="9345" xr:uid="{D46C7B7F-E82E-44CA-9078-5818543777C3}"/>
    <cellStyle name="40% - Accent1 28 5" xfId="9346" xr:uid="{91BCFCAB-EBA7-4BB0-ABF8-ED8779D1BB42}"/>
    <cellStyle name="40% - Accent1 28 5 2" xfId="9347" xr:uid="{298EB0D0-4B9A-4260-81A8-2347F21406C2}"/>
    <cellStyle name="40% - Accent1 28 5 2 2" xfId="9348" xr:uid="{DA8F2101-444B-499D-8A7E-31087C18CBF8}"/>
    <cellStyle name="40% - Accent1 28 5 2 2 2" xfId="9349" xr:uid="{956BBCA4-5F89-4F5B-BFF3-E5461E95C28A}"/>
    <cellStyle name="40% - Accent1 28 5 2 2 2 2" xfId="9350" xr:uid="{866DB3F2-39D1-4FC9-BE44-201017BE3266}"/>
    <cellStyle name="40% - Accent1 28 5 2 2 3" xfId="9351" xr:uid="{4A451DD1-19C8-40A7-951D-07108D273DF9}"/>
    <cellStyle name="40% - Accent1 28 5 2 3" xfId="9352" xr:uid="{9DE773C5-C326-4742-82CA-5F3D1B862577}"/>
    <cellStyle name="40% - Accent1 28 5 2 3 2" xfId="9353" xr:uid="{CB9C0179-70DC-4F4A-A1DF-90D6150C27A5}"/>
    <cellStyle name="40% - Accent1 28 5 2 3 2 2" xfId="9354" xr:uid="{AF0D4A53-777F-49B5-A4D2-77A601ECFA19}"/>
    <cellStyle name="40% - Accent1 28 5 2 3 3" xfId="9355" xr:uid="{A813E264-241F-41A2-9378-B879692AF0BA}"/>
    <cellStyle name="40% - Accent1 28 5 2 4" xfId="9356" xr:uid="{99D7BD96-8D37-4076-9AB9-632F7D4C8FE7}"/>
    <cellStyle name="40% - Accent1 28 5 2 4 2" xfId="9357" xr:uid="{87452498-9373-4D5E-AC1B-2AA313E2914C}"/>
    <cellStyle name="40% - Accent1 28 5 2 5" xfId="9358" xr:uid="{B8E7B08D-2ED7-46FA-9768-48914BC72982}"/>
    <cellStyle name="40% - Accent1 28 5 3" xfId="9359" xr:uid="{6D97F03E-922D-4F4B-A700-FC6405351F7A}"/>
    <cellStyle name="40% - Accent1 28 5 3 2" xfId="9360" xr:uid="{075F9D96-7CE1-480C-A83B-DA96CCB296C4}"/>
    <cellStyle name="40% - Accent1 28 5 3 2 2" xfId="9361" xr:uid="{2B5936D6-B308-410A-A767-2FE6AD889C28}"/>
    <cellStyle name="40% - Accent1 28 5 3 3" xfId="9362" xr:uid="{501AAAD0-47B5-4016-B505-62506514A2D3}"/>
    <cellStyle name="40% - Accent1 28 5 4" xfId="9363" xr:uid="{43D9482E-335C-4335-9956-E744F2B43F70}"/>
    <cellStyle name="40% - Accent1 28 5 4 2" xfId="9364" xr:uid="{05FDAB37-EABA-4C75-A01D-790A3D488468}"/>
    <cellStyle name="40% - Accent1 28 5 4 2 2" xfId="9365" xr:uid="{04C33168-AB8B-48B9-9148-510ED69E15C9}"/>
    <cellStyle name="40% - Accent1 28 5 4 3" xfId="9366" xr:uid="{1DD87703-2FC7-4013-AF33-D1ADE4A21399}"/>
    <cellStyle name="40% - Accent1 28 5 5" xfId="9367" xr:uid="{C98D9E5C-C90B-42C1-AA9B-3F8CE52C0743}"/>
    <cellStyle name="40% - Accent1 28 5 5 2" xfId="9368" xr:uid="{A040432C-8899-444A-B3A8-1F535E9CA8ED}"/>
    <cellStyle name="40% - Accent1 28 5 6" xfId="9369" xr:uid="{4B2FC368-9FDD-4478-B598-5C8ED106605F}"/>
    <cellStyle name="40% - Accent1 28 6" xfId="9370" xr:uid="{0C7BD2BC-B439-4309-B65A-D54AE96B6E7B}"/>
    <cellStyle name="40% - Accent1 28 6 2" xfId="9371" xr:uid="{512DEE96-CE06-4F6C-88AD-B68C06E6895F}"/>
    <cellStyle name="40% - Accent1 28 6 2 2" xfId="9372" xr:uid="{EC588802-4C20-45B0-9C5E-F6BB86FD26D0}"/>
    <cellStyle name="40% - Accent1 28 6 2 2 2" xfId="9373" xr:uid="{8D6C255A-BB4C-4414-9779-1027184D778C}"/>
    <cellStyle name="40% - Accent1 28 6 2 2 2 2" xfId="9374" xr:uid="{D873080C-8D08-49CC-B9F6-EB816DB3E243}"/>
    <cellStyle name="40% - Accent1 28 6 2 2 3" xfId="9375" xr:uid="{AD010E81-1080-4D41-BC93-20EFCD4F74CD}"/>
    <cellStyle name="40% - Accent1 28 6 2 3" xfId="9376" xr:uid="{E334F774-75BF-4DE5-9B37-785547243DAA}"/>
    <cellStyle name="40% - Accent1 28 6 2 3 2" xfId="9377" xr:uid="{D46B2777-6DB5-4756-9EBD-79AB6C210E87}"/>
    <cellStyle name="40% - Accent1 28 6 2 3 2 2" xfId="9378" xr:uid="{795534C7-66D9-4115-8F72-125854A71653}"/>
    <cellStyle name="40% - Accent1 28 6 2 3 3" xfId="9379" xr:uid="{7A463309-8236-4205-91E6-1DD11A33D0B0}"/>
    <cellStyle name="40% - Accent1 28 6 2 4" xfId="9380" xr:uid="{574A93DE-A220-4DB5-BDD8-66A38CD449DE}"/>
    <cellStyle name="40% - Accent1 28 6 2 4 2" xfId="9381" xr:uid="{7F56B2D9-6B23-42A9-8B4B-074F53E00D35}"/>
    <cellStyle name="40% - Accent1 28 6 2 5" xfId="9382" xr:uid="{ECF5ABA5-D4CE-46B1-A128-C2008B0329B7}"/>
    <cellStyle name="40% - Accent1 28 6 3" xfId="9383" xr:uid="{0D39BA25-645B-4931-9199-DB9FAD06B164}"/>
    <cellStyle name="40% - Accent1 28 6 3 2" xfId="9384" xr:uid="{B406631A-7D1B-4285-8077-E3B274CEB11C}"/>
    <cellStyle name="40% - Accent1 28 6 3 2 2" xfId="9385" xr:uid="{CB109F5E-F200-4A5E-969F-30E1C1C86484}"/>
    <cellStyle name="40% - Accent1 28 6 3 3" xfId="9386" xr:uid="{90CC45A5-5C07-40A3-833E-500D88E9DA83}"/>
    <cellStyle name="40% - Accent1 28 6 4" xfId="9387" xr:uid="{2CDA6B3C-4137-4117-9C48-01628FA4B5A2}"/>
    <cellStyle name="40% - Accent1 28 6 4 2" xfId="9388" xr:uid="{6555FB67-F916-4787-A418-6086D3C48E0B}"/>
    <cellStyle name="40% - Accent1 28 6 4 2 2" xfId="9389" xr:uid="{395BB156-C0A8-4BA3-81C5-74DED4C20EF1}"/>
    <cellStyle name="40% - Accent1 28 6 4 3" xfId="9390" xr:uid="{5DB88119-F24D-46E0-A5E0-C0F45F06E11F}"/>
    <cellStyle name="40% - Accent1 28 6 5" xfId="9391" xr:uid="{106345DB-3D46-443D-BF5D-10AFA1FA22D3}"/>
    <cellStyle name="40% - Accent1 28 6 5 2" xfId="9392" xr:uid="{FFF654DA-0567-4077-A650-FCCD09AFBE6E}"/>
    <cellStyle name="40% - Accent1 28 6 6" xfId="9393" xr:uid="{F1CEEAF3-B6F0-4B74-A181-7F0A9C25D206}"/>
    <cellStyle name="40% - Accent1 28 7" xfId="9394" xr:uid="{078CD0D7-E6A7-423B-92C6-0DAE8A4B16BE}"/>
    <cellStyle name="40% - Accent1 28 7 2" xfId="9395" xr:uid="{179B2C7D-E8D0-40EC-80D6-DFE73FE035F4}"/>
    <cellStyle name="40% - Accent1 28 7 2 2" xfId="9396" xr:uid="{1EC36E88-6FAD-4899-B725-4EAD250B1B1A}"/>
    <cellStyle name="40% - Accent1 28 7 2 2 2" xfId="9397" xr:uid="{6C898ECB-56E0-4093-99F0-AB0B6BDA5906}"/>
    <cellStyle name="40% - Accent1 28 7 2 2 2 2" xfId="9398" xr:uid="{F8B2B60A-A09D-4494-A432-42059D7FD1CF}"/>
    <cellStyle name="40% - Accent1 28 7 2 2 3" xfId="9399" xr:uid="{090863F7-0ED5-4CC0-9ADC-B4801CF2F1F8}"/>
    <cellStyle name="40% - Accent1 28 7 2 3" xfId="9400" xr:uid="{27F43A7C-4435-4918-84AB-A8338DF2FCFB}"/>
    <cellStyle name="40% - Accent1 28 7 2 3 2" xfId="9401" xr:uid="{F0A15831-697D-415F-B34A-7381C0266FFA}"/>
    <cellStyle name="40% - Accent1 28 7 2 3 2 2" xfId="9402" xr:uid="{1F545B08-73CA-4371-9B2B-BE7F881683AE}"/>
    <cellStyle name="40% - Accent1 28 7 2 3 3" xfId="9403" xr:uid="{68DF6E3D-0724-4CCF-9762-8EE8272A498C}"/>
    <cellStyle name="40% - Accent1 28 7 2 4" xfId="9404" xr:uid="{E6A69AE8-CB0C-40C6-9F29-7492934A2180}"/>
    <cellStyle name="40% - Accent1 28 7 2 4 2" xfId="9405" xr:uid="{C191C52F-DCD5-4CE0-AEE5-6E3BAF5B5C74}"/>
    <cellStyle name="40% - Accent1 28 7 2 5" xfId="9406" xr:uid="{10286748-FFB5-458E-9F6D-7824380E290C}"/>
    <cellStyle name="40% - Accent1 28 7 3" xfId="9407" xr:uid="{3F098689-ABBE-4BEE-8897-62F32E407CF1}"/>
    <cellStyle name="40% - Accent1 28 7 3 2" xfId="9408" xr:uid="{EC9B6E0A-B11C-4312-B6DC-50755C85D5F4}"/>
    <cellStyle name="40% - Accent1 28 7 3 2 2" xfId="9409" xr:uid="{37C78147-3BF7-45F6-B22A-81EB6FEBDA69}"/>
    <cellStyle name="40% - Accent1 28 7 3 3" xfId="9410" xr:uid="{8D727E38-8A49-41FE-9AEA-3560CF7FB36B}"/>
    <cellStyle name="40% - Accent1 28 7 4" xfId="9411" xr:uid="{2494F1FC-E4FD-4D51-9D62-3D94CE14C6C8}"/>
    <cellStyle name="40% - Accent1 28 7 4 2" xfId="9412" xr:uid="{2D10CD8C-607E-4107-92E7-D3D97758584A}"/>
    <cellStyle name="40% - Accent1 28 7 4 2 2" xfId="9413" xr:uid="{5BBD6288-784B-4E4D-9FB4-82EF9E21FFEC}"/>
    <cellStyle name="40% - Accent1 28 7 4 3" xfId="9414" xr:uid="{5E0103CF-F063-40E7-9964-A031A971F8D8}"/>
    <cellStyle name="40% - Accent1 28 7 5" xfId="9415" xr:uid="{67F64138-1492-42BB-B781-A3114E50AD0F}"/>
    <cellStyle name="40% - Accent1 28 7 5 2" xfId="9416" xr:uid="{8C3026EE-C239-4198-AF66-E0AC90500E84}"/>
    <cellStyle name="40% - Accent1 28 7 6" xfId="9417" xr:uid="{EC5ADB64-A73D-4924-B718-B2F36CEF21EB}"/>
    <cellStyle name="40% - Accent1 28 8" xfId="9418" xr:uid="{783117E3-F53E-430E-869E-9F91C7FBA695}"/>
    <cellStyle name="40% - Accent1 28 8 2" xfId="9419" xr:uid="{9DDD795E-0E24-41ED-822F-9E38B3EE2210}"/>
    <cellStyle name="40% - Accent1 28 8 2 2" xfId="9420" xr:uid="{41684695-BB2A-4977-8E88-AB9F13FA3A0F}"/>
    <cellStyle name="40% - Accent1 28 8 2 2 2" xfId="9421" xr:uid="{7D209D53-F0CE-413B-B77C-0B1D9991DA9B}"/>
    <cellStyle name="40% - Accent1 28 8 2 2 2 2" xfId="9422" xr:uid="{E0CD7A48-1513-45F4-B799-215BD337BC39}"/>
    <cellStyle name="40% - Accent1 28 8 2 2 3" xfId="9423" xr:uid="{FFEB043C-AD99-4E7C-896C-58385B008CE1}"/>
    <cellStyle name="40% - Accent1 28 8 2 3" xfId="9424" xr:uid="{B5C19B5D-BBCB-4A3A-A3B6-E21ECF8D9906}"/>
    <cellStyle name="40% - Accent1 28 8 2 3 2" xfId="9425" xr:uid="{7CE22736-ADC8-4A00-AEF2-AD45E5155865}"/>
    <cellStyle name="40% - Accent1 28 8 2 3 2 2" xfId="9426" xr:uid="{A1B252B2-57C2-4041-947C-D2AAC264CDD8}"/>
    <cellStyle name="40% - Accent1 28 8 2 3 3" xfId="9427" xr:uid="{560862BD-6F29-447B-8D54-6856DAD8E989}"/>
    <cellStyle name="40% - Accent1 28 8 2 4" xfId="9428" xr:uid="{DB3D0598-7D42-4646-9982-B5B616AB6A3F}"/>
    <cellStyle name="40% - Accent1 28 8 2 4 2" xfId="9429" xr:uid="{B9683375-B29F-4540-8B83-B243CB79CE4F}"/>
    <cellStyle name="40% - Accent1 28 8 2 5" xfId="9430" xr:uid="{F9E060A8-2737-4CFD-8963-55143B904BC5}"/>
    <cellStyle name="40% - Accent1 28 8 3" xfId="9431" xr:uid="{BF1C2577-4143-4139-B4D9-1BFB6558F988}"/>
    <cellStyle name="40% - Accent1 28 8 3 2" xfId="9432" xr:uid="{CAFCCD3B-7C0C-4369-8CEC-E4C20C3456E3}"/>
    <cellStyle name="40% - Accent1 28 8 3 2 2" xfId="9433" xr:uid="{94D9D4B2-8E3A-431D-89B9-10A4423BCCF7}"/>
    <cellStyle name="40% - Accent1 28 8 3 3" xfId="9434" xr:uid="{1D6D150D-6019-468B-89B7-E15A9B861516}"/>
    <cellStyle name="40% - Accent1 28 8 4" xfId="9435" xr:uid="{3B65D4A7-25ED-45D5-B036-84726F410934}"/>
    <cellStyle name="40% - Accent1 28 8 4 2" xfId="9436" xr:uid="{13B7C9B3-5878-4292-9320-8627AD3C898F}"/>
    <cellStyle name="40% - Accent1 28 8 4 2 2" xfId="9437" xr:uid="{F71754CD-CFC5-4D01-BB08-B72696C7F857}"/>
    <cellStyle name="40% - Accent1 28 8 4 3" xfId="9438" xr:uid="{72961351-BD80-47E5-A019-E1B5A97B5460}"/>
    <cellStyle name="40% - Accent1 28 8 5" xfId="9439" xr:uid="{85FEA833-9FC5-4924-8251-FF1BD590961A}"/>
    <cellStyle name="40% - Accent1 28 8 5 2" xfId="9440" xr:uid="{3794E810-7786-4E00-B7E7-C32953873C4A}"/>
    <cellStyle name="40% - Accent1 28 8 6" xfId="9441" xr:uid="{F1719497-2D66-4DEF-A6D6-A66D9727717B}"/>
    <cellStyle name="40% - Accent1 28 9" xfId="9442" xr:uid="{E00B3A9A-9006-4863-9F6D-8FB3E0F8EB6C}"/>
    <cellStyle name="40% - Accent1 28 9 2" xfId="9443" xr:uid="{2029134E-0285-488F-A1C0-4738E91CC09D}"/>
    <cellStyle name="40% - Accent1 28 9 2 2" xfId="9444" xr:uid="{B6B1C1F0-519B-4A18-877B-FB82C4F8D062}"/>
    <cellStyle name="40% - Accent1 28 9 2 2 2" xfId="9445" xr:uid="{150402CC-8A68-498D-9C82-40AF2DD2A12C}"/>
    <cellStyle name="40% - Accent1 28 9 2 2 2 2" xfId="9446" xr:uid="{779DABA4-670F-4527-B6DC-862EFEC7222C}"/>
    <cellStyle name="40% - Accent1 28 9 2 2 3" xfId="9447" xr:uid="{E5D070B2-E4C6-4758-B932-E25ABD6F9B83}"/>
    <cellStyle name="40% - Accent1 28 9 2 3" xfId="9448" xr:uid="{3049FC61-346F-47BB-8533-69EC6301CF3A}"/>
    <cellStyle name="40% - Accent1 28 9 2 3 2" xfId="9449" xr:uid="{076220DD-BA9D-464C-A10A-EE00332EC145}"/>
    <cellStyle name="40% - Accent1 28 9 2 3 2 2" xfId="9450" xr:uid="{B24EF3A0-0690-4DC3-9959-FFD673254EA4}"/>
    <cellStyle name="40% - Accent1 28 9 2 3 3" xfId="9451" xr:uid="{AC954B84-C5A2-4AF7-8F6D-E93FEAB3F2A9}"/>
    <cellStyle name="40% - Accent1 28 9 2 4" xfId="9452" xr:uid="{F4DBD598-2509-446E-8350-4B01ED610C7D}"/>
    <cellStyle name="40% - Accent1 28 9 2 4 2" xfId="9453" xr:uid="{6ED476C9-0F72-4D76-9F0E-2077BEB34644}"/>
    <cellStyle name="40% - Accent1 28 9 2 5" xfId="9454" xr:uid="{B5A09D9C-38AE-4EF4-B410-7B43102ED7C6}"/>
    <cellStyle name="40% - Accent1 28 9 3" xfId="9455" xr:uid="{EE6B912F-F06E-461D-9A83-D7900C25CCDD}"/>
    <cellStyle name="40% - Accent1 28 9 3 2" xfId="9456" xr:uid="{FB02757B-49BB-48BB-BC77-DD631ECF3157}"/>
    <cellStyle name="40% - Accent1 28 9 3 2 2" xfId="9457" xr:uid="{E09EE700-56C5-4010-9769-FD775D55273A}"/>
    <cellStyle name="40% - Accent1 28 9 3 3" xfId="9458" xr:uid="{60BF34E6-4E22-4DF3-BDE3-273614C13F8C}"/>
    <cellStyle name="40% - Accent1 28 9 4" xfId="9459" xr:uid="{7274BC08-519A-49EF-AF0B-55FD43C4394F}"/>
    <cellStyle name="40% - Accent1 28 9 4 2" xfId="9460" xr:uid="{FF8FC928-DE34-484C-838D-943290B14C3B}"/>
    <cellStyle name="40% - Accent1 28 9 4 2 2" xfId="9461" xr:uid="{F7A13208-5825-44C5-AF6B-AEA5C58EAD0F}"/>
    <cellStyle name="40% - Accent1 28 9 4 3" xfId="9462" xr:uid="{4C575E3F-B7FC-4F89-B961-F3F2AE82F8C2}"/>
    <cellStyle name="40% - Accent1 28 9 5" xfId="9463" xr:uid="{78ED0D7D-7EC8-4CF4-A340-4608017F6E2B}"/>
    <cellStyle name="40% - Accent1 28 9 5 2" xfId="9464" xr:uid="{0467E9DE-2E42-4D57-B68B-B2EB6A2F8433}"/>
    <cellStyle name="40% - Accent1 28 9 6" xfId="9465" xr:uid="{788580A0-1D90-4B99-B5D2-E7FB0D6B8156}"/>
    <cellStyle name="40% - Accent1 29" xfId="9466" xr:uid="{FE172C81-5203-42D2-B0A2-91C5AFA149C3}"/>
    <cellStyle name="40% - Accent1 29 10" xfId="9467" xr:uid="{AE28E71A-9BAE-48E2-9569-26278848E864}"/>
    <cellStyle name="40% - Accent1 29 10 2" xfId="9468" xr:uid="{A8747C0F-0497-4672-9CDE-B53FA3FFBA7B}"/>
    <cellStyle name="40% - Accent1 29 10 2 2" xfId="9469" xr:uid="{F706CC03-05F8-4898-8462-692B6CD4ECE0}"/>
    <cellStyle name="40% - Accent1 29 10 2 2 2" xfId="9470" xr:uid="{437BA298-3DCE-4DC3-B02B-A91B93FC2F32}"/>
    <cellStyle name="40% - Accent1 29 10 2 2 2 2" xfId="9471" xr:uid="{2EAE2E83-D9AE-496D-93A3-0639E9033393}"/>
    <cellStyle name="40% - Accent1 29 10 2 2 3" xfId="9472" xr:uid="{EBA2F1A3-2FF2-4A12-8C2C-4B722467DCF5}"/>
    <cellStyle name="40% - Accent1 29 10 2 3" xfId="9473" xr:uid="{E7057EC3-8491-451F-8235-2BF10ECC2D34}"/>
    <cellStyle name="40% - Accent1 29 10 2 3 2" xfId="9474" xr:uid="{12806393-DD7A-46F2-B414-F122B5C409E7}"/>
    <cellStyle name="40% - Accent1 29 10 2 3 2 2" xfId="9475" xr:uid="{984C7B96-8773-4DF3-9D48-678BF92DCC64}"/>
    <cellStyle name="40% - Accent1 29 10 2 3 3" xfId="9476" xr:uid="{739C6DD0-18B1-46BF-B726-A87DB76DB686}"/>
    <cellStyle name="40% - Accent1 29 10 2 4" xfId="9477" xr:uid="{7D9689A1-1C10-4AE7-AEC8-1BE1FA27EB1C}"/>
    <cellStyle name="40% - Accent1 29 10 2 4 2" xfId="9478" xr:uid="{70301087-392E-4033-BB7D-DF359DE8C930}"/>
    <cellStyle name="40% - Accent1 29 10 2 5" xfId="9479" xr:uid="{6928272C-8356-4F70-8369-2A8EF40AE706}"/>
    <cellStyle name="40% - Accent1 29 10 3" xfId="9480" xr:uid="{4604AC72-4983-45E8-BF8B-B8D9205080F8}"/>
    <cellStyle name="40% - Accent1 29 10 3 2" xfId="9481" xr:uid="{344D0F1D-6407-44E2-8170-FF862CDCC863}"/>
    <cellStyle name="40% - Accent1 29 10 3 2 2" xfId="9482" xr:uid="{A9F35FC2-C4BF-459D-8BFB-3B450532D3DD}"/>
    <cellStyle name="40% - Accent1 29 10 3 3" xfId="9483" xr:uid="{B05F5378-67AF-42C7-84E8-5D8BA48FA540}"/>
    <cellStyle name="40% - Accent1 29 10 4" xfId="9484" xr:uid="{04E9BC13-FF7F-486B-A4CE-AA6EE3C2E319}"/>
    <cellStyle name="40% - Accent1 29 10 4 2" xfId="9485" xr:uid="{91800AB1-E75B-4A82-9478-E0E0FA8AEBC3}"/>
    <cellStyle name="40% - Accent1 29 10 4 2 2" xfId="9486" xr:uid="{C12975D4-C3E8-4461-A181-180C3B9BD997}"/>
    <cellStyle name="40% - Accent1 29 10 4 3" xfId="9487" xr:uid="{16EC23DD-F517-4FFA-B7A8-0669D5F1D24F}"/>
    <cellStyle name="40% - Accent1 29 10 5" xfId="9488" xr:uid="{50509714-961F-4FF1-B85F-AAAF9CDEDAEC}"/>
    <cellStyle name="40% - Accent1 29 10 5 2" xfId="9489" xr:uid="{50C56AE8-C362-40F8-8DC5-D0B8CC990EC7}"/>
    <cellStyle name="40% - Accent1 29 10 6" xfId="9490" xr:uid="{32185DD2-3DFB-4AD9-BB2C-F94B6CF25CBC}"/>
    <cellStyle name="40% - Accent1 29 11" xfId="9491" xr:uid="{8E600727-5B82-444E-AEC6-C9F504032E81}"/>
    <cellStyle name="40% - Accent1 29 11 2" xfId="9492" xr:uid="{97A8EA95-7F4F-4902-9883-AB09D7CC94AB}"/>
    <cellStyle name="40% - Accent1 29 11 2 2" xfId="9493" xr:uid="{A9FA2F87-D938-4AD7-B5DC-96698AE61237}"/>
    <cellStyle name="40% - Accent1 29 11 2 2 2" xfId="9494" xr:uid="{7DE38842-94B3-42C2-B80A-8876E0B68A59}"/>
    <cellStyle name="40% - Accent1 29 11 2 3" xfId="9495" xr:uid="{37987DFB-1166-49AF-B7B9-94CDF94C63D0}"/>
    <cellStyle name="40% - Accent1 29 11 3" xfId="9496" xr:uid="{A1AB7350-05B2-4EF7-B612-52C9C1F45B41}"/>
    <cellStyle name="40% - Accent1 29 11 3 2" xfId="9497" xr:uid="{05CBD31D-102B-4191-AC29-E04E1A4F11BB}"/>
    <cellStyle name="40% - Accent1 29 11 3 2 2" xfId="9498" xr:uid="{8EF80596-1C3E-4FAE-AD61-81BBB7429F3B}"/>
    <cellStyle name="40% - Accent1 29 11 3 3" xfId="9499" xr:uid="{72EEC630-1BAD-40AB-A03B-BDC7880ED46C}"/>
    <cellStyle name="40% - Accent1 29 11 4" xfId="9500" xr:uid="{3FA79558-14B3-4BFC-AED3-EBFEFC1755C8}"/>
    <cellStyle name="40% - Accent1 29 11 4 2" xfId="9501" xr:uid="{68F6AE34-6784-4543-ABC9-B6F144478A99}"/>
    <cellStyle name="40% - Accent1 29 11 5" xfId="9502" xr:uid="{460F1A91-27B6-40B0-B848-F7DF2C2EE390}"/>
    <cellStyle name="40% - Accent1 29 12" xfId="9503" xr:uid="{0C5C5F8F-E3A7-44FD-9599-0DCAB782817A}"/>
    <cellStyle name="40% - Accent1 29 12 2" xfId="9504" xr:uid="{42A4747A-E2F7-4254-B81B-26CE001BE654}"/>
    <cellStyle name="40% - Accent1 29 12 2 2" xfId="9505" xr:uid="{D6146242-DEAF-4D4D-A61A-F5D4924D0EBA}"/>
    <cellStyle name="40% - Accent1 29 12 3" xfId="9506" xr:uid="{6453871E-3147-4AA7-B52D-B90B9E2CCCB9}"/>
    <cellStyle name="40% - Accent1 29 13" xfId="9507" xr:uid="{66532BA9-1F3D-4E6E-B660-AFCF99E88C9C}"/>
    <cellStyle name="40% - Accent1 29 13 2" xfId="9508" xr:uid="{D2A72B02-0B22-4202-897A-08BD25FAB3C3}"/>
    <cellStyle name="40% - Accent1 29 13 2 2" xfId="9509" xr:uid="{C2954A80-2A08-4330-A0AA-57C3824A388A}"/>
    <cellStyle name="40% - Accent1 29 13 3" xfId="9510" xr:uid="{1B3CEB47-CA71-464F-A1DC-648941A8CAF1}"/>
    <cellStyle name="40% - Accent1 29 14" xfId="9511" xr:uid="{EDB45092-C1F4-4B50-8B7F-84B22B268881}"/>
    <cellStyle name="40% - Accent1 29 14 2" xfId="9512" xr:uid="{0EFD8057-72DD-48A7-B408-B02E3D46D9E8}"/>
    <cellStyle name="40% - Accent1 29 15" xfId="9513" xr:uid="{E68D2B8A-D1AF-40F8-8ED7-2543FB25F863}"/>
    <cellStyle name="40% - Accent1 29 16" xfId="36750" xr:uid="{4266D631-9F03-4EEA-9F43-F953AB043718}"/>
    <cellStyle name="40% - Accent1 29 2" xfId="9514" xr:uid="{625F6CEA-EE3B-451C-B6FE-20BACAD00AC6}"/>
    <cellStyle name="40% - Accent1 29 2 2" xfId="9515" xr:uid="{C2E5B8A5-2E34-4047-94DF-6F057D1192F0}"/>
    <cellStyle name="40% - Accent1 29 2 2 2" xfId="9516" xr:uid="{A4B78226-CF9F-4AC1-9245-63FBFA649D5D}"/>
    <cellStyle name="40% - Accent1 29 2 2 2 2" xfId="9517" xr:uid="{90CB1B91-DB71-419F-AC16-03D1599E997A}"/>
    <cellStyle name="40% - Accent1 29 2 2 2 2 2" xfId="9518" xr:uid="{68840861-1D4C-4E6A-B02A-1A694DB94FCA}"/>
    <cellStyle name="40% - Accent1 29 2 2 2 3" xfId="9519" xr:uid="{B5C45BA7-D7CE-470F-9175-3D4777D69570}"/>
    <cellStyle name="40% - Accent1 29 2 2 3" xfId="9520" xr:uid="{20385BD3-6B44-4119-ABE9-1FB4E9B704B7}"/>
    <cellStyle name="40% - Accent1 29 2 2 3 2" xfId="9521" xr:uid="{CAFED64A-C40A-475A-A033-57B84195248B}"/>
    <cellStyle name="40% - Accent1 29 2 2 3 2 2" xfId="9522" xr:uid="{EB392D20-1235-49A6-B34E-9040DC8E1E64}"/>
    <cellStyle name="40% - Accent1 29 2 2 3 3" xfId="9523" xr:uid="{A05CFD51-1D4A-4151-A12F-3705A8A7EA2F}"/>
    <cellStyle name="40% - Accent1 29 2 2 4" xfId="9524" xr:uid="{62CC9AFE-59CE-49F0-890A-1B41CAC83B63}"/>
    <cellStyle name="40% - Accent1 29 2 2 4 2" xfId="9525" xr:uid="{DBCB28FD-A93A-44BB-B077-8F6CC19EBDF7}"/>
    <cellStyle name="40% - Accent1 29 2 2 5" xfId="9526" xr:uid="{765FC398-1E32-4039-B0E0-D81F1043EE11}"/>
    <cellStyle name="40% - Accent1 29 2 3" xfId="9527" xr:uid="{5AF9FF2E-308F-43C4-BEB3-C24F58A2DD86}"/>
    <cellStyle name="40% - Accent1 29 2 3 2" xfId="9528" xr:uid="{9D99CED0-F787-469D-B3CD-C408F0B43394}"/>
    <cellStyle name="40% - Accent1 29 2 3 2 2" xfId="9529" xr:uid="{8C181B2A-6DEE-4BB7-A5EB-00ACDC2E4767}"/>
    <cellStyle name="40% - Accent1 29 2 3 3" xfId="9530" xr:uid="{D6A08F2D-8339-4124-B8FE-DFF765E978EE}"/>
    <cellStyle name="40% - Accent1 29 2 4" xfId="9531" xr:uid="{321F178B-BA2D-4660-92B7-F249EB5B93FB}"/>
    <cellStyle name="40% - Accent1 29 2 4 2" xfId="9532" xr:uid="{35DAB36E-269B-46FC-8A7E-9352D4DF19BF}"/>
    <cellStyle name="40% - Accent1 29 2 4 2 2" xfId="9533" xr:uid="{F884D038-8EB1-4E45-A83F-C6C8149E91A2}"/>
    <cellStyle name="40% - Accent1 29 2 4 3" xfId="9534" xr:uid="{575567F0-C1C1-46E2-852A-1D7511E148E2}"/>
    <cellStyle name="40% - Accent1 29 2 5" xfId="9535" xr:uid="{53A14300-D662-4036-9167-6E58DDA08306}"/>
    <cellStyle name="40% - Accent1 29 2 5 2" xfId="9536" xr:uid="{D1A92A8B-2735-40E9-AF9A-D52FF0DF79E7}"/>
    <cellStyle name="40% - Accent1 29 2 6" xfId="9537" xr:uid="{4EAB8215-2EC9-491D-861C-F60BDFAE655A}"/>
    <cellStyle name="40% - Accent1 29 3" xfId="9538" xr:uid="{7D8AC205-349A-4CCF-A9EC-A4E737C62E56}"/>
    <cellStyle name="40% - Accent1 29 3 2" xfId="9539" xr:uid="{30F4F1F9-E197-4AD7-B2C0-FCCAB1536B41}"/>
    <cellStyle name="40% - Accent1 29 3 2 2" xfId="9540" xr:uid="{EE07833E-45A1-43A3-9946-15C81777D661}"/>
    <cellStyle name="40% - Accent1 29 3 2 2 2" xfId="9541" xr:uid="{481B054B-804C-4795-9956-F89EDC01BD79}"/>
    <cellStyle name="40% - Accent1 29 3 2 2 2 2" xfId="9542" xr:uid="{02BFAB35-E4E3-412C-832C-E4747004DA7F}"/>
    <cellStyle name="40% - Accent1 29 3 2 2 3" xfId="9543" xr:uid="{D2B94B98-70FF-449B-BAAA-91F96E48F308}"/>
    <cellStyle name="40% - Accent1 29 3 2 3" xfId="9544" xr:uid="{45BBCC35-12D1-4BE3-BB91-AE651CF11231}"/>
    <cellStyle name="40% - Accent1 29 3 2 3 2" xfId="9545" xr:uid="{3B176A41-1C62-4070-A360-38A0C3EE061B}"/>
    <cellStyle name="40% - Accent1 29 3 2 3 2 2" xfId="9546" xr:uid="{ACCB02CE-E0D0-4F9F-A8BF-29B653D6B2A4}"/>
    <cellStyle name="40% - Accent1 29 3 2 3 3" xfId="9547" xr:uid="{9B79248C-ED45-4824-AC48-3E883E03E88E}"/>
    <cellStyle name="40% - Accent1 29 3 2 4" xfId="9548" xr:uid="{64F6F441-9197-479D-95D4-8F80F1D8F5F7}"/>
    <cellStyle name="40% - Accent1 29 3 2 4 2" xfId="9549" xr:uid="{C87C999B-8502-48FD-BB90-CFCAB2B6C822}"/>
    <cellStyle name="40% - Accent1 29 3 2 5" xfId="9550" xr:uid="{13A87EAD-A33B-40CD-A543-7FDC580FF83B}"/>
    <cellStyle name="40% - Accent1 29 3 3" xfId="9551" xr:uid="{3F12209E-9B24-43C0-9AAF-CF7B9D7FF895}"/>
    <cellStyle name="40% - Accent1 29 3 3 2" xfId="9552" xr:uid="{17000FE8-BFD0-4C12-8302-44880B50F288}"/>
    <cellStyle name="40% - Accent1 29 3 3 2 2" xfId="9553" xr:uid="{A022C15B-4537-473D-9B31-8120C3B637E4}"/>
    <cellStyle name="40% - Accent1 29 3 3 3" xfId="9554" xr:uid="{F0C7E514-64A2-40A1-99EB-9539FBD002AC}"/>
    <cellStyle name="40% - Accent1 29 3 4" xfId="9555" xr:uid="{F4CCF962-D74D-45DA-A305-9EB2C74B68BC}"/>
    <cellStyle name="40% - Accent1 29 3 4 2" xfId="9556" xr:uid="{272DEE01-5FE2-436B-96F6-31F0B8E3AA30}"/>
    <cellStyle name="40% - Accent1 29 3 4 2 2" xfId="9557" xr:uid="{6AF90D9C-72CB-4DCC-9833-AFEAD7D45667}"/>
    <cellStyle name="40% - Accent1 29 3 4 3" xfId="9558" xr:uid="{F947960D-B448-47E2-B654-15D84F315ADE}"/>
    <cellStyle name="40% - Accent1 29 3 5" xfId="9559" xr:uid="{22B0DDBF-DCE7-4233-8A8B-68307C67ABB4}"/>
    <cellStyle name="40% - Accent1 29 3 5 2" xfId="9560" xr:uid="{73CA0BA2-84FB-4076-A991-56EE7B65D037}"/>
    <cellStyle name="40% - Accent1 29 3 6" xfId="9561" xr:uid="{D68C4826-320B-4859-B494-4400A8F20195}"/>
    <cellStyle name="40% - Accent1 29 4" xfId="9562" xr:uid="{FE359413-C8CA-4C92-B5D4-F215F2677681}"/>
    <cellStyle name="40% - Accent1 29 4 2" xfId="9563" xr:uid="{C7DE5BAC-EBE2-451A-8A9D-2FA2B78FF4F8}"/>
    <cellStyle name="40% - Accent1 29 4 2 2" xfId="9564" xr:uid="{47A9173A-EBD5-445D-BD55-E391DEF67918}"/>
    <cellStyle name="40% - Accent1 29 4 2 2 2" xfId="9565" xr:uid="{74476FA4-F12D-4E62-BDA3-07EB68C52291}"/>
    <cellStyle name="40% - Accent1 29 4 2 2 2 2" xfId="9566" xr:uid="{5474069A-4B03-4D5F-B3F4-2B19EC275E57}"/>
    <cellStyle name="40% - Accent1 29 4 2 2 3" xfId="9567" xr:uid="{5588755F-3DC1-4645-BEC8-DA9087FA5CAB}"/>
    <cellStyle name="40% - Accent1 29 4 2 3" xfId="9568" xr:uid="{279FE090-131D-4183-8E9E-6DD783CAFDA3}"/>
    <cellStyle name="40% - Accent1 29 4 2 3 2" xfId="9569" xr:uid="{5349220B-B830-4D95-B80F-73323A2323F9}"/>
    <cellStyle name="40% - Accent1 29 4 2 3 2 2" xfId="9570" xr:uid="{096F5166-93B8-4233-95DA-1D800CC7FCCD}"/>
    <cellStyle name="40% - Accent1 29 4 2 3 3" xfId="9571" xr:uid="{961A0FC3-9843-4C9A-8200-D07ECBCB0FBE}"/>
    <cellStyle name="40% - Accent1 29 4 2 4" xfId="9572" xr:uid="{DEF72BAF-F6F7-469F-BCD5-7883F05E3511}"/>
    <cellStyle name="40% - Accent1 29 4 2 4 2" xfId="9573" xr:uid="{9991DF53-DF5B-45EE-80EB-0F8489EB7C88}"/>
    <cellStyle name="40% - Accent1 29 4 2 5" xfId="9574" xr:uid="{9D1B810F-8382-4BD2-B747-841645950843}"/>
    <cellStyle name="40% - Accent1 29 4 3" xfId="9575" xr:uid="{4FABA5C8-04F9-4C0C-AC2B-860240655C8C}"/>
    <cellStyle name="40% - Accent1 29 4 3 2" xfId="9576" xr:uid="{DED4C701-CDC5-475C-AA4D-FC4071C9A074}"/>
    <cellStyle name="40% - Accent1 29 4 3 2 2" xfId="9577" xr:uid="{1CCCABB4-5470-4556-A6B9-A9F0E2B83646}"/>
    <cellStyle name="40% - Accent1 29 4 3 3" xfId="9578" xr:uid="{5B6B4796-C09E-43CC-881D-3684EE1C86C0}"/>
    <cellStyle name="40% - Accent1 29 4 4" xfId="9579" xr:uid="{46D864B4-85D1-4863-B9D2-33EE07B1768E}"/>
    <cellStyle name="40% - Accent1 29 4 4 2" xfId="9580" xr:uid="{2686BA7C-678D-4FF3-AFED-A108064F42EC}"/>
    <cellStyle name="40% - Accent1 29 4 4 2 2" xfId="9581" xr:uid="{E5A0759F-EF02-45C5-A4AE-8DC1396A55A4}"/>
    <cellStyle name="40% - Accent1 29 4 4 3" xfId="9582" xr:uid="{B7C66916-7712-42C5-86B9-BA4F95262883}"/>
    <cellStyle name="40% - Accent1 29 4 5" xfId="9583" xr:uid="{0B99CF90-35F0-4F6F-A084-A35A1C26910A}"/>
    <cellStyle name="40% - Accent1 29 4 5 2" xfId="9584" xr:uid="{5B2A6CD2-FE33-4C88-BC88-601465EA5135}"/>
    <cellStyle name="40% - Accent1 29 4 6" xfId="9585" xr:uid="{0FBC078A-947F-4994-925B-A05ABF6248DD}"/>
    <cellStyle name="40% - Accent1 29 5" xfId="9586" xr:uid="{B03D995E-A8D0-459D-A42B-0F368A42F749}"/>
    <cellStyle name="40% - Accent1 29 5 2" xfId="9587" xr:uid="{0178EAD7-68EE-4152-B0C2-650B90D9FC2F}"/>
    <cellStyle name="40% - Accent1 29 5 2 2" xfId="9588" xr:uid="{45CF908E-BAEA-46F7-9E2F-0999EB2F6CAD}"/>
    <cellStyle name="40% - Accent1 29 5 2 2 2" xfId="9589" xr:uid="{14426BC2-F699-47E6-A010-4FD7E8FCEACC}"/>
    <cellStyle name="40% - Accent1 29 5 2 2 2 2" xfId="9590" xr:uid="{65EF9367-BA6D-4005-82E5-3D28346D6F60}"/>
    <cellStyle name="40% - Accent1 29 5 2 2 3" xfId="9591" xr:uid="{A65A4442-C6A1-446F-9F5B-8D70CA22BF97}"/>
    <cellStyle name="40% - Accent1 29 5 2 3" xfId="9592" xr:uid="{C151988A-BD83-46BC-9B78-1FD4194C3EE2}"/>
    <cellStyle name="40% - Accent1 29 5 2 3 2" xfId="9593" xr:uid="{090940CE-AD9A-4FB0-80DF-60D304C229C7}"/>
    <cellStyle name="40% - Accent1 29 5 2 3 2 2" xfId="9594" xr:uid="{8D2EFE41-805B-4315-A17E-87C5F090661A}"/>
    <cellStyle name="40% - Accent1 29 5 2 3 3" xfId="9595" xr:uid="{19FD890A-ACA7-4013-B5B4-455816A838BC}"/>
    <cellStyle name="40% - Accent1 29 5 2 4" xfId="9596" xr:uid="{8A0C8343-0F17-4E7B-8293-AEFE0B0D91AB}"/>
    <cellStyle name="40% - Accent1 29 5 2 4 2" xfId="9597" xr:uid="{32FC05A0-CA0C-4812-8D65-E661B24BE211}"/>
    <cellStyle name="40% - Accent1 29 5 2 5" xfId="9598" xr:uid="{44C805F1-65C8-4587-A625-36302A860B46}"/>
    <cellStyle name="40% - Accent1 29 5 3" xfId="9599" xr:uid="{6B68C922-91F2-4890-8183-63F20DCE1933}"/>
    <cellStyle name="40% - Accent1 29 5 3 2" xfId="9600" xr:uid="{52832CB4-5640-4811-9C3B-A4B1D67925EC}"/>
    <cellStyle name="40% - Accent1 29 5 3 2 2" xfId="9601" xr:uid="{D37FA3A4-827D-492B-B6C9-FC5627CC69D8}"/>
    <cellStyle name="40% - Accent1 29 5 3 3" xfId="9602" xr:uid="{6C5B5048-15AF-486D-88D5-C85A384684EA}"/>
    <cellStyle name="40% - Accent1 29 5 4" xfId="9603" xr:uid="{DF23FD2C-5590-4DDC-93FE-1901AEEF8949}"/>
    <cellStyle name="40% - Accent1 29 5 4 2" xfId="9604" xr:uid="{36CBAFF9-5345-4216-857B-E7048FC8755A}"/>
    <cellStyle name="40% - Accent1 29 5 4 2 2" xfId="9605" xr:uid="{ED672477-7042-43B3-B788-54BEF32733F4}"/>
    <cellStyle name="40% - Accent1 29 5 4 3" xfId="9606" xr:uid="{9EEE4D72-9244-45F8-AB68-58933C5F2A74}"/>
    <cellStyle name="40% - Accent1 29 5 5" xfId="9607" xr:uid="{7ABC3FF0-4900-427E-AB32-950144D547D5}"/>
    <cellStyle name="40% - Accent1 29 5 5 2" xfId="9608" xr:uid="{32CC0670-B64C-4479-B4E1-81A515BE4246}"/>
    <cellStyle name="40% - Accent1 29 5 6" xfId="9609" xr:uid="{EA02E184-9591-4455-82BA-33D55A104208}"/>
    <cellStyle name="40% - Accent1 29 6" xfId="9610" xr:uid="{BEAC47F8-CD45-4755-9BAB-B938238A1DE5}"/>
    <cellStyle name="40% - Accent1 29 6 2" xfId="9611" xr:uid="{E9BA7F8F-47B6-42E7-A21B-38149D79B312}"/>
    <cellStyle name="40% - Accent1 29 6 2 2" xfId="9612" xr:uid="{0E2FDF54-F900-4BAE-AB7B-CB6A15F43BC0}"/>
    <cellStyle name="40% - Accent1 29 6 2 2 2" xfId="9613" xr:uid="{44260326-3741-47F3-A09E-F961BA59F58A}"/>
    <cellStyle name="40% - Accent1 29 6 2 2 2 2" xfId="9614" xr:uid="{D84879E6-5660-42FB-AA82-0B03C51F6361}"/>
    <cellStyle name="40% - Accent1 29 6 2 2 3" xfId="9615" xr:uid="{475416B2-7D4A-41E5-BD70-E7447EC02052}"/>
    <cellStyle name="40% - Accent1 29 6 2 3" xfId="9616" xr:uid="{9EC88462-52F9-4124-81D1-698D1CB2E58B}"/>
    <cellStyle name="40% - Accent1 29 6 2 3 2" xfId="9617" xr:uid="{73BBE84F-EC74-4773-808C-3A2CC264211B}"/>
    <cellStyle name="40% - Accent1 29 6 2 3 2 2" xfId="9618" xr:uid="{DBCC3D57-962D-4D38-B0D5-26A317698295}"/>
    <cellStyle name="40% - Accent1 29 6 2 3 3" xfId="9619" xr:uid="{FEE3FD43-EF07-4DDB-B705-DBBD2BE4F048}"/>
    <cellStyle name="40% - Accent1 29 6 2 4" xfId="9620" xr:uid="{1F3907EC-B096-4447-9F66-C34C6A60F7B6}"/>
    <cellStyle name="40% - Accent1 29 6 2 4 2" xfId="9621" xr:uid="{9F38862D-3209-4C4E-A502-E602F2BD819A}"/>
    <cellStyle name="40% - Accent1 29 6 2 5" xfId="9622" xr:uid="{85C461CE-3B49-43E8-9404-D6438AD2933C}"/>
    <cellStyle name="40% - Accent1 29 6 3" xfId="9623" xr:uid="{F63325C8-A0FC-41D4-9EEC-3C3EEF69D3E5}"/>
    <cellStyle name="40% - Accent1 29 6 3 2" xfId="9624" xr:uid="{EC794670-ACA1-45AA-9777-1D8873F71B69}"/>
    <cellStyle name="40% - Accent1 29 6 3 2 2" xfId="9625" xr:uid="{78F5AB78-8CDE-4CC6-97E0-BA5DB88F914A}"/>
    <cellStyle name="40% - Accent1 29 6 3 3" xfId="9626" xr:uid="{9F4B31FD-6BBE-4197-A9BC-9A54AE37F02F}"/>
    <cellStyle name="40% - Accent1 29 6 4" xfId="9627" xr:uid="{6B01D70A-A78A-4B57-8542-6A15548F0EB7}"/>
    <cellStyle name="40% - Accent1 29 6 4 2" xfId="9628" xr:uid="{D8DF9400-BA56-496A-A347-345DCC7AD4B7}"/>
    <cellStyle name="40% - Accent1 29 6 4 2 2" xfId="9629" xr:uid="{3FDEE77E-9F68-40F8-B6DB-9C3C5880E207}"/>
    <cellStyle name="40% - Accent1 29 6 4 3" xfId="9630" xr:uid="{7177536F-47CE-4414-A994-31FA443421C3}"/>
    <cellStyle name="40% - Accent1 29 6 5" xfId="9631" xr:uid="{A49B9BFF-7D03-40AF-A4A6-202A70B9D53F}"/>
    <cellStyle name="40% - Accent1 29 6 5 2" xfId="9632" xr:uid="{8ECB39C5-6430-49AC-A0F1-6E4B27EA78E1}"/>
    <cellStyle name="40% - Accent1 29 6 6" xfId="9633" xr:uid="{D01B1089-345F-4A89-8C22-5309BEB45C66}"/>
    <cellStyle name="40% - Accent1 29 7" xfId="9634" xr:uid="{A43DBA9D-0603-4D71-8781-243C5CD49D37}"/>
    <cellStyle name="40% - Accent1 29 7 2" xfId="9635" xr:uid="{06122E09-AEA4-4B69-A4EE-22AB6732BD80}"/>
    <cellStyle name="40% - Accent1 29 7 2 2" xfId="9636" xr:uid="{D86FC660-0B62-4ABD-828C-99EC152AE085}"/>
    <cellStyle name="40% - Accent1 29 7 2 2 2" xfId="9637" xr:uid="{97BCDB31-ACE2-44EF-86D6-3DC7784F6551}"/>
    <cellStyle name="40% - Accent1 29 7 2 2 2 2" xfId="9638" xr:uid="{CFC7A241-66D8-482D-9972-264E7F7D60DB}"/>
    <cellStyle name="40% - Accent1 29 7 2 2 3" xfId="9639" xr:uid="{A9B4A937-1390-4819-9FC6-9D2653C88E56}"/>
    <cellStyle name="40% - Accent1 29 7 2 3" xfId="9640" xr:uid="{BC8BBFC6-0E01-4B48-851E-F9574EE48EE4}"/>
    <cellStyle name="40% - Accent1 29 7 2 3 2" xfId="9641" xr:uid="{2AF45DC8-7A07-4738-B60B-F2FE4734FFAC}"/>
    <cellStyle name="40% - Accent1 29 7 2 3 2 2" xfId="9642" xr:uid="{238A286A-0ACC-4D9B-91C4-1DD01A5A8E27}"/>
    <cellStyle name="40% - Accent1 29 7 2 3 3" xfId="9643" xr:uid="{88D630E6-412A-4E13-871F-24A29675682D}"/>
    <cellStyle name="40% - Accent1 29 7 2 4" xfId="9644" xr:uid="{A5F92EAA-E018-4B67-869D-9E791547A724}"/>
    <cellStyle name="40% - Accent1 29 7 2 4 2" xfId="9645" xr:uid="{3584C972-D9EA-4B50-92D7-07D6795FBFF5}"/>
    <cellStyle name="40% - Accent1 29 7 2 5" xfId="9646" xr:uid="{2F78E5E1-D20E-434F-B112-84709AD0EC9A}"/>
    <cellStyle name="40% - Accent1 29 7 3" xfId="9647" xr:uid="{18FECB3E-C812-4D8B-9E8F-C04C1AAB639C}"/>
    <cellStyle name="40% - Accent1 29 7 3 2" xfId="9648" xr:uid="{6F51E4EC-5117-40C9-85F3-A749670F6689}"/>
    <cellStyle name="40% - Accent1 29 7 3 2 2" xfId="9649" xr:uid="{4E449D31-8544-41A2-A2FF-138B837544D0}"/>
    <cellStyle name="40% - Accent1 29 7 3 3" xfId="9650" xr:uid="{06A8442F-9C45-449D-88EA-5C69DD648842}"/>
    <cellStyle name="40% - Accent1 29 7 4" xfId="9651" xr:uid="{85C35639-A51E-419B-AB1B-1ED836A32AC4}"/>
    <cellStyle name="40% - Accent1 29 7 4 2" xfId="9652" xr:uid="{61F9B6F9-02AC-4F76-920E-C7BC94A5E49B}"/>
    <cellStyle name="40% - Accent1 29 7 4 2 2" xfId="9653" xr:uid="{0B36B59E-5037-40F7-BCF4-EA093AC77EE0}"/>
    <cellStyle name="40% - Accent1 29 7 4 3" xfId="9654" xr:uid="{B26BBC0B-E242-4565-AE44-FB2EF9AFF6C3}"/>
    <cellStyle name="40% - Accent1 29 7 5" xfId="9655" xr:uid="{0D4D2D37-D6B5-42A6-A7B3-F0B80CB29799}"/>
    <cellStyle name="40% - Accent1 29 7 5 2" xfId="9656" xr:uid="{FE64800B-3453-4D7E-923B-C738DCAAB00E}"/>
    <cellStyle name="40% - Accent1 29 7 6" xfId="9657" xr:uid="{4904ECE0-FF0B-49EA-A5F5-FA5D4E4B9915}"/>
    <cellStyle name="40% - Accent1 29 8" xfId="9658" xr:uid="{5168AC8B-CEF8-4A50-8B45-CEAC562FC594}"/>
    <cellStyle name="40% - Accent1 29 8 2" xfId="9659" xr:uid="{C9A55082-9D71-4070-B9B1-48E78F8FCF35}"/>
    <cellStyle name="40% - Accent1 29 8 2 2" xfId="9660" xr:uid="{CC06A0A8-A045-4621-809F-7E23869BAC0E}"/>
    <cellStyle name="40% - Accent1 29 8 2 2 2" xfId="9661" xr:uid="{BFF45918-05DF-4B35-8048-C7B7FA665C5F}"/>
    <cellStyle name="40% - Accent1 29 8 2 2 2 2" xfId="9662" xr:uid="{ECF1B13F-0C91-4556-B5BE-B34EB97A4B05}"/>
    <cellStyle name="40% - Accent1 29 8 2 2 3" xfId="9663" xr:uid="{3F6FCB99-A37C-496C-A443-86D0BB5D8E1A}"/>
    <cellStyle name="40% - Accent1 29 8 2 3" xfId="9664" xr:uid="{B037F643-DEFE-4EF8-BCE2-55F55B70E4B0}"/>
    <cellStyle name="40% - Accent1 29 8 2 3 2" xfId="9665" xr:uid="{3569131B-6A13-43B8-B703-1293357058DA}"/>
    <cellStyle name="40% - Accent1 29 8 2 3 2 2" xfId="9666" xr:uid="{46A1C350-A5EE-4C6B-A660-FCC50174B61C}"/>
    <cellStyle name="40% - Accent1 29 8 2 3 3" xfId="9667" xr:uid="{1FFC697A-DD93-45C3-8042-AD28A0FFAB6F}"/>
    <cellStyle name="40% - Accent1 29 8 2 4" xfId="9668" xr:uid="{B1D5D6A7-559E-4516-AEB0-37B2187E40D7}"/>
    <cellStyle name="40% - Accent1 29 8 2 4 2" xfId="9669" xr:uid="{B2037499-6D56-4800-A63E-663D1D748C57}"/>
    <cellStyle name="40% - Accent1 29 8 2 5" xfId="9670" xr:uid="{350C8277-B6B3-4D64-838B-D85FC07065B4}"/>
    <cellStyle name="40% - Accent1 29 8 3" xfId="9671" xr:uid="{47E41207-F6A8-4362-ABF4-C5D97992799C}"/>
    <cellStyle name="40% - Accent1 29 8 3 2" xfId="9672" xr:uid="{24DDF907-7E1A-4F4C-8222-0E1ACF0498D1}"/>
    <cellStyle name="40% - Accent1 29 8 3 2 2" xfId="9673" xr:uid="{96BEF91B-E7BF-4740-A9CB-3B0915502051}"/>
    <cellStyle name="40% - Accent1 29 8 3 3" xfId="9674" xr:uid="{7F0D5AC5-80E8-4383-9596-1A458F7C0D29}"/>
    <cellStyle name="40% - Accent1 29 8 4" xfId="9675" xr:uid="{8DF425FE-B58B-450A-8DAB-016116D4CD06}"/>
    <cellStyle name="40% - Accent1 29 8 4 2" xfId="9676" xr:uid="{2D7F1AFB-5C41-4F53-9613-1578DA2F667B}"/>
    <cellStyle name="40% - Accent1 29 8 4 2 2" xfId="9677" xr:uid="{0252F6A1-16F5-49EB-91CE-1FDF64A0010B}"/>
    <cellStyle name="40% - Accent1 29 8 4 3" xfId="9678" xr:uid="{68104F2F-32B7-4E30-80AC-D839CBC17677}"/>
    <cellStyle name="40% - Accent1 29 8 5" xfId="9679" xr:uid="{1A49FB79-4D3D-416B-B51D-07AB9FEB9A57}"/>
    <cellStyle name="40% - Accent1 29 8 5 2" xfId="9680" xr:uid="{9C128139-769F-46E0-8D77-627CD635F676}"/>
    <cellStyle name="40% - Accent1 29 8 6" xfId="9681" xr:uid="{BC97C9FC-DDCC-4193-A56F-687E1A450AB9}"/>
    <cellStyle name="40% - Accent1 29 9" xfId="9682" xr:uid="{8361E963-0D82-4936-95F3-A45D2D8C2CFD}"/>
    <cellStyle name="40% - Accent1 29 9 2" xfId="9683" xr:uid="{DE08C4E9-7588-4039-A840-C893F2D4ED48}"/>
    <cellStyle name="40% - Accent1 29 9 2 2" xfId="9684" xr:uid="{2D185112-F288-4D05-9AE3-85976C30F342}"/>
    <cellStyle name="40% - Accent1 29 9 2 2 2" xfId="9685" xr:uid="{B7D23021-C75D-43B6-B97C-19B80EFBA3F7}"/>
    <cellStyle name="40% - Accent1 29 9 2 2 2 2" xfId="9686" xr:uid="{74A1BD11-3332-4710-A9CE-6D677DDF8CC9}"/>
    <cellStyle name="40% - Accent1 29 9 2 2 3" xfId="9687" xr:uid="{6420F7C7-AA25-44B5-B480-43FFE7EDCCF4}"/>
    <cellStyle name="40% - Accent1 29 9 2 3" xfId="9688" xr:uid="{974BEC85-970C-4CA2-85AE-CAB569ABB191}"/>
    <cellStyle name="40% - Accent1 29 9 2 3 2" xfId="9689" xr:uid="{3063E4BA-C0C3-4BAA-8A8D-C29CEDAF6AA0}"/>
    <cellStyle name="40% - Accent1 29 9 2 3 2 2" xfId="9690" xr:uid="{D4474654-2980-46C1-ACDD-0B9EA696F88E}"/>
    <cellStyle name="40% - Accent1 29 9 2 3 3" xfId="9691" xr:uid="{BAA6B753-756D-4FE4-BD75-84087405A707}"/>
    <cellStyle name="40% - Accent1 29 9 2 4" xfId="9692" xr:uid="{542488AA-3F3F-4535-BAA2-07CDE336CB8F}"/>
    <cellStyle name="40% - Accent1 29 9 2 4 2" xfId="9693" xr:uid="{7ABB5A83-E2D2-4D7F-AA60-65A796ACB893}"/>
    <cellStyle name="40% - Accent1 29 9 2 5" xfId="9694" xr:uid="{3EF955D3-A70B-4B6B-9C63-9373E395A24C}"/>
    <cellStyle name="40% - Accent1 29 9 3" xfId="9695" xr:uid="{5BFE0D47-9D1A-454A-98B6-0F5A2CBCCF8F}"/>
    <cellStyle name="40% - Accent1 29 9 3 2" xfId="9696" xr:uid="{D0D268B9-F773-4F93-AAD0-F7F20EE72E8F}"/>
    <cellStyle name="40% - Accent1 29 9 3 2 2" xfId="9697" xr:uid="{59A64401-932F-40D9-A5CD-DFB8406FE958}"/>
    <cellStyle name="40% - Accent1 29 9 3 3" xfId="9698" xr:uid="{DD0BC0BF-1B7B-4DF3-AAA0-34DF69D7078B}"/>
    <cellStyle name="40% - Accent1 29 9 4" xfId="9699" xr:uid="{D6FFED81-01BB-4566-AE21-AAFAE1F3013C}"/>
    <cellStyle name="40% - Accent1 29 9 4 2" xfId="9700" xr:uid="{D410F4A5-74B4-4818-84E9-18C4584193CE}"/>
    <cellStyle name="40% - Accent1 29 9 4 2 2" xfId="9701" xr:uid="{7AFBA9E1-407D-463A-8F79-AB61BAFB2DE6}"/>
    <cellStyle name="40% - Accent1 29 9 4 3" xfId="9702" xr:uid="{3F69F0C1-461E-445D-B72F-9E53CF6AF058}"/>
    <cellStyle name="40% - Accent1 29 9 5" xfId="9703" xr:uid="{B7399D36-3DF0-412D-BA1E-19981D9E161D}"/>
    <cellStyle name="40% - Accent1 29 9 5 2" xfId="9704" xr:uid="{D88297D1-8638-4B25-A2B6-2EC18FC34A0F}"/>
    <cellStyle name="40% - Accent1 29 9 6" xfId="9705" xr:uid="{807366DC-D146-43DF-9AC6-CA3AD338E36B}"/>
    <cellStyle name="40% - Accent1 3" xfId="9706" xr:uid="{A6BF0EE2-A955-4A2D-8FF0-B97CA1C9C860}"/>
    <cellStyle name="40% - Accent1 3 2" xfId="9707" xr:uid="{32096B39-D55F-450C-8ACE-DEF1EF2F9EEF}"/>
    <cellStyle name="40% - Accent1 3 2 2" xfId="9708" xr:uid="{BC336A61-126E-4624-B08D-5BABF7F14B5E}"/>
    <cellStyle name="40% - Accent1 3 2 2 2" xfId="36751" xr:uid="{DC1D280C-E47C-41A2-82F1-4D8BE675D4CA}"/>
    <cellStyle name="40% - Accent1 3 2 3" xfId="36752" xr:uid="{4527FA00-5A6D-4E2B-9FF7-6B8BECC1F268}"/>
    <cellStyle name="40% - Accent1 3 2 4" xfId="36753" xr:uid="{7E1723DF-2EEF-4780-9864-BB3CC009C15C}"/>
    <cellStyle name="40% - Accent1 3 3" xfId="9709" xr:uid="{341B2BE1-384E-4FE8-BCFD-13CBC89784B1}"/>
    <cellStyle name="40% - Accent1 3 3 2" xfId="36754" xr:uid="{98FA945D-57FB-45AF-91D8-2BEDC37C5D73}"/>
    <cellStyle name="40% - Accent1 3 4" xfId="36755" xr:uid="{F2726BC0-6384-4AAA-925E-A9434E507F5A}"/>
    <cellStyle name="40% - Accent1 3 5" xfId="36756" xr:uid="{1D69940A-9A78-46D6-AC17-51BC02D5552C}"/>
    <cellStyle name="40% - Accent1 3 6" xfId="36757" xr:uid="{4B66C43E-82F3-4DA3-85A2-E9508A3E03F6}"/>
    <cellStyle name="40% - Accent1 30" xfId="9710" xr:uid="{31F5BBE2-7D7D-4C99-8CC8-C34823A7C377}"/>
    <cellStyle name="40% - Accent1 30 10" xfId="9711" xr:uid="{9A0B415C-0895-4F9C-9EB0-6B9845DCD177}"/>
    <cellStyle name="40% - Accent1 30 10 2" xfId="9712" xr:uid="{172DF822-F3B3-4AB9-89D5-3ACE29EB1FF6}"/>
    <cellStyle name="40% - Accent1 30 10 2 2" xfId="9713" xr:uid="{3D7FE82F-9229-4934-BCEE-679EE0EF31A3}"/>
    <cellStyle name="40% - Accent1 30 10 2 2 2" xfId="9714" xr:uid="{5963830A-AB20-451F-87BD-B955D1035906}"/>
    <cellStyle name="40% - Accent1 30 10 2 2 2 2" xfId="9715" xr:uid="{6DF37029-1E8D-450C-ACA7-6A32A2875303}"/>
    <cellStyle name="40% - Accent1 30 10 2 2 3" xfId="9716" xr:uid="{23AB421E-35FE-44BE-8A4C-F10568D3FDC8}"/>
    <cellStyle name="40% - Accent1 30 10 2 3" xfId="9717" xr:uid="{6A1411C5-C1C7-46F7-92E7-609E8CFD7ECE}"/>
    <cellStyle name="40% - Accent1 30 10 2 3 2" xfId="9718" xr:uid="{134FCC92-9818-4FDB-B58D-24867316C60A}"/>
    <cellStyle name="40% - Accent1 30 10 2 3 2 2" xfId="9719" xr:uid="{E42E1835-F4A7-4272-A49D-81F7FDDE4F7B}"/>
    <cellStyle name="40% - Accent1 30 10 2 3 3" xfId="9720" xr:uid="{80F77955-0D30-4895-BBB5-1F8DC2B524C7}"/>
    <cellStyle name="40% - Accent1 30 10 2 4" xfId="9721" xr:uid="{505A6CB2-5A52-40ED-9832-6A1988F2A97A}"/>
    <cellStyle name="40% - Accent1 30 10 2 4 2" xfId="9722" xr:uid="{08F6F30E-64EF-4953-9110-072B47A90F8A}"/>
    <cellStyle name="40% - Accent1 30 10 2 5" xfId="9723" xr:uid="{540A9902-07A1-48A4-ABBB-82B1612A7D55}"/>
    <cellStyle name="40% - Accent1 30 10 3" xfId="9724" xr:uid="{11A630AE-5639-4626-A3C0-091B0E133C9E}"/>
    <cellStyle name="40% - Accent1 30 10 3 2" xfId="9725" xr:uid="{7FF4DE60-6754-465A-9924-C820D2461C69}"/>
    <cellStyle name="40% - Accent1 30 10 3 2 2" xfId="9726" xr:uid="{EFF31C29-2241-4534-8FA2-5A50A7CDD876}"/>
    <cellStyle name="40% - Accent1 30 10 3 3" xfId="9727" xr:uid="{C4D54DFF-CC56-443B-98F6-DD729223470D}"/>
    <cellStyle name="40% - Accent1 30 10 4" xfId="9728" xr:uid="{C294BD5B-41CF-4793-96CE-EA2EEF859C52}"/>
    <cellStyle name="40% - Accent1 30 10 4 2" xfId="9729" xr:uid="{75B692E4-1931-4C56-906F-732462849141}"/>
    <cellStyle name="40% - Accent1 30 10 4 2 2" xfId="9730" xr:uid="{5F695F02-F6C3-4099-893F-8BD8D30EE5E8}"/>
    <cellStyle name="40% - Accent1 30 10 4 3" xfId="9731" xr:uid="{06533798-E9D2-4E93-B1E3-B178D8175FB5}"/>
    <cellStyle name="40% - Accent1 30 10 5" xfId="9732" xr:uid="{F338DA47-26EC-483B-8CCD-073A85DC944F}"/>
    <cellStyle name="40% - Accent1 30 10 5 2" xfId="9733" xr:uid="{DDA3C90C-A4BA-4E3C-A163-9E3A277FADA9}"/>
    <cellStyle name="40% - Accent1 30 10 6" xfId="9734" xr:uid="{C74847EF-3C19-44EE-9641-B72C32799C59}"/>
    <cellStyle name="40% - Accent1 30 11" xfId="9735" xr:uid="{04B52433-D0C7-4AE8-BDED-FBDF5E7FE595}"/>
    <cellStyle name="40% - Accent1 30 11 2" xfId="9736" xr:uid="{1802CE36-474D-4E5F-BC61-7798838C57C0}"/>
    <cellStyle name="40% - Accent1 30 11 2 2" xfId="9737" xr:uid="{1692BC80-4485-4D48-B655-0FDBA915FD92}"/>
    <cellStyle name="40% - Accent1 30 11 2 2 2" xfId="9738" xr:uid="{67D47857-08AD-4BEE-ADCB-1160296DD8F1}"/>
    <cellStyle name="40% - Accent1 30 11 2 3" xfId="9739" xr:uid="{9659FC92-01AA-4876-937D-5CD84C3C7B16}"/>
    <cellStyle name="40% - Accent1 30 11 3" xfId="9740" xr:uid="{358463DD-29AE-4A85-A8F9-FC6FD0A30BD7}"/>
    <cellStyle name="40% - Accent1 30 11 3 2" xfId="9741" xr:uid="{E3372A02-1932-4AE0-8A51-837A2ECE8C85}"/>
    <cellStyle name="40% - Accent1 30 11 3 2 2" xfId="9742" xr:uid="{D7295658-549E-4E80-8EC5-EA06BD980078}"/>
    <cellStyle name="40% - Accent1 30 11 3 3" xfId="9743" xr:uid="{32A0A8A7-5513-4E95-99D6-0F8A06DD8677}"/>
    <cellStyle name="40% - Accent1 30 11 4" xfId="9744" xr:uid="{480A9637-225C-42C1-A82A-489FCE657DC6}"/>
    <cellStyle name="40% - Accent1 30 11 4 2" xfId="9745" xr:uid="{64B23D9F-6D78-4D5E-A8E8-9AF800A6A376}"/>
    <cellStyle name="40% - Accent1 30 11 5" xfId="9746" xr:uid="{C704A3D0-CEBC-4725-9FA5-99B42EB4A5B7}"/>
    <cellStyle name="40% - Accent1 30 12" xfId="9747" xr:uid="{66A490F3-735F-4285-9107-011A04F7D0BE}"/>
    <cellStyle name="40% - Accent1 30 12 2" xfId="9748" xr:uid="{4B26495F-BD94-4F8A-B49D-3A3E11011EA8}"/>
    <cellStyle name="40% - Accent1 30 12 2 2" xfId="9749" xr:uid="{E32E2479-6454-49A2-A3B3-D1BAF1888805}"/>
    <cellStyle name="40% - Accent1 30 12 3" xfId="9750" xr:uid="{8CF162DE-E03B-449F-9859-45D3925D590B}"/>
    <cellStyle name="40% - Accent1 30 13" xfId="9751" xr:uid="{4D9F08EA-6486-4F4D-BC2C-1DC00F4249C1}"/>
    <cellStyle name="40% - Accent1 30 13 2" xfId="9752" xr:uid="{F4C2F120-B940-46D1-9E0A-FB66C1314DD1}"/>
    <cellStyle name="40% - Accent1 30 13 2 2" xfId="9753" xr:uid="{82A2FA1B-019D-40D3-A6B6-BC2E70BBEA0B}"/>
    <cellStyle name="40% - Accent1 30 13 3" xfId="9754" xr:uid="{508BBE1A-0D88-42D9-A849-879D9C4BC338}"/>
    <cellStyle name="40% - Accent1 30 14" xfId="9755" xr:uid="{6CBEA391-72FB-4434-8CD5-F784AAE8BCFC}"/>
    <cellStyle name="40% - Accent1 30 14 2" xfId="9756" xr:uid="{6847CF32-BAD6-4414-88C0-978543B98A3D}"/>
    <cellStyle name="40% - Accent1 30 15" xfId="9757" xr:uid="{77F5048C-E561-4764-A84A-FCA41742622D}"/>
    <cellStyle name="40% - Accent1 30 16" xfId="36758" xr:uid="{BA7ED516-21A9-4A44-81FD-4355F13C0374}"/>
    <cellStyle name="40% - Accent1 30 2" xfId="9758" xr:uid="{790CE6D8-1BB8-4D74-AB6B-F73E17A9C6D1}"/>
    <cellStyle name="40% - Accent1 30 2 2" xfId="9759" xr:uid="{34178C04-DC96-48C7-BCC3-7478692F21CB}"/>
    <cellStyle name="40% - Accent1 30 2 2 2" xfId="9760" xr:uid="{7D7E5FC2-6D12-4AC8-9151-1866F139D364}"/>
    <cellStyle name="40% - Accent1 30 2 2 2 2" xfId="9761" xr:uid="{79850408-14F8-45E8-8624-B86E4CE9CFFB}"/>
    <cellStyle name="40% - Accent1 30 2 2 2 2 2" xfId="9762" xr:uid="{33207965-D624-4D5B-BAD0-1ADF5E7875A2}"/>
    <cellStyle name="40% - Accent1 30 2 2 2 3" xfId="9763" xr:uid="{AC21DDF0-EAE0-4C31-86FA-674981A95464}"/>
    <cellStyle name="40% - Accent1 30 2 2 3" xfId="9764" xr:uid="{8EE551B9-1156-45B5-BAFD-990303AB6CD6}"/>
    <cellStyle name="40% - Accent1 30 2 2 3 2" xfId="9765" xr:uid="{3645FDEB-AF9A-4B9E-B852-2CAE48F6DEE2}"/>
    <cellStyle name="40% - Accent1 30 2 2 3 2 2" xfId="9766" xr:uid="{9BC6B8D6-E087-49D2-86AB-4067C1F204E4}"/>
    <cellStyle name="40% - Accent1 30 2 2 3 3" xfId="9767" xr:uid="{265705B0-E7E1-401E-8FA2-96412658E10C}"/>
    <cellStyle name="40% - Accent1 30 2 2 4" xfId="9768" xr:uid="{02544C19-56D7-4137-9E5F-F0ABD3667D2E}"/>
    <cellStyle name="40% - Accent1 30 2 2 4 2" xfId="9769" xr:uid="{37E986FC-B97D-4734-93CA-CC2A996751D1}"/>
    <cellStyle name="40% - Accent1 30 2 2 5" xfId="9770" xr:uid="{9B6EA911-54B1-49D0-B618-479FE2F69D1B}"/>
    <cellStyle name="40% - Accent1 30 2 3" xfId="9771" xr:uid="{80852403-27A0-49D8-A9E9-A5CE0A7A8D97}"/>
    <cellStyle name="40% - Accent1 30 2 3 2" xfId="9772" xr:uid="{15CCA63F-9201-4D82-98C4-673FEA8AE414}"/>
    <cellStyle name="40% - Accent1 30 2 3 2 2" xfId="9773" xr:uid="{00553245-9853-4B12-89EA-099FF7512828}"/>
    <cellStyle name="40% - Accent1 30 2 3 3" xfId="9774" xr:uid="{43E5B606-A37A-420F-B5D0-831F5FD79A45}"/>
    <cellStyle name="40% - Accent1 30 2 4" xfId="9775" xr:uid="{22D3D9DB-6C93-4540-A31D-85CDB3D7EE37}"/>
    <cellStyle name="40% - Accent1 30 2 4 2" xfId="9776" xr:uid="{ACBE773E-B4C8-40F0-89A3-4AF662C0DD76}"/>
    <cellStyle name="40% - Accent1 30 2 4 2 2" xfId="9777" xr:uid="{2ECAC9A7-C63F-4D8E-A036-8AB73C700748}"/>
    <cellStyle name="40% - Accent1 30 2 4 3" xfId="9778" xr:uid="{8367731A-3341-4D8F-9529-36272C2A030A}"/>
    <cellStyle name="40% - Accent1 30 2 5" xfId="9779" xr:uid="{E68167AD-5DEB-4671-9132-F8518B3805E1}"/>
    <cellStyle name="40% - Accent1 30 2 5 2" xfId="9780" xr:uid="{3D94F8D3-E859-4E9C-AADD-D5119657D8FD}"/>
    <cellStyle name="40% - Accent1 30 2 6" xfId="9781" xr:uid="{8E0754E4-07D7-41A8-B1C1-CFEA4999A7D5}"/>
    <cellStyle name="40% - Accent1 30 3" xfId="9782" xr:uid="{CDB13CF3-C43D-4364-9AD3-63085BD222EA}"/>
    <cellStyle name="40% - Accent1 30 3 2" xfId="9783" xr:uid="{2AC1DD88-BFA1-4ECD-9108-FB406425FE41}"/>
    <cellStyle name="40% - Accent1 30 3 2 2" xfId="9784" xr:uid="{333AD45A-D4B4-4E84-8791-1A2F6EA734C6}"/>
    <cellStyle name="40% - Accent1 30 3 2 2 2" xfId="9785" xr:uid="{256E5F4C-F1A7-4856-9A9D-048C72379B9E}"/>
    <cellStyle name="40% - Accent1 30 3 2 2 2 2" xfId="9786" xr:uid="{ED9DB034-AF49-4C96-897B-438B2E8F00C8}"/>
    <cellStyle name="40% - Accent1 30 3 2 2 3" xfId="9787" xr:uid="{C3E665C0-37F2-4189-A657-BBF3CEA3EF30}"/>
    <cellStyle name="40% - Accent1 30 3 2 3" xfId="9788" xr:uid="{876A0CB5-7958-4AC9-912E-F8CCA145A2E0}"/>
    <cellStyle name="40% - Accent1 30 3 2 3 2" xfId="9789" xr:uid="{C6DA0120-EC5D-4CD2-960B-F1F6802AD7E7}"/>
    <cellStyle name="40% - Accent1 30 3 2 3 2 2" xfId="9790" xr:uid="{508F5AEB-D39C-444B-A4FF-D85606CE46D3}"/>
    <cellStyle name="40% - Accent1 30 3 2 3 3" xfId="9791" xr:uid="{3BD33E80-9B90-40FC-87EC-C793DED5EBF3}"/>
    <cellStyle name="40% - Accent1 30 3 2 4" xfId="9792" xr:uid="{520A51C9-DC2F-44D3-BBBC-A79F9A3387BF}"/>
    <cellStyle name="40% - Accent1 30 3 2 4 2" xfId="9793" xr:uid="{01A99FB5-C8D5-4B7A-8A25-47E1FA8EE825}"/>
    <cellStyle name="40% - Accent1 30 3 2 5" xfId="9794" xr:uid="{EAB87107-5D19-4C1A-9119-E0AAEBE169D4}"/>
    <cellStyle name="40% - Accent1 30 3 3" xfId="9795" xr:uid="{AA345400-CC86-41D0-ABC7-0D07137992C3}"/>
    <cellStyle name="40% - Accent1 30 3 3 2" xfId="9796" xr:uid="{B69042EB-3803-4263-BE9E-194D3D531FF8}"/>
    <cellStyle name="40% - Accent1 30 3 3 2 2" xfId="9797" xr:uid="{6D6BBF0A-A802-4918-8862-23453CAF33AB}"/>
    <cellStyle name="40% - Accent1 30 3 3 3" xfId="9798" xr:uid="{FF430729-3520-4636-893E-CD32466249BF}"/>
    <cellStyle name="40% - Accent1 30 3 4" xfId="9799" xr:uid="{70A071C4-E4FA-4A54-B0FB-D19F28C72AE5}"/>
    <cellStyle name="40% - Accent1 30 3 4 2" xfId="9800" xr:uid="{3F0C7120-0E10-46D9-8499-EE6815ADC24F}"/>
    <cellStyle name="40% - Accent1 30 3 4 2 2" xfId="9801" xr:uid="{86B6B721-5C65-4861-852D-72F80DC9C010}"/>
    <cellStyle name="40% - Accent1 30 3 4 3" xfId="9802" xr:uid="{236300DF-2D47-407C-AB01-EE5230F34C3B}"/>
    <cellStyle name="40% - Accent1 30 3 5" xfId="9803" xr:uid="{0AC4F597-7269-4AC0-B2B5-7511EAFDF411}"/>
    <cellStyle name="40% - Accent1 30 3 5 2" xfId="9804" xr:uid="{21563DE5-B7D1-4B6F-AC91-5D34393F1219}"/>
    <cellStyle name="40% - Accent1 30 3 6" xfId="9805" xr:uid="{E46B4744-1D7B-4AED-90BF-6213BCFA98A2}"/>
    <cellStyle name="40% - Accent1 30 4" xfId="9806" xr:uid="{43774719-0C10-4D53-8C9C-7687EA334A8F}"/>
    <cellStyle name="40% - Accent1 30 4 2" xfId="9807" xr:uid="{E9E99BD9-2644-4CC8-9DC8-1630FB08F280}"/>
    <cellStyle name="40% - Accent1 30 4 2 2" xfId="9808" xr:uid="{A5684928-9D8C-4717-93AD-8C41C3162146}"/>
    <cellStyle name="40% - Accent1 30 4 2 2 2" xfId="9809" xr:uid="{BE7C98F5-4EBF-4031-AB5B-3A0996441704}"/>
    <cellStyle name="40% - Accent1 30 4 2 2 2 2" xfId="9810" xr:uid="{40F6CA3B-28C4-419A-AFEF-3372CE9DBFA4}"/>
    <cellStyle name="40% - Accent1 30 4 2 2 3" xfId="9811" xr:uid="{BCB59CF2-3C65-4E90-BE9C-C68505492FC8}"/>
    <cellStyle name="40% - Accent1 30 4 2 3" xfId="9812" xr:uid="{BD24C1FD-B698-44F1-8B81-D95D9D11FA5E}"/>
    <cellStyle name="40% - Accent1 30 4 2 3 2" xfId="9813" xr:uid="{D281CF0B-DADA-4E2C-B5E1-E7D4C9ABFD98}"/>
    <cellStyle name="40% - Accent1 30 4 2 3 2 2" xfId="9814" xr:uid="{E5AB3DAE-BACC-429F-B455-EA2867667DBB}"/>
    <cellStyle name="40% - Accent1 30 4 2 3 3" xfId="9815" xr:uid="{50DF7EA1-CFE6-4223-BC7B-B4FB76772BAA}"/>
    <cellStyle name="40% - Accent1 30 4 2 4" xfId="9816" xr:uid="{6811AEBB-BBE3-4341-90DA-E280EF0CBB14}"/>
    <cellStyle name="40% - Accent1 30 4 2 4 2" xfId="9817" xr:uid="{3B475590-482E-4672-B32B-C7330D1237DF}"/>
    <cellStyle name="40% - Accent1 30 4 2 5" xfId="9818" xr:uid="{10CE099E-471C-41C0-BAEA-DCEAF5694921}"/>
    <cellStyle name="40% - Accent1 30 4 3" xfId="9819" xr:uid="{17EFA0B3-F960-4E22-87C4-B8D7EBAC73D3}"/>
    <cellStyle name="40% - Accent1 30 4 3 2" xfId="9820" xr:uid="{89110B27-BC3A-4EDB-A196-3EA25C58F09A}"/>
    <cellStyle name="40% - Accent1 30 4 3 2 2" xfId="9821" xr:uid="{199B1817-86CF-46A2-9E4E-DFAE5CBD40C8}"/>
    <cellStyle name="40% - Accent1 30 4 3 3" xfId="9822" xr:uid="{08512479-806D-420F-8BF4-4E864A8F6810}"/>
    <cellStyle name="40% - Accent1 30 4 4" xfId="9823" xr:uid="{8545AE4D-B037-4E6F-BEE8-BAF25BC91A40}"/>
    <cellStyle name="40% - Accent1 30 4 4 2" xfId="9824" xr:uid="{F21699DC-F043-49EA-A78A-C99B288D9AC2}"/>
    <cellStyle name="40% - Accent1 30 4 4 2 2" xfId="9825" xr:uid="{B6504B57-E89F-4AFA-8003-6B891DB86270}"/>
    <cellStyle name="40% - Accent1 30 4 4 3" xfId="9826" xr:uid="{4F627D54-EF2F-4EA3-A017-5E44A603ECC4}"/>
    <cellStyle name="40% - Accent1 30 4 5" xfId="9827" xr:uid="{7C22B271-621B-4B5B-96FE-AFD30DE63368}"/>
    <cellStyle name="40% - Accent1 30 4 5 2" xfId="9828" xr:uid="{1D7E53DF-8EBD-43A3-8268-DB0F57B25B38}"/>
    <cellStyle name="40% - Accent1 30 4 6" xfId="9829" xr:uid="{15C6B7A8-A8AD-41BD-B93B-D73B1B3C836E}"/>
    <cellStyle name="40% - Accent1 30 5" xfId="9830" xr:uid="{1BE75F3E-78FD-475D-9D8E-6F1AD91F78D3}"/>
    <cellStyle name="40% - Accent1 30 5 2" xfId="9831" xr:uid="{B8F34476-7A6A-4627-BFEF-1584ECCC39C9}"/>
    <cellStyle name="40% - Accent1 30 5 2 2" xfId="9832" xr:uid="{697E618C-62CB-49C0-B9D4-E9E393B87830}"/>
    <cellStyle name="40% - Accent1 30 5 2 2 2" xfId="9833" xr:uid="{90BB9D95-FFC7-4650-9B32-316D0A863040}"/>
    <cellStyle name="40% - Accent1 30 5 2 2 2 2" xfId="9834" xr:uid="{BB6881E6-00A2-4C86-ADEF-727003EC2B77}"/>
    <cellStyle name="40% - Accent1 30 5 2 2 3" xfId="9835" xr:uid="{0AC3CFA7-C843-4FC7-A281-F964F7E15163}"/>
    <cellStyle name="40% - Accent1 30 5 2 3" xfId="9836" xr:uid="{5CB5DFC8-BC46-4F51-A988-38C90F04E058}"/>
    <cellStyle name="40% - Accent1 30 5 2 3 2" xfId="9837" xr:uid="{247B8CC0-6582-4D1C-9B18-01D3A277C9BD}"/>
    <cellStyle name="40% - Accent1 30 5 2 3 2 2" xfId="9838" xr:uid="{E98C3BEA-FA82-44E3-9878-6EED677865FC}"/>
    <cellStyle name="40% - Accent1 30 5 2 3 3" xfId="9839" xr:uid="{31966150-C940-4CC8-9EA1-8F5E8FA44FAE}"/>
    <cellStyle name="40% - Accent1 30 5 2 4" xfId="9840" xr:uid="{0DDE3328-2C2B-4BDF-9421-937571619A27}"/>
    <cellStyle name="40% - Accent1 30 5 2 4 2" xfId="9841" xr:uid="{2B873FF8-6011-4790-8EF0-FF960080D3CB}"/>
    <cellStyle name="40% - Accent1 30 5 2 5" xfId="9842" xr:uid="{3F210593-6CD4-43C2-94C4-4282BDC087A8}"/>
    <cellStyle name="40% - Accent1 30 5 3" xfId="9843" xr:uid="{77946652-FFAB-4B7E-B87D-F20CB20B3230}"/>
    <cellStyle name="40% - Accent1 30 5 3 2" xfId="9844" xr:uid="{EE07BB2A-C694-475A-835D-9A15B10305D7}"/>
    <cellStyle name="40% - Accent1 30 5 3 2 2" xfId="9845" xr:uid="{831169FA-F3AA-4180-9175-F110ADE6B918}"/>
    <cellStyle name="40% - Accent1 30 5 3 3" xfId="9846" xr:uid="{79E3299D-6190-4E67-A640-0EFD4823105D}"/>
    <cellStyle name="40% - Accent1 30 5 4" xfId="9847" xr:uid="{7EA5CFBC-415A-4127-8B8C-F2B0B1C13F18}"/>
    <cellStyle name="40% - Accent1 30 5 4 2" xfId="9848" xr:uid="{888077B9-E946-46DE-BFEF-8B7DE891B3DA}"/>
    <cellStyle name="40% - Accent1 30 5 4 2 2" xfId="9849" xr:uid="{120481BB-C026-4195-AC02-62D3CA5A8435}"/>
    <cellStyle name="40% - Accent1 30 5 4 3" xfId="9850" xr:uid="{EAEA9101-7388-49D8-BC0A-E8BE3AA17446}"/>
    <cellStyle name="40% - Accent1 30 5 5" xfId="9851" xr:uid="{B8AFDCF7-995A-4A7B-BBF6-CB5749DA4BE6}"/>
    <cellStyle name="40% - Accent1 30 5 5 2" xfId="9852" xr:uid="{9FCF91BD-5A53-401D-B64F-1B16FFDD9259}"/>
    <cellStyle name="40% - Accent1 30 5 6" xfId="9853" xr:uid="{5042D1B2-F2C8-49AE-A06F-505E1AF1FBBA}"/>
    <cellStyle name="40% - Accent1 30 6" xfId="9854" xr:uid="{A8D8378C-D14D-4320-B935-97B14D61F4A4}"/>
    <cellStyle name="40% - Accent1 30 6 2" xfId="9855" xr:uid="{5CAA8149-35C4-45CA-9C21-98E428F9D0CE}"/>
    <cellStyle name="40% - Accent1 30 6 2 2" xfId="9856" xr:uid="{8601C337-2B0C-4524-8847-97D495301474}"/>
    <cellStyle name="40% - Accent1 30 6 2 2 2" xfId="9857" xr:uid="{6AB03248-2830-4774-80B5-9ABB7DC50F02}"/>
    <cellStyle name="40% - Accent1 30 6 2 2 2 2" xfId="9858" xr:uid="{0883BB1E-BF5F-4508-BBE4-6FA98798DF9F}"/>
    <cellStyle name="40% - Accent1 30 6 2 2 3" xfId="9859" xr:uid="{CA9BDB3E-8265-4125-B7B5-91DC53963D3A}"/>
    <cellStyle name="40% - Accent1 30 6 2 3" xfId="9860" xr:uid="{4A3E055B-D055-49A9-9FA7-36E48FD55FB2}"/>
    <cellStyle name="40% - Accent1 30 6 2 3 2" xfId="9861" xr:uid="{004608CC-BF13-4EDB-9402-4BAA59E91CDC}"/>
    <cellStyle name="40% - Accent1 30 6 2 3 2 2" xfId="9862" xr:uid="{944F0AF0-A1F2-4B54-A552-095B57BC3B64}"/>
    <cellStyle name="40% - Accent1 30 6 2 3 3" xfId="9863" xr:uid="{40270C18-243C-409C-8453-AE71AA381AFF}"/>
    <cellStyle name="40% - Accent1 30 6 2 4" xfId="9864" xr:uid="{E378B4A3-0D1D-4470-BD21-F90509F54C1C}"/>
    <cellStyle name="40% - Accent1 30 6 2 4 2" xfId="9865" xr:uid="{EAAF295C-135D-4849-BC2F-C6751708C347}"/>
    <cellStyle name="40% - Accent1 30 6 2 5" xfId="9866" xr:uid="{CA022F85-D99C-4ACE-B139-07A89AA4A649}"/>
    <cellStyle name="40% - Accent1 30 6 3" xfId="9867" xr:uid="{667523CB-56BC-4113-9A14-4248D2D73C7D}"/>
    <cellStyle name="40% - Accent1 30 6 3 2" xfId="9868" xr:uid="{5BE61C16-DD68-44FA-B0AC-493F57C6C9CF}"/>
    <cellStyle name="40% - Accent1 30 6 3 2 2" xfId="9869" xr:uid="{F0AD8AA7-BE3E-4D00-B23F-38472E8A9AD5}"/>
    <cellStyle name="40% - Accent1 30 6 3 3" xfId="9870" xr:uid="{C2AB1D2B-3E5D-42CD-A1FE-6A6331B96536}"/>
    <cellStyle name="40% - Accent1 30 6 4" xfId="9871" xr:uid="{2973C478-D847-4997-8C24-89B90A974D43}"/>
    <cellStyle name="40% - Accent1 30 6 4 2" xfId="9872" xr:uid="{B2A863AB-21F4-46CD-8783-C401B4048A88}"/>
    <cellStyle name="40% - Accent1 30 6 4 2 2" xfId="9873" xr:uid="{CB0FCC11-67E3-4704-8AEF-E611A8C54431}"/>
    <cellStyle name="40% - Accent1 30 6 4 3" xfId="9874" xr:uid="{CF4F57BC-F55B-4A23-B91A-880658F63D81}"/>
    <cellStyle name="40% - Accent1 30 6 5" xfId="9875" xr:uid="{A1F9F94A-A11A-4E08-BBE1-41D934555C7A}"/>
    <cellStyle name="40% - Accent1 30 6 5 2" xfId="9876" xr:uid="{B8B40392-DFA9-4651-B75D-B43C9E55FE49}"/>
    <cellStyle name="40% - Accent1 30 6 6" xfId="9877" xr:uid="{76BC0C72-2153-4851-951F-0779EB3E8C58}"/>
    <cellStyle name="40% - Accent1 30 7" xfId="9878" xr:uid="{E97DA5BB-E6E1-49FC-96B6-14EBC0361DDE}"/>
    <cellStyle name="40% - Accent1 30 7 2" xfId="9879" xr:uid="{6567C2BB-5C75-4384-B5E6-73E26468BEC8}"/>
    <cellStyle name="40% - Accent1 30 7 2 2" xfId="9880" xr:uid="{D0F1CAB7-434B-4883-9B5E-3C2C4AA1AA93}"/>
    <cellStyle name="40% - Accent1 30 7 2 2 2" xfId="9881" xr:uid="{48F73B8D-0913-4B2D-96A2-15A79E5E55A6}"/>
    <cellStyle name="40% - Accent1 30 7 2 2 2 2" xfId="9882" xr:uid="{C818FD8B-3FB4-4554-B385-24D2B438BED8}"/>
    <cellStyle name="40% - Accent1 30 7 2 2 3" xfId="9883" xr:uid="{56A62D83-1E24-4074-B5C3-9888ADD54B01}"/>
    <cellStyle name="40% - Accent1 30 7 2 3" xfId="9884" xr:uid="{7415F0D5-B5DB-49E9-B020-1918EC686041}"/>
    <cellStyle name="40% - Accent1 30 7 2 3 2" xfId="9885" xr:uid="{FFB09979-6BC8-4750-B68B-59E2D812DA74}"/>
    <cellStyle name="40% - Accent1 30 7 2 3 2 2" xfId="9886" xr:uid="{8BB3052F-EFFD-4387-8FB8-06872A513AFC}"/>
    <cellStyle name="40% - Accent1 30 7 2 3 3" xfId="9887" xr:uid="{D043A82A-52BC-424A-A9B5-0B28294895B7}"/>
    <cellStyle name="40% - Accent1 30 7 2 4" xfId="9888" xr:uid="{62503CFC-9CAE-4D66-8054-1C6D82CC5110}"/>
    <cellStyle name="40% - Accent1 30 7 2 4 2" xfId="9889" xr:uid="{49B8F433-0178-4515-98A5-F65EF9196C00}"/>
    <cellStyle name="40% - Accent1 30 7 2 5" xfId="9890" xr:uid="{CE625F53-CA82-469E-AE80-F1D0FB95892F}"/>
    <cellStyle name="40% - Accent1 30 7 3" xfId="9891" xr:uid="{EEA58678-3CD0-408B-8FD8-E56ABD5AD852}"/>
    <cellStyle name="40% - Accent1 30 7 3 2" xfId="9892" xr:uid="{341FCB59-126F-4DC6-A06D-6742F018AE0B}"/>
    <cellStyle name="40% - Accent1 30 7 3 2 2" xfId="9893" xr:uid="{59A69F30-15A5-415E-AACC-97F21CDBC0AB}"/>
    <cellStyle name="40% - Accent1 30 7 3 3" xfId="9894" xr:uid="{AED01D20-310D-4CEA-B890-189D87BF6724}"/>
    <cellStyle name="40% - Accent1 30 7 4" xfId="9895" xr:uid="{14BF11B6-40E2-4B67-A6CB-701BB45785B4}"/>
    <cellStyle name="40% - Accent1 30 7 4 2" xfId="9896" xr:uid="{8958379B-E021-4294-8CAA-98B2C735253C}"/>
    <cellStyle name="40% - Accent1 30 7 4 2 2" xfId="9897" xr:uid="{4D0B94EA-13E2-4D9F-9A03-3F3E7FCE33B4}"/>
    <cellStyle name="40% - Accent1 30 7 4 3" xfId="9898" xr:uid="{1BBB1DF5-5DC4-4783-94EC-21D8BC963B31}"/>
    <cellStyle name="40% - Accent1 30 7 5" xfId="9899" xr:uid="{46102739-21E7-485E-8C14-07CBC6D3308A}"/>
    <cellStyle name="40% - Accent1 30 7 5 2" xfId="9900" xr:uid="{5D61D49F-3E3A-4A14-982A-D4724A3FAC2A}"/>
    <cellStyle name="40% - Accent1 30 7 6" xfId="9901" xr:uid="{94710F44-A10C-468F-8CE0-B264FA821EE9}"/>
    <cellStyle name="40% - Accent1 30 8" xfId="9902" xr:uid="{1CF5D510-245B-4987-91B0-F59FE98E4A07}"/>
    <cellStyle name="40% - Accent1 30 8 2" xfId="9903" xr:uid="{1379DC3B-276B-4D81-A054-84DE356D0A52}"/>
    <cellStyle name="40% - Accent1 30 8 2 2" xfId="9904" xr:uid="{CBABE355-0DFD-442B-A43C-490267163E0B}"/>
    <cellStyle name="40% - Accent1 30 8 2 2 2" xfId="9905" xr:uid="{9E407183-A0C0-4383-AD20-8A5DEEDEBFE4}"/>
    <cellStyle name="40% - Accent1 30 8 2 2 2 2" xfId="9906" xr:uid="{B6FD86A6-B378-46F6-A8F9-A39C62852BD6}"/>
    <cellStyle name="40% - Accent1 30 8 2 2 3" xfId="9907" xr:uid="{FD7B1C04-0BFA-4BC6-ADEA-0BE8F324AF5E}"/>
    <cellStyle name="40% - Accent1 30 8 2 3" xfId="9908" xr:uid="{92D0F6A0-F788-4789-A7CF-A461EF738681}"/>
    <cellStyle name="40% - Accent1 30 8 2 3 2" xfId="9909" xr:uid="{38073F6A-E80B-4E04-BA96-E07AED27CB47}"/>
    <cellStyle name="40% - Accent1 30 8 2 3 2 2" xfId="9910" xr:uid="{1D9CAC4D-F477-4225-BEAA-FBC97F3300AB}"/>
    <cellStyle name="40% - Accent1 30 8 2 3 3" xfId="9911" xr:uid="{8398A14C-0FDB-4494-8163-D28A6E77457A}"/>
    <cellStyle name="40% - Accent1 30 8 2 4" xfId="9912" xr:uid="{2AD06835-C69A-46EE-BEB8-669CDF1ACB2F}"/>
    <cellStyle name="40% - Accent1 30 8 2 4 2" xfId="9913" xr:uid="{1D320DEF-70A3-40F4-8864-DE10053BDF14}"/>
    <cellStyle name="40% - Accent1 30 8 2 5" xfId="9914" xr:uid="{CA6F1C1E-C912-47D2-AFF4-FDBF0A2ADFE1}"/>
    <cellStyle name="40% - Accent1 30 8 3" xfId="9915" xr:uid="{DE285866-6C38-477D-A2C4-A82D10553443}"/>
    <cellStyle name="40% - Accent1 30 8 3 2" xfId="9916" xr:uid="{AE281238-8B56-4E2A-AF22-7563E1E072A3}"/>
    <cellStyle name="40% - Accent1 30 8 3 2 2" xfId="9917" xr:uid="{ECC9F2E9-DB02-45CF-8899-8FFDDD4D8E41}"/>
    <cellStyle name="40% - Accent1 30 8 3 3" xfId="9918" xr:uid="{E62D0B5D-63AD-4155-880B-F2A552CF5CC0}"/>
    <cellStyle name="40% - Accent1 30 8 4" xfId="9919" xr:uid="{9CE24953-199F-499B-85FA-74E2A4DB9C79}"/>
    <cellStyle name="40% - Accent1 30 8 4 2" xfId="9920" xr:uid="{A5D03C60-F1EE-41C3-B2D9-AFBB812561D0}"/>
    <cellStyle name="40% - Accent1 30 8 4 2 2" xfId="9921" xr:uid="{44F76843-4ED6-4015-B550-DB36D37A7863}"/>
    <cellStyle name="40% - Accent1 30 8 4 3" xfId="9922" xr:uid="{307D4BD9-4141-4C61-A1CD-764474F9E9BB}"/>
    <cellStyle name="40% - Accent1 30 8 5" xfId="9923" xr:uid="{D071ACF1-434A-4517-B7FB-1B71A24032E1}"/>
    <cellStyle name="40% - Accent1 30 8 5 2" xfId="9924" xr:uid="{FF41DDFD-882F-4A36-AC4F-37E1D734FCE3}"/>
    <cellStyle name="40% - Accent1 30 8 6" xfId="9925" xr:uid="{94D18000-8388-482D-AFCF-2D1EC8723254}"/>
    <cellStyle name="40% - Accent1 30 9" xfId="9926" xr:uid="{FBA5D5B4-BEEE-4117-B3DC-6DB53444AD69}"/>
    <cellStyle name="40% - Accent1 30 9 2" xfId="9927" xr:uid="{C221D259-5DE7-4014-91DB-BF89662584A9}"/>
    <cellStyle name="40% - Accent1 30 9 2 2" xfId="9928" xr:uid="{A6ACC605-9863-40B9-B909-157BE499D44A}"/>
    <cellStyle name="40% - Accent1 30 9 2 2 2" xfId="9929" xr:uid="{CC993C9F-15A4-46C1-A721-23A91F00AB6F}"/>
    <cellStyle name="40% - Accent1 30 9 2 2 2 2" xfId="9930" xr:uid="{706CF6F9-1F09-43BC-90B0-DF8AB4D3BDFC}"/>
    <cellStyle name="40% - Accent1 30 9 2 2 3" xfId="9931" xr:uid="{C4D5CD4B-7BF0-46AD-AEF1-014BC578523E}"/>
    <cellStyle name="40% - Accent1 30 9 2 3" xfId="9932" xr:uid="{26A7C512-2FFB-4349-9EDB-4A9575C12FFB}"/>
    <cellStyle name="40% - Accent1 30 9 2 3 2" xfId="9933" xr:uid="{8AEE5C7F-2BFB-42A6-8671-FCA66D24CB67}"/>
    <cellStyle name="40% - Accent1 30 9 2 3 2 2" xfId="9934" xr:uid="{3B7235CD-5CEB-4076-9963-A554958284E0}"/>
    <cellStyle name="40% - Accent1 30 9 2 3 3" xfId="9935" xr:uid="{6F59E85A-23D5-47CF-8F16-752E82BC6A86}"/>
    <cellStyle name="40% - Accent1 30 9 2 4" xfId="9936" xr:uid="{D2FAAD28-8A26-4E8C-B78F-B9BB42480BDF}"/>
    <cellStyle name="40% - Accent1 30 9 2 4 2" xfId="9937" xr:uid="{1FEB1BEB-0BA9-40AF-85C3-CAC9CC0A1842}"/>
    <cellStyle name="40% - Accent1 30 9 2 5" xfId="9938" xr:uid="{6553B8E0-BA40-49EC-8C4F-B5F6E12443C4}"/>
    <cellStyle name="40% - Accent1 30 9 3" xfId="9939" xr:uid="{C1FF4C05-0B9D-4073-A566-96CB13022B2A}"/>
    <cellStyle name="40% - Accent1 30 9 3 2" xfId="9940" xr:uid="{31D96BCB-FEA9-49C9-BB07-1B47F1D2D09D}"/>
    <cellStyle name="40% - Accent1 30 9 3 2 2" xfId="9941" xr:uid="{09E2E845-3EB6-47BC-971A-9DE3553CC5A5}"/>
    <cellStyle name="40% - Accent1 30 9 3 3" xfId="9942" xr:uid="{721415D4-E9EB-4484-97DE-B2FF5676E2BE}"/>
    <cellStyle name="40% - Accent1 30 9 4" xfId="9943" xr:uid="{1689E779-C449-4CC0-9C9C-AF512922FC25}"/>
    <cellStyle name="40% - Accent1 30 9 4 2" xfId="9944" xr:uid="{7BD71654-870D-4266-9481-088105E7492E}"/>
    <cellStyle name="40% - Accent1 30 9 4 2 2" xfId="9945" xr:uid="{F6531BF7-104D-4016-83CE-3CC96DB8994B}"/>
    <cellStyle name="40% - Accent1 30 9 4 3" xfId="9946" xr:uid="{A82A5E63-6B44-4E0B-A8E4-C7C4A722D088}"/>
    <cellStyle name="40% - Accent1 30 9 5" xfId="9947" xr:uid="{B84EC7A0-F951-4E3A-A476-D60D156A290E}"/>
    <cellStyle name="40% - Accent1 30 9 5 2" xfId="9948" xr:uid="{28ABD24B-47CF-4EA3-8DEA-576616FD2592}"/>
    <cellStyle name="40% - Accent1 30 9 6" xfId="9949" xr:uid="{A8DE9A4A-9FED-491A-AE1F-672B8E763598}"/>
    <cellStyle name="40% - Accent1 31" xfId="9950" xr:uid="{0EC4DD56-6D03-4EC1-8E20-B83626C88374}"/>
    <cellStyle name="40% - Accent1 31 10" xfId="9951" xr:uid="{C3E4F189-01B1-42FD-B8F9-A516159E34C5}"/>
    <cellStyle name="40% - Accent1 31 10 2" xfId="9952" xr:uid="{057C8C5D-D9BA-4A28-8EF3-825596D4A6F2}"/>
    <cellStyle name="40% - Accent1 31 10 2 2" xfId="9953" xr:uid="{293FBF8F-D4C9-461F-839A-DFCC07DF52D1}"/>
    <cellStyle name="40% - Accent1 31 10 2 2 2" xfId="9954" xr:uid="{03DAE2BD-D52B-4137-A961-311F136C4DB5}"/>
    <cellStyle name="40% - Accent1 31 10 2 2 2 2" xfId="9955" xr:uid="{B0AF170A-703F-4CAE-BE38-C56682118DF4}"/>
    <cellStyle name="40% - Accent1 31 10 2 2 3" xfId="9956" xr:uid="{6119D1BC-D4FF-4DE3-B860-CA5F6B64AC17}"/>
    <cellStyle name="40% - Accent1 31 10 2 3" xfId="9957" xr:uid="{AF148D71-AC88-450C-B6BA-B58D555B7DDD}"/>
    <cellStyle name="40% - Accent1 31 10 2 3 2" xfId="9958" xr:uid="{3061D507-FC01-4FA7-B8DA-DA83E4484C71}"/>
    <cellStyle name="40% - Accent1 31 10 2 3 2 2" xfId="9959" xr:uid="{BFA9B2E8-37B5-42C0-B9F7-F140BBD1013B}"/>
    <cellStyle name="40% - Accent1 31 10 2 3 3" xfId="9960" xr:uid="{78C6465D-3229-41C8-89EA-75D8EB4B78E2}"/>
    <cellStyle name="40% - Accent1 31 10 2 4" xfId="9961" xr:uid="{98AC9C8E-E120-430F-9D65-62C63D973516}"/>
    <cellStyle name="40% - Accent1 31 10 2 4 2" xfId="9962" xr:uid="{FC7975CD-6983-4B7B-B870-2CEC6B7AD0B7}"/>
    <cellStyle name="40% - Accent1 31 10 2 5" xfId="9963" xr:uid="{415D18CD-5229-4C18-AF95-98B69DB18169}"/>
    <cellStyle name="40% - Accent1 31 10 3" xfId="9964" xr:uid="{6D6F2E75-AEC9-4867-A5E0-2D2AE6F68DEA}"/>
    <cellStyle name="40% - Accent1 31 10 3 2" xfId="9965" xr:uid="{0E0E9F8C-25D4-4B4D-B6C9-9866491DFB66}"/>
    <cellStyle name="40% - Accent1 31 10 3 2 2" xfId="9966" xr:uid="{1F5C0245-F66B-4465-B066-EADCD7325652}"/>
    <cellStyle name="40% - Accent1 31 10 3 3" xfId="9967" xr:uid="{5594B073-4642-48D7-A08D-7E5DA1747F4E}"/>
    <cellStyle name="40% - Accent1 31 10 4" xfId="9968" xr:uid="{58EA56E4-2CB9-47FB-8814-1E1F990EC616}"/>
    <cellStyle name="40% - Accent1 31 10 4 2" xfId="9969" xr:uid="{DEB39736-99BD-4A69-8AD0-FEB7C4D7D3BB}"/>
    <cellStyle name="40% - Accent1 31 10 4 2 2" xfId="9970" xr:uid="{84FB983E-2257-4CA7-8455-18F02C2FF02A}"/>
    <cellStyle name="40% - Accent1 31 10 4 3" xfId="9971" xr:uid="{968D1DE2-DD71-4945-A4D1-748A0D41A6DB}"/>
    <cellStyle name="40% - Accent1 31 10 5" xfId="9972" xr:uid="{7EC12F69-74BC-482C-9F8E-90B95FB241E0}"/>
    <cellStyle name="40% - Accent1 31 10 5 2" xfId="9973" xr:uid="{9F5BE8D8-C84E-405B-8DF2-4F8CBDCACA86}"/>
    <cellStyle name="40% - Accent1 31 10 6" xfId="9974" xr:uid="{9A16A749-32C1-406A-9726-5190D2EDC5EA}"/>
    <cellStyle name="40% - Accent1 31 11" xfId="9975" xr:uid="{0F6B9F08-79D0-4CB1-9D41-05B4C7C6CE3F}"/>
    <cellStyle name="40% - Accent1 31 11 2" xfId="9976" xr:uid="{D1A5959F-4ED4-47F5-B327-A7C4FD00514D}"/>
    <cellStyle name="40% - Accent1 31 11 2 2" xfId="9977" xr:uid="{698AEAB5-E366-4034-86E5-34AA4A530C91}"/>
    <cellStyle name="40% - Accent1 31 11 2 2 2" xfId="9978" xr:uid="{D243C0CB-57D5-48B0-89D4-B6EE03EBAE15}"/>
    <cellStyle name="40% - Accent1 31 11 2 3" xfId="9979" xr:uid="{8D612679-47A1-4594-90C0-96964C60A6A5}"/>
    <cellStyle name="40% - Accent1 31 11 3" xfId="9980" xr:uid="{7DBCD8AA-6505-4DB9-95A6-85FFB3364485}"/>
    <cellStyle name="40% - Accent1 31 11 3 2" xfId="9981" xr:uid="{E25B8C1E-3BF5-4B98-9B14-821DCC5D4029}"/>
    <cellStyle name="40% - Accent1 31 11 3 2 2" xfId="9982" xr:uid="{4BBB3420-02A2-4DB5-B66E-684EA8AFE990}"/>
    <cellStyle name="40% - Accent1 31 11 3 3" xfId="9983" xr:uid="{96605436-51BB-43A0-9454-04921EBB9265}"/>
    <cellStyle name="40% - Accent1 31 11 4" xfId="9984" xr:uid="{86A9BEF1-37B1-4A26-ABC1-0B1EDC21DA2E}"/>
    <cellStyle name="40% - Accent1 31 11 4 2" xfId="9985" xr:uid="{67EA330E-FC87-4953-9FF6-40DCB676C2EB}"/>
    <cellStyle name="40% - Accent1 31 11 5" xfId="9986" xr:uid="{F8ADF20C-BEC6-4C54-A962-A94167AEAF27}"/>
    <cellStyle name="40% - Accent1 31 12" xfId="9987" xr:uid="{771DE3D2-50E1-49B5-80ED-DFDAF3F51CD7}"/>
    <cellStyle name="40% - Accent1 31 12 2" xfId="9988" xr:uid="{56239CBC-5878-4A92-9AED-C9175BC385E9}"/>
    <cellStyle name="40% - Accent1 31 12 2 2" xfId="9989" xr:uid="{2225D62E-5FFB-4391-8862-BACB1763EE61}"/>
    <cellStyle name="40% - Accent1 31 12 3" xfId="9990" xr:uid="{18470590-5435-427C-9A55-EA415F9719BD}"/>
    <cellStyle name="40% - Accent1 31 13" xfId="9991" xr:uid="{F9C42AE4-6E90-48CA-9F91-01AB5D96FD11}"/>
    <cellStyle name="40% - Accent1 31 13 2" xfId="9992" xr:uid="{3B4E266A-5514-41EF-8A5A-CC2A7BF09DC4}"/>
    <cellStyle name="40% - Accent1 31 13 2 2" xfId="9993" xr:uid="{AE73DF2A-2BA3-42E0-A005-208390CFFA57}"/>
    <cellStyle name="40% - Accent1 31 13 3" xfId="9994" xr:uid="{70EB0F72-E82B-43E8-A45B-544FC2025A9D}"/>
    <cellStyle name="40% - Accent1 31 14" xfId="9995" xr:uid="{59F70830-317D-4D1E-A4C6-E5501D621CCF}"/>
    <cellStyle name="40% - Accent1 31 14 2" xfId="9996" xr:uid="{E809ED8F-DD8F-401C-B7E6-372B7E86B69C}"/>
    <cellStyle name="40% - Accent1 31 15" xfId="9997" xr:uid="{16FE31E4-9FB0-4BAB-8256-C1F45DC1FE07}"/>
    <cellStyle name="40% - Accent1 31 16" xfId="36759" xr:uid="{1601FA35-6266-4331-B448-2AF5D43FC932}"/>
    <cellStyle name="40% - Accent1 31 2" xfId="9998" xr:uid="{F81EEE0D-123E-46F7-A2E6-19C64A71668D}"/>
    <cellStyle name="40% - Accent1 31 2 2" xfId="9999" xr:uid="{ECB780E2-01A7-4BCC-B763-9AB48CFBF8CF}"/>
    <cellStyle name="40% - Accent1 31 2 2 2" xfId="10000" xr:uid="{B00B82E9-C4CC-4590-A0BB-A366CAB9D41E}"/>
    <cellStyle name="40% - Accent1 31 2 2 2 2" xfId="10001" xr:uid="{5473F7CD-D2E9-4BA4-A770-9725DA04CA9E}"/>
    <cellStyle name="40% - Accent1 31 2 2 2 2 2" xfId="10002" xr:uid="{62828A18-05A5-4C92-9690-738C47C13FFD}"/>
    <cellStyle name="40% - Accent1 31 2 2 2 3" xfId="10003" xr:uid="{090EFCA2-7706-4A8B-A280-6701AECC2319}"/>
    <cellStyle name="40% - Accent1 31 2 2 3" xfId="10004" xr:uid="{19EEBEDF-53EC-40D0-8FCF-5E6A2CBF8B74}"/>
    <cellStyle name="40% - Accent1 31 2 2 3 2" xfId="10005" xr:uid="{5E1F6BA1-C8EC-4039-8FEF-E5E28DD8EFCE}"/>
    <cellStyle name="40% - Accent1 31 2 2 3 2 2" xfId="10006" xr:uid="{59F0BBE9-D2E6-4B9D-B66C-BEFFBB494399}"/>
    <cellStyle name="40% - Accent1 31 2 2 3 3" xfId="10007" xr:uid="{9C6DC1F4-93ED-43C4-A49B-C6F124D9DABA}"/>
    <cellStyle name="40% - Accent1 31 2 2 4" xfId="10008" xr:uid="{5A813100-F6E7-4903-AEF6-A96E789A04D2}"/>
    <cellStyle name="40% - Accent1 31 2 2 4 2" xfId="10009" xr:uid="{8141A727-B0BB-4923-8477-3E8517304127}"/>
    <cellStyle name="40% - Accent1 31 2 2 5" xfId="10010" xr:uid="{35127835-6411-4DE7-876F-423EAEB25201}"/>
    <cellStyle name="40% - Accent1 31 2 3" xfId="10011" xr:uid="{0A632C87-B38D-4DE2-B1DA-B39D1A1C0A61}"/>
    <cellStyle name="40% - Accent1 31 2 3 2" xfId="10012" xr:uid="{36624AC9-B6F8-45D6-A1B8-AC402A8D82FC}"/>
    <cellStyle name="40% - Accent1 31 2 3 2 2" xfId="10013" xr:uid="{56329427-7D3E-4264-B32A-E242C64B1F71}"/>
    <cellStyle name="40% - Accent1 31 2 3 3" xfId="10014" xr:uid="{71D99745-CAB0-49D4-B3A2-67D090C6B637}"/>
    <cellStyle name="40% - Accent1 31 2 4" xfId="10015" xr:uid="{26BC1A91-F4ED-4C3E-9362-AF08F97397AE}"/>
    <cellStyle name="40% - Accent1 31 2 4 2" xfId="10016" xr:uid="{A150D1C8-5844-4327-A9E9-4B04A9C8822F}"/>
    <cellStyle name="40% - Accent1 31 2 4 2 2" xfId="10017" xr:uid="{519291C4-6142-4F0D-9D22-D45B79BD4900}"/>
    <cellStyle name="40% - Accent1 31 2 4 3" xfId="10018" xr:uid="{810B84C0-2526-4437-B56F-7B9CF8F39567}"/>
    <cellStyle name="40% - Accent1 31 2 5" xfId="10019" xr:uid="{CE22B06B-1A22-490B-8EDE-B859883F98A4}"/>
    <cellStyle name="40% - Accent1 31 2 5 2" xfId="10020" xr:uid="{A5134F4D-7D52-4A1A-AADF-4F5731E2F6AA}"/>
    <cellStyle name="40% - Accent1 31 2 6" xfId="10021" xr:uid="{7F4F1090-CC26-4E82-9394-32E468A79F0D}"/>
    <cellStyle name="40% - Accent1 31 3" xfId="10022" xr:uid="{4CDAA87F-B43F-41C8-9452-814BC04C3891}"/>
    <cellStyle name="40% - Accent1 31 3 2" xfId="10023" xr:uid="{E0C555A2-3BA9-4E9F-81F6-432D04F681BD}"/>
    <cellStyle name="40% - Accent1 31 3 2 2" xfId="10024" xr:uid="{74417062-E86F-455D-8990-99942829C5D7}"/>
    <cellStyle name="40% - Accent1 31 3 2 2 2" xfId="10025" xr:uid="{823E0364-4EF5-47F3-9DEE-2F7FB80A97CC}"/>
    <cellStyle name="40% - Accent1 31 3 2 2 2 2" xfId="10026" xr:uid="{76FFBE81-7E98-4655-A4A2-044356A7DEE9}"/>
    <cellStyle name="40% - Accent1 31 3 2 2 3" xfId="10027" xr:uid="{60DCA982-C002-4C95-A90E-4077CC9DABC0}"/>
    <cellStyle name="40% - Accent1 31 3 2 3" xfId="10028" xr:uid="{774F8465-7DB3-401A-9AE9-8A9A096FB290}"/>
    <cellStyle name="40% - Accent1 31 3 2 3 2" xfId="10029" xr:uid="{4F5F8D36-879E-4001-971F-83A48885C451}"/>
    <cellStyle name="40% - Accent1 31 3 2 3 2 2" xfId="10030" xr:uid="{BB9E3321-9F57-4A3F-9EA2-9F80890ABA54}"/>
    <cellStyle name="40% - Accent1 31 3 2 3 3" xfId="10031" xr:uid="{CA667D4C-5F5B-4AD6-B090-6B996A55784D}"/>
    <cellStyle name="40% - Accent1 31 3 2 4" xfId="10032" xr:uid="{5AFA4986-233B-4CB7-955E-ED07066C0286}"/>
    <cellStyle name="40% - Accent1 31 3 2 4 2" xfId="10033" xr:uid="{5D7C31EC-6535-4BCF-ADF2-C57433BCE525}"/>
    <cellStyle name="40% - Accent1 31 3 2 5" xfId="10034" xr:uid="{7F7F3013-0FF7-4F8E-873D-97CA520C606F}"/>
    <cellStyle name="40% - Accent1 31 3 3" xfId="10035" xr:uid="{FC86688D-7A11-40F4-A5D1-B4D4E5E5CCB9}"/>
    <cellStyle name="40% - Accent1 31 3 3 2" xfId="10036" xr:uid="{A7C053C1-DD81-461C-946B-097B18F9F791}"/>
    <cellStyle name="40% - Accent1 31 3 3 2 2" xfId="10037" xr:uid="{9E3D09F8-1CCE-41AF-ABB6-CC57FCADB215}"/>
    <cellStyle name="40% - Accent1 31 3 3 3" xfId="10038" xr:uid="{27B8E901-F6B8-49F5-8BDD-A54BE164B4B3}"/>
    <cellStyle name="40% - Accent1 31 3 4" xfId="10039" xr:uid="{5DAEC45A-BA68-4BA1-B470-EC6D19FB9665}"/>
    <cellStyle name="40% - Accent1 31 3 4 2" xfId="10040" xr:uid="{54B3FB51-248C-4C6A-BD9F-6D2798F71628}"/>
    <cellStyle name="40% - Accent1 31 3 4 2 2" xfId="10041" xr:uid="{1648ABE9-2AAF-4785-99FF-47B0AEB9903D}"/>
    <cellStyle name="40% - Accent1 31 3 4 3" xfId="10042" xr:uid="{1292CCC1-614D-491A-AC71-C25C34CC4F03}"/>
    <cellStyle name="40% - Accent1 31 3 5" xfId="10043" xr:uid="{86C95198-17B7-4B0C-89C3-8E1F54C9A8D1}"/>
    <cellStyle name="40% - Accent1 31 3 5 2" xfId="10044" xr:uid="{71A2C1D5-0A73-424A-A997-BD5171278EFF}"/>
    <cellStyle name="40% - Accent1 31 3 6" xfId="10045" xr:uid="{4B7F2473-A36D-484C-B4FF-60FA01421737}"/>
    <cellStyle name="40% - Accent1 31 4" xfId="10046" xr:uid="{06BA1B03-D399-46AA-B914-C10D899AA0DE}"/>
    <cellStyle name="40% - Accent1 31 4 2" xfId="10047" xr:uid="{ADE4795E-2613-4879-8ADA-4099A024D4C9}"/>
    <cellStyle name="40% - Accent1 31 4 2 2" xfId="10048" xr:uid="{F9C620FA-4C87-48A1-9005-288394129877}"/>
    <cellStyle name="40% - Accent1 31 4 2 2 2" xfId="10049" xr:uid="{A81D28F6-16B7-4C47-A7C6-945E0CE0660F}"/>
    <cellStyle name="40% - Accent1 31 4 2 2 2 2" xfId="10050" xr:uid="{387D52FB-1F16-40E0-A802-154700727359}"/>
    <cellStyle name="40% - Accent1 31 4 2 2 3" xfId="10051" xr:uid="{F07619DA-78E0-4557-8642-A45EC5D82A35}"/>
    <cellStyle name="40% - Accent1 31 4 2 3" xfId="10052" xr:uid="{EAE96A9A-4E40-4AE5-92F0-2625F327EF8E}"/>
    <cellStyle name="40% - Accent1 31 4 2 3 2" xfId="10053" xr:uid="{3DA534AA-AEC4-4FEE-AF75-C722271FBE0D}"/>
    <cellStyle name="40% - Accent1 31 4 2 3 2 2" xfId="10054" xr:uid="{CA40DA91-12A6-40DD-8064-2EE626D23F53}"/>
    <cellStyle name="40% - Accent1 31 4 2 3 3" xfId="10055" xr:uid="{D96BA374-FDDD-4CD7-9A3C-E835C0551331}"/>
    <cellStyle name="40% - Accent1 31 4 2 4" xfId="10056" xr:uid="{C2A10F29-0BFB-4B46-8D5E-37F77E2B0CF9}"/>
    <cellStyle name="40% - Accent1 31 4 2 4 2" xfId="10057" xr:uid="{7CA46647-A9BF-4B25-8519-58D02A5F4356}"/>
    <cellStyle name="40% - Accent1 31 4 2 5" xfId="10058" xr:uid="{93E016BB-C2D8-4FE1-B16C-6025EA28B5BE}"/>
    <cellStyle name="40% - Accent1 31 4 3" xfId="10059" xr:uid="{4AEFCCE8-A27F-4513-B9CA-6616825DC9C3}"/>
    <cellStyle name="40% - Accent1 31 4 3 2" xfId="10060" xr:uid="{15242135-D69D-46C3-BD3C-E2F9B1E6C9FB}"/>
    <cellStyle name="40% - Accent1 31 4 3 2 2" xfId="10061" xr:uid="{6F269CD9-A3D8-462C-B268-E435C33882E8}"/>
    <cellStyle name="40% - Accent1 31 4 3 3" xfId="10062" xr:uid="{80115ABD-9327-450B-A2A5-056277FC8E64}"/>
    <cellStyle name="40% - Accent1 31 4 4" xfId="10063" xr:uid="{118E60D0-203C-4852-9A2E-8B9ED240C74E}"/>
    <cellStyle name="40% - Accent1 31 4 4 2" xfId="10064" xr:uid="{9F7C5706-C727-466C-BE17-8E532DC4A88C}"/>
    <cellStyle name="40% - Accent1 31 4 4 2 2" xfId="10065" xr:uid="{95DBAA85-8F9A-4F1A-866E-49BA8A089A39}"/>
    <cellStyle name="40% - Accent1 31 4 4 3" xfId="10066" xr:uid="{E385D627-282A-4DEE-8CCC-62922707C736}"/>
    <cellStyle name="40% - Accent1 31 4 5" xfId="10067" xr:uid="{5E8F8101-F0D6-4A55-BD5A-0C1E40CE0320}"/>
    <cellStyle name="40% - Accent1 31 4 5 2" xfId="10068" xr:uid="{50D2DC79-720E-4BA0-8269-3E8D259A58BF}"/>
    <cellStyle name="40% - Accent1 31 4 6" xfId="10069" xr:uid="{D1F146BA-54F0-4E77-961A-8FC109FC4CBD}"/>
    <cellStyle name="40% - Accent1 31 5" xfId="10070" xr:uid="{495FB98C-44CD-427B-91D3-BDF3EEEF156B}"/>
    <cellStyle name="40% - Accent1 31 5 2" xfId="10071" xr:uid="{B466B81C-323F-4952-BFEB-F0813C72D916}"/>
    <cellStyle name="40% - Accent1 31 5 2 2" xfId="10072" xr:uid="{FBB6F819-8790-41DB-BCD0-677CACC31D66}"/>
    <cellStyle name="40% - Accent1 31 5 2 2 2" xfId="10073" xr:uid="{DAAF0FC5-1254-496B-9D89-DF77BA764D3F}"/>
    <cellStyle name="40% - Accent1 31 5 2 2 2 2" xfId="10074" xr:uid="{8074AFAF-5280-40C5-BA0B-408D51659BFD}"/>
    <cellStyle name="40% - Accent1 31 5 2 2 3" xfId="10075" xr:uid="{AF04CC15-04A0-4C78-BEAB-FB40598A33C6}"/>
    <cellStyle name="40% - Accent1 31 5 2 3" xfId="10076" xr:uid="{1EC59F25-2716-43DA-8FB7-D55F90E6F05B}"/>
    <cellStyle name="40% - Accent1 31 5 2 3 2" xfId="10077" xr:uid="{3DE89FDF-BABF-40F5-918D-F5D960C4C4C1}"/>
    <cellStyle name="40% - Accent1 31 5 2 3 2 2" xfId="10078" xr:uid="{7AD9900C-99E7-46D0-9ED4-D19C158A6AB8}"/>
    <cellStyle name="40% - Accent1 31 5 2 3 3" xfId="10079" xr:uid="{B708E71F-4A9A-4369-BDF8-403E1CF4B9FE}"/>
    <cellStyle name="40% - Accent1 31 5 2 4" xfId="10080" xr:uid="{3A4BFF46-705D-462D-B04C-47F0C7C0E11C}"/>
    <cellStyle name="40% - Accent1 31 5 2 4 2" xfId="10081" xr:uid="{061063B0-CEA6-470B-A33E-D04909D7871C}"/>
    <cellStyle name="40% - Accent1 31 5 2 5" xfId="10082" xr:uid="{631A7330-7070-4926-88D3-721BE6753E55}"/>
    <cellStyle name="40% - Accent1 31 5 3" xfId="10083" xr:uid="{A1CD606F-BF60-482D-A098-1CA4924D655D}"/>
    <cellStyle name="40% - Accent1 31 5 3 2" xfId="10084" xr:uid="{8B49FFA0-09B1-46AD-B245-6BC73FE2F786}"/>
    <cellStyle name="40% - Accent1 31 5 3 2 2" xfId="10085" xr:uid="{C9BB8F08-BC5C-4A4B-A38B-076E15A560F7}"/>
    <cellStyle name="40% - Accent1 31 5 3 3" xfId="10086" xr:uid="{A5944F46-FF88-495C-9F82-114217556B72}"/>
    <cellStyle name="40% - Accent1 31 5 4" xfId="10087" xr:uid="{9424D846-1F68-4D60-9949-13812C816F98}"/>
    <cellStyle name="40% - Accent1 31 5 4 2" xfId="10088" xr:uid="{D473C524-7315-4A88-ABE3-55179345C93F}"/>
    <cellStyle name="40% - Accent1 31 5 4 2 2" xfId="10089" xr:uid="{8420FC20-BCB4-441F-9858-7D1F5173C3CC}"/>
    <cellStyle name="40% - Accent1 31 5 4 3" xfId="10090" xr:uid="{BB887198-1C77-4CA6-B8A6-58282F0A0E1A}"/>
    <cellStyle name="40% - Accent1 31 5 5" xfId="10091" xr:uid="{9D5A8049-017C-4CF1-BD13-D5277DBCC896}"/>
    <cellStyle name="40% - Accent1 31 5 5 2" xfId="10092" xr:uid="{E2B722B1-4A70-41E1-985B-7138DA0B794E}"/>
    <cellStyle name="40% - Accent1 31 5 6" xfId="10093" xr:uid="{32B86077-B0D5-4DC5-81E4-0C592B30F9E9}"/>
    <cellStyle name="40% - Accent1 31 6" xfId="10094" xr:uid="{919CD752-61F6-4852-933B-03E539D6CFAA}"/>
    <cellStyle name="40% - Accent1 31 6 2" xfId="10095" xr:uid="{6C617B2F-6FE7-4071-820D-09802DFD9294}"/>
    <cellStyle name="40% - Accent1 31 6 2 2" xfId="10096" xr:uid="{A92AA1DF-D88A-4B85-8C5E-BCC43411D816}"/>
    <cellStyle name="40% - Accent1 31 6 2 2 2" xfId="10097" xr:uid="{824CFAFF-DBD6-4DA2-B819-2E94F8875640}"/>
    <cellStyle name="40% - Accent1 31 6 2 2 2 2" xfId="10098" xr:uid="{BE45DE97-395B-4587-8BA6-CBB33FB3E944}"/>
    <cellStyle name="40% - Accent1 31 6 2 2 3" xfId="10099" xr:uid="{FDEDEB4D-DD29-4489-A29D-0F4DE900C998}"/>
    <cellStyle name="40% - Accent1 31 6 2 3" xfId="10100" xr:uid="{EAFF6EF3-ECBC-44F8-ADE3-04C1C20A512E}"/>
    <cellStyle name="40% - Accent1 31 6 2 3 2" xfId="10101" xr:uid="{92CA6364-5946-4807-BCCB-5BE8A3CF14F3}"/>
    <cellStyle name="40% - Accent1 31 6 2 3 2 2" xfId="10102" xr:uid="{8E4A1452-D53E-47D3-82F7-AE3F8B5D9296}"/>
    <cellStyle name="40% - Accent1 31 6 2 3 3" xfId="10103" xr:uid="{EDB75985-005E-40E0-9DD6-DDB1C662892A}"/>
    <cellStyle name="40% - Accent1 31 6 2 4" xfId="10104" xr:uid="{B0F46DEC-AE6D-434F-8DF1-CB073D4098E9}"/>
    <cellStyle name="40% - Accent1 31 6 2 4 2" xfId="10105" xr:uid="{440879DD-371B-44EE-B512-FD621ED0CCFA}"/>
    <cellStyle name="40% - Accent1 31 6 2 5" xfId="10106" xr:uid="{219F38C6-890F-406C-8EA6-B7F0EEBA3D96}"/>
    <cellStyle name="40% - Accent1 31 6 3" xfId="10107" xr:uid="{921EFF13-1F72-463E-B368-C4F12C5D7AB8}"/>
    <cellStyle name="40% - Accent1 31 6 3 2" xfId="10108" xr:uid="{417E22FE-BF4F-447F-93A5-9BC5623DB0BB}"/>
    <cellStyle name="40% - Accent1 31 6 3 2 2" xfId="10109" xr:uid="{8AB07F1C-0704-42DE-927E-76261582A194}"/>
    <cellStyle name="40% - Accent1 31 6 3 3" xfId="10110" xr:uid="{D656CBE1-7FBD-4F7F-88DA-939A2F9EEDEA}"/>
    <cellStyle name="40% - Accent1 31 6 4" xfId="10111" xr:uid="{0197A6BA-CD1B-479A-9DF1-407311E2726E}"/>
    <cellStyle name="40% - Accent1 31 6 4 2" xfId="10112" xr:uid="{486332F8-974C-46CD-A9D2-E41AC411F285}"/>
    <cellStyle name="40% - Accent1 31 6 4 2 2" xfId="10113" xr:uid="{ECD2652A-A090-4701-AF48-12EB849F16E4}"/>
    <cellStyle name="40% - Accent1 31 6 4 3" xfId="10114" xr:uid="{2FF9426C-59A1-4B16-A85B-7A875AD57E12}"/>
    <cellStyle name="40% - Accent1 31 6 5" xfId="10115" xr:uid="{183C158F-797B-4E41-BF6F-3A8823FE21CD}"/>
    <cellStyle name="40% - Accent1 31 6 5 2" xfId="10116" xr:uid="{C326A9C5-C1F1-4102-9BD2-A1C5E1B0C2D8}"/>
    <cellStyle name="40% - Accent1 31 6 6" xfId="10117" xr:uid="{1C1DFC69-8C46-4654-A019-728496F4050D}"/>
    <cellStyle name="40% - Accent1 31 7" xfId="10118" xr:uid="{B8AFABFB-4BA8-447C-B2B1-3A428A3092E6}"/>
    <cellStyle name="40% - Accent1 31 7 2" xfId="10119" xr:uid="{EA83E4A2-EA15-46BF-8322-AF1F5B504CF6}"/>
    <cellStyle name="40% - Accent1 31 7 2 2" xfId="10120" xr:uid="{A65396E5-4581-4F20-B18F-081C2DE3FC9E}"/>
    <cellStyle name="40% - Accent1 31 7 2 2 2" xfId="10121" xr:uid="{9F0BB87F-A5DB-4610-A2D6-672A5C318698}"/>
    <cellStyle name="40% - Accent1 31 7 2 2 2 2" xfId="10122" xr:uid="{3925AE2F-837F-4300-BBDF-00C8337790F5}"/>
    <cellStyle name="40% - Accent1 31 7 2 2 3" xfId="10123" xr:uid="{B448B3FB-18BB-48DB-A2CA-C53636EB03A7}"/>
    <cellStyle name="40% - Accent1 31 7 2 3" xfId="10124" xr:uid="{374C7409-6DD8-41A6-B531-C1D832869A7E}"/>
    <cellStyle name="40% - Accent1 31 7 2 3 2" xfId="10125" xr:uid="{3EAA0D07-E54A-46F7-9497-2A7D81F4215A}"/>
    <cellStyle name="40% - Accent1 31 7 2 3 2 2" xfId="10126" xr:uid="{7316757A-9A61-49F0-B257-35CEF4B3AF76}"/>
    <cellStyle name="40% - Accent1 31 7 2 3 3" xfId="10127" xr:uid="{C98264A2-CE11-4144-9E90-5388A0AEF5C0}"/>
    <cellStyle name="40% - Accent1 31 7 2 4" xfId="10128" xr:uid="{4B95FAFE-D90A-4083-B0B5-2910AEB4145B}"/>
    <cellStyle name="40% - Accent1 31 7 2 4 2" xfId="10129" xr:uid="{B296F3FA-4A2D-4593-BC08-4C7AE60BF7BA}"/>
    <cellStyle name="40% - Accent1 31 7 2 5" xfId="10130" xr:uid="{7A274267-BD22-4CB8-83B3-84758CB46B6B}"/>
    <cellStyle name="40% - Accent1 31 7 3" xfId="10131" xr:uid="{C68D58B1-EDE0-4D19-962F-1CAEC14E7D85}"/>
    <cellStyle name="40% - Accent1 31 7 3 2" xfId="10132" xr:uid="{8F8DBEFA-6CCD-44A8-9013-BBF176235CF6}"/>
    <cellStyle name="40% - Accent1 31 7 3 2 2" xfId="10133" xr:uid="{C7964953-63B3-4B6E-9A0D-8D7AA373F398}"/>
    <cellStyle name="40% - Accent1 31 7 3 3" xfId="10134" xr:uid="{F70D10A0-1A76-4BD7-9F2C-3F9ACE860BAD}"/>
    <cellStyle name="40% - Accent1 31 7 4" xfId="10135" xr:uid="{6ADDD1CA-F191-4CD0-AA95-A25BADC8652D}"/>
    <cellStyle name="40% - Accent1 31 7 4 2" xfId="10136" xr:uid="{F4B0357C-240E-4D95-9085-C8EE95E4EA05}"/>
    <cellStyle name="40% - Accent1 31 7 4 2 2" xfId="10137" xr:uid="{14A3BD32-ABA7-45EB-94FC-05EF68634903}"/>
    <cellStyle name="40% - Accent1 31 7 4 3" xfId="10138" xr:uid="{0324FA64-B854-4C5F-AEC7-ABF8F11C3AFA}"/>
    <cellStyle name="40% - Accent1 31 7 5" xfId="10139" xr:uid="{1B17253F-028E-4F23-9922-FE6AFA65C202}"/>
    <cellStyle name="40% - Accent1 31 7 5 2" xfId="10140" xr:uid="{53917927-6E09-4CC0-86E3-C1C419799678}"/>
    <cellStyle name="40% - Accent1 31 7 6" xfId="10141" xr:uid="{0E35AF21-C18B-4232-A1FB-DE3AB4F57CF6}"/>
    <cellStyle name="40% - Accent1 31 8" xfId="10142" xr:uid="{4D6790E5-6F26-480E-80A8-1A732B0F1E46}"/>
    <cellStyle name="40% - Accent1 31 8 2" xfId="10143" xr:uid="{94291693-1CF6-4281-B69E-C2AEC3A320A4}"/>
    <cellStyle name="40% - Accent1 31 8 2 2" xfId="10144" xr:uid="{A5092D7E-4960-40FD-81F2-0BF803B8EA8E}"/>
    <cellStyle name="40% - Accent1 31 8 2 2 2" xfId="10145" xr:uid="{39012A56-1283-4649-9B3F-F858A20FF195}"/>
    <cellStyle name="40% - Accent1 31 8 2 2 2 2" xfId="10146" xr:uid="{926FBA7A-EA39-401F-B295-F27D851E4032}"/>
    <cellStyle name="40% - Accent1 31 8 2 2 3" xfId="10147" xr:uid="{6C7D4CD1-B588-4174-A290-65333823F846}"/>
    <cellStyle name="40% - Accent1 31 8 2 3" xfId="10148" xr:uid="{19C79785-9864-4487-B2B2-34434782ADEE}"/>
    <cellStyle name="40% - Accent1 31 8 2 3 2" xfId="10149" xr:uid="{C6B55C61-5450-4DF8-94F3-FB88EE268FAD}"/>
    <cellStyle name="40% - Accent1 31 8 2 3 2 2" xfId="10150" xr:uid="{6C939B37-7116-4112-A9C4-73A0CED3C5F4}"/>
    <cellStyle name="40% - Accent1 31 8 2 3 3" xfId="10151" xr:uid="{1948FE8E-B245-450B-A7B9-F9FF78934C48}"/>
    <cellStyle name="40% - Accent1 31 8 2 4" xfId="10152" xr:uid="{B221ED90-A48C-4652-855F-AF005EAA1B52}"/>
    <cellStyle name="40% - Accent1 31 8 2 4 2" xfId="10153" xr:uid="{6009D621-363D-4FD0-9783-2458F0A90537}"/>
    <cellStyle name="40% - Accent1 31 8 2 5" xfId="10154" xr:uid="{86BDE454-739E-49D6-9777-74298250222C}"/>
    <cellStyle name="40% - Accent1 31 8 3" xfId="10155" xr:uid="{26C32408-F2B4-4375-A909-7732BCE1298F}"/>
    <cellStyle name="40% - Accent1 31 8 3 2" xfId="10156" xr:uid="{BBB8DFAC-0F71-4AA4-8A99-B7299FB8A808}"/>
    <cellStyle name="40% - Accent1 31 8 3 2 2" xfId="10157" xr:uid="{6A8D038D-7B99-497E-BA1F-9FCC64AB5B94}"/>
    <cellStyle name="40% - Accent1 31 8 3 3" xfId="10158" xr:uid="{8419F0F7-24C8-45DF-BFE6-B56F0B8D8FA2}"/>
    <cellStyle name="40% - Accent1 31 8 4" xfId="10159" xr:uid="{FA45FD3E-6144-4689-8C14-247E2AA70088}"/>
    <cellStyle name="40% - Accent1 31 8 4 2" xfId="10160" xr:uid="{F04807E5-C0D8-48D2-A29B-46C39A91C251}"/>
    <cellStyle name="40% - Accent1 31 8 4 2 2" xfId="10161" xr:uid="{AB0DEFE5-277B-4112-9D4F-C11CEBD1A0B5}"/>
    <cellStyle name="40% - Accent1 31 8 4 3" xfId="10162" xr:uid="{A19EE895-2C5C-4A1D-B3D8-A3683937A4CD}"/>
    <cellStyle name="40% - Accent1 31 8 5" xfId="10163" xr:uid="{EBB63AD9-5AE1-4E2A-83E3-24973995334C}"/>
    <cellStyle name="40% - Accent1 31 8 5 2" xfId="10164" xr:uid="{2A374E4B-3339-44C0-9D12-47D94D58F54C}"/>
    <cellStyle name="40% - Accent1 31 8 6" xfId="10165" xr:uid="{B053DE54-C58C-43E6-87B1-E0A237221F1A}"/>
    <cellStyle name="40% - Accent1 31 9" xfId="10166" xr:uid="{70A818D7-0ACB-4C7E-BB94-C5B11F8C7190}"/>
    <cellStyle name="40% - Accent1 31 9 2" xfId="10167" xr:uid="{EB534CB0-7288-42EC-870E-E0FFAE9D2914}"/>
    <cellStyle name="40% - Accent1 31 9 2 2" xfId="10168" xr:uid="{1CB55F15-D376-4F2F-9A06-195D30293263}"/>
    <cellStyle name="40% - Accent1 31 9 2 2 2" xfId="10169" xr:uid="{F62EB8C6-5753-4309-9974-F34FCA982C1D}"/>
    <cellStyle name="40% - Accent1 31 9 2 2 2 2" xfId="10170" xr:uid="{BD414498-FBD9-43FE-946A-989ADC4E55FB}"/>
    <cellStyle name="40% - Accent1 31 9 2 2 3" xfId="10171" xr:uid="{70D6CB6F-7697-4894-ACE8-5F9DC65D67AA}"/>
    <cellStyle name="40% - Accent1 31 9 2 3" xfId="10172" xr:uid="{217E0638-3ACE-47D9-A3EA-082234A983CE}"/>
    <cellStyle name="40% - Accent1 31 9 2 3 2" xfId="10173" xr:uid="{8F4F9E97-B03E-497E-9B3D-27758A977BDD}"/>
    <cellStyle name="40% - Accent1 31 9 2 3 2 2" xfId="10174" xr:uid="{170FDAA2-A332-430A-AF90-4E9EBB9EEE30}"/>
    <cellStyle name="40% - Accent1 31 9 2 3 3" xfId="10175" xr:uid="{A8C92D7E-AD8E-4549-A96C-7E586505F5E0}"/>
    <cellStyle name="40% - Accent1 31 9 2 4" xfId="10176" xr:uid="{8785D4C4-4580-4C15-BFF2-E61440B5B8CB}"/>
    <cellStyle name="40% - Accent1 31 9 2 4 2" xfId="10177" xr:uid="{8A4193F8-F3FE-4A1C-B2CC-41E46D76BE67}"/>
    <cellStyle name="40% - Accent1 31 9 2 5" xfId="10178" xr:uid="{A4DEFDAF-E5C2-41B1-AAFC-995675689F4A}"/>
    <cellStyle name="40% - Accent1 31 9 3" xfId="10179" xr:uid="{2627612D-4D53-47B3-81F1-C85144D0D5D5}"/>
    <cellStyle name="40% - Accent1 31 9 3 2" xfId="10180" xr:uid="{50106156-0D46-4E4A-AC90-27F729F7D381}"/>
    <cellStyle name="40% - Accent1 31 9 3 2 2" xfId="10181" xr:uid="{F005B747-4D2F-4A70-8067-9D2AE74A8045}"/>
    <cellStyle name="40% - Accent1 31 9 3 3" xfId="10182" xr:uid="{DD5CF82D-51E6-478A-BA24-BC6259C989FA}"/>
    <cellStyle name="40% - Accent1 31 9 4" xfId="10183" xr:uid="{F0A18A1A-8169-4A4F-802A-CF7695E7EED6}"/>
    <cellStyle name="40% - Accent1 31 9 4 2" xfId="10184" xr:uid="{14C66749-4A93-4A07-BEC0-C2D6DBC1EE84}"/>
    <cellStyle name="40% - Accent1 31 9 4 2 2" xfId="10185" xr:uid="{D940CC75-3C20-4B64-85A6-52738CFF7BD9}"/>
    <cellStyle name="40% - Accent1 31 9 4 3" xfId="10186" xr:uid="{7973F453-DE65-44B6-ABDE-6112FA608C26}"/>
    <cellStyle name="40% - Accent1 31 9 5" xfId="10187" xr:uid="{DF33FB02-E11F-43B8-A5AD-42D07F6D024B}"/>
    <cellStyle name="40% - Accent1 31 9 5 2" xfId="10188" xr:uid="{DF4DD2C4-A21B-4A4E-AFC2-530BE7562542}"/>
    <cellStyle name="40% - Accent1 31 9 6" xfId="10189" xr:uid="{AB29247B-3B7F-4197-B3EC-165A86407871}"/>
    <cellStyle name="40% - Accent1 32" xfId="10190" xr:uid="{44B793E0-A9B7-4376-A44A-DC28B2EA9EA8}"/>
    <cellStyle name="40% - Accent1 32 2" xfId="10191" xr:uid="{B0F8C21A-C945-46C1-97A8-21FEC33313C9}"/>
    <cellStyle name="40% - Accent1 32 2 2" xfId="10192" xr:uid="{6F836D4A-7E90-4E9D-8A30-0BD2B274DD08}"/>
    <cellStyle name="40% - Accent1 32 2 2 2" xfId="10193" xr:uid="{F787AE6D-3618-4E2A-B0B0-2079CA6FD7D6}"/>
    <cellStyle name="40% - Accent1 32 2 2 2 2" xfId="10194" xr:uid="{87DF7ED5-E7F5-4411-86EF-91C117BFD1D0}"/>
    <cellStyle name="40% - Accent1 32 2 2 3" xfId="10195" xr:uid="{55FD40D8-8809-488F-90F7-3064C0636DEB}"/>
    <cellStyle name="40% - Accent1 32 2 3" xfId="10196" xr:uid="{D2CF2EB5-6010-4769-AF96-18D9132ECE3C}"/>
    <cellStyle name="40% - Accent1 32 2 3 2" xfId="10197" xr:uid="{E5E0D3EA-3485-48F0-BE09-E89CD54E9F60}"/>
    <cellStyle name="40% - Accent1 32 2 3 2 2" xfId="10198" xr:uid="{D6C014AF-5B09-46C1-B554-AA8D01B968E4}"/>
    <cellStyle name="40% - Accent1 32 2 3 3" xfId="10199" xr:uid="{22B8BB7A-47F3-41BF-9873-6E52DD0B9A72}"/>
    <cellStyle name="40% - Accent1 32 2 4" xfId="10200" xr:uid="{8A5EA629-F057-4AD4-A2FE-F945044CCDDE}"/>
    <cellStyle name="40% - Accent1 32 2 4 2" xfId="10201" xr:uid="{1CB6C10A-DA0F-48C8-A1BF-998D7730EFE0}"/>
    <cellStyle name="40% - Accent1 32 2 5" xfId="10202" xr:uid="{A209BCD1-70DE-454C-9368-6DFEBC293689}"/>
    <cellStyle name="40% - Accent1 32 3" xfId="10203" xr:uid="{E065E515-B1B3-46C8-B5E6-F7FF84D8BD7F}"/>
    <cellStyle name="40% - Accent1 32 3 2" xfId="10204" xr:uid="{47BEB641-99A4-4C64-8B5E-FD75E6F2F66D}"/>
    <cellStyle name="40% - Accent1 32 3 2 2" xfId="10205" xr:uid="{6D13C3A6-4CDC-43D1-AEDB-0B997C0EB3CE}"/>
    <cellStyle name="40% - Accent1 32 3 3" xfId="10206" xr:uid="{AA92AB72-AC46-42CF-B4ED-A41FDC45A6CD}"/>
    <cellStyle name="40% - Accent1 32 4" xfId="10207" xr:uid="{51747418-D093-4DC4-B886-20A64324B6C1}"/>
    <cellStyle name="40% - Accent1 32 4 2" xfId="10208" xr:uid="{39AB1CDD-65D5-4EB4-AB75-0CA1D4F5F97E}"/>
    <cellStyle name="40% - Accent1 32 4 2 2" xfId="10209" xr:uid="{6F9D3757-DBB2-4FE1-9CEB-7329E5B03617}"/>
    <cellStyle name="40% - Accent1 32 4 3" xfId="10210" xr:uid="{B77F333C-23C0-45BD-A8A9-898C6216F48B}"/>
    <cellStyle name="40% - Accent1 32 5" xfId="10211" xr:uid="{59BAF1D3-75DC-4130-88BF-49985FC1B31E}"/>
    <cellStyle name="40% - Accent1 32 5 2" xfId="10212" xr:uid="{782DBEDB-0239-4360-A598-A5C8577C2C71}"/>
    <cellStyle name="40% - Accent1 32 6" xfId="10213" xr:uid="{3C52E731-5714-40D1-9FAC-269B948D2859}"/>
    <cellStyle name="40% - Accent1 32 7" xfId="36760" xr:uid="{ED4C2A79-34C9-4A19-829B-236C3793AF02}"/>
    <cellStyle name="40% - Accent1 33" xfId="10214" xr:uid="{F8B4D83A-86D9-4479-854F-E1CE4148A53D}"/>
    <cellStyle name="40% - Accent1 33 2" xfId="10215" xr:uid="{7292C2F7-F93D-4303-9700-F27954A828C0}"/>
    <cellStyle name="40% - Accent1 33 2 2" xfId="10216" xr:uid="{0AB3AA39-98BF-4422-8D26-217EDFA4D678}"/>
    <cellStyle name="40% - Accent1 33 2 2 2" xfId="10217" xr:uid="{C226273E-85D9-4367-AAD2-CCD21604C5FB}"/>
    <cellStyle name="40% - Accent1 33 2 2 2 2" xfId="10218" xr:uid="{E3C08DA2-28E0-485B-A468-10492DCC5A55}"/>
    <cellStyle name="40% - Accent1 33 2 2 3" xfId="10219" xr:uid="{54305410-332F-446D-B168-65132B82EA65}"/>
    <cellStyle name="40% - Accent1 33 2 3" xfId="10220" xr:uid="{79A2BB12-5609-4BE0-8BCC-971AE95C9EF6}"/>
    <cellStyle name="40% - Accent1 33 2 3 2" xfId="10221" xr:uid="{C6BDA67C-7CA7-4F96-A9AC-0754166E6566}"/>
    <cellStyle name="40% - Accent1 33 2 3 2 2" xfId="10222" xr:uid="{6681B6D1-AABB-4662-8BEA-E59503D88AE5}"/>
    <cellStyle name="40% - Accent1 33 2 3 3" xfId="10223" xr:uid="{BCD9D95A-9413-4534-95A0-AF653F36A748}"/>
    <cellStyle name="40% - Accent1 33 2 4" xfId="10224" xr:uid="{E3F58B14-7BC6-45D5-91B7-E6D657B7E2DF}"/>
    <cellStyle name="40% - Accent1 33 2 4 2" xfId="10225" xr:uid="{859F41C5-0587-4B07-83A3-70F5C652483A}"/>
    <cellStyle name="40% - Accent1 33 2 5" xfId="10226" xr:uid="{5730613F-C5F6-4E8B-B592-4FF384DB4AE7}"/>
    <cellStyle name="40% - Accent1 33 3" xfId="10227" xr:uid="{D455EDBD-3639-4362-BE75-74181B923F5D}"/>
    <cellStyle name="40% - Accent1 33 3 2" xfId="10228" xr:uid="{29ED0997-FD0C-47A9-A4D5-9A3ED81AFD57}"/>
    <cellStyle name="40% - Accent1 33 3 2 2" xfId="10229" xr:uid="{52CDF61C-CCBA-4FCF-A2F8-E09239C184CD}"/>
    <cellStyle name="40% - Accent1 33 3 3" xfId="10230" xr:uid="{6DDBEE37-E54B-4DA9-A824-E3B9E1B813CD}"/>
    <cellStyle name="40% - Accent1 33 4" xfId="10231" xr:uid="{57A47F58-F989-4D47-AD04-C04A3B610B79}"/>
    <cellStyle name="40% - Accent1 33 4 2" xfId="10232" xr:uid="{811D5C1C-5965-48D3-B425-EA0CA18D9222}"/>
    <cellStyle name="40% - Accent1 33 4 2 2" xfId="10233" xr:uid="{C3997410-FAA7-43E4-A967-8E953A56D330}"/>
    <cellStyle name="40% - Accent1 33 4 3" xfId="10234" xr:uid="{49AE8ECF-5A95-4874-ABB6-4BA5B215E32C}"/>
    <cellStyle name="40% - Accent1 33 5" xfId="10235" xr:uid="{B0BC8C1E-2733-4657-AF98-500B1E112038}"/>
    <cellStyle name="40% - Accent1 33 5 2" xfId="10236" xr:uid="{93C18BDA-4392-495F-8037-080E18FDC8B0}"/>
    <cellStyle name="40% - Accent1 33 6" xfId="36761" xr:uid="{0457DAA9-8207-4196-923B-359F5F575F2F}"/>
    <cellStyle name="40% - Accent1 34" xfId="10237" xr:uid="{82F1910E-BFFB-4694-8B80-30D275B63EDD}"/>
    <cellStyle name="40% - Accent1 34 2" xfId="10238" xr:uid="{04C60A62-5DDB-47DA-BE2B-901BCBC24F69}"/>
    <cellStyle name="40% - Accent1 34 2 2" xfId="10239" xr:uid="{E2C1BF72-37D8-4D38-85AB-974B38F6F1BB}"/>
    <cellStyle name="40% - Accent1 34 2 2 2" xfId="10240" xr:uid="{0DC00D5F-C2F1-4993-A3E1-C7F2267CEA53}"/>
    <cellStyle name="40% - Accent1 34 2 2 2 2" xfId="10241" xr:uid="{6FBC43CE-8408-44C7-8988-EFE1B1FDD96A}"/>
    <cellStyle name="40% - Accent1 34 2 2 3" xfId="10242" xr:uid="{7C2C44CD-61B3-41F5-96E9-00FA84377670}"/>
    <cellStyle name="40% - Accent1 34 2 3" xfId="10243" xr:uid="{14137075-F936-40A3-8E7F-98DF1BFE1A72}"/>
    <cellStyle name="40% - Accent1 34 2 3 2" xfId="10244" xr:uid="{97016A4D-8D10-4937-A37F-B010E7145AC8}"/>
    <cellStyle name="40% - Accent1 34 2 3 2 2" xfId="10245" xr:uid="{4620EB27-A720-4F6A-B389-D8C5D3F1AC3B}"/>
    <cellStyle name="40% - Accent1 34 2 3 3" xfId="10246" xr:uid="{4EE018E4-EE16-4546-AEBE-95D0E9B8C9A5}"/>
    <cellStyle name="40% - Accent1 34 2 4" xfId="10247" xr:uid="{28981C41-3171-40F0-9319-46B751544C39}"/>
    <cellStyle name="40% - Accent1 34 2 4 2" xfId="10248" xr:uid="{0C213AD4-34AF-4436-B74A-3D2B6ECEC745}"/>
    <cellStyle name="40% - Accent1 34 2 5" xfId="10249" xr:uid="{D71AC581-633C-405E-94B9-4C8DC6102DAE}"/>
    <cellStyle name="40% - Accent1 34 3" xfId="10250" xr:uid="{24D7794C-DF56-403A-9AC6-05349A3E08E0}"/>
    <cellStyle name="40% - Accent1 34 3 2" xfId="10251" xr:uid="{AE0AAA94-0D01-4A14-A908-FDD05AF5227D}"/>
    <cellStyle name="40% - Accent1 34 3 2 2" xfId="10252" xr:uid="{1FF5D70D-EC3F-46B8-BE6B-54190A090E4E}"/>
    <cellStyle name="40% - Accent1 34 3 3" xfId="10253" xr:uid="{E6B99892-5E8D-446C-B563-D9B217E4BB09}"/>
    <cellStyle name="40% - Accent1 34 4" xfId="10254" xr:uid="{2CCA4710-787A-431B-BAA2-0ABBA15D9C87}"/>
    <cellStyle name="40% - Accent1 34 4 2" xfId="10255" xr:uid="{76F80FD4-03D5-436D-B3C9-25418DFE4C07}"/>
    <cellStyle name="40% - Accent1 34 4 2 2" xfId="10256" xr:uid="{D6C95F1B-FD7F-4653-9534-57C85EA89F45}"/>
    <cellStyle name="40% - Accent1 34 4 3" xfId="10257" xr:uid="{C0940A90-039F-4F33-AC7C-9EFD1D7B91C3}"/>
    <cellStyle name="40% - Accent1 34 5" xfId="10258" xr:uid="{2FF40CF9-F43E-4041-ACD4-248D2418F4BB}"/>
    <cellStyle name="40% - Accent1 34 5 2" xfId="10259" xr:uid="{5D6676A2-A280-46BA-8F1E-2890C7F7433B}"/>
    <cellStyle name="40% - Accent1 34 6" xfId="36762" xr:uid="{DC3EE7A6-88E2-4862-A8A1-1EBA978BFC7C}"/>
    <cellStyle name="40% - Accent1 35" xfId="10260" xr:uid="{86D03B88-760E-4A43-9E51-1A95C7DE81B4}"/>
    <cellStyle name="40% - Accent1 35 2" xfId="10261" xr:uid="{2D451277-E0FA-45EA-8EFE-7AC43AC8A0A7}"/>
    <cellStyle name="40% - Accent1 35 2 2" xfId="10262" xr:uid="{890311E2-D058-4DDA-A602-A25A37D8B70E}"/>
    <cellStyle name="40% - Accent1 35 2 2 2" xfId="10263" xr:uid="{C50FE50D-92A6-4633-A570-E82FB482CD62}"/>
    <cellStyle name="40% - Accent1 35 2 2 2 2" xfId="10264" xr:uid="{5B87C4E2-C98E-4518-A2E8-5A54E5E1929D}"/>
    <cellStyle name="40% - Accent1 35 2 2 3" xfId="10265" xr:uid="{B6BDC1CD-093F-4BF5-811F-6E241A36D5DD}"/>
    <cellStyle name="40% - Accent1 35 2 3" xfId="10266" xr:uid="{1B300A2B-5DB8-42F5-AB64-6A9F736F0A41}"/>
    <cellStyle name="40% - Accent1 35 2 3 2" xfId="10267" xr:uid="{DDD44031-1320-4302-A36D-CD90FC0BF0AE}"/>
    <cellStyle name="40% - Accent1 35 2 3 2 2" xfId="10268" xr:uid="{728C57C3-EF9B-41A0-B6CE-D13023D4E5E1}"/>
    <cellStyle name="40% - Accent1 35 2 3 3" xfId="10269" xr:uid="{63417FBD-368D-427A-BEDF-853D55D00B0D}"/>
    <cellStyle name="40% - Accent1 35 2 4" xfId="10270" xr:uid="{1CCACB1E-AE0C-4B98-87F3-30112E661F3B}"/>
    <cellStyle name="40% - Accent1 35 2 4 2" xfId="10271" xr:uid="{38BA732D-07AB-41D0-8004-265A9E338DC9}"/>
    <cellStyle name="40% - Accent1 35 2 5" xfId="10272" xr:uid="{4EE21A1F-51CC-4FBA-BE62-5CD6459484A7}"/>
    <cellStyle name="40% - Accent1 35 3" xfId="10273" xr:uid="{461AD459-C724-4814-B629-B65F7499AD12}"/>
    <cellStyle name="40% - Accent1 35 3 2" xfId="10274" xr:uid="{EB3C5684-3721-447C-A46C-A34443D81297}"/>
    <cellStyle name="40% - Accent1 35 3 2 2" xfId="10275" xr:uid="{E3EEAA02-84CD-4F80-BD51-04D325C519BE}"/>
    <cellStyle name="40% - Accent1 35 3 3" xfId="10276" xr:uid="{F2F6A8D8-61D2-4112-94BD-47EBD6C61A84}"/>
    <cellStyle name="40% - Accent1 35 4" xfId="10277" xr:uid="{6882D41B-0B52-4463-9539-57A219C5A7D0}"/>
    <cellStyle name="40% - Accent1 35 4 2" xfId="10278" xr:uid="{8F593A7C-1A6B-4F91-879B-15BA92CAE234}"/>
    <cellStyle name="40% - Accent1 35 4 2 2" xfId="10279" xr:uid="{7AA8073E-2423-43EE-8087-1AAEAE0FFF3E}"/>
    <cellStyle name="40% - Accent1 35 4 3" xfId="10280" xr:uid="{E7BA21F5-5513-44C2-B43E-F32067BF01CB}"/>
    <cellStyle name="40% - Accent1 35 5" xfId="10281" xr:uid="{4769DD8F-F4D5-41CA-8853-F1E91E884502}"/>
    <cellStyle name="40% - Accent1 35 5 2" xfId="10282" xr:uid="{1ACDD782-831B-4B46-BE6F-88AB7606B644}"/>
    <cellStyle name="40% - Accent1 35 6" xfId="36763" xr:uid="{21EC7BEC-89E6-4584-942A-9770CB7B8254}"/>
    <cellStyle name="40% - Accent1 36" xfId="10283" xr:uid="{23DE9E02-BC74-43FE-9F17-2EFC04D93FAA}"/>
    <cellStyle name="40% - Accent1 36 2" xfId="10284" xr:uid="{77C590AC-9B97-47F3-94A9-C1A98875C0AD}"/>
    <cellStyle name="40% - Accent1 36 2 2" xfId="10285" xr:uid="{5F1F6D2C-2653-40DB-A83C-4856DE7A03E7}"/>
    <cellStyle name="40% - Accent1 36 2 2 2" xfId="10286" xr:uid="{E898BDAE-EAF7-4465-800F-3E5FBB0E7BF4}"/>
    <cellStyle name="40% - Accent1 36 2 2 2 2" xfId="10287" xr:uid="{211BF19E-371A-4B22-B738-E49AE77CB21E}"/>
    <cellStyle name="40% - Accent1 36 2 2 3" xfId="10288" xr:uid="{A78FCA88-1A4B-453A-B019-678C5FF2B50F}"/>
    <cellStyle name="40% - Accent1 36 2 3" xfId="10289" xr:uid="{E11704A6-4C15-4B72-990A-85F2CDB831D9}"/>
    <cellStyle name="40% - Accent1 36 2 3 2" xfId="10290" xr:uid="{0185BD44-97C1-44C3-BB22-36E93A37981C}"/>
    <cellStyle name="40% - Accent1 36 2 3 2 2" xfId="10291" xr:uid="{FE1F5DF8-1814-46BD-A0A8-9347DEBF7D1B}"/>
    <cellStyle name="40% - Accent1 36 2 3 3" xfId="10292" xr:uid="{83F30C9C-88A9-4C45-B699-9DCC05701BC0}"/>
    <cellStyle name="40% - Accent1 36 2 4" xfId="10293" xr:uid="{3C45E4CA-B159-452C-9499-B4D1C46CC94B}"/>
    <cellStyle name="40% - Accent1 36 2 4 2" xfId="10294" xr:uid="{10591590-BECD-422A-A3C0-CAF0F0085089}"/>
    <cellStyle name="40% - Accent1 36 2 5" xfId="10295" xr:uid="{D7C969DB-7A6A-43B1-BABE-F35F316B6374}"/>
    <cellStyle name="40% - Accent1 36 3" xfId="10296" xr:uid="{525D34B5-0654-42A5-95B4-B52D56570CC8}"/>
    <cellStyle name="40% - Accent1 36 3 2" xfId="10297" xr:uid="{B478B13F-61B6-483C-8CC5-0306A0BA836B}"/>
    <cellStyle name="40% - Accent1 36 3 2 2" xfId="10298" xr:uid="{559AE95D-C086-4669-BF10-0D6EB1EDBF80}"/>
    <cellStyle name="40% - Accent1 36 3 3" xfId="10299" xr:uid="{CE55B075-283F-444B-A226-7F8EEBCFD289}"/>
    <cellStyle name="40% - Accent1 36 4" xfId="10300" xr:uid="{54EAC34B-DE0E-433B-9233-BEAA48A7A839}"/>
    <cellStyle name="40% - Accent1 36 4 2" xfId="10301" xr:uid="{CB86D94C-7327-4326-86D6-1CD38084441C}"/>
    <cellStyle name="40% - Accent1 36 4 2 2" xfId="10302" xr:uid="{5D44A60C-C8F2-4E41-8D78-8ED99229DF88}"/>
    <cellStyle name="40% - Accent1 36 4 3" xfId="10303" xr:uid="{CCEA7D53-5BFD-4B3E-919C-CC141811E986}"/>
    <cellStyle name="40% - Accent1 36 5" xfId="10304" xr:uid="{8622BF5F-7E5D-4232-985C-6BF432CCD17F}"/>
    <cellStyle name="40% - Accent1 36 5 2" xfId="10305" xr:uid="{B1084D50-C469-424C-B8A9-64088E1EFB8C}"/>
    <cellStyle name="40% - Accent1 36 6" xfId="36764" xr:uid="{3325E872-F9C0-4F41-AB31-FC5E7594AC55}"/>
    <cellStyle name="40% - Accent1 37" xfId="10306" xr:uid="{1E6C0315-9D09-4B20-BE92-C5963428B0F5}"/>
    <cellStyle name="40% - Accent1 37 2" xfId="10307" xr:uid="{0F7B63E8-71A3-4E4C-BA26-2E0EE804CB3A}"/>
    <cellStyle name="40% - Accent1 37 2 2" xfId="10308" xr:uid="{B0485A8D-EFD7-48DC-8251-C284417FFF83}"/>
    <cellStyle name="40% - Accent1 37 2 2 2" xfId="10309" xr:uid="{1C583BF5-37F7-4B56-B25E-A46D9654A4B1}"/>
    <cellStyle name="40% - Accent1 37 2 2 2 2" xfId="10310" xr:uid="{7A8AE4C6-B103-4F78-B5EF-21035ABB75B7}"/>
    <cellStyle name="40% - Accent1 37 2 2 3" xfId="10311" xr:uid="{BC18ECE8-787B-40BE-ADCE-008047B386F4}"/>
    <cellStyle name="40% - Accent1 37 2 3" xfId="10312" xr:uid="{0A143334-7392-4491-851A-69FA2D0EE30C}"/>
    <cellStyle name="40% - Accent1 37 2 3 2" xfId="10313" xr:uid="{7A0EAB55-9E3D-40BE-825C-127239B7D286}"/>
    <cellStyle name="40% - Accent1 37 2 3 2 2" xfId="10314" xr:uid="{3EECCBBD-40F6-430D-97ED-AE7B80B0D28E}"/>
    <cellStyle name="40% - Accent1 37 2 3 3" xfId="10315" xr:uid="{F22D0748-4231-458D-BD85-0C9365F5620E}"/>
    <cellStyle name="40% - Accent1 37 2 4" xfId="10316" xr:uid="{7C8BEB23-3B8C-499D-AD42-03337F5B5D58}"/>
    <cellStyle name="40% - Accent1 37 2 4 2" xfId="10317" xr:uid="{B9C3AB85-84E4-4636-8B48-66CC5BB844E1}"/>
    <cellStyle name="40% - Accent1 37 2 5" xfId="10318" xr:uid="{92A190DD-E230-42A8-B6DF-56BC103BB91A}"/>
    <cellStyle name="40% - Accent1 37 3" xfId="10319" xr:uid="{CB8B302B-7801-44AE-9C02-E7A18A9AB764}"/>
    <cellStyle name="40% - Accent1 37 3 2" xfId="10320" xr:uid="{1DB6B660-E99E-4833-BDE7-F417AD888EB7}"/>
    <cellStyle name="40% - Accent1 37 3 2 2" xfId="10321" xr:uid="{0CD46DDB-3FBF-46C1-866F-28777C02A5F2}"/>
    <cellStyle name="40% - Accent1 37 3 3" xfId="10322" xr:uid="{C320B610-E19B-4F0D-BD54-9D131320D2B4}"/>
    <cellStyle name="40% - Accent1 37 4" xfId="10323" xr:uid="{BBAD93C1-105C-4B33-8E7A-268565548EAD}"/>
    <cellStyle name="40% - Accent1 37 4 2" xfId="10324" xr:uid="{4C6BFC8E-D38E-4894-8434-BBB12232D4B0}"/>
    <cellStyle name="40% - Accent1 37 4 2 2" xfId="10325" xr:uid="{B967365F-B98C-44A7-ACF1-8EAAE094F80C}"/>
    <cellStyle name="40% - Accent1 37 4 3" xfId="10326" xr:uid="{6ED9C299-4DE3-4D0B-93AE-979CE3CAD669}"/>
    <cellStyle name="40% - Accent1 37 5" xfId="10327" xr:uid="{434AD54E-4B13-400E-8918-C9AB5333D5FD}"/>
    <cellStyle name="40% - Accent1 37 5 2" xfId="10328" xr:uid="{DA8D8558-1F15-48F6-B403-7A36DA81D553}"/>
    <cellStyle name="40% - Accent1 37 6" xfId="36765" xr:uid="{6CBA9605-42A3-49AD-93D3-C1BE73DF7524}"/>
    <cellStyle name="40% - Accent1 38" xfId="10329" xr:uid="{5B3FAD49-8739-4413-A7BB-CDFA5AAF59DE}"/>
    <cellStyle name="40% - Accent1 38 2" xfId="10330" xr:uid="{686DCF75-FD42-4E35-98CE-8814208DFF6F}"/>
    <cellStyle name="40% - Accent1 38 2 2" xfId="10331" xr:uid="{D2842CB8-F8DF-41D7-A7C2-562C0E87F30C}"/>
    <cellStyle name="40% - Accent1 38 2 2 2" xfId="10332" xr:uid="{4B6D133F-DD5B-434D-8070-E566F9533F15}"/>
    <cellStyle name="40% - Accent1 38 2 2 2 2" xfId="10333" xr:uid="{963FC3D2-A4FB-4EBD-AB31-A04DF87F5DF4}"/>
    <cellStyle name="40% - Accent1 38 2 2 3" xfId="10334" xr:uid="{E960AD46-BD2A-4619-A41B-4C0C476E64C2}"/>
    <cellStyle name="40% - Accent1 38 2 3" xfId="10335" xr:uid="{097B38A3-153A-4820-A5EE-432BC582E35A}"/>
    <cellStyle name="40% - Accent1 38 2 3 2" xfId="10336" xr:uid="{DFB58552-E058-4D9C-9DEC-7DBF26D80897}"/>
    <cellStyle name="40% - Accent1 38 2 3 2 2" xfId="10337" xr:uid="{7D8696E6-AF07-4B57-8019-31AFCD680B99}"/>
    <cellStyle name="40% - Accent1 38 2 3 3" xfId="10338" xr:uid="{FEB6ABA5-20A8-4367-843F-099F984ADE05}"/>
    <cellStyle name="40% - Accent1 38 2 4" xfId="10339" xr:uid="{D1647105-767D-490B-9543-1C87B984F56F}"/>
    <cellStyle name="40% - Accent1 38 2 4 2" xfId="10340" xr:uid="{EFF660E2-FE8F-45F3-9D71-415004F4946F}"/>
    <cellStyle name="40% - Accent1 38 2 5" xfId="10341" xr:uid="{B3EF8ACF-2ACE-42BD-8266-7B00D36E54E3}"/>
    <cellStyle name="40% - Accent1 38 3" xfId="10342" xr:uid="{0DB197CC-106C-429B-A9C0-B878F870DF72}"/>
    <cellStyle name="40% - Accent1 38 3 2" xfId="10343" xr:uid="{8076EB93-A00D-4574-920C-1408337C710E}"/>
    <cellStyle name="40% - Accent1 38 3 2 2" xfId="10344" xr:uid="{A139B59F-F0F0-47DF-B8C7-8DF3A8EA2F75}"/>
    <cellStyle name="40% - Accent1 38 3 3" xfId="10345" xr:uid="{63424DB0-0913-4032-8D82-6B2C5C01F9E6}"/>
    <cellStyle name="40% - Accent1 38 4" xfId="10346" xr:uid="{3CD294F2-01B2-4CA6-9433-1C97989278DD}"/>
    <cellStyle name="40% - Accent1 38 4 2" xfId="10347" xr:uid="{6D64EEB8-D81E-40B0-8663-46690C237D0F}"/>
    <cellStyle name="40% - Accent1 38 4 2 2" xfId="10348" xr:uid="{CDF9F25A-A62C-4A74-8108-BC69D4173858}"/>
    <cellStyle name="40% - Accent1 38 4 3" xfId="10349" xr:uid="{D106BCA1-5613-410A-B85C-2706EA55DB8B}"/>
    <cellStyle name="40% - Accent1 38 5" xfId="10350" xr:uid="{557B6895-CDC2-4E35-89E2-BC7CD169E841}"/>
    <cellStyle name="40% - Accent1 38 5 2" xfId="10351" xr:uid="{9C54AFC9-BBED-4F50-92C2-3F229790A7E8}"/>
    <cellStyle name="40% - Accent1 38 6" xfId="36766" xr:uid="{C50B923C-A812-4F69-BFA6-E806E6444E70}"/>
    <cellStyle name="40% - Accent1 39" xfId="10352" xr:uid="{3D5A17A1-62A8-45F7-AF7D-F424A5E434B0}"/>
    <cellStyle name="40% - Accent1 39 2" xfId="10353" xr:uid="{00CE3DF6-7908-4C10-B62D-E95564FDFBFE}"/>
    <cellStyle name="40% - Accent1 39 2 2" xfId="10354" xr:uid="{C3FBD6B8-DA97-4FC7-BE2E-E9D59B9FEE38}"/>
    <cellStyle name="40% - Accent1 39 2 2 2" xfId="10355" xr:uid="{5D6454AC-AFB0-447E-9723-7AF9708EA3B0}"/>
    <cellStyle name="40% - Accent1 39 2 2 2 2" xfId="10356" xr:uid="{DA79AA1F-A225-4122-B801-6E31E5D379AB}"/>
    <cellStyle name="40% - Accent1 39 2 2 3" xfId="10357" xr:uid="{054AC360-55AE-46E9-8577-FFED80575A32}"/>
    <cellStyle name="40% - Accent1 39 2 3" xfId="10358" xr:uid="{C5920101-3CB7-49A7-A4B4-43D7724D5AE4}"/>
    <cellStyle name="40% - Accent1 39 2 3 2" xfId="10359" xr:uid="{956A16CB-3A18-4736-B503-204FCBB66A2E}"/>
    <cellStyle name="40% - Accent1 39 2 3 2 2" xfId="10360" xr:uid="{C7389C61-A11A-4054-965A-A26EFD1D9C9B}"/>
    <cellStyle name="40% - Accent1 39 2 3 3" xfId="10361" xr:uid="{4AB47000-8D37-4BDC-B468-EB57896D1EB2}"/>
    <cellStyle name="40% - Accent1 39 2 4" xfId="10362" xr:uid="{4CE6DDEA-1B70-4751-B02B-593A02B94A37}"/>
    <cellStyle name="40% - Accent1 39 2 4 2" xfId="10363" xr:uid="{CEA4CA72-8D19-4C69-ABA3-67BACF158C28}"/>
    <cellStyle name="40% - Accent1 39 2 5" xfId="10364" xr:uid="{5BCFF5EE-544F-4D3B-A581-787E4728C597}"/>
    <cellStyle name="40% - Accent1 39 3" xfId="10365" xr:uid="{337766B5-E3D9-430D-B07B-CFBCAC378ADB}"/>
    <cellStyle name="40% - Accent1 39 3 2" xfId="10366" xr:uid="{B3D7A680-5866-49F1-AD46-BD9C0207CCCD}"/>
    <cellStyle name="40% - Accent1 39 3 2 2" xfId="10367" xr:uid="{C0C16BD6-8DB6-49EF-914C-9BDE0CAD5E67}"/>
    <cellStyle name="40% - Accent1 39 3 3" xfId="10368" xr:uid="{0CF1BF52-B6E2-4CDD-9DC8-41D9C11B313F}"/>
    <cellStyle name="40% - Accent1 39 4" xfId="10369" xr:uid="{6A11B0E6-B483-4401-8AE0-4880CFE28004}"/>
    <cellStyle name="40% - Accent1 39 4 2" xfId="10370" xr:uid="{BCAED690-5C82-49E2-B73A-C47111D3249D}"/>
    <cellStyle name="40% - Accent1 39 4 2 2" xfId="10371" xr:uid="{F73D9D79-DA06-4912-B288-BAB1B0019F4A}"/>
    <cellStyle name="40% - Accent1 39 4 3" xfId="10372" xr:uid="{BA22D250-3E5B-4E98-890B-22D391CA14BD}"/>
    <cellStyle name="40% - Accent1 39 5" xfId="10373" xr:uid="{45140768-5C96-4611-BE27-4E830C6446F8}"/>
    <cellStyle name="40% - Accent1 39 5 2" xfId="10374" xr:uid="{FC695342-1DCF-45C2-83F7-C889E9AD6C3C}"/>
    <cellStyle name="40% - Accent1 39 6" xfId="36767" xr:uid="{BAC68BF9-C346-46FE-97F4-23BEB73324EC}"/>
    <cellStyle name="40% - Accent1 4" xfId="10375" xr:uid="{701E6A37-BD6D-4D47-8B67-0D2E09E2706F}"/>
    <cellStyle name="40% - Accent1 4 2" xfId="10376" xr:uid="{2A31B6D9-7F63-4349-B0D9-0CA780CF7DA2}"/>
    <cellStyle name="40% - Accent1 4 2 2" xfId="10377" xr:uid="{5F3337FF-091A-4185-868C-2D6C44AE8E7E}"/>
    <cellStyle name="40% - Accent1 4 2 2 2" xfId="36768" xr:uid="{3C685EBA-FB94-48C3-91A6-3208228BAD99}"/>
    <cellStyle name="40% - Accent1 4 2 3" xfId="36769" xr:uid="{C049C0EA-37CF-4A14-A352-CF2D5BA85776}"/>
    <cellStyle name="40% - Accent1 4 2 4" xfId="36770" xr:uid="{79DAF4C7-AAB7-413A-B7CF-AED803FBE532}"/>
    <cellStyle name="40% - Accent1 4 3" xfId="10378" xr:uid="{2D74B16A-7C40-4E69-AF7E-F5EE9BE00899}"/>
    <cellStyle name="40% - Accent1 4 3 2" xfId="36771" xr:uid="{26A9E02E-6AF4-4ACC-8846-24DB203E2056}"/>
    <cellStyle name="40% - Accent1 4 4" xfId="36772" xr:uid="{BBD43283-DBA0-476F-9C2E-9705E86A6A42}"/>
    <cellStyle name="40% - Accent1 4 5" xfId="36773" xr:uid="{32AF7E7B-B26B-49BC-99D5-17763AD7C6A9}"/>
    <cellStyle name="40% - Accent1 40" xfId="10379" xr:uid="{BB9DB132-4707-49EA-B62E-2F34129BF85C}"/>
    <cellStyle name="40% - Accent1 40 2" xfId="10380" xr:uid="{D265DA30-3710-40C0-8505-0F97AE0E0A6B}"/>
    <cellStyle name="40% - Accent1 40 2 2" xfId="10381" xr:uid="{296D5181-D2CC-4B8C-B35D-44CD08536DB4}"/>
    <cellStyle name="40% - Accent1 40 2 2 2" xfId="10382" xr:uid="{ABB4786B-1608-4B83-85FE-FDC320809FE8}"/>
    <cellStyle name="40% - Accent1 40 2 2 2 2" xfId="10383" xr:uid="{658CF8C4-71F4-45B6-B366-62C3FF3B3108}"/>
    <cellStyle name="40% - Accent1 40 2 2 3" xfId="10384" xr:uid="{0413F62C-5DC4-4193-B71D-8FBFB027C1D6}"/>
    <cellStyle name="40% - Accent1 40 2 3" xfId="10385" xr:uid="{39BE3477-9256-4E48-96B4-1694B285EB22}"/>
    <cellStyle name="40% - Accent1 40 2 3 2" xfId="10386" xr:uid="{0A2E84EB-BE44-4E37-B3C0-18D3F6AD4045}"/>
    <cellStyle name="40% - Accent1 40 2 3 2 2" xfId="10387" xr:uid="{554C499E-7544-405F-B168-AFCDEED36033}"/>
    <cellStyle name="40% - Accent1 40 2 3 3" xfId="10388" xr:uid="{24F6A44B-950B-4CB6-82D3-58765E4B24B7}"/>
    <cellStyle name="40% - Accent1 40 2 4" xfId="10389" xr:uid="{2D0B14DD-B936-4B46-A5CC-66CE246B921A}"/>
    <cellStyle name="40% - Accent1 40 2 4 2" xfId="10390" xr:uid="{2B5793E8-6515-4F3B-9F39-99D5D5C1EBBC}"/>
    <cellStyle name="40% - Accent1 40 2 5" xfId="10391" xr:uid="{00843AD5-C098-40A7-B899-BE7E03C76C43}"/>
    <cellStyle name="40% - Accent1 40 3" xfId="10392" xr:uid="{CFC10E38-3F5A-4B95-9A0C-DE562C0CD24A}"/>
    <cellStyle name="40% - Accent1 40 3 2" xfId="10393" xr:uid="{C94CB90A-F2EF-457B-A1BB-20F535A2DCB2}"/>
    <cellStyle name="40% - Accent1 40 3 2 2" xfId="10394" xr:uid="{B7368FC4-B640-416A-A1C9-680B0E6B4FB1}"/>
    <cellStyle name="40% - Accent1 40 3 3" xfId="10395" xr:uid="{23F2791A-03B2-4112-B178-C911C0169DF9}"/>
    <cellStyle name="40% - Accent1 40 4" xfId="10396" xr:uid="{A79162D2-D482-401A-B46D-6D21B7910ED2}"/>
    <cellStyle name="40% - Accent1 40 4 2" xfId="10397" xr:uid="{24BA867A-928D-419F-8995-62DFF23DB098}"/>
    <cellStyle name="40% - Accent1 40 4 2 2" xfId="10398" xr:uid="{9C2A5AE7-3860-4FDB-9317-8E133848548E}"/>
    <cellStyle name="40% - Accent1 40 4 3" xfId="10399" xr:uid="{AB2FCEC4-598A-4E1A-BD6C-76D4F5DA1408}"/>
    <cellStyle name="40% - Accent1 40 5" xfId="10400" xr:uid="{E3B20B8D-82B3-4648-969D-752FAD03A44C}"/>
    <cellStyle name="40% - Accent1 40 5 2" xfId="10401" xr:uid="{0A722C93-5BF1-4C80-9242-D6F8B650B934}"/>
    <cellStyle name="40% - Accent1 40 6" xfId="36774" xr:uid="{9FB734D4-F895-485C-AD12-5A9EF34B2FCD}"/>
    <cellStyle name="40% - Accent1 41" xfId="10402" xr:uid="{EDD4DCFF-82BB-4721-BE4B-379EFEE42B7F}"/>
    <cellStyle name="40% - Accent1 41 2" xfId="10403" xr:uid="{A70C23A9-DDB0-4007-9D8B-C136208C3DAC}"/>
    <cellStyle name="40% - Accent1 41 2 2" xfId="10404" xr:uid="{683B2417-4BA4-454A-873F-8243CF2F25C7}"/>
    <cellStyle name="40% - Accent1 41 2 2 2" xfId="10405" xr:uid="{363CF353-1CE2-4DA3-BD77-14D8BF02E871}"/>
    <cellStyle name="40% - Accent1 41 2 2 2 2" xfId="10406" xr:uid="{E1D5D8B5-DC6D-449D-8951-ACE87DE89B57}"/>
    <cellStyle name="40% - Accent1 41 2 2 3" xfId="10407" xr:uid="{E392A337-C07F-4383-BBA6-D9BB7A52F8E5}"/>
    <cellStyle name="40% - Accent1 41 2 3" xfId="10408" xr:uid="{4D6E5A7C-8BCF-4D02-A1C2-FB3A0656EE44}"/>
    <cellStyle name="40% - Accent1 41 2 3 2" xfId="10409" xr:uid="{8823EFF9-AD6E-4D74-A751-976082D66826}"/>
    <cellStyle name="40% - Accent1 41 2 3 2 2" xfId="10410" xr:uid="{83B69275-BD67-42DE-AAE2-29558E53A708}"/>
    <cellStyle name="40% - Accent1 41 2 3 3" xfId="10411" xr:uid="{A9C62775-2A56-42FC-BF52-7D68C213EE02}"/>
    <cellStyle name="40% - Accent1 41 2 4" xfId="10412" xr:uid="{84286BBD-5EC1-40BD-BD23-F7B18C6D9985}"/>
    <cellStyle name="40% - Accent1 41 2 4 2" xfId="10413" xr:uid="{46E7C96A-AB70-4D87-9283-16CF7A4F6BB0}"/>
    <cellStyle name="40% - Accent1 41 2 5" xfId="10414" xr:uid="{255A063A-24AF-4895-B4A5-5A8E1FB26E5B}"/>
    <cellStyle name="40% - Accent1 41 3" xfId="10415" xr:uid="{4356A31C-3A80-4524-AD88-5A90869EBAC1}"/>
    <cellStyle name="40% - Accent1 41 3 2" xfId="10416" xr:uid="{CAA2041F-9345-4031-9378-AED10AB63F20}"/>
    <cellStyle name="40% - Accent1 41 3 2 2" xfId="10417" xr:uid="{E808D1EF-579A-48B4-8267-8218AEABC90C}"/>
    <cellStyle name="40% - Accent1 41 3 3" xfId="10418" xr:uid="{FE178DA3-45E1-4C5C-9911-2405FABB7539}"/>
    <cellStyle name="40% - Accent1 41 4" xfId="10419" xr:uid="{AAC510CA-8BCE-4D1A-8E63-026F543BDAB8}"/>
    <cellStyle name="40% - Accent1 41 4 2" xfId="10420" xr:uid="{4B6CA222-6B7E-46EE-807F-531A1F2BA985}"/>
    <cellStyle name="40% - Accent1 41 4 2 2" xfId="10421" xr:uid="{E7F188B2-47E6-4381-8529-67CDF64475F0}"/>
    <cellStyle name="40% - Accent1 41 4 3" xfId="10422" xr:uid="{B13EE084-3E7C-4A53-A950-DD0AEDF05879}"/>
    <cellStyle name="40% - Accent1 41 5" xfId="10423" xr:uid="{8CF8E365-DCB6-46FF-B0F8-A49F4543B6A4}"/>
    <cellStyle name="40% - Accent1 41 5 2" xfId="10424" xr:uid="{78EAAD55-E806-47D1-86FE-7C5AB3404B8C}"/>
    <cellStyle name="40% - Accent1 41 6" xfId="36775" xr:uid="{CE27D7A0-EF02-4598-BCEB-6C89A495B588}"/>
    <cellStyle name="40% - Accent1 42" xfId="10425" xr:uid="{B41D6609-D998-4D96-BB90-2964C340908A}"/>
    <cellStyle name="40% - Accent1 42 2" xfId="10426" xr:uid="{B1CF733C-0098-4A33-94D6-E565DA695F2E}"/>
    <cellStyle name="40% - Accent1 42 2 2" xfId="10427" xr:uid="{2C485763-2FC7-4E94-B0ED-C84FBDAA8E5A}"/>
    <cellStyle name="40% - Accent1 42 2 2 2" xfId="10428" xr:uid="{97A92AC4-593B-4DDB-9841-42120A4DC5E5}"/>
    <cellStyle name="40% - Accent1 42 2 2 2 2" xfId="10429" xr:uid="{8F9B9E39-5600-4431-9CC1-4487A20848EA}"/>
    <cellStyle name="40% - Accent1 42 2 2 3" xfId="10430" xr:uid="{E63CB813-67A3-4D57-9C40-62D84AA833C8}"/>
    <cellStyle name="40% - Accent1 42 2 3" xfId="10431" xr:uid="{650495A9-1464-4592-A9B2-D53C5784F158}"/>
    <cellStyle name="40% - Accent1 42 2 3 2" xfId="10432" xr:uid="{6C0D6BE9-2E99-4C04-8F47-A4F8F556E1B1}"/>
    <cellStyle name="40% - Accent1 42 2 3 2 2" xfId="10433" xr:uid="{7BCEC394-887C-4F8B-BF3E-347E1D462530}"/>
    <cellStyle name="40% - Accent1 42 2 3 3" xfId="10434" xr:uid="{0A2756A1-E71A-45D0-857E-B3DBF748EE18}"/>
    <cellStyle name="40% - Accent1 42 2 4" xfId="10435" xr:uid="{28F8CCF5-072C-4E47-892F-164E2D3C431B}"/>
    <cellStyle name="40% - Accent1 42 2 4 2" xfId="10436" xr:uid="{F814D045-4124-456B-B121-BBFCDCDF76A9}"/>
    <cellStyle name="40% - Accent1 42 2 5" xfId="10437" xr:uid="{3CED3597-9C26-460A-8E66-C838315D9D23}"/>
    <cellStyle name="40% - Accent1 42 3" xfId="10438" xr:uid="{5CC914F4-8B8F-4E21-B0B4-49043CF1CB7A}"/>
    <cellStyle name="40% - Accent1 42 3 2" xfId="10439" xr:uid="{810CBFB3-12DD-45E3-A161-7CBEE2C2E6DE}"/>
    <cellStyle name="40% - Accent1 42 3 2 2" xfId="10440" xr:uid="{1776D7D7-DA01-4597-A408-E5D0798121F3}"/>
    <cellStyle name="40% - Accent1 42 3 3" xfId="10441" xr:uid="{3A67407E-ADFB-4708-9EF6-D71808EDC3C9}"/>
    <cellStyle name="40% - Accent1 42 4" xfId="10442" xr:uid="{1F445A56-FA77-42CC-9C14-4D43C6D49C58}"/>
    <cellStyle name="40% - Accent1 42 4 2" xfId="10443" xr:uid="{814B139F-FEB0-4B57-AF47-20BA7D6457E1}"/>
    <cellStyle name="40% - Accent1 42 4 2 2" xfId="10444" xr:uid="{C40928E5-9491-4953-AA77-0BB7E40CDB44}"/>
    <cellStyle name="40% - Accent1 42 4 3" xfId="10445" xr:uid="{39387182-9380-4760-A15A-F3CD84474B4A}"/>
    <cellStyle name="40% - Accent1 42 5" xfId="10446" xr:uid="{30231ED3-E9A6-42FF-9DF5-1AC0905FF881}"/>
    <cellStyle name="40% - Accent1 42 5 2" xfId="10447" xr:uid="{95EBB28B-1740-4EF0-B76B-93C0845106E4}"/>
    <cellStyle name="40% - Accent1 42 6" xfId="36776" xr:uid="{DB7AA93A-981C-4A93-ADEC-8333B2AD1FCE}"/>
    <cellStyle name="40% - Accent1 43" xfId="10448" xr:uid="{C8CA4B41-446A-4766-BD30-6169E6005B0D}"/>
    <cellStyle name="40% - Accent1 43 2" xfId="10449" xr:uid="{DE8C633B-6269-42DD-9627-6B0DFAFFCD4A}"/>
    <cellStyle name="40% - Accent1 43 3" xfId="36777" xr:uid="{E0E6809E-E3A6-4B85-8F8E-1946D5559E17}"/>
    <cellStyle name="40% - Accent1 44" xfId="10450" xr:uid="{9941D2C9-CA1C-4895-9A45-6560E94FE704}"/>
    <cellStyle name="40% - Accent1 44 2" xfId="10451" xr:uid="{A0184FD1-BE48-4D1E-8551-BCE2FF1A7103}"/>
    <cellStyle name="40% - Accent1 44 3" xfId="36778" xr:uid="{5299EA86-363A-4065-8581-F8CCA8DAB35F}"/>
    <cellStyle name="40% - Accent1 45" xfId="10452" xr:uid="{735EF799-D903-44F6-9D4F-DA8DAE9BBAF6}"/>
    <cellStyle name="40% - Accent1 45 2" xfId="10453" xr:uid="{645EB1D0-3338-49DB-8606-DE0A00C241C9}"/>
    <cellStyle name="40% - Accent1 45 3" xfId="36779" xr:uid="{38AB09BC-7DC5-4070-B42B-33ECB042FA4A}"/>
    <cellStyle name="40% - Accent1 46" xfId="10454" xr:uid="{3775A824-C75C-4DCF-B83B-B1273395C61C}"/>
    <cellStyle name="40% - Accent1 46 2" xfId="10455" xr:uid="{D7A2B80F-BE24-499B-9071-05CFE5E23ADC}"/>
    <cellStyle name="40% - Accent1 46 3" xfId="36780" xr:uid="{AF64CD10-406E-4D5A-B2AA-6E5B13E8B1F0}"/>
    <cellStyle name="40% - Accent1 47" xfId="10456" xr:uid="{DEEB1C4C-751C-492D-93D9-CE04C057CAF4}"/>
    <cellStyle name="40% - Accent1 47 2" xfId="10457" xr:uid="{4F21D35B-18E8-459B-BA0E-DC4A3A1B336F}"/>
    <cellStyle name="40% - Accent1 47 3" xfId="36781" xr:uid="{070E64AF-4286-4C57-8761-A1B45C1FA7A5}"/>
    <cellStyle name="40% - Accent1 48" xfId="10458" xr:uid="{EAA7CA0C-0803-4E4D-A205-C64B8FFFD8F5}"/>
    <cellStyle name="40% - Accent1 48 2" xfId="10459" xr:uid="{B04CBD8E-B75F-4B91-A764-609F29A48622}"/>
    <cellStyle name="40% - Accent1 48 3" xfId="36782" xr:uid="{EF8BBB96-6AD6-4684-94FD-95B711152F08}"/>
    <cellStyle name="40% - Accent1 49" xfId="10460" xr:uid="{539FDBA1-BDD6-45AF-B71C-1981CA42F48D}"/>
    <cellStyle name="40% - Accent1 49 2" xfId="10461" xr:uid="{22FCD432-689C-4A4F-A19D-5A0C0F7844F6}"/>
    <cellStyle name="40% - Accent1 49 3" xfId="36783" xr:uid="{1B37A164-FFC6-43FD-BD4E-DEA9FDC5FAFF}"/>
    <cellStyle name="40% - Accent1 5" xfId="10462" xr:uid="{B5F2F768-0A89-46D3-BA88-A6EEE5B8B9AF}"/>
    <cellStyle name="40% - Accent1 5 2" xfId="10463" xr:uid="{D59A51C0-57FB-4725-99D5-D9C7BF654494}"/>
    <cellStyle name="40% - Accent1 5 2 2" xfId="10464" xr:uid="{ACAE45C9-B8CB-4714-8941-FE8B286BA318}"/>
    <cellStyle name="40% - Accent1 5 2 2 2" xfId="36784" xr:uid="{5F886D9B-8207-4A23-8DE6-EE53FE940B78}"/>
    <cellStyle name="40% - Accent1 5 2 3" xfId="36785" xr:uid="{304A39E1-218E-44CE-9106-CBDEBA7BD609}"/>
    <cellStyle name="40% - Accent1 5 2 4" xfId="36786" xr:uid="{31499BDB-ADF1-45E6-A2DC-EAB44AAE2EF4}"/>
    <cellStyle name="40% - Accent1 5 3" xfId="10465" xr:uid="{B9CF2ADF-7381-4849-A2B4-BE11D2A3CFC4}"/>
    <cellStyle name="40% - Accent1 5 3 2" xfId="36787" xr:uid="{5D0AE67D-B431-4A14-ACD6-52CD443AAABD}"/>
    <cellStyle name="40% - Accent1 5 4" xfId="36788" xr:uid="{36C3E4D9-7A86-4681-BD67-353D9D9F7858}"/>
    <cellStyle name="40% - Accent1 5 5" xfId="36789" xr:uid="{A8D32531-738B-4EF7-A7F4-B12D3B759AE1}"/>
    <cellStyle name="40% - Accent1 50" xfId="10466" xr:uid="{8A572C2F-87AC-4A0C-80A0-187842CEB177}"/>
    <cellStyle name="40% - Accent1 50 2" xfId="10467" xr:uid="{E6B72A25-2455-47DB-8C0D-A06C54FFDF40}"/>
    <cellStyle name="40% - Accent1 50 3" xfId="36790" xr:uid="{C4FDDAC1-47B2-4AD3-B11E-A42BC32BF34F}"/>
    <cellStyle name="40% - Accent1 51" xfId="10468" xr:uid="{B775A497-BF79-49BB-9176-D06D0A4D198C}"/>
    <cellStyle name="40% - Accent1 51 2" xfId="36791" xr:uid="{193F2881-A960-4A8A-9378-214AB5605805}"/>
    <cellStyle name="40% - Accent1 52" xfId="10469" xr:uid="{14C097B6-63D8-4EC1-82FD-33AA08BC159C}"/>
    <cellStyle name="40% - Accent1 52 2" xfId="36792" xr:uid="{37CE2876-178B-445F-A3DC-9964F113CDD1}"/>
    <cellStyle name="40% - Accent1 53" xfId="10470" xr:uid="{9B670CE4-409D-4081-977C-4C59F928189C}"/>
    <cellStyle name="40% - Accent1 53 2" xfId="36793" xr:uid="{3924BB42-395F-423C-9F7B-75FC8B4F2D56}"/>
    <cellStyle name="40% - Accent1 54" xfId="10471" xr:uid="{97C3DB63-3DA3-4960-8B36-B19F05BCA152}"/>
    <cellStyle name="40% - Accent1 54 2" xfId="36794" xr:uid="{BE611399-864F-4707-827E-070065462EAB}"/>
    <cellStyle name="40% - Accent1 55" xfId="10472" xr:uid="{8D02E09B-3441-4188-8FDB-75D4FCC947CF}"/>
    <cellStyle name="40% - Accent1 55 2" xfId="36795" xr:uid="{FB3826F5-D383-4E1D-8D95-82294D29212B}"/>
    <cellStyle name="40% - Accent1 56" xfId="10473" xr:uid="{7FDF350F-E5CF-4C69-8E9E-5F94E3F2A558}"/>
    <cellStyle name="40% - Accent1 56 2" xfId="36796" xr:uid="{8C4ADAB9-092D-4E9C-9B02-195A16298AFA}"/>
    <cellStyle name="40% - Accent1 57" xfId="10474" xr:uid="{37DA550E-8CDC-4353-BEFC-7CF642659C00}"/>
    <cellStyle name="40% - Accent1 57 2" xfId="36797" xr:uid="{C6EF3FC7-4160-430B-81D1-2677001C80BB}"/>
    <cellStyle name="40% - Accent1 58" xfId="10475" xr:uid="{F48792F0-FBDC-4BC8-8309-DE5BDED1C913}"/>
    <cellStyle name="40% - Accent1 58 2" xfId="36798" xr:uid="{837E1802-D866-4530-9383-319E8FACD41E}"/>
    <cellStyle name="40% - Accent1 59" xfId="10476" xr:uid="{D40106F7-EEF0-4AAE-B1C4-F9FB456013BF}"/>
    <cellStyle name="40% - Accent1 59 2" xfId="36799" xr:uid="{A872F53D-1708-45CF-AD70-0B8ABC240530}"/>
    <cellStyle name="40% - Accent1 6" xfId="10477" xr:uid="{774846B5-B878-47F8-A793-0520FB641BE7}"/>
    <cellStyle name="40% - Accent1 6 2" xfId="10478" xr:uid="{F64B4632-5A4A-41D1-A6C0-B4855B469889}"/>
    <cellStyle name="40% - Accent1 6 2 2" xfId="10479" xr:uid="{9667557E-1243-4CA1-AF3C-428491B643BD}"/>
    <cellStyle name="40% - Accent1 6 2 2 2" xfId="36800" xr:uid="{8F470D90-78D3-4229-AE74-2C51882B7AC1}"/>
    <cellStyle name="40% - Accent1 6 2 3" xfId="36801" xr:uid="{90F39C28-E944-462A-818D-72FB49079EC2}"/>
    <cellStyle name="40% - Accent1 6 2 4" xfId="36802" xr:uid="{80139C86-4642-4E62-A6D3-12F88041283B}"/>
    <cellStyle name="40% - Accent1 6 3" xfId="10480" xr:uid="{678E51A4-AF4F-48E3-8B8E-1596878CD564}"/>
    <cellStyle name="40% - Accent1 6 3 2" xfId="36803" xr:uid="{9FF04D23-957C-4836-8C64-807EB8389DEA}"/>
    <cellStyle name="40% - Accent1 6 4" xfId="36804" xr:uid="{79A11B63-346F-4419-823B-A368AEAB3DF6}"/>
    <cellStyle name="40% - Accent1 6 5" xfId="36805" xr:uid="{2CA40AD9-2741-4326-A69E-6AC1DDF4A92B}"/>
    <cellStyle name="40% - Accent1 60" xfId="10481" xr:uid="{1D42CF3F-203F-4085-B765-6C58D0AFA260}"/>
    <cellStyle name="40% - Accent1 60 2" xfId="36806" xr:uid="{9733CFA5-104E-4F92-86F6-546EC58F742F}"/>
    <cellStyle name="40% - Accent1 61" xfId="10482" xr:uid="{7B1D28D2-269C-425B-8005-C58A11CF762A}"/>
    <cellStyle name="40% - Accent1 61 2" xfId="36807" xr:uid="{64D3A03B-D5FC-4584-BADC-99996E968DAE}"/>
    <cellStyle name="40% - Accent1 62" xfId="10483" xr:uid="{4D4AC7FC-6F8F-468D-BF1D-00061F50D9C9}"/>
    <cellStyle name="40% - Accent1 62 2" xfId="36808" xr:uid="{40506A71-54E9-410B-8FA9-B751C7151975}"/>
    <cellStyle name="40% - Accent1 63" xfId="10484" xr:uid="{8411E7DF-150E-4E3E-8D89-5D924CBDED44}"/>
    <cellStyle name="40% - Accent1 63 2" xfId="36809" xr:uid="{CE32DAB9-5B72-4281-A793-58FB61EA61FB}"/>
    <cellStyle name="40% - Accent1 64" xfId="10485" xr:uid="{7643C3EE-BD24-463B-9E36-3637F1FE8BCE}"/>
    <cellStyle name="40% - Accent1 64 2" xfId="36810" xr:uid="{BD0C87BE-DB01-4A84-A68F-072D01CB62B3}"/>
    <cellStyle name="40% - Accent1 65" xfId="10486" xr:uid="{36CA8483-65B4-442B-9F30-ECAC7B56B393}"/>
    <cellStyle name="40% - Accent1 65 2" xfId="36811" xr:uid="{943BD3FA-8014-4496-BC62-EBB8A62E31ED}"/>
    <cellStyle name="40% - Accent1 66" xfId="10487" xr:uid="{37602E3B-FEA5-4DF9-99D8-FE2B346AB305}"/>
    <cellStyle name="40% - Accent1 66 2" xfId="10488" xr:uid="{2074029F-A6D6-427D-A491-C8B627A84A09}"/>
    <cellStyle name="40% - Accent1 66 2 2" xfId="10489" xr:uid="{AB339952-FA99-416C-8FBE-E54722126C6F}"/>
    <cellStyle name="40% - Accent1 66 3" xfId="10490" xr:uid="{A070711B-EF4E-4DBC-BF5D-D36B3E98D95F}"/>
    <cellStyle name="40% - Accent1 66 3 2" xfId="10491" xr:uid="{1B58F448-A1B8-41B0-8137-9DD094259464}"/>
    <cellStyle name="40% - Accent1 66 4" xfId="10492" xr:uid="{3327DA54-B7A6-4CDA-A109-7D911881541C}"/>
    <cellStyle name="40% - Accent1 66 5" xfId="36812" xr:uid="{D7B87011-38E8-4833-9D72-F74D0A586C8B}"/>
    <cellStyle name="40% - Accent1 67" xfId="10493" xr:uid="{9E194468-ACE2-455E-AFE2-9F1157E0E5E1}"/>
    <cellStyle name="40% - Accent1 67 2" xfId="10494" xr:uid="{FF515C55-482E-4FCD-A262-5B951F1E1A77}"/>
    <cellStyle name="40% - Accent1 67 2 2" xfId="10495" xr:uid="{B4D816B7-FD12-432E-8780-CE5383F6C467}"/>
    <cellStyle name="40% - Accent1 67 3" xfId="10496" xr:uid="{07973E30-09BD-4DBB-8CCC-9EEB436DFDBE}"/>
    <cellStyle name="40% - Accent1 67 3 2" xfId="10497" xr:uid="{9B2BC642-8701-4D4C-A2CB-0A5312B0F18D}"/>
    <cellStyle name="40% - Accent1 67 4" xfId="10498" xr:uid="{86F38819-F7B7-487B-BC04-B63F1256D064}"/>
    <cellStyle name="40% - Accent1 67 5" xfId="36813" xr:uid="{153419AD-DC3A-4481-8A25-D2032312CB5A}"/>
    <cellStyle name="40% - Accent1 68" xfId="10499" xr:uid="{1591F8BD-EDEA-48F1-8EB6-3C9A42ED09F4}"/>
    <cellStyle name="40% - Accent1 68 2" xfId="10500" xr:uid="{0E98299A-0427-4240-99FE-C1B1E1B7E5D9}"/>
    <cellStyle name="40% - Accent1 68 2 2" xfId="10501" xr:uid="{1850F06B-C1D5-47F5-AB53-481E55782F2F}"/>
    <cellStyle name="40% - Accent1 68 3" xfId="10502" xr:uid="{88BC1743-3352-485F-8EAD-CDD8AC6CCD94}"/>
    <cellStyle name="40% - Accent1 68 3 2" xfId="10503" xr:uid="{9C40B0E6-33FA-4B34-A4F6-CD832F337BE5}"/>
    <cellStyle name="40% - Accent1 68 4" xfId="10504" xr:uid="{3E0D71B3-0247-4086-87B2-1198C7D76DB8}"/>
    <cellStyle name="40% - Accent1 68 5" xfId="36814" xr:uid="{159775D9-97C3-4E6F-8F0E-F5B6D86237E7}"/>
    <cellStyle name="40% - Accent1 69" xfId="10505" xr:uid="{22DEE1F9-E94D-48F9-B7CA-ADE8EE1C68E3}"/>
    <cellStyle name="40% - Accent1 69 2" xfId="10506" xr:uid="{26705B2D-2968-4053-B996-A626DBBD349F}"/>
    <cellStyle name="40% - Accent1 69 2 2" xfId="10507" xr:uid="{202B62EA-ADD6-4141-8C8F-B23B6703B31A}"/>
    <cellStyle name="40% - Accent1 69 3" xfId="10508" xr:uid="{E8B728B5-6D59-45F2-A2D7-99558003B489}"/>
    <cellStyle name="40% - Accent1 69 4" xfId="36815" xr:uid="{481F9283-BFE3-4BDB-AAF5-77B4EF206A97}"/>
    <cellStyle name="40% - Accent1 7" xfId="10509" xr:uid="{B177D7C4-4AE8-45A5-8BA0-27A81E30595D}"/>
    <cellStyle name="40% - Accent1 7 2" xfId="10510" xr:uid="{F6D5B7B5-5B5E-427F-AE81-C21300480672}"/>
    <cellStyle name="40% - Accent1 7 2 2" xfId="10511" xr:uid="{D21EF9FE-7C44-4C4C-8B48-D19EE51C9537}"/>
    <cellStyle name="40% - Accent1 7 2 2 2" xfId="36816" xr:uid="{0E9D8945-AC2B-43CD-9686-EE23458CEDAC}"/>
    <cellStyle name="40% - Accent1 7 2 3" xfId="36817" xr:uid="{6A7B48A8-19E7-486A-AE78-31E05BFF53E8}"/>
    <cellStyle name="40% - Accent1 7 2 4" xfId="36818" xr:uid="{0BE1E75D-F20F-405F-B029-7CE4832382FC}"/>
    <cellStyle name="40% - Accent1 7 3" xfId="10512" xr:uid="{0128C71E-44FD-4CB5-8878-1323573B5A63}"/>
    <cellStyle name="40% - Accent1 7 3 2" xfId="36819" xr:uid="{F51540DC-19A2-473C-8940-3C97A1C183F9}"/>
    <cellStyle name="40% - Accent1 7 4" xfId="36820" xr:uid="{E7723423-744E-4B82-BC18-7A528AB41C80}"/>
    <cellStyle name="40% - Accent1 7 5" xfId="36821" xr:uid="{3B687CA0-8568-40ED-9C6B-7496316E6FBF}"/>
    <cellStyle name="40% - Accent1 70" xfId="10513" xr:uid="{46D31301-8E40-4C79-9195-BDD9713CF6EC}"/>
    <cellStyle name="40% - Accent1 70 2" xfId="10514" xr:uid="{C478B3AD-982A-45D1-A713-28C7DF22B303}"/>
    <cellStyle name="40% - Accent1 70 2 2" xfId="10515" xr:uid="{55F368E2-B61C-4AF1-8B65-0DF22D264C52}"/>
    <cellStyle name="40% - Accent1 70 3" xfId="10516" xr:uid="{7B7C5106-C6BC-4D6C-9187-83050E758DC0}"/>
    <cellStyle name="40% - Accent1 70 4" xfId="36822" xr:uid="{6170A731-F945-491E-A130-25ECA7749BF2}"/>
    <cellStyle name="40% - Accent1 71" xfId="10517" xr:uid="{3C8415B0-61AC-45D0-A6F3-0A5DD28FE3DB}"/>
    <cellStyle name="40% - Accent1 71 2" xfId="10518" xr:uid="{A9D3B6C7-D87F-4B71-AD67-BFECFEB44294}"/>
    <cellStyle name="40% - Accent1 71 2 2" xfId="10519" xr:uid="{0CD358AB-0F0C-47A9-B174-19C6DDDE51A7}"/>
    <cellStyle name="40% - Accent1 71 3" xfId="10520" xr:uid="{354149DA-C045-4B0A-B06E-A6750ECEE24F}"/>
    <cellStyle name="40% - Accent1 71 4" xfId="36823" xr:uid="{AB5B68B8-37F5-4AA4-9EE4-7BC74D4DFD8C}"/>
    <cellStyle name="40% - Accent1 72" xfId="10521" xr:uid="{40548885-C9CB-429B-B9EA-E60B0AC88A80}"/>
    <cellStyle name="40% - Accent1 72 2" xfId="10522" xr:uid="{B4365D81-258B-4B38-B2CA-2570AF24ED9E}"/>
    <cellStyle name="40% - Accent1 72 2 2" xfId="10523" xr:uid="{C49A5504-FF79-4B29-8BD9-C0E54272EAE4}"/>
    <cellStyle name="40% - Accent1 72 3" xfId="10524" xr:uid="{FDEB805D-B944-4272-B1C5-CA4BF0639BAD}"/>
    <cellStyle name="40% - Accent1 72 4" xfId="36824" xr:uid="{0F5C3781-A589-4070-AF9D-3D3D1D9DCF6B}"/>
    <cellStyle name="40% - Accent1 73" xfId="10525" xr:uid="{444CC274-4D79-46F3-B7A3-8159F773BA22}"/>
    <cellStyle name="40% - Accent1 73 2" xfId="10526" xr:uid="{AD56FA49-EC82-4C7C-9ACD-0DF9C376E287}"/>
    <cellStyle name="40% - Accent1 73 2 2" xfId="10527" xr:uid="{D3753FCA-B5D4-436C-A1C5-56A95058F5B6}"/>
    <cellStyle name="40% - Accent1 73 3" xfId="10528" xr:uid="{59E00D93-8858-434F-9839-28A1DA6FB0AE}"/>
    <cellStyle name="40% - Accent1 73 4" xfId="36825" xr:uid="{69F83B13-8E32-4884-B091-3145758163FB}"/>
    <cellStyle name="40% - Accent1 74" xfId="10529" xr:uid="{5B40C2BF-9912-4CA7-B4DA-6B4668B74ABC}"/>
    <cellStyle name="40% - Accent1 74 2" xfId="10530" xr:uid="{1BDE2979-FA44-4B04-BD1B-92BCA8D81440}"/>
    <cellStyle name="40% - Accent1 74 2 2" xfId="10531" xr:uid="{58103356-8D37-4E54-B04D-9DE486535468}"/>
    <cellStyle name="40% - Accent1 74 3" xfId="10532" xr:uid="{DA2AA715-C546-4E3E-841E-D466ED8D3611}"/>
    <cellStyle name="40% - Accent1 74 4" xfId="36826" xr:uid="{AA5428E2-1988-4CE5-A0A4-AB85D139F018}"/>
    <cellStyle name="40% - Accent1 75" xfId="10533" xr:uid="{F665E6A9-0C95-434D-B910-30581252E972}"/>
    <cellStyle name="40% - Accent1 75 2" xfId="10534" xr:uid="{D23164A9-4EB6-4F46-BF5B-6E52C028C0F0}"/>
    <cellStyle name="40% - Accent1 75 2 2" xfId="10535" xr:uid="{AB7A08DB-98EA-4150-A959-79650D952EC9}"/>
    <cellStyle name="40% - Accent1 75 3" xfId="10536" xr:uid="{F40C9EBE-3911-45E6-9F85-301B2034C52C}"/>
    <cellStyle name="40% - Accent1 75 4" xfId="36827" xr:uid="{187F3463-A5DA-4522-A45D-B5C362A0DD2C}"/>
    <cellStyle name="40% - Accent1 76" xfId="10537" xr:uid="{B687D975-E0B8-43B2-87D1-1D9FC1F20A99}"/>
    <cellStyle name="40% - Accent1 76 2" xfId="10538" xr:uid="{D51CEF47-B481-4BF1-9364-370A42134F3D}"/>
    <cellStyle name="40% - Accent1 76 2 2" xfId="10539" xr:uid="{1E9071A5-478B-43CD-99DC-C9AA753CC41D}"/>
    <cellStyle name="40% - Accent1 76 3" xfId="10540" xr:uid="{42315192-B5FB-4DAA-A543-B6AF7A5CD4CE}"/>
    <cellStyle name="40% - Accent1 76 4" xfId="36828" xr:uid="{529B7ECA-8FF4-4273-B4A7-E17549DCF057}"/>
    <cellStyle name="40% - Accent1 77" xfId="10541" xr:uid="{8BDA983F-B748-49AB-A66E-DC20E9D4F7F1}"/>
    <cellStyle name="40% - Accent1 77 2" xfId="10542" xr:uid="{8DC130D3-F026-452B-B1EC-927BF601385B}"/>
    <cellStyle name="40% - Accent1 77 2 2" xfId="10543" xr:uid="{390769A2-BF89-4EE4-A16A-223DF4EC2519}"/>
    <cellStyle name="40% - Accent1 77 3" xfId="10544" xr:uid="{2218E3C7-50D7-4937-98C8-D7DCEC38A44C}"/>
    <cellStyle name="40% - Accent1 77 4" xfId="36829" xr:uid="{8F17FD72-ECFA-4CDF-8818-9D309090F5C1}"/>
    <cellStyle name="40% - Accent1 78" xfId="10545" xr:uid="{DA4AAC25-ED80-4ACD-9112-FEB53D75CFB6}"/>
    <cellStyle name="40% - Accent1 78 2" xfId="10546" xr:uid="{EACFCA23-2A20-4FF5-B8B7-CAE9A6B1CB6E}"/>
    <cellStyle name="40% - Accent1 78 2 2" xfId="10547" xr:uid="{2DB648A4-B1F9-4DEC-A22C-E94EC7023FF8}"/>
    <cellStyle name="40% - Accent1 78 3" xfId="10548" xr:uid="{22FFD6D5-0283-416A-991D-CCDD0B3E0D43}"/>
    <cellStyle name="40% - Accent1 78 4" xfId="36830" xr:uid="{728A59B1-0058-4DED-996D-DC69242845D9}"/>
    <cellStyle name="40% - Accent1 79" xfId="10549" xr:uid="{93A009C1-663A-4281-8FC2-2B2AADD2D285}"/>
    <cellStyle name="40% - Accent1 79 2" xfId="10550" xr:uid="{2167EF2E-4E3F-49AD-A1F3-D9027D3FC5B8}"/>
    <cellStyle name="40% - Accent1 79 3" xfId="36831" xr:uid="{A4F505A4-70B5-4B75-A6D5-882FF07ABC6C}"/>
    <cellStyle name="40% - Accent1 8" xfId="10551" xr:uid="{8480D4F0-C7C1-4417-A50B-7236BD3DDCCA}"/>
    <cellStyle name="40% - Accent1 8 2" xfId="10552" xr:uid="{92218801-FBB8-44C3-BBCE-472A1568A7F8}"/>
    <cellStyle name="40% - Accent1 8 2 2" xfId="10553" xr:uid="{E7A492AE-9D7E-493D-9512-4B746644B864}"/>
    <cellStyle name="40% - Accent1 8 2 2 2" xfId="36832" xr:uid="{AD84DD9F-CF93-4C70-A701-A3C4ACAE5E60}"/>
    <cellStyle name="40% - Accent1 8 2 3" xfId="36833" xr:uid="{29310302-6F85-4D1B-AD8E-0F0F54BB8BF9}"/>
    <cellStyle name="40% - Accent1 8 3" xfId="10554" xr:uid="{4455A89C-934B-4EF8-B8AC-74B03CDB38E1}"/>
    <cellStyle name="40% - Accent1 8 3 2" xfId="36834" xr:uid="{A820A8C0-E20C-4498-908A-9EA261E4AA46}"/>
    <cellStyle name="40% - Accent1 8 4" xfId="36835" xr:uid="{D6DD5DA9-BAA7-4285-9DF3-68AA1BCE4BD2}"/>
    <cellStyle name="40% - Accent1 8 5" xfId="36836" xr:uid="{969FECCD-70C5-4932-AA07-F0DCBABB1973}"/>
    <cellStyle name="40% - Accent1 8 6" xfId="36837" xr:uid="{D389F967-FDE0-4E9A-B027-6CD14472756C}"/>
    <cellStyle name="40% - Accent1 8 7" xfId="36838" xr:uid="{D05C0BF9-55D3-44C4-B0B1-C6A32E17E326}"/>
    <cellStyle name="40% - Accent1 80" xfId="10555" xr:uid="{4773722A-F657-43B3-BF2D-911B570BEC0D}"/>
    <cellStyle name="40% - Accent1 80 2" xfId="10556" xr:uid="{70FE93CC-D521-424E-A587-B9C2FFEBB233}"/>
    <cellStyle name="40% - Accent1 80 3" xfId="36839" xr:uid="{85BC65B7-A203-4CB1-9F87-B5C824EBE620}"/>
    <cellStyle name="40% - Accent1 81" xfId="10557" xr:uid="{B2DA8B7C-E6DC-4F29-B588-3F0978C77848}"/>
    <cellStyle name="40% - Accent1 81 2" xfId="10558" xr:uid="{9E0AC594-ADF3-4B99-8528-42E8339785F6}"/>
    <cellStyle name="40% - Accent1 81 3" xfId="36840" xr:uid="{6658EC34-09AE-4C33-A7AD-CDB463234BB5}"/>
    <cellStyle name="40% - Accent1 82" xfId="10559" xr:uid="{531EF8D8-0427-4684-9C56-B4DB58320E40}"/>
    <cellStyle name="40% - Accent1 82 2" xfId="10560" xr:uid="{A02625DB-FDC2-4770-98DA-666A6264C6A9}"/>
    <cellStyle name="40% - Accent1 82 3" xfId="36841" xr:uid="{4501F649-22EA-4FFA-B09D-90A02DB86E5E}"/>
    <cellStyle name="40% - Accent1 83" xfId="10561" xr:uid="{D51637F1-77D9-413D-874D-80A5C40BDFCC}"/>
    <cellStyle name="40% - Accent1 83 2" xfId="10562" xr:uid="{F9E653C1-54C8-45B6-A81D-21C4C49AFFC0}"/>
    <cellStyle name="40% - Accent1 83 3" xfId="36842" xr:uid="{CE385292-D43E-4E55-86F7-F67D1166A4E4}"/>
    <cellStyle name="40% - Accent1 84" xfId="10563" xr:uid="{8284405F-BAEA-4F0D-A122-E9C9A856AFFA}"/>
    <cellStyle name="40% - Accent1 84 2" xfId="10564" xr:uid="{DB5618C6-4008-4623-B6F1-AE3791A4092E}"/>
    <cellStyle name="40% - Accent1 84 3" xfId="36843" xr:uid="{65635ABA-D3AE-4A23-8F6A-B275966D836C}"/>
    <cellStyle name="40% - Accent1 85" xfId="10565" xr:uid="{E511C84A-A499-4816-8F30-89C0D1373564}"/>
    <cellStyle name="40% - Accent1 85 2" xfId="10566" xr:uid="{F76988E4-2AF7-494E-9524-B5769418B072}"/>
    <cellStyle name="40% - Accent1 85 3" xfId="36844" xr:uid="{13264149-1915-4DED-9849-09555ED46B8D}"/>
    <cellStyle name="40% - Accent1 86" xfId="10567" xr:uid="{584BA040-F815-4DCF-94A5-2C48BB7063FE}"/>
    <cellStyle name="40% - Accent1 86 2" xfId="10568" xr:uid="{6126B234-23E0-46F4-BA89-C098A2D57937}"/>
    <cellStyle name="40% - Accent1 86 3" xfId="36845" xr:uid="{AA512DF2-1212-47C5-A22B-42F5B5BE2161}"/>
    <cellStyle name="40% - Accent1 87" xfId="10569" xr:uid="{4E715039-C812-4FEB-A2A4-2D655D51C1F8}"/>
    <cellStyle name="40% - Accent1 87 2" xfId="10570" xr:uid="{7CEEA281-A9B5-45AF-8CBC-CFB1D42A3098}"/>
    <cellStyle name="40% - Accent1 87 3" xfId="36846" xr:uid="{0D836D11-D9A7-44CC-AF97-5D76C0CEC277}"/>
    <cellStyle name="40% - Accent1 88" xfId="10571" xr:uid="{54B47287-C77E-4FCD-ACDB-BEC13DB6818B}"/>
    <cellStyle name="40% - Accent1 88 2" xfId="10572" xr:uid="{C68E0957-CA40-436A-824D-3E3F0235A0FB}"/>
    <cellStyle name="40% - Accent1 88 3" xfId="36847" xr:uid="{53BDCE32-8DBD-4869-8F49-97817869E7A0}"/>
    <cellStyle name="40% - Accent1 89" xfId="10573" xr:uid="{5D76395E-025C-4840-9417-9FE5760A7C06}"/>
    <cellStyle name="40% - Accent1 89 2" xfId="10574" xr:uid="{7B28E393-9376-4333-8776-ABEBBAE3505A}"/>
    <cellStyle name="40% - Accent1 89 3" xfId="36848" xr:uid="{67A318EE-CF9E-4BC2-9943-1BD9BD74A22C}"/>
    <cellStyle name="40% - Accent1 9" xfId="10575" xr:uid="{F9BFAF90-D62C-47EE-B042-7CA8C6CD023F}"/>
    <cellStyle name="40% - Accent1 9 2" xfId="10576" xr:uid="{DF5D07E0-9FC9-4F47-A62E-3D7F121617DD}"/>
    <cellStyle name="40% - Accent1 9 2 2" xfId="10577" xr:uid="{14BEE41F-E9AD-4804-817C-7A6D19583DDF}"/>
    <cellStyle name="40% - Accent1 9 2 2 2" xfId="36849" xr:uid="{B3DD3C41-1DE1-4E81-823B-E7022B31E293}"/>
    <cellStyle name="40% - Accent1 9 2 3" xfId="36850" xr:uid="{8D841058-6042-4DDB-B05B-21A5A3E2BAFB}"/>
    <cellStyle name="40% - Accent1 9 3" xfId="10578" xr:uid="{65D6F74D-77CC-42F5-BE16-6071E0A306E9}"/>
    <cellStyle name="40% - Accent1 9 3 2" xfId="36851" xr:uid="{324F8E3A-0535-46B3-85E0-EA768D4A1D0E}"/>
    <cellStyle name="40% - Accent1 9 4" xfId="36852" xr:uid="{A35D65E9-BD73-4854-B534-525E74201D69}"/>
    <cellStyle name="40% - Accent1 9 5" xfId="36853" xr:uid="{7B34FB3F-5DB4-478D-A61A-913146B1F9EB}"/>
    <cellStyle name="40% - Accent1 9 6" xfId="36854" xr:uid="{8BB629EC-7260-4AA8-9219-829C099D3C3D}"/>
    <cellStyle name="40% - Accent1 90" xfId="10579" xr:uid="{DA92547D-04B2-4D2C-A40C-8F16BC2F20AD}"/>
    <cellStyle name="40% - Accent1 90 2" xfId="10580" xr:uid="{08250555-7817-4A21-BA8E-3FBFC9BB612B}"/>
    <cellStyle name="40% - Accent1 90 3" xfId="36855" xr:uid="{00206690-F4BE-4FF8-8D1C-DA332C088576}"/>
    <cellStyle name="40% - Accent1 91" xfId="10581" xr:uid="{E60CB6EE-98D0-4C32-B549-7BC388BC3695}"/>
    <cellStyle name="40% - Accent1 91 2" xfId="10582" xr:uid="{8FEC1BF4-6313-4F8E-9568-B4F229F588AD}"/>
    <cellStyle name="40% - Accent1 91 3" xfId="36856" xr:uid="{7D28D6AA-5E7E-4CE4-B662-CB1904B5118C}"/>
    <cellStyle name="40% - Accent1 92" xfId="10583" xr:uid="{729261A3-FB01-4127-A404-785F0CF41B11}"/>
    <cellStyle name="40% - Accent1 92 2" xfId="10584" xr:uid="{A66F79A1-CC6B-4509-A412-3C002C1F25FD}"/>
    <cellStyle name="40% - Accent1 92 3" xfId="36857" xr:uid="{6F188EB8-395F-4B91-BC08-A2DF8DBD8AE5}"/>
    <cellStyle name="40% - Accent1 93" xfId="10585" xr:uid="{CA495758-E7EA-49A1-8217-C56723042180}"/>
    <cellStyle name="40% - Accent1 93 2" xfId="10586" xr:uid="{FDDF8B55-41DB-425A-8AFC-AF2EF03BAFD8}"/>
    <cellStyle name="40% - Accent1 93 3" xfId="36858" xr:uid="{872D955E-3DAB-4C21-88D7-9B4F90CC91F3}"/>
    <cellStyle name="40% - Accent1 94" xfId="10587" xr:uid="{29DA1E3A-AAA7-46E0-9708-94BC6AD6EC5E}"/>
    <cellStyle name="40% - Accent1 94 2" xfId="10588" xr:uid="{2606E97F-8C23-4CEB-B66B-64B80FC10338}"/>
    <cellStyle name="40% - Accent1 94 3" xfId="36859" xr:uid="{9B06A76C-AA0A-4FDE-B58A-6664459B5002}"/>
    <cellStyle name="40% - Accent1 95" xfId="10589" xr:uid="{4DFD2FFC-085B-40F9-8EFB-D97F228288C7}"/>
    <cellStyle name="40% - Accent1 95 2" xfId="10590" xr:uid="{16EDE24F-0E5F-447B-BA7A-7067C5A68A9B}"/>
    <cellStyle name="40% - Accent1 95 3" xfId="36860" xr:uid="{9B5F0126-455B-4F48-AA45-D0C6B59AE8B0}"/>
    <cellStyle name="40% - Accent1 96" xfId="10591" xr:uid="{EF1A8842-8311-49F3-87B7-44596E0EACDD}"/>
    <cellStyle name="40% - Accent1 96 2" xfId="10592" xr:uid="{83B8E38F-DC2B-457C-8469-F38323ACFEBF}"/>
    <cellStyle name="40% - Accent1 96 3" xfId="36861" xr:uid="{F20F621D-5031-4A4B-B16F-73DA90054274}"/>
    <cellStyle name="40% - Accent1 97" xfId="10593" xr:uid="{F741B657-5724-48CA-AA82-126F86A80D3B}"/>
    <cellStyle name="40% - Accent1 97 2" xfId="10594" xr:uid="{C6E0E6A8-3529-410E-8004-A4F6FCAF6BC2}"/>
    <cellStyle name="40% - Accent1 97 3" xfId="36862" xr:uid="{58AD1BF0-CB79-495F-9B24-A05082D5D3F5}"/>
    <cellStyle name="40% - Accent1 98" xfId="10595" xr:uid="{EA60688F-A705-4639-A7F3-81AEFB0EE747}"/>
    <cellStyle name="40% - Accent1 98 2" xfId="10596" xr:uid="{DC75F390-6450-42F6-81EB-0996B041045B}"/>
    <cellStyle name="40% - Accent1 98 3" xfId="36863" xr:uid="{533070E9-2B88-4639-AC51-59072B6948DF}"/>
    <cellStyle name="40% - Accent1 99" xfId="10597" xr:uid="{2C27C16C-6817-4468-85C2-5725F9D11193}"/>
    <cellStyle name="40% - Accent1 99 2" xfId="10598" xr:uid="{4917DAF8-2F3D-4E57-909D-99B92F597B11}"/>
    <cellStyle name="40% - Accent1 99 3" xfId="36864" xr:uid="{9DECC5F6-7002-4FD2-81A1-9E0801FE736B}"/>
    <cellStyle name="40% - Accent2" xfId="36" builtinId="35" hidden="1"/>
    <cellStyle name="40% - Accent2" xfId="110" builtinId="35" customBuiltin="1"/>
    <cellStyle name="40% - Accent2 10" xfId="10599" xr:uid="{84158D34-541C-4F8F-804F-4C2C14ABCD65}"/>
    <cellStyle name="40% - Accent2 10 2" xfId="10600" xr:uid="{97EE0C17-B37C-40EB-A8C2-428CB622521D}"/>
    <cellStyle name="40% - Accent2 10 2 2" xfId="10601" xr:uid="{3C1ECDFD-B806-405B-8C9F-613031C4CCFC}"/>
    <cellStyle name="40% - Accent2 10 2 2 2" xfId="36865" xr:uid="{27DF25B6-D884-48B8-9E1F-650004A0CCBD}"/>
    <cellStyle name="40% - Accent2 10 2 3" xfId="36866" xr:uid="{128DE965-0E8D-42A4-A8DB-FE6DF9A3CD52}"/>
    <cellStyle name="40% - Accent2 10 3" xfId="10602" xr:uid="{63096D0B-9205-4986-A7B2-A1F3B627E917}"/>
    <cellStyle name="40% - Accent2 10 3 2" xfId="36867" xr:uid="{062D8CE7-07FB-4502-AE4D-AD2E2B155E86}"/>
    <cellStyle name="40% - Accent2 10 4" xfId="36868" xr:uid="{190AB465-1FC0-42FF-81A1-FC6F8F22DB9C}"/>
    <cellStyle name="40% - Accent2 10 5" xfId="36869" xr:uid="{026F300A-647D-41FE-ADBB-995EC3B88811}"/>
    <cellStyle name="40% - Accent2 10 6" xfId="36870" xr:uid="{1E18A7C6-D4BB-44F5-8200-C49AD3986FD7}"/>
    <cellStyle name="40% - Accent2 100" xfId="10603" xr:uid="{79259E0C-544A-4010-BE5F-D79F744C5A44}"/>
    <cellStyle name="40% - Accent2 100 2" xfId="10604" xr:uid="{FC29B166-7C5C-41E9-BEFA-A900A08C59A5}"/>
    <cellStyle name="40% - Accent2 100 3" xfId="36871" xr:uid="{8C643130-BCD9-4C3F-8482-BDEF759A14C7}"/>
    <cellStyle name="40% - Accent2 101" xfId="10605" xr:uid="{C304658B-232D-4D71-88CD-E67DAECC1A8E}"/>
    <cellStyle name="40% - Accent2 102" xfId="10606" xr:uid="{47AE91C8-44FE-41BE-B78D-9D1112529112}"/>
    <cellStyle name="40% - Accent2 103" xfId="10607" xr:uid="{D5DAB2D9-25EF-4F63-80AE-F5CE3D8E8A8A}"/>
    <cellStyle name="40% - Accent2 104" xfId="10608" xr:uid="{EE502BB6-606A-455A-89E0-20FB53DFAB1F}"/>
    <cellStyle name="40% - Accent2 105" xfId="10609" xr:uid="{D143E04A-E42B-4F29-8177-05770B6CDD4B}"/>
    <cellStyle name="40% - Accent2 106" xfId="10610" xr:uid="{726B471F-91C1-4A67-8452-B5FA89AA1229}"/>
    <cellStyle name="40% - Accent2 107" xfId="10611" xr:uid="{090A2619-0BEA-4903-A143-3D188861A467}"/>
    <cellStyle name="40% - Accent2 108" xfId="10612" xr:uid="{8F9FF5A3-A9C0-4EE9-B704-1B740E412F47}"/>
    <cellStyle name="40% - Accent2 109" xfId="10613" xr:uid="{4FA3CAA1-3CC7-4D8B-812E-B54FD529626B}"/>
    <cellStyle name="40% - Accent2 11" xfId="10614" xr:uid="{38A17021-5498-4E15-8B2A-3CD349328C90}"/>
    <cellStyle name="40% - Accent2 11 2" xfId="10615" xr:uid="{BCF0460C-69CA-4DB7-B893-4F5948FD8A0B}"/>
    <cellStyle name="40% - Accent2 11 2 2" xfId="10616" xr:uid="{5FBF6B6A-8B30-4975-8C10-5DB754626021}"/>
    <cellStyle name="40% - Accent2 11 2 2 2" xfId="36872" xr:uid="{C9D3BB35-CB82-4C0A-AF8E-FD9BB73A9866}"/>
    <cellStyle name="40% - Accent2 11 2 3" xfId="36873" xr:uid="{2A398BC9-D1EF-426A-A47B-67E1BB647015}"/>
    <cellStyle name="40% - Accent2 11 3" xfId="10617" xr:uid="{F5E7486F-D793-4E0E-B680-FDE550B92E9F}"/>
    <cellStyle name="40% - Accent2 11 3 2" xfId="36874" xr:uid="{84CB4945-B2EC-4A02-9C5D-9058349115BE}"/>
    <cellStyle name="40% - Accent2 11 4" xfId="36875" xr:uid="{CB5EF4A2-4134-49ED-A219-79F41CA9A9E5}"/>
    <cellStyle name="40% - Accent2 11 5" xfId="36876" xr:uid="{EA10C271-48A1-4F8C-B71F-F6F8E9F414E7}"/>
    <cellStyle name="40% - Accent2 11 6" xfId="36877" xr:uid="{B23F78CA-841C-4777-AC38-BBE2E1A92D61}"/>
    <cellStyle name="40% - Accent2 110" xfId="10618" xr:uid="{7738C96C-29F0-426E-9BA2-10675BD2643A}"/>
    <cellStyle name="40% - Accent2 111" xfId="10619" xr:uid="{06FDFC2A-7F6A-4E17-A7A2-F7EEA6443222}"/>
    <cellStyle name="40% - Accent2 112" xfId="10620" xr:uid="{06377D58-A436-4CB3-AECC-9422F99D6BEA}"/>
    <cellStyle name="40% - Accent2 113" xfId="10621" xr:uid="{DDA7AF8A-BA39-4B9F-BFE2-5FD98C11C7AA}"/>
    <cellStyle name="40% - Accent2 114" xfId="10622" xr:uid="{35C99B62-FE05-4802-840A-8DD8798AB531}"/>
    <cellStyle name="40% - Accent2 115" xfId="10623" xr:uid="{23ACD66F-44B9-400D-BB71-20F889B45B4E}"/>
    <cellStyle name="40% - Accent2 116" xfId="10624" xr:uid="{2C5B42BB-51A3-4F0A-AF72-28703EBE16E7}"/>
    <cellStyle name="40% - Accent2 117" xfId="10625" xr:uid="{7391FBA9-097B-4582-AAC1-EE2FE8A9F5E8}"/>
    <cellStyle name="40% - Accent2 118" xfId="10626" xr:uid="{637EA0F7-32B1-4838-B772-CC024E592057}"/>
    <cellStyle name="40% - Accent2 119" xfId="10627" xr:uid="{90B82DAE-60A6-49BA-832B-6D654297B3E8}"/>
    <cellStyle name="40% - Accent2 12" xfId="10628" xr:uid="{F84D7618-C42B-4DA7-8FAC-5AC59B88FF98}"/>
    <cellStyle name="40% - Accent2 12 2" xfId="10629" xr:uid="{FA652989-77C9-4764-9A2E-BF778D9439D2}"/>
    <cellStyle name="40% - Accent2 12 2 2" xfId="10630" xr:uid="{5A28B0A8-D39E-433B-AD7C-700BBEC40DD9}"/>
    <cellStyle name="40% - Accent2 12 2 2 2" xfId="36878" xr:uid="{4735732F-7BC2-467B-A41D-7CA258126F21}"/>
    <cellStyle name="40% - Accent2 12 2 3" xfId="36879" xr:uid="{25B7F499-BF47-467D-8362-0D595708897A}"/>
    <cellStyle name="40% - Accent2 12 3" xfId="10631" xr:uid="{686DFC63-3B37-4397-99F5-0469DCCF95AE}"/>
    <cellStyle name="40% - Accent2 12 3 2" xfId="36880" xr:uid="{F5190050-696F-4A4F-99D9-DA14758B406D}"/>
    <cellStyle name="40% - Accent2 12 4" xfId="36881" xr:uid="{2DF996C6-20AF-4D8E-9E15-042B9638F045}"/>
    <cellStyle name="40% - Accent2 12 5" xfId="36882" xr:uid="{128E977A-9D42-408E-8C1E-E357540F2536}"/>
    <cellStyle name="40% - Accent2 12 6" xfId="36883" xr:uid="{018F98A7-E90F-428C-A629-6718BCE2D1C9}"/>
    <cellStyle name="40% - Accent2 120" xfId="10632" xr:uid="{A941455C-7D83-4EDF-A9E1-FF93FB12C97E}"/>
    <cellStyle name="40% - Accent2 121" xfId="10633" xr:uid="{2FF74024-851F-4346-874A-B89D7492B2C5}"/>
    <cellStyle name="40% - Accent2 122" xfId="10634" xr:uid="{37D5E610-AD73-4C5F-A0DA-D21204DDA03B}"/>
    <cellStyle name="40% - Accent2 123" xfId="10635" xr:uid="{AEA87F39-8B8A-46B7-B3FB-141F5E81804B}"/>
    <cellStyle name="40% - Accent2 124" xfId="10636" xr:uid="{8B321549-E5C0-430C-9959-13F79D5B772C}"/>
    <cellStyle name="40% - Accent2 125" xfId="10637" xr:uid="{4953C01A-0D15-4598-BD09-B65095A33B11}"/>
    <cellStyle name="40% - Accent2 126" xfId="10638" xr:uid="{03C74CA9-C71D-47D5-B8CD-245F4365EC25}"/>
    <cellStyle name="40% - Accent2 127" xfId="10639" xr:uid="{51F9C3AC-3C62-49D0-9691-8537C8F762E5}"/>
    <cellStyle name="40% - Accent2 128" xfId="10640" xr:uid="{28B863A4-AA61-4EFA-9230-E475C9A4EF40}"/>
    <cellStyle name="40% - Accent2 129" xfId="10641" xr:uid="{E2B0BE68-291E-4BF7-819A-CB040CF88367}"/>
    <cellStyle name="40% - Accent2 13" xfId="10642" xr:uid="{DBFBB0BB-FC9D-4A9B-8B01-FC245A9BD59B}"/>
    <cellStyle name="40% - Accent2 13 2" xfId="10643" xr:uid="{A0D7F143-46FA-4BA6-B029-C996D69EB6CA}"/>
    <cellStyle name="40% - Accent2 13 2 2" xfId="10644" xr:uid="{A67FF7F5-4741-4A70-A195-577A96EC1732}"/>
    <cellStyle name="40% - Accent2 13 2 2 2" xfId="36884" xr:uid="{2DCAE152-6EA5-4C64-BEA7-6EA40CDE0286}"/>
    <cellStyle name="40% - Accent2 13 2 3" xfId="36885" xr:uid="{0BDC4AC2-802B-446B-9AF2-ABB24D944064}"/>
    <cellStyle name="40% - Accent2 13 3" xfId="10645" xr:uid="{B0629487-F3FD-46CE-ACE8-33A59116E094}"/>
    <cellStyle name="40% - Accent2 13 3 2" xfId="36886" xr:uid="{8F622782-0C2A-4ECE-8E51-A69D1C701398}"/>
    <cellStyle name="40% - Accent2 13 4" xfId="36887" xr:uid="{5C632B01-491A-46F4-8208-FB38206887FA}"/>
    <cellStyle name="40% - Accent2 13 5" xfId="36888" xr:uid="{42C52F50-8D51-4EE8-A5DA-E141A0717259}"/>
    <cellStyle name="40% - Accent2 13 6" xfId="36889" xr:uid="{6187BE39-4FFC-4A3F-A9D8-2B42E2D157CD}"/>
    <cellStyle name="40% - Accent2 130" xfId="10646" xr:uid="{90B5B7A2-9BEA-44D2-83E6-8895364B0636}"/>
    <cellStyle name="40% - Accent2 131" xfId="10647" xr:uid="{12864DCF-8EB1-4470-AD20-4997B61ED92B}"/>
    <cellStyle name="40% - Accent2 132" xfId="10648" xr:uid="{63E0F126-9C45-4062-AF1A-0DDD30F0E233}"/>
    <cellStyle name="40% - Accent2 133" xfId="10649" xr:uid="{0634CEFE-ED9E-40CC-875A-F788CEC6540E}"/>
    <cellStyle name="40% - Accent2 134" xfId="10650" xr:uid="{D043EC3A-C375-4865-A4C8-F09B5A7881A2}"/>
    <cellStyle name="40% - Accent2 135" xfId="10651" xr:uid="{F89EAD6C-BCDA-47D8-BA75-7D9C016B8AC3}"/>
    <cellStyle name="40% - Accent2 136" xfId="10652" xr:uid="{E33C04F1-C88F-4A23-91C4-3A166C76C3F7}"/>
    <cellStyle name="40% - Accent2 137" xfId="10653" xr:uid="{8E2CC0C4-4297-4A09-9869-7BE2AF399609}"/>
    <cellStyle name="40% - Accent2 138" xfId="10654" xr:uid="{62A85208-50B1-4C20-B688-8A2D6F3DD5DC}"/>
    <cellStyle name="40% - Accent2 139" xfId="10655" xr:uid="{AA36FCEA-5B97-4656-9DBF-52F0C1F0BC44}"/>
    <cellStyle name="40% - Accent2 14" xfId="10656" xr:uid="{891B922F-5445-498C-9D97-9A43E3430B63}"/>
    <cellStyle name="40% - Accent2 14 2" xfId="10657" xr:uid="{FE9FEB0F-55FD-4B0C-85A0-E110ACD9C145}"/>
    <cellStyle name="40% - Accent2 14 2 2" xfId="10658" xr:uid="{C4C0EABD-C893-47DB-A953-C1681CBC1B99}"/>
    <cellStyle name="40% - Accent2 14 2 2 2" xfId="36890" xr:uid="{FF252167-D382-4068-9A93-CCFCA84AED73}"/>
    <cellStyle name="40% - Accent2 14 2 3" xfId="36891" xr:uid="{BFFD66BF-8838-4255-A4AD-6C2DD6FE7D06}"/>
    <cellStyle name="40% - Accent2 14 3" xfId="10659" xr:uid="{E1F1ED3F-1362-4CE6-B830-FA7C1B083B69}"/>
    <cellStyle name="40% - Accent2 14 3 2" xfId="36892" xr:uid="{230D4D9B-C145-42E5-AC15-3057C335947F}"/>
    <cellStyle name="40% - Accent2 14 4" xfId="36893" xr:uid="{466F60D0-5132-41BA-AEFF-BE6D0E3A5575}"/>
    <cellStyle name="40% - Accent2 14 5" xfId="36894" xr:uid="{9689CF6B-B788-40EC-BAC7-7D3C4F052291}"/>
    <cellStyle name="40% - Accent2 14 6" xfId="36895" xr:uid="{8F6E83C1-C139-44FD-8BBA-17FE470FA536}"/>
    <cellStyle name="40% - Accent2 140" xfId="10660" xr:uid="{8AD5D6BB-42A0-4CA8-BBE4-02299C605BA4}"/>
    <cellStyle name="40% - Accent2 141" xfId="10661" xr:uid="{4C938F28-EC2A-4A3D-83D5-78AB6AC60A51}"/>
    <cellStyle name="40% - Accent2 142" xfId="10662" xr:uid="{BD3C5833-A56C-45D0-9FBB-86694497F0E5}"/>
    <cellStyle name="40% - Accent2 143" xfId="10663" xr:uid="{D24AB54F-95FF-4417-8853-6546B063BD00}"/>
    <cellStyle name="40% - Accent2 144" xfId="10664" xr:uid="{4D3AC030-3438-47C3-916F-39B449C1EC74}"/>
    <cellStyle name="40% - Accent2 145" xfId="10665" xr:uid="{670D6B37-F0AE-412F-96E0-4B2E789E4DDA}"/>
    <cellStyle name="40% - Accent2 146" xfId="10666" xr:uid="{FD1EF742-23D3-4A8F-AD1C-B0489D333AE8}"/>
    <cellStyle name="40% - Accent2 147" xfId="10667" xr:uid="{E78F4302-6343-43D4-9AB2-0924D373D9B9}"/>
    <cellStyle name="40% - Accent2 148" xfId="10668" xr:uid="{3B068FBC-9299-474E-BB75-3F6416230446}"/>
    <cellStyle name="40% - Accent2 149" xfId="10669" xr:uid="{E699998B-1872-4298-A0D5-5AEF1CDDC169}"/>
    <cellStyle name="40% - Accent2 15" xfId="10670" xr:uid="{B360A208-9291-468B-B14C-990A036B5475}"/>
    <cellStyle name="40% - Accent2 15 2" xfId="10671" xr:uid="{DC65F85D-BA10-40EC-93BE-92A41ABFD69B}"/>
    <cellStyle name="40% - Accent2 15 2 2" xfId="10672" xr:uid="{7591634F-52E8-4FEA-87C0-1D5EAA40C1AE}"/>
    <cellStyle name="40% - Accent2 15 2 2 2" xfId="36896" xr:uid="{BD1A7AA8-AD5D-4A31-B2CD-E816B30923C5}"/>
    <cellStyle name="40% - Accent2 15 2 3" xfId="36897" xr:uid="{30FBB1C5-1036-4E66-837D-3B10671CE38A}"/>
    <cellStyle name="40% - Accent2 15 3" xfId="10673" xr:uid="{BC649777-FD53-4542-A069-1CCE35B2E510}"/>
    <cellStyle name="40% - Accent2 15 3 2" xfId="36898" xr:uid="{D23D3822-1BD3-4533-B0A4-83015B8A22BD}"/>
    <cellStyle name="40% - Accent2 15 4" xfId="36899" xr:uid="{9879EF5E-1CDC-4382-885D-97CDDBBD6127}"/>
    <cellStyle name="40% - Accent2 15 5" xfId="36900" xr:uid="{BC39D6F7-1B0D-40D4-840C-127A68FC766D}"/>
    <cellStyle name="40% - Accent2 15 6" xfId="36901" xr:uid="{A025F475-1321-47B3-98B0-3625135D6827}"/>
    <cellStyle name="40% - Accent2 150" xfId="10674" xr:uid="{7A2ABA2E-5293-49BE-8477-5C5C99230C7D}"/>
    <cellStyle name="40% - Accent2 151" xfId="10675" xr:uid="{065B9089-3498-4714-A5C7-ADA1EE88C0F1}"/>
    <cellStyle name="40% - Accent2 152" xfId="10676" xr:uid="{8A0EB969-C170-466B-9C13-BE579B01EE07}"/>
    <cellStyle name="40% - Accent2 153" xfId="10677" xr:uid="{0AE36BD5-03C6-465D-8334-78A6C1351F9E}"/>
    <cellStyle name="40% - Accent2 154" xfId="10678" xr:uid="{E8EF9E32-593F-4556-8155-8EBE934EB23E}"/>
    <cellStyle name="40% - Accent2 155" xfId="10679" xr:uid="{B5139E2C-F345-449E-B97A-D9C6929F34D4}"/>
    <cellStyle name="40% - Accent2 156" xfId="10680" xr:uid="{B5998E59-8ACD-4A64-B7AC-B140D933B23E}"/>
    <cellStyle name="40% - Accent2 157" xfId="10681" xr:uid="{A53409B3-9B5A-428B-A421-EBFCC9BD74BD}"/>
    <cellStyle name="40% - Accent2 158" xfId="10682" xr:uid="{4E88F5A9-98BC-4216-ACFE-9006329DE32C}"/>
    <cellStyle name="40% - Accent2 159" xfId="10683" xr:uid="{6340F4F9-9B9B-4967-A3AF-6F987D438A37}"/>
    <cellStyle name="40% - Accent2 16" xfId="10684" xr:uid="{24101500-4A13-4C0A-B99D-7C9FEEC4BA18}"/>
    <cellStyle name="40% - Accent2 16 2" xfId="10685" xr:uid="{7D845BE6-9579-4D4D-97C0-9025E9DDA233}"/>
    <cellStyle name="40% - Accent2 16 2 2" xfId="10686" xr:uid="{AF818D3C-C9C5-4BAC-A9CD-C23462D0DE84}"/>
    <cellStyle name="40% - Accent2 16 2 2 2" xfId="36902" xr:uid="{C2ACC559-5518-4FB9-AE70-D91B196D04F5}"/>
    <cellStyle name="40% - Accent2 16 2 3" xfId="36903" xr:uid="{2C7982E3-91A9-4D73-B06C-C36BA58DBCC4}"/>
    <cellStyle name="40% - Accent2 16 3" xfId="10687" xr:uid="{0BE57BD7-8A8A-4538-954A-F98E5E7C3CC8}"/>
    <cellStyle name="40% - Accent2 16 3 2" xfId="36904" xr:uid="{85EA35E2-1265-49E6-A80D-896A84CDFF65}"/>
    <cellStyle name="40% - Accent2 16 4" xfId="36905" xr:uid="{8682EF8C-6568-48CA-8A15-5AED582DF1D0}"/>
    <cellStyle name="40% - Accent2 16 5" xfId="36906" xr:uid="{34C0F05A-B22B-4A24-9767-007EE8E2817B}"/>
    <cellStyle name="40% - Accent2 16 6" xfId="36907" xr:uid="{B52A890C-0025-4256-8D94-9472DDDBF249}"/>
    <cellStyle name="40% - Accent2 160" xfId="10688" xr:uid="{7C5356AE-EEE0-439D-A6C8-B9CE702C251D}"/>
    <cellStyle name="40% - Accent2 17" xfId="10689" xr:uid="{5449796C-7AE8-4A56-8896-658466E5FB5B}"/>
    <cellStyle name="40% - Accent2 17 2" xfId="10690" xr:uid="{B4A0EAE3-9206-4C7F-A8AD-E02570AB70CC}"/>
    <cellStyle name="40% - Accent2 17 2 2" xfId="10691" xr:uid="{66972C23-A348-4F3E-BF66-23101EF2E41E}"/>
    <cellStyle name="40% - Accent2 17 2 2 2" xfId="36908" xr:uid="{ECFCB93A-4F00-4583-B24A-453E64381B04}"/>
    <cellStyle name="40% - Accent2 17 2 3" xfId="36909" xr:uid="{FC904286-CF84-48D0-A7EA-6ABE99B4F9D9}"/>
    <cellStyle name="40% - Accent2 17 3" xfId="10692" xr:uid="{4615CC2B-6783-4A5D-9EC3-A781CCFEF13E}"/>
    <cellStyle name="40% - Accent2 17 3 2" xfId="36910" xr:uid="{67F81723-9F94-4BA2-937C-F7CB235D62BE}"/>
    <cellStyle name="40% - Accent2 17 4" xfId="36911" xr:uid="{B6803C3D-88F3-4748-B9B5-8DAC248854F9}"/>
    <cellStyle name="40% - Accent2 17 5" xfId="36912" xr:uid="{F03E170B-AD58-4B09-A32F-1EE2C9C025FB}"/>
    <cellStyle name="40% - Accent2 17 6" xfId="36913" xr:uid="{AC76D1D8-AC90-4E9A-8FF7-C58BBC04B7B1}"/>
    <cellStyle name="40% - Accent2 18" xfId="10693" xr:uid="{385886FE-3750-4680-8D24-BD3BAD7F1BEC}"/>
    <cellStyle name="40% - Accent2 18 2" xfId="10694" xr:uid="{E7F0FFE7-1495-45A4-A980-1D7E258D7CEA}"/>
    <cellStyle name="40% - Accent2 18 2 2" xfId="10695" xr:uid="{064D9C6E-CC56-4449-8838-D6945950A8BE}"/>
    <cellStyle name="40% - Accent2 18 2 2 2" xfId="36914" xr:uid="{64D5977C-DCF1-4716-8035-947A98B5C5BE}"/>
    <cellStyle name="40% - Accent2 18 2 3" xfId="36915" xr:uid="{0099152D-5B86-4CB8-B089-EE9FBD71A7EC}"/>
    <cellStyle name="40% - Accent2 18 3" xfId="10696" xr:uid="{D2921527-C3F0-4F16-9B9B-D932C7B60525}"/>
    <cellStyle name="40% - Accent2 18 3 2" xfId="36916" xr:uid="{BE276E7E-862E-4502-AB22-3300F83733ED}"/>
    <cellStyle name="40% - Accent2 18 4" xfId="36917" xr:uid="{B27BCF4A-DA87-413C-97A0-799493D3E087}"/>
    <cellStyle name="40% - Accent2 18 5" xfId="36918" xr:uid="{603BE869-811C-408E-ABDA-2FBD84F2D3C9}"/>
    <cellStyle name="40% - Accent2 18 6" xfId="36919" xr:uid="{C9FB0FFC-3379-417D-8551-762A1214126C}"/>
    <cellStyle name="40% - Accent2 19" xfId="10697" xr:uid="{CBE1D6F3-584E-4464-9CD7-E24BDDA4D1FE}"/>
    <cellStyle name="40% - Accent2 19 2" xfId="10698" xr:uid="{08AC1888-97B1-4659-8B55-F409775ED6B3}"/>
    <cellStyle name="40% - Accent2 19 2 2" xfId="36920" xr:uid="{052305AD-5422-483C-A1F0-319FE0E91A2A}"/>
    <cellStyle name="40% - Accent2 19 3" xfId="36921" xr:uid="{0F9B84BC-6485-46D9-8B26-9213DFAD0223}"/>
    <cellStyle name="40% - Accent2 19 4" xfId="36922" xr:uid="{1C6658DF-F2E7-4908-90F4-861934EC5164}"/>
    <cellStyle name="40% - Accent2 19 5" xfId="36923" xr:uid="{197E184A-1915-4A2A-B277-27DE80D8504E}"/>
    <cellStyle name="40% - Accent2 2" xfId="10699" xr:uid="{618BD2C0-3F09-4877-B124-4AE54B852056}"/>
    <cellStyle name="40% - Accent2 2 2" xfId="10700" xr:uid="{5A912EB0-A80A-4650-937A-1CBAA442119E}"/>
    <cellStyle name="40% - Accent2 2 2 2" xfId="10701" xr:uid="{8B28615B-6DFA-4E61-BC86-37EF21A8C033}"/>
    <cellStyle name="40% - Accent2 2 2 2 2" xfId="36924" xr:uid="{EA4091C9-A0E2-4FF5-8B2C-CAA9D0C86373}"/>
    <cellStyle name="40% - Accent2 2 2 3" xfId="36925" xr:uid="{BD9288C1-9C46-4710-B42B-0DE83D32A654}"/>
    <cellStyle name="40% - Accent2 2 2 4" xfId="36926" xr:uid="{639C6228-CFB5-41A6-B1CE-1DE150201429}"/>
    <cellStyle name="40% - Accent2 2 3" xfId="10702" xr:uid="{D5E00040-5017-4804-AAB3-3C3E17A310CF}"/>
    <cellStyle name="40% - Accent2 2 3 2" xfId="36927" xr:uid="{C559161A-850B-49EF-901F-EF17ED0C0CDF}"/>
    <cellStyle name="40% - Accent2 2 3 3" xfId="36928" xr:uid="{F6C7B263-4B51-4D3A-BCFC-499A212B2073}"/>
    <cellStyle name="40% - Accent2 2 3 4" xfId="36929" xr:uid="{25BF190E-36A3-47AD-B08B-A75AF34F3305}"/>
    <cellStyle name="40% - Accent2 2 4" xfId="10703" xr:uid="{FC62C9DF-D890-414C-B032-290D9F8142DB}"/>
    <cellStyle name="40% - Accent2 2 4 2" xfId="36930" xr:uid="{373A155C-DB15-4266-A09D-16624C573A07}"/>
    <cellStyle name="40% - Accent2 2 5" xfId="36931" xr:uid="{4EF720AD-B53C-4AA8-BF1D-7EEA2CB305A3}"/>
    <cellStyle name="40% - Accent2 2 6" xfId="36932" xr:uid="{2026D1CB-C409-43D7-9BD0-CD02864C0BF4}"/>
    <cellStyle name="40% - Accent2 2_Jun 11 details" xfId="10704" xr:uid="{B4957C1C-FAF4-4FBE-B084-1C2F87196E23}"/>
    <cellStyle name="40% - Accent2 20" xfId="10705" xr:uid="{F14F0B7F-3AEC-4C8B-9161-61D140BB8BF1}"/>
    <cellStyle name="40% - Accent2 20 2" xfId="36933" xr:uid="{6497FD3C-558D-4BFD-B043-29F6F693B3CE}"/>
    <cellStyle name="40% - Accent2 20 3" xfId="36934" xr:uid="{781E56E5-C6C0-472D-92A4-E5C1BA55A288}"/>
    <cellStyle name="40% - Accent2 20 4" xfId="36935" xr:uid="{93097BEA-0205-4CAB-AC84-6C52CCF9D208}"/>
    <cellStyle name="40% - Accent2 21" xfId="10706" xr:uid="{9DD7F4E5-165F-484E-ACB1-9A9D4388CDD9}"/>
    <cellStyle name="40% - Accent2 21 2" xfId="36936" xr:uid="{99FCD573-E888-4660-90E0-F80055370048}"/>
    <cellStyle name="40% - Accent2 21 3" xfId="36937" xr:uid="{01BFBAAE-AD0B-4D7C-AC43-D66AE6B75901}"/>
    <cellStyle name="40% - Accent2 22" xfId="10707" xr:uid="{995FDC5E-2B40-40F3-A167-7685400A8A84}"/>
    <cellStyle name="40% - Accent2 22 2" xfId="36938" xr:uid="{6EF89D2C-1725-4A26-BECD-B9FF5D3EA01C}"/>
    <cellStyle name="40% - Accent2 22 3" xfId="36939" xr:uid="{511F873A-0728-4D58-97C8-1ED2F092B7A0}"/>
    <cellStyle name="40% - Accent2 23" xfId="10708" xr:uid="{1426036D-D99E-4CAE-94D6-B3BE4C5FF030}"/>
    <cellStyle name="40% - Accent2 23 2" xfId="36940" xr:uid="{92ECA7C4-6088-481F-930E-0737D4BCD11C}"/>
    <cellStyle name="40% - Accent2 24" xfId="10709" xr:uid="{D8461E98-554C-4FF0-BE10-F72FFC29EEAA}"/>
    <cellStyle name="40% - Accent2 24 2" xfId="36941" xr:uid="{3C63CEA4-E0EB-41D7-BAD2-911A183B82F4}"/>
    <cellStyle name="40% - Accent2 25" xfId="10710" xr:uid="{1721BE9A-635D-4E54-8682-12E7D37885F7}"/>
    <cellStyle name="40% - Accent2 25 2" xfId="36942" xr:uid="{DAECE510-E57D-4F80-BB0C-525BD69B6E00}"/>
    <cellStyle name="40% - Accent2 26" xfId="10711" xr:uid="{4E606414-CB44-40BD-A65C-87D5AEDE4A68}"/>
    <cellStyle name="40% - Accent2 26 2" xfId="36943" xr:uid="{BCD3492D-29D3-4DF0-8344-8E5A1BAF5AE6}"/>
    <cellStyle name="40% - Accent2 27" xfId="10712" xr:uid="{DEA0410F-CC07-4B99-9937-F107AD480E1B}"/>
    <cellStyle name="40% - Accent2 27 2" xfId="36944" xr:uid="{C0DF780A-0CD6-4512-897C-E490879D1405}"/>
    <cellStyle name="40% - Accent2 28" xfId="10713" xr:uid="{C117093E-09B1-437B-8913-0318A02940B2}"/>
    <cellStyle name="40% - Accent2 28 10" xfId="10714" xr:uid="{CBCF5E0A-939F-46FF-980B-78570B2C9301}"/>
    <cellStyle name="40% - Accent2 28 10 2" xfId="10715" xr:uid="{B9D45FC5-3D4C-4727-86FB-584291AE344C}"/>
    <cellStyle name="40% - Accent2 28 10 2 2" xfId="10716" xr:uid="{C8618ACA-BBFF-499A-8B75-E675D944F4F0}"/>
    <cellStyle name="40% - Accent2 28 10 2 2 2" xfId="10717" xr:uid="{67562B46-EC1D-4918-BDF2-8BBAD0EFD58E}"/>
    <cellStyle name="40% - Accent2 28 10 2 2 2 2" xfId="10718" xr:uid="{D998C781-EC02-4343-A028-5EAE63264AAD}"/>
    <cellStyle name="40% - Accent2 28 10 2 2 3" xfId="10719" xr:uid="{4B0EC6D2-EC62-4DDE-B17A-691E48011354}"/>
    <cellStyle name="40% - Accent2 28 10 2 3" xfId="10720" xr:uid="{A87D2AE2-5EC5-4BED-B17C-A94333EB2A68}"/>
    <cellStyle name="40% - Accent2 28 10 2 3 2" xfId="10721" xr:uid="{C03926CE-9A45-419B-922A-DB0C4800A722}"/>
    <cellStyle name="40% - Accent2 28 10 2 3 2 2" xfId="10722" xr:uid="{69E269D0-762F-4007-86C9-B954CFD19C9E}"/>
    <cellStyle name="40% - Accent2 28 10 2 3 3" xfId="10723" xr:uid="{AE37EA66-F203-42ED-874A-FD3A06F255DC}"/>
    <cellStyle name="40% - Accent2 28 10 2 4" xfId="10724" xr:uid="{427D81C0-4547-4B26-9E80-65BD860DC2F4}"/>
    <cellStyle name="40% - Accent2 28 10 2 4 2" xfId="10725" xr:uid="{5A985B45-DE68-4883-ABEF-031F44B04991}"/>
    <cellStyle name="40% - Accent2 28 10 2 5" xfId="10726" xr:uid="{70FB9B95-F719-4BEB-9C03-8E5230193062}"/>
    <cellStyle name="40% - Accent2 28 10 3" xfId="10727" xr:uid="{912A05FC-443F-41E8-A8DE-514D73A2A071}"/>
    <cellStyle name="40% - Accent2 28 10 3 2" xfId="10728" xr:uid="{8FB6627E-2FBB-4288-8789-A572C0C491B3}"/>
    <cellStyle name="40% - Accent2 28 10 3 2 2" xfId="10729" xr:uid="{77BBDE40-933C-4889-8E4B-D124B00E9EEC}"/>
    <cellStyle name="40% - Accent2 28 10 3 3" xfId="10730" xr:uid="{E5BFEFD4-1891-40E3-BC0E-A14C04A92E0B}"/>
    <cellStyle name="40% - Accent2 28 10 4" xfId="10731" xr:uid="{D622CD6D-5526-456A-AD86-EBC253603DA6}"/>
    <cellStyle name="40% - Accent2 28 10 4 2" xfId="10732" xr:uid="{B3FC4CD3-F079-4A3A-A933-977A799FCB38}"/>
    <cellStyle name="40% - Accent2 28 10 4 2 2" xfId="10733" xr:uid="{4CFE149E-9AB8-4497-A195-22D2A9E31A35}"/>
    <cellStyle name="40% - Accent2 28 10 4 3" xfId="10734" xr:uid="{52E512A5-2AD5-4E93-8DFB-A4F4D800879E}"/>
    <cellStyle name="40% - Accent2 28 10 5" xfId="10735" xr:uid="{77F2A384-7510-4627-A3DB-468D04538130}"/>
    <cellStyle name="40% - Accent2 28 10 5 2" xfId="10736" xr:uid="{9023A394-6661-48CA-8C4B-B1A26D92AFE8}"/>
    <cellStyle name="40% - Accent2 28 10 6" xfId="10737" xr:uid="{00314748-650F-47B4-AA90-DD6249352825}"/>
    <cellStyle name="40% - Accent2 28 11" xfId="10738" xr:uid="{09CE1B90-2D4D-4AD7-B490-30EB1D949BD1}"/>
    <cellStyle name="40% - Accent2 28 11 2" xfId="10739" xr:uid="{54FE51E3-4E7A-4798-8D43-11E9C02DDF0D}"/>
    <cellStyle name="40% - Accent2 28 11 2 2" xfId="10740" xr:uid="{E1D17DDA-9DBE-4F86-BEEF-B1DFD72FF155}"/>
    <cellStyle name="40% - Accent2 28 11 2 2 2" xfId="10741" xr:uid="{2DCB3033-B6A0-4A53-B71B-AC2448A0107F}"/>
    <cellStyle name="40% - Accent2 28 11 2 3" xfId="10742" xr:uid="{0A91E77C-7E4D-4A9C-978F-DA8DFF45D769}"/>
    <cellStyle name="40% - Accent2 28 11 3" xfId="10743" xr:uid="{8C3A0259-C49E-41CC-B153-C5C40B5E2A01}"/>
    <cellStyle name="40% - Accent2 28 11 3 2" xfId="10744" xr:uid="{D8F56869-A846-4C4C-B76D-B34EF34C72B4}"/>
    <cellStyle name="40% - Accent2 28 11 3 2 2" xfId="10745" xr:uid="{A856B60F-9858-4613-92BA-B872449ED0D5}"/>
    <cellStyle name="40% - Accent2 28 11 3 3" xfId="10746" xr:uid="{F7FCFE8E-624E-4550-92F5-2A0E561FFA95}"/>
    <cellStyle name="40% - Accent2 28 11 4" xfId="10747" xr:uid="{F1893335-E123-44A5-9517-BAD86195F572}"/>
    <cellStyle name="40% - Accent2 28 11 4 2" xfId="10748" xr:uid="{BDAE4B5B-9C9B-4AE2-BC92-7AFD792CCB9F}"/>
    <cellStyle name="40% - Accent2 28 11 5" xfId="10749" xr:uid="{D00C04F7-AC2C-4A7E-8D7E-21FD6FA8F489}"/>
    <cellStyle name="40% - Accent2 28 12" xfId="10750" xr:uid="{DE3E7B43-755A-4179-AF18-D625BB19E28B}"/>
    <cellStyle name="40% - Accent2 28 12 2" xfId="10751" xr:uid="{B635CE7F-6A31-45EC-8276-22C7F9308064}"/>
    <cellStyle name="40% - Accent2 28 12 2 2" xfId="10752" xr:uid="{170EFF21-3AA6-4116-96EF-CB7EDCA5AF60}"/>
    <cellStyle name="40% - Accent2 28 12 3" xfId="10753" xr:uid="{CEE490A7-7DBC-45C6-9A3D-33800A915DE8}"/>
    <cellStyle name="40% - Accent2 28 13" xfId="10754" xr:uid="{FE0AB931-0630-4D75-BE56-D60CA0AA8861}"/>
    <cellStyle name="40% - Accent2 28 13 2" xfId="10755" xr:uid="{83E1CABB-D4AE-4AF2-B0AD-BE1F52FB5DAF}"/>
    <cellStyle name="40% - Accent2 28 13 2 2" xfId="10756" xr:uid="{BDC4DBCA-E6EB-4079-8A85-725640584970}"/>
    <cellStyle name="40% - Accent2 28 13 3" xfId="10757" xr:uid="{06BFD2F5-C85C-4915-9A77-2E4EA1121583}"/>
    <cellStyle name="40% - Accent2 28 14" xfId="10758" xr:uid="{AFB5375A-CB68-4690-BAE7-FDB63DD461F8}"/>
    <cellStyle name="40% - Accent2 28 14 2" xfId="10759" xr:uid="{DBB7D1C5-C22F-43E9-B60E-C95A0367D38F}"/>
    <cellStyle name="40% - Accent2 28 15" xfId="10760" xr:uid="{ECBD5070-F513-4A06-A8AE-F760E0F66B66}"/>
    <cellStyle name="40% - Accent2 28 16" xfId="36945" xr:uid="{014471A4-C496-4177-BB1B-23D8F231A421}"/>
    <cellStyle name="40% - Accent2 28 2" xfId="10761" xr:uid="{EB1341BC-3041-4BFD-B540-2A89127E9D08}"/>
    <cellStyle name="40% - Accent2 28 2 2" xfId="10762" xr:uid="{3D0003CE-F9EF-4C5F-A6FE-D08104EE44C7}"/>
    <cellStyle name="40% - Accent2 28 2 2 2" xfId="10763" xr:uid="{0530FFBA-48B0-4188-B821-756FA2E24C0C}"/>
    <cellStyle name="40% - Accent2 28 2 2 2 2" xfId="10764" xr:uid="{4889E524-4316-4D96-9A44-16DB17633019}"/>
    <cellStyle name="40% - Accent2 28 2 2 2 2 2" xfId="10765" xr:uid="{5F529184-D43A-49E3-99C0-6A7148CF5423}"/>
    <cellStyle name="40% - Accent2 28 2 2 2 3" xfId="10766" xr:uid="{44166598-B4E9-43F0-9A2A-BBB1CF1ED5BD}"/>
    <cellStyle name="40% - Accent2 28 2 2 3" xfId="10767" xr:uid="{986E0C81-948E-44D4-BA0B-DC0E7871F367}"/>
    <cellStyle name="40% - Accent2 28 2 2 3 2" xfId="10768" xr:uid="{DC449020-D5D7-4F15-B182-242C45B9D16D}"/>
    <cellStyle name="40% - Accent2 28 2 2 3 2 2" xfId="10769" xr:uid="{9D36A62B-133E-42E5-987C-E4D394D3FD4C}"/>
    <cellStyle name="40% - Accent2 28 2 2 3 3" xfId="10770" xr:uid="{8CCEB152-6285-4C98-B1D1-FD48EEFD696D}"/>
    <cellStyle name="40% - Accent2 28 2 2 4" xfId="10771" xr:uid="{B5DEA661-0529-4D5D-B9EE-469B4C436271}"/>
    <cellStyle name="40% - Accent2 28 2 2 4 2" xfId="10772" xr:uid="{CE605294-9A91-45B9-8193-A346377B6D20}"/>
    <cellStyle name="40% - Accent2 28 2 2 5" xfId="10773" xr:uid="{9DE40102-1811-43AF-8999-31C50E4E406B}"/>
    <cellStyle name="40% - Accent2 28 2 3" xfId="10774" xr:uid="{72D49281-04FA-49FE-B7FA-89920127ECCD}"/>
    <cellStyle name="40% - Accent2 28 2 3 2" xfId="10775" xr:uid="{3A4DDA55-3201-4D00-8D1B-096234C120FA}"/>
    <cellStyle name="40% - Accent2 28 2 3 2 2" xfId="10776" xr:uid="{35C0ADC8-690F-4CAD-B397-067333B8A344}"/>
    <cellStyle name="40% - Accent2 28 2 3 3" xfId="10777" xr:uid="{BAC0E6A8-5D1F-4453-BA19-D63353B4794F}"/>
    <cellStyle name="40% - Accent2 28 2 4" xfId="10778" xr:uid="{2826AEEB-5352-441F-BDCB-BF90D2B9FE57}"/>
    <cellStyle name="40% - Accent2 28 2 4 2" xfId="10779" xr:uid="{47370253-2841-4352-9FB5-A14EFA9BB48A}"/>
    <cellStyle name="40% - Accent2 28 2 4 2 2" xfId="10780" xr:uid="{AE729F59-FE1D-429E-8732-E5FCDAF6F00A}"/>
    <cellStyle name="40% - Accent2 28 2 4 3" xfId="10781" xr:uid="{9621968E-6549-42FD-8D43-03A5E1961C37}"/>
    <cellStyle name="40% - Accent2 28 2 5" xfId="10782" xr:uid="{449CA2A3-E0D6-4F0E-9409-D5E176C87CCB}"/>
    <cellStyle name="40% - Accent2 28 2 5 2" xfId="10783" xr:uid="{3FFEBCFB-99F7-49E9-8E86-4D23759A089B}"/>
    <cellStyle name="40% - Accent2 28 2 6" xfId="10784" xr:uid="{73AC4654-0770-4593-9F96-47FBAA0B8292}"/>
    <cellStyle name="40% - Accent2 28 3" xfId="10785" xr:uid="{3672042F-DC14-4368-9B0C-C12036C76C34}"/>
    <cellStyle name="40% - Accent2 28 3 2" xfId="10786" xr:uid="{52775863-5C15-49FD-B899-76D8D30E3687}"/>
    <cellStyle name="40% - Accent2 28 3 2 2" xfId="10787" xr:uid="{F40EFA0A-08E7-4EC8-8F58-AD3ACFD30170}"/>
    <cellStyle name="40% - Accent2 28 3 2 2 2" xfId="10788" xr:uid="{97F3EA9B-217E-40A0-B16F-D1A7CDED5E15}"/>
    <cellStyle name="40% - Accent2 28 3 2 2 2 2" xfId="10789" xr:uid="{F5E94BF3-1766-4EAC-A3F8-F4A136880119}"/>
    <cellStyle name="40% - Accent2 28 3 2 2 3" xfId="10790" xr:uid="{8EC18140-A4EF-400A-9F34-797CE15A0222}"/>
    <cellStyle name="40% - Accent2 28 3 2 3" xfId="10791" xr:uid="{177EB93F-DEFB-4A45-8CCC-68F195481940}"/>
    <cellStyle name="40% - Accent2 28 3 2 3 2" xfId="10792" xr:uid="{CBC95500-FBAF-4709-AC10-38DBD826646C}"/>
    <cellStyle name="40% - Accent2 28 3 2 3 2 2" xfId="10793" xr:uid="{BA6BD726-6D22-4EEA-BDB6-616BF705CA1D}"/>
    <cellStyle name="40% - Accent2 28 3 2 3 3" xfId="10794" xr:uid="{E64D5E66-34F3-4A22-80C7-45735D586F9E}"/>
    <cellStyle name="40% - Accent2 28 3 2 4" xfId="10795" xr:uid="{41B7557D-8A91-49AF-AEDE-955F58733B52}"/>
    <cellStyle name="40% - Accent2 28 3 2 4 2" xfId="10796" xr:uid="{BCA4B631-99FE-4A62-82C9-4E4A2031DEF1}"/>
    <cellStyle name="40% - Accent2 28 3 2 5" xfId="10797" xr:uid="{65B77F06-0F7C-4C7D-8911-DFEB3DB11727}"/>
    <cellStyle name="40% - Accent2 28 3 3" xfId="10798" xr:uid="{6BB0EAB7-8685-4F5E-970A-42016F689058}"/>
    <cellStyle name="40% - Accent2 28 3 3 2" xfId="10799" xr:uid="{E6538220-5F97-4480-A268-ECAE2B7A561E}"/>
    <cellStyle name="40% - Accent2 28 3 3 2 2" xfId="10800" xr:uid="{2A1824A0-93F3-4FD0-BA4C-1233DF754C7C}"/>
    <cellStyle name="40% - Accent2 28 3 3 3" xfId="10801" xr:uid="{9FF94381-4D84-42A3-B29F-7E86FE8D7FFD}"/>
    <cellStyle name="40% - Accent2 28 3 4" xfId="10802" xr:uid="{0BDC3200-9A06-4996-BD1F-3F9A97B23B5E}"/>
    <cellStyle name="40% - Accent2 28 3 4 2" xfId="10803" xr:uid="{9DC465BD-4A56-4CB7-AFAA-92C1D6449A15}"/>
    <cellStyle name="40% - Accent2 28 3 4 2 2" xfId="10804" xr:uid="{FF2534BB-6920-4D0A-B920-0A1461EAEA24}"/>
    <cellStyle name="40% - Accent2 28 3 4 3" xfId="10805" xr:uid="{DD811DF0-73E5-42C5-9922-22FFE2777CAC}"/>
    <cellStyle name="40% - Accent2 28 3 5" xfId="10806" xr:uid="{711CB942-D059-419F-B1F9-E1A8B027C7DA}"/>
    <cellStyle name="40% - Accent2 28 3 5 2" xfId="10807" xr:uid="{FD26BF7F-9610-4B1D-ADBF-412F2ED98162}"/>
    <cellStyle name="40% - Accent2 28 3 6" xfId="10808" xr:uid="{5CC009A3-C3EE-4EAD-8738-EF17D9BE825D}"/>
    <cellStyle name="40% - Accent2 28 4" xfId="10809" xr:uid="{33946F27-C5D3-4E46-B37B-F9D5EA250A54}"/>
    <cellStyle name="40% - Accent2 28 4 2" xfId="10810" xr:uid="{6DE349E5-9709-4828-BAE4-BD9873CC4560}"/>
    <cellStyle name="40% - Accent2 28 4 2 2" xfId="10811" xr:uid="{8989331F-283F-48D9-BDFA-D2536F679240}"/>
    <cellStyle name="40% - Accent2 28 4 2 2 2" xfId="10812" xr:uid="{4ABC8ECA-68CA-4CA5-BDED-49C6F7BAADC9}"/>
    <cellStyle name="40% - Accent2 28 4 2 2 2 2" xfId="10813" xr:uid="{AED2315B-7990-452D-BFAC-EE1D8363E22F}"/>
    <cellStyle name="40% - Accent2 28 4 2 2 3" xfId="10814" xr:uid="{2DAFA298-B675-4892-8BB4-544AD3C319E4}"/>
    <cellStyle name="40% - Accent2 28 4 2 3" xfId="10815" xr:uid="{9C53F50A-D290-40A3-87F8-B30D472F815A}"/>
    <cellStyle name="40% - Accent2 28 4 2 3 2" xfId="10816" xr:uid="{A234C7F1-E8EB-4B3C-81C2-721AC994E441}"/>
    <cellStyle name="40% - Accent2 28 4 2 3 2 2" xfId="10817" xr:uid="{F69AE2A0-4316-4263-A897-09C0FEA0F451}"/>
    <cellStyle name="40% - Accent2 28 4 2 3 3" xfId="10818" xr:uid="{C47419A4-3FE0-47E3-9AAE-35E848EACEF9}"/>
    <cellStyle name="40% - Accent2 28 4 2 4" xfId="10819" xr:uid="{880BD7B2-2EE0-4D78-A0BC-F789C2144F3B}"/>
    <cellStyle name="40% - Accent2 28 4 2 4 2" xfId="10820" xr:uid="{340DD617-7647-4D32-9024-9B9788920DE1}"/>
    <cellStyle name="40% - Accent2 28 4 2 5" xfId="10821" xr:uid="{06193242-1566-4E2B-A613-1B58ACE0C6FC}"/>
    <cellStyle name="40% - Accent2 28 4 3" xfId="10822" xr:uid="{AED7DE21-20EB-49BF-B170-7BBDDA61509A}"/>
    <cellStyle name="40% - Accent2 28 4 3 2" xfId="10823" xr:uid="{BD88475C-4DF6-4347-9582-F3CBE3C681D8}"/>
    <cellStyle name="40% - Accent2 28 4 3 2 2" xfId="10824" xr:uid="{9CEBDCAD-DFD7-4685-8EA7-0948FFA978FC}"/>
    <cellStyle name="40% - Accent2 28 4 3 3" xfId="10825" xr:uid="{CD03A205-162B-4EB0-8AC6-50B9DF1E4ED2}"/>
    <cellStyle name="40% - Accent2 28 4 4" xfId="10826" xr:uid="{8F1875E8-2DD3-49E8-BC8C-00A6B92BCEDA}"/>
    <cellStyle name="40% - Accent2 28 4 4 2" xfId="10827" xr:uid="{13F862D7-CA90-4C6A-8B87-0ADE694EB306}"/>
    <cellStyle name="40% - Accent2 28 4 4 2 2" xfId="10828" xr:uid="{B447F0FD-7947-4A91-875C-4118C114A578}"/>
    <cellStyle name="40% - Accent2 28 4 4 3" xfId="10829" xr:uid="{C70DEE28-68E0-4B7B-B875-E9CF4EBC6CAC}"/>
    <cellStyle name="40% - Accent2 28 4 5" xfId="10830" xr:uid="{4140D655-DFA4-42C2-8C89-E4E15D9C0E1F}"/>
    <cellStyle name="40% - Accent2 28 4 5 2" xfId="10831" xr:uid="{50337074-A0B8-4246-BFC3-5C421F59882A}"/>
    <cellStyle name="40% - Accent2 28 4 6" xfId="10832" xr:uid="{9CA24084-2642-4060-B381-7009DA665780}"/>
    <cellStyle name="40% - Accent2 28 5" xfId="10833" xr:uid="{FAC2DDBC-55BB-45BC-B038-31C8896E9ADE}"/>
    <cellStyle name="40% - Accent2 28 5 2" xfId="10834" xr:uid="{3676440D-C3C5-475A-AAB3-2A6E9B66B055}"/>
    <cellStyle name="40% - Accent2 28 5 2 2" xfId="10835" xr:uid="{DE7958E8-1888-4DD2-8215-98FDF618C522}"/>
    <cellStyle name="40% - Accent2 28 5 2 2 2" xfId="10836" xr:uid="{16529653-AEF6-43AE-805B-43B0A8268F22}"/>
    <cellStyle name="40% - Accent2 28 5 2 2 2 2" xfId="10837" xr:uid="{CAA415EB-023D-450A-BA6D-9FA68166AB76}"/>
    <cellStyle name="40% - Accent2 28 5 2 2 3" xfId="10838" xr:uid="{8425876D-1CC7-48A4-B1F7-19E5ABF90198}"/>
    <cellStyle name="40% - Accent2 28 5 2 3" xfId="10839" xr:uid="{24AD51C3-3523-46F4-9CB9-C1770D8192EF}"/>
    <cellStyle name="40% - Accent2 28 5 2 3 2" xfId="10840" xr:uid="{50A9FDA3-B8C3-466F-AB38-3C13F1DA3A7F}"/>
    <cellStyle name="40% - Accent2 28 5 2 3 2 2" xfId="10841" xr:uid="{02D87592-5E94-423B-980E-6C6466F0E938}"/>
    <cellStyle name="40% - Accent2 28 5 2 3 3" xfId="10842" xr:uid="{8159D62A-1F7C-426A-92EC-28C75D8F7B6E}"/>
    <cellStyle name="40% - Accent2 28 5 2 4" xfId="10843" xr:uid="{E187CB14-488C-43C5-B1E8-8A2B71570033}"/>
    <cellStyle name="40% - Accent2 28 5 2 4 2" xfId="10844" xr:uid="{16F35C5D-C2BE-421D-97B8-FEBC3E84C422}"/>
    <cellStyle name="40% - Accent2 28 5 2 5" xfId="10845" xr:uid="{88443FDB-9C13-450C-A604-A6EFDCDE7505}"/>
    <cellStyle name="40% - Accent2 28 5 3" xfId="10846" xr:uid="{8966B3BE-06D3-431D-94FD-2F2279C87FDB}"/>
    <cellStyle name="40% - Accent2 28 5 3 2" xfId="10847" xr:uid="{2E4CD765-F69C-41C6-B01D-00057DFC9FB4}"/>
    <cellStyle name="40% - Accent2 28 5 3 2 2" xfId="10848" xr:uid="{6E3C0691-D140-4B1E-93D6-4E1A2D9F8A52}"/>
    <cellStyle name="40% - Accent2 28 5 3 3" xfId="10849" xr:uid="{3C486BEE-E695-415F-B879-4BCBA389E17B}"/>
    <cellStyle name="40% - Accent2 28 5 4" xfId="10850" xr:uid="{75F2B7F8-BF42-4B7D-8930-BA35AAA6CD0B}"/>
    <cellStyle name="40% - Accent2 28 5 4 2" xfId="10851" xr:uid="{FDC1208F-9C54-4C20-AA9B-EC89DA99ECFA}"/>
    <cellStyle name="40% - Accent2 28 5 4 2 2" xfId="10852" xr:uid="{F1AF88A3-E8F5-41A3-9987-1216B7E95E7B}"/>
    <cellStyle name="40% - Accent2 28 5 4 3" xfId="10853" xr:uid="{9C01F39A-9DBF-4240-B252-1BCAED0E5D61}"/>
    <cellStyle name="40% - Accent2 28 5 5" xfId="10854" xr:uid="{052F66FD-CA3F-4CC8-8C52-28DA75411DF0}"/>
    <cellStyle name="40% - Accent2 28 5 5 2" xfId="10855" xr:uid="{7DC4CC7D-387C-4638-BD58-E74CC15576E7}"/>
    <cellStyle name="40% - Accent2 28 5 6" xfId="10856" xr:uid="{12656003-DE5C-4E00-B73A-A0D52E736903}"/>
    <cellStyle name="40% - Accent2 28 6" xfId="10857" xr:uid="{8E344125-7B32-48C2-A87A-E427981EF527}"/>
    <cellStyle name="40% - Accent2 28 6 2" xfId="10858" xr:uid="{02544D1E-A675-4ACA-89CC-62482AEB559D}"/>
    <cellStyle name="40% - Accent2 28 6 2 2" xfId="10859" xr:uid="{A450056D-A775-4960-9FE1-ECF824770D0C}"/>
    <cellStyle name="40% - Accent2 28 6 2 2 2" xfId="10860" xr:uid="{58553FD8-C3A2-42C0-980A-806DBFF7C61C}"/>
    <cellStyle name="40% - Accent2 28 6 2 2 2 2" xfId="10861" xr:uid="{3719B3DF-F6FD-4779-ABAE-9879200CFCCC}"/>
    <cellStyle name="40% - Accent2 28 6 2 2 3" xfId="10862" xr:uid="{A5261ED5-FD12-4C28-969A-93B7E7CC04D6}"/>
    <cellStyle name="40% - Accent2 28 6 2 3" xfId="10863" xr:uid="{026AE563-2F61-471E-A500-B883C24AD9D9}"/>
    <cellStyle name="40% - Accent2 28 6 2 3 2" xfId="10864" xr:uid="{6383D8CB-4FA2-4E99-B897-6980A560038A}"/>
    <cellStyle name="40% - Accent2 28 6 2 3 2 2" xfId="10865" xr:uid="{E3B4B9E6-B8B4-4EBB-A096-D9E0970E6E75}"/>
    <cellStyle name="40% - Accent2 28 6 2 3 3" xfId="10866" xr:uid="{E8B714AE-DD29-4961-AD0A-F1E68C774D27}"/>
    <cellStyle name="40% - Accent2 28 6 2 4" xfId="10867" xr:uid="{FEF13EB6-CDC4-440D-888D-D0C5337CC4EA}"/>
    <cellStyle name="40% - Accent2 28 6 2 4 2" xfId="10868" xr:uid="{82CA7F26-85C0-4F14-A46D-7C290AB7D7B9}"/>
    <cellStyle name="40% - Accent2 28 6 2 5" xfId="10869" xr:uid="{E9EE3119-DADD-4D0D-ACFA-382E5B38B2CC}"/>
    <cellStyle name="40% - Accent2 28 6 3" xfId="10870" xr:uid="{3CA7EA14-F2B9-4548-99BA-49D9546D97E1}"/>
    <cellStyle name="40% - Accent2 28 6 3 2" xfId="10871" xr:uid="{13C2F2E8-2CFA-4BB7-AF00-E691E3EBEB88}"/>
    <cellStyle name="40% - Accent2 28 6 3 2 2" xfId="10872" xr:uid="{23F67B43-56DF-486D-B534-6C61437A3D12}"/>
    <cellStyle name="40% - Accent2 28 6 3 3" xfId="10873" xr:uid="{F62296D3-4FE8-4BE1-A316-840B7A423568}"/>
    <cellStyle name="40% - Accent2 28 6 4" xfId="10874" xr:uid="{FCDE4B15-DF48-4477-B3C7-DF0221201853}"/>
    <cellStyle name="40% - Accent2 28 6 4 2" xfId="10875" xr:uid="{E34F1817-82BA-4857-BB0A-090657A130DD}"/>
    <cellStyle name="40% - Accent2 28 6 4 2 2" xfId="10876" xr:uid="{48B3EBAE-83E1-4679-B360-03499DC62410}"/>
    <cellStyle name="40% - Accent2 28 6 4 3" xfId="10877" xr:uid="{BD1FA58A-798E-4326-ADE5-D6720AB0EB4F}"/>
    <cellStyle name="40% - Accent2 28 6 5" xfId="10878" xr:uid="{5EEFF810-7B0D-45FA-A405-E52906812F82}"/>
    <cellStyle name="40% - Accent2 28 6 5 2" xfId="10879" xr:uid="{BFAF593E-A0E7-454F-A47C-6066FBA07750}"/>
    <cellStyle name="40% - Accent2 28 6 6" xfId="10880" xr:uid="{85F3C8F5-94F9-4019-9B97-2CAEB0A18279}"/>
    <cellStyle name="40% - Accent2 28 7" xfId="10881" xr:uid="{AAB0A233-4835-495A-802C-F0249972AC3C}"/>
    <cellStyle name="40% - Accent2 28 7 2" xfId="10882" xr:uid="{CFFDFB6C-1389-4E04-8068-C8E8B5158DBB}"/>
    <cellStyle name="40% - Accent2 28 7 2 2" xfId="10883" xr:uid="{8126F8EB-6E6D-4481-8B03-AD2D04D4E66D}"/>
    <cellStyle name="40% - Accent2 28 7 2 2 2" xfId="10884" xr:uid="{264ACCFF-7EC1-47DB-BE6B-55A2BF7D1650}"/>
    <cellStyle name="40% - Accent2 28 7 2 2 2 2" xfId="10885" xr:uid="{BFD7176C-F62E-45B0-BE35-0DBB18FEB866}"/>
    <cellStyle name="40% - Accent2 28 7 2 2 3" xfId="10886" xr:uid="{007C1291-4557-4368-B735-87A1B7ED79EE}"/>
    <cellStyle name="40% - Accent2 28 7 2 3" xfId="10887" xr:uid="{FA92EDF9-BA1F-494A-8888-CEECAF2810EF}"/>
    <cellStyle name="40% - Accent2 28 7 2 3 2" xfId="10888" xr:uid="{112148CA-83D6-4F05-B3C8-454F6C79CDF0}"/>
    <cellStyle name="40% - Accent2 28 7 2 3 2 2" xfId="10889" xr:uid="{CDFDFE1A-B498-4E42-9408-6B4ECFDDB190}"/>
    <cellStyle name="40% - Accent2 28 7 2 3 3" xfId="10890" xr:uid="{86D9F692-9C25-4DE9-9808-EA16E3A7198B}"/>
    <cellStyle name="40% - Accent2 28 7 2 4" xfId="10891" xr:uid="{8CA127A0-7E10-4ED6-8F68-71EEB646BBD8}"/>
    <cellStyle name="40% - Accent2 28 7 2 4 2" xfId="10892" xr:uid="{1431B803-D81D-4CCA-9E91-F8ADB857BFAC}"/>
    <cellStyle name="40% - Accent2 28 7 2 5" xfId="10893" xr:uid="{6CAE9E24-9502-42B0-A26C-63A184B26169}"/>
    <cellStyle name="40% - Accent2 28 7 3" xfId="10894" xr:uid="{8683F06D-7550-43E9-BFB7-44231D42E170}"/>
    <cellStyle name="40% - Accent2 28 7 3 2" xfId="10895" xr:uid="{2ACA5179-46DA-4C47-969E-3BE574D458B0}"/>
    <cellStyle name="40% - Accent2 28 7 3 2 2" xfId="10896" xr:uid="{9130AF56-3F4A-4D1E-9C99-A95606747F88}"/>
    <cellStyle name="40% - Accent2 28 7 3 3" xfId="10897" xr:uid="{F8C4435C-5FDC-4173-AEB4-3FF49682BCC7}"/>
    <cellStyle name="40% - Accent2 28 7 4" xfId="10898" xr:uid="{BAEDDCD4-13B4-4F5E-BF90-34F35ABF86F0}"/>
    <cellStyle name="40% - Accent2 28 7 4 2" xfId="10899" xr:uid="{7D39686E-8711-48FF-A900-E91C57123941}"/>
    <cellStyle name="40% - Accent2 28 7 4 2 2" xfId="10900" xr:uid="{49C5B222-08E2-4661-A206-877C25533684}"/>
    <cellStyle name="40% - Accent2 28 7 4 3" xfId="10901" xr:uid="{49557E68-77FA-4390-804A-9F9D312CE468}"/>
    <cellStyle name="40% - Accent2 28 7 5" xfId="10902" xr:uid="{FFD5A656-32BF-4183-8364-02F391B00F2F}"/>
    <cellStyle name="40% - Accent2 28 7 5 2" xfId="10903" xr:uid="{3E5C54DB-419D-4BB7-97DC-BE05C56B7901}"/>
    <cellStyle name="40% - Accent2 28 7 6" xfId="10904" xr:uid="{1B407604-B196-4A46-BA37-81D58B4F6A06}"/>
    <cellStyle name="40% - Accent2 28 8" xfId="10905" xr:uid="{BBB4A753-0618-41A2-BC78-5C701DC9456E}"/>
    <cellStyle name="40% - Accent2 28 8 2" xfId="10906" xr:uid="{0AACEF5A-FEBA-4B17-9E27-ABA49F2A5BCF}"/>
    <cellStyle name="40% - Accent2 28 8 2 2" xfId="10907" xr:uid="{9DF763BB-3C6B-417B-9F60-ED98F787A39D}"/>
    <cellStyle name="40% - Accent2 28 8 2 2 2" xfId="10908" xr:uid="{666C7D99-E427-4EA4-AF79-56E276BBFDE1}"/>
    <cellStyle name="40% - Accent2 28 8 2 2 2 2" xfId="10909" xr:uid="{B92C7308-72FB-49A2-9DC0-B1ED8AD2208A}"/>
    <cellStyle name="40% - Accent2 28 8 2 2 3" xfId="10910" xr:uid="{D931BBA2-E128-40A0-864B-9DDE494BD8D0}"/>
    <cellStyle name="40% - Accent2 28 8 2 3" xfId="10911" xr:uid="{731CD5FA-7931-4566-B692-D6CE5583BCFB}"/>
    <cellStyle name="40% - Accent2 28 8 2 3 2" xfId="10912" xr:uid="{67357515-7446-4EF8-A648-48428A58E7B3}"/>
    <cellStyle name="40% - Accent2 28 8 2 3 2 2" xfId="10913" xr:uid="{C623A96B-A115-49EF-8C1C-F3AA289E227B}"/>
    <cellStyle name="40% - Accent2 28 8 2 3 3" xfId="10914" xr:uid="{EF244ABF-ADBB-4313-AB5C-A701E8620B3D}"/>
    <cellStyle name="40% - Accent2 28 8 2 4" xfId="10915" xr:uid="{CF43892A-85C0-4406-A386-E18F0F4D1771}"/>
    <cellStyle name="40% - Accent2 28 8 2 4 2" xfId="10916" xr:uid="{597FE2EA-F6F4-4389-A8E0-FB141DE6C4F9}"/>
    <cellStyle name="40% - Accent2 28 8 2 5" xfId="10917" xr:uid="{4EC92380-4005-48A2-9F70-B72A537ADBFC}"/>
    <cellStyle name="40% - Accent2 28 8 3" xfId="10918" xr:uid="{34B95356-EF6A-4339-88F2-F703BE479372}"/>
    <cellStyle name="40% - Accent2 28 8 3 2" xfId="10919" xr:uid="{5D9BC463-7F4D-466A-944B-A931C53B84DD}"/>
    <cellStyle name="40% - Accent2 28 8 3 2 2" xfId="10920" xr:uid="{B01249AA-DDA9-4783-8760-47EB4F7455F8}"/>
    <cellStyle name="40% - Accent2 28 8 3 3" xfId="10921" xr:uid="{11A0DE8F-8E91-4EA2-9193-B914E5364888}"/>
    <cellStyle name="40% - Accent2 28 8 4" xfId="10922" xr:uid="{34960F90-F777-4F8B-980D-387C37CB2FC5}"/>
    <cellStyle name="40% - Accent2 28 8 4 2" xfId="10923" xr:uid="{26E1D293-97A8-46E3-B807-CC987D496B4D}"/>
    <cellStyle name="40% - Accent2 28 8 4 2 2" xfId="10924" xr:uid="{93C07FCE-169E-45CE-AD86-881DB2CD72BE}"/>
    <cellStyle name="40% - Accent2 28 8 4 3" xfId="10925" xr:uid="{3833EB5C-8E6C-487A-8078-62A07E68D70E}"/>
    <cellStyle name="40% - Accent2 28 8 5" xfId="10926" xr:uid="{3CAF831D-B3E0-4512-96CD-4D60F516705A}"/>
    <cellStyle name="40% - Accent2 28 8 5 2" xfId="10927" xr:uid="{5B3D7215-7302-4D80-BA71-3E64F96CE22F}"/>
    <cellStyle name="40% - Accent2 28 8 6" xfId="10928" xr:uid="{F70A0E00-C1A0-4306-BC68-036CD375E592}"/>
    <cellStyle name="40% - Accent2 28 9" xfId="10929" xr:uid="{2B1FE4B7-4911-430E-ABFF-482B1544E2E7}"/>
    <cellStyle name="40% - Accent2 28 9 2" xfId="10930" xr:uid="{42771AC1-0D89-4C5B-B0CF-18F2F0EAA96C}"/>
    <cellStyle name="40% - Accent2 28 9 2 2" xfId="10931" xr:uid="{B674E751-4B11-436E-B495-54EDF61011FE}"/>
    <cellStyle name="40% - Accent2 28 9 2 2 2" xfId="10932" xr:uid="{C2648318-FB2E-4DE6-BEAF-DEE42517C567}"/>
    <cellStyle name="40% - Accent2 28 9 2 2 2 2" xfId="10933" xr:uid="{DE1E58BC-74AF-4F24-9F51-5F0207F1F454}"/>
    <cellStyle name="40% - Accent2 28 9 2 2 3" xfId="10934" xr:uid="{95B06D6E-FFEB-4A2C-8836-9BA5BE757D4A}"/>
    <cellStyle name="40% - Accent2 28 9 2 3" xfId="10935" xr:uid="{461D49CD-2D50-4038-AD68-9A5E08F64A70}"/>
    <cellStyle name="40% - Accent2 28 9 2 3 2" xfId="10936" xr:uid="{D7C99F5B-0A40-43A4-8927-079B3B47317B}"/>
    <cellStyle name="40% - Accent2 28 9 2 3 2 2" xfId="10937" xr:uid="{06824CEF-63DA-4FAB-9BE0-594BCD4487ED}"/>
    <cellStyle name="40% - Accent2 28 9 2 3 3" xfId="10938" xr:uid="{0ADA7F3E-E0E7-473D-96D0-5E65557B8956}"/>
    <cellStyle name="40% - Accent2 28 9 2 4" xfId="10939" xr:uid="{BEFC1CCE-215A-4219-8910-DDF20D887333}"/>
    <cellStyle name="40% - Accent2 28 9 2 4 2" xfId="10940" xr:uid="{D6FBDDB8-5BEF-4F8E-8DC1-224DF3FBCDF9}"/>
    <cellStyle name="40% - Accent2 28 9 2 5" xfId="10941" xr:uid="{A83D93F7-DADD-40BC-B75E-B362C623F567}"/>
    <cellStyle name="40% - Accent2 28 9 3" xfId="10942" xr:uid="{29EAF166-11C7-4726-8EEA-1228E38C101A}"/>
    <cellStyle name="40% - Accent2 28 9 3 2" xfId="10943" xr:uid="{5EB7F7C5-9E36-4927-B6DE-220482DD1F86}"/>
    <cellStyle name="40% - Accent2 28 9 3 2 2" xfId="10944" xr:uid="{11D18442-EB8E-4E10-9791-403BD218F954}"/>
    <cellStyle name="40% - Accent2 28 9 3 3" xfId="10945" xr:uid="{3430D2FF-59E6-4CD5-860E-E28A564AF475}"/>
    <cellStyle name="40% - Accent2 28 9 4" xfId="10946" xr:uid="{0F9F5BA4-A669-47EC-90A4-7F4F377739F5}"/>
    <cellStyle name="40% - Accent2 28 9 4 2" xfId="10947" xr:uid="{D5B307E3-AD03-424A-BB29-40EFEE4965A3}"/>
    <cellStyle name="40% - Accent2 28 9 4 2 2" xfId="10948" xr:uid="{ABAD8EDA-657F-45FF-AFBE-43E2EE6629C9}"/>
    <cellStyle name="40% - Accent2 28 9 4 3" xfId="10949" xr:uid="{3D0A9C57-E5F0-4227-AED6-7DD128281F81}"/>
    <cellStyle name="40% - Accent2 28 9 5" xfId="10950" xr:uid="{32F49350-E8DA-4AB6-B678-157E678148CD}"/>
    <cellStyle name="40% - Accent2 28 9 5 2" xfId="10951" xr:uid="{968E9FE0-92E6-4067-AADC-9F5128FF8BB8}"/>
    <cellStyle name="40% - Accent2 28 9 6" xfId="10952" xr:uid="{09EE27E2-3688-408C-B7A0-AD0DB8DC120D}"/>
    <cellStyle name="40% - Accent2 29" xfId="10953" xr:uid="{5774DA0B-57A3-48B3-9A90-6F069E217AEC}"/>
    <cellStyle name="40% - Accent2 29 10" xfId="10954" xr:uid="{62DECB88-8EC8-417A-BB83-15D9FC75162D}"/>
    <cellStyle name="40% - Accent2 29 10 2" xfId="10955" xr:uid="{6AF90559-C925-4695-89B0-939BC43D7D7C}"/>
    <cellStyle name="40% - Accent2 29 10 2 2" xfId="10956" xr:uid="{E4C8BC8D-7BB9-45E4-B254-663466745C9C}"/>
    <cellStyle name="40% - Accent2 29 10 2 2 2" xfId="10957" xr:uid="{DD7D9187-3289-4BB3-A87D-457630F13761}"/>
    <cellStyle name="40% - Accent2 29 10 2 2 2 2" xfId="10958" xr:uid="{787DEA4E-B2DA-4446-AB36-3EADCC978269}"/>
    <cellStyle name="40% - Accent2 29 10 2 2 3" xfId="10959" xr:uid="{72F7611A-6477-4018-8ECE-94B0CD667025}"/>
    <cellStyle name="40% - Accent2 29 10 2 3" xfId="10960" xr:uid="{83BADA7C-29F0-49DF-A2E5-F834BA6873F0}"/>
    <cellStyle name="40% - Accent2 29 10 2 3 2" xfId="10961" xr:uid="{D86D09DB-C14A-4A45-9803-F89693BE0ADF}"/>
    <cellStyle name="40% - Accent2 29 10 2 3 2 2" xfId="10962" xr:uid="{6DCA408B-98C0-429F-A878-59A3BBFFEA5D}"/>
    <cellStyle name="40% - Accent2 29 10 2 3 3" xfId="10963" xr:uid="{05854DFA-A611-407F-A203-BB820C512250}"/>
    <cellStyle name="40% - Accent2 29 10 2 4" xfId="10964" xr:uid="{A92578CD-465E-4521-A3F0-F356738C2683}"/>
    <cellStyle name="40% - Accent2 29 10 2 4 2" xfId="10965" xr:uid="{4C4108BA-9671-4585-B975-D4101224DE83}"/>
    <cellStyle name="40% - Accent2 29 10 2 5" xfId="10966" xr:uid="{A4EA4DBB-DA7F-4E69-A220-DE84882CC18A}"/>
    <cellStyle name="40% - Accent2 29 10 3" xfId="10967" xr:uid="{EE98C553-AB3C-4E5D-83A5-C4B366F29B29}"/>
    <cellStyle name="40% - Accent2 29 10 3 2" xfId="10968" xr:uid="{DE3F556F-E0B6-493E-9652-3F86CC61D5EE}"/>
    <cellStyle name="40% - Accent2 29 10 3 2 2" xfId="10969" xr:uid="{3715DBF8-5D9B-418A-ABD2-1BAA62F54FBC}"/>
    <cellStyle name="40% - Accent2 29 10 3 3" xfId="10970" xr:uid="{AADB49F1-7C51-4D27-AB31-071295BD3176}"/>
    <cellStyle name="40% - Accent2 29 10 4" xfId="10971" xr:uid="{0F87FF8D-A07F-445A-90D7-AEC19A7F2344}"/>
    <cellStyle name="40% - Accent2 29 10 4 2" xfId="10972" xr:uid="{17D6B090-1D59-46FE-ACEF-B63A785F2F12}"/>
    <cellStyle name="40% - Accent2 29 10 4 2 2" xfId="10973" xr:uid="{EE9241B1-8A25-4F7E-AF9B-72445187F2FB}"/>
    <cellStyle name="40% - Accent2 29 10 4 3" xfId="10974" xr:uid="{8BDD8512-D2C2-4C9F-A16E-CC8947A46116}"/>
    <cellStyle name="40% - Accent2 29 10 5" xfId="10975" xr:uid="{B83F61ED-D9C4-4531-A01C-8FC7483E35B0}"/>
    <cellStyle name="40% - Accent2 29 10 5 2" xfId="10976" xr:uid="{80195293-ACF6-4B83-9496-A88810C53BE9}"/>
    <cellStyle name="40% - Accent2 29 10 6" xfId="10977" xr:uid="{91B490CD-0294-4D41-B849-D115FAAD22AF}"/>
    <cellStyle name="40% - Accent2 29 11" xfId="10978" xr:uid="{D3D59FB4-E288-4B1F-B838-402D8704C1FA}"/>
    <cellStyle name="40% - Accent2 29 11 2" xfId="10979" xr:uid="{AE167962-7DA1-4C0B-987B-4AC6925E248D}"/>
    <cellStyle name="40% - Accent2 29 11 2 2" xfId="10980" xr:uid="{41D7E94F-66B4-4A19-8E6B-A619E2FAE281}"/>
    <cellStyle name="40% - Accent2 29 11 2 2 2" xfId="10981" xr:uid="{07B622CE-71A1-4FAE-999C-3D0A4241C087}"/>
    <cellStyle name="40% - Accent2 29 11 2 3" xfId="10982" xr:uid="{763EEEAE-0999-4018-9F3A-A2BC43B4FD40}"/>
    <cellStyle name="40% - Accent2 29 11 3" xfId="10983" xr:uid="{5493815D-5B5E-4AB4-AE48-4171E5021867}"/>
    <cellStyle name="40% - Accent2 29 11 3 2" xfId="10984" xr:uid="{CB8BE4D0-68A5-4768-A952-8E4E0D19339E}"/>
    <cellStyle name="40% - Accent2 29 11 3 2 2" xfId="10985" xr:uid="{B55F6BC8-9F56-4C06-978E-953F3FB8882C}"/>
    <cellStyle name="40% - Accent2 29 11 3 3" xfId="10986" xr:uid="{C30F7DA0-4DDE-4951-B0B4-2DF6F8A49B9F}"/>
    <cellStyle name="40% - Accent2 29 11 4" xfId="10987" xr:uid="{852EC5CD-74B1-46EE-ADDB-E6230AB6C879}"/>
    <cellStyle name="40% - Accent2 29 11 4 2" xfId="10988" xr:uid="{9D50215B-3143-42D2-8A0E-68A315BCE169}"/>
    <cellStyle name="40% - Accent2 29 11 5" xfId="10989" xr:uid="{D927D669-9790-4994-BB3F-EC86BDB01623}"/>
    <cellStyle name="40% - Accent2 29 12" xfId="10990" xr:uid="{AF758337-FB00-4FFF-A8F3-90171EC15E93}"/>
    <cellStyle name="40% - Accent2 29 12 2" xfId="10991" xr:uid="{23E23C20-9871-4142-9D5D-F576194850B2}"/>
    <cellStyle name="40% - Accent2 29 12 2 2" xfId="10992" xr:uid="{7B765C4D-2E51-4250-A711-5CC23C428878}"/>
    <cellStyle name="40% - Accent2 29 12 3" xfId="10993" xr:uid="{FCD0FAC4-AD97-43C3-A22C-66DC3A7AAF1B}"/>
    <cellStyle name="40% - Accent2 29 13" xfId="10994" xr:uid="{173F6173-C227-468D-B2A1-6D1FF205B6B6}"/>
    <cellStyle name="40% - Accent2 29 13 2" xfId="10995" xr:uid="{401173C3-15D9-4F37-982D-42C795C50F92}"/>
    <cellStyle name="40% - Accent2 29 13 2 2" xfId="10996" xr:uid="{A7DBD281-F343-475A-98D0-8B10CF34AA15}"/>
    <cellStyle name="40% - Accent2 29 13 3" xfId="10997" xr:uid="{73E74DE2-3A6F-4274-8EBF-D1EEB9745E84}"/>
    <cellStyle name="40% - Accent2 29 14" xfId="10998" xr:uid="{9D96BCA8-F8C6-4768-A3EB-8DC5AF20A916}"/>
    <cellStyle name="40% - Accent2 29 14 2" xfId="10999" xr:uid="{1DEEFF1D-5356-4B1A-B2AB-91CDD97894AE}"/>
    <cellStyle name="40% - Accent2 29 15" xfId="11000" xr:uid="{2CCF6E30-AEF9-4D09-9B92-D99CFE257902}"/>
    <cellStyle name="40% - Accent2 29 16" xfId="36946" xr:uid="{FD12C0C5-3F4C-4FB5-BDF6-5335905F3B9D}"/>
    <cellStyle name="40% - Accent2 29 2" xfId="11001" xr:uid="{3863A52B-C976-402B-9B3F-B37A42488B39}"/>
    <cellStyle name="40% - Accent2 29 2 2" xfId="11002" xr:uid="{225FCBF8-6977-400D-8A4D-F18C91081E95}"/>
    <cellStyle name="40% - Accent2 29 2 2 2" xfId="11003" xr:uid="{272BDA69-EDBB-4949-82B1-3D2586904711}"/>
    <cellStyle name="40% - Accent2 29 2 2 2 2" xfId="11004" xr:uid="{0A6714A9-AB8B-4187-9767-0A15E39B1CFC}"/>
    <cellStyle name="40% - Accent2 29 2 2 2 2 2" xfId="11005" xr:uid="{0172A93D-0CBC-479B-BF1C-B06B3FCC058B}"/>
    <cellStyle name="40% - Accent2 29 2 2 2 3" xfId="11006" xr:uid="{3C84D7E1-4399-4F01-95B6-F9AACD3F2696}"/>
    <cellStyle name="40% - Accent2 29 2 2 3" xfId="11007" xr:uid="{072A6A75-7A92-4F26-8782-3C11FFECD16F}"/>
    <cellStyle name="40% - Accent2 29 2 2 3 2" xfId="11008" xr:uid="{5EEDD18C-BA3D-41CE-82BF-6CD1384EAEEC}"/>
    <cellStyle name="40% - Accent2 29 2 2 3 2 2" xfId="11009" xr:uid="{E5F32A1C-0107-4939-BD47-3B79939F9BDE}"/>
    <cellStyle name="40% - Accent2 29 2 2 3 3" xfId="11010" xr:uid="{72D0C9C0-9434-45C3-8CE3-3A0C1CD95A0C}"/>
    <cellStyle name="40% - Accent2 29 2 2 4" xfId="11011" xr:uid="{D86AF388-399C-4567-BBD5-610C5B5E8646}"/>
    <cellStyle name="40% - Accent2 29 2 2 4 2" xfId="11012" xr:uid="{F0B45260-5E53-4338-8321-C78274C09239}"/>
    <cellStyle name="40% - Accent2 29 2 2 5" xfId="11013" xr:uid="{081018E0-702C-4635-A1FC-FB35309945BD}"/>
    <cellStyle name="40% - Accent2 29 2 3" xfId="11014" xr:uid="{85E1A5C8-4360-4158-ADEA-7F4587588D7F}"/>
    <cellStyle name="40% - Accent2 29 2 3 2" xfId="11015" xr:uid="{8B856DB8-534D-4941-B3B7-40A4C184B86B}"/>
    <cellStyle name="40% - Accent2 29 2 3 2 2" xfId="11016" xr:uid="{CB2FCA23-9EA3-49D2-AFD3-76E26EA61299}"/>
    <cellStyle name="40% - Accent2 29 2 3 3" xfId="11017" xr:uid="{FBEFD76A-B5AC-4D8C-97EC-33F173B6DE3B}"/>
    <cellStyle name="40% - Accent2 29 2 4" xfId="11018" xr:uid="{81827C82-4022-4D55-BB64-DBD372471E6A}"/>
    <cellStyle name="40% - Accent2 29 2 4 2" xfId="11019" xr:uid="{D6956F3E-C247-4355-919D-8565B5925EBC}"/>
    <cellStyle name="40% - Accent2 29 2 4 2 2" xfId="11020" xr:uid="{F9459AE8-72D6-423B-864A-24D6D0105ECD}"/>
    <cellStyle name="40% - Accent2 29 2 4 3" xfId="11021" xr:uid="{F4032494-1F9F-4C94-B4CD-6C3A169B4DC7}"/>
    <cellStyle name="40% - Accent2 29 2 5" xfId="11022" xr:uid="{6F6CAC60-E9BB-4BF0-B29F-542E2C846AAF}"/>
    <cellStyle name="40% - Accent2 29 2 5 2" xfId="11023" xr:uid="{231CD9B3-BA65-4F02-AA59-F92E7E3B649C}"/>
    <cellStyle name="40% - Accent2 29 2 6" xfId="11024" xr:uid="{3B95EC36-2560-4710-AA16-E7C4B3E58ACD}"/>
    <cellStyle name="40% - Accent2 29 3" xfId="11025" xr:uid="{40182470-2F40-4552-8A28-9F2818FB5C98}"/>
    <cellStyle name="40% - Accent2 29 3 2" xfId="11026" xr:uid="{4A34BDE6-2632-4248-906E-1376EBA31EB6}"/>
    <cellStyle name="40% - Accent2 29 3 2 2" xfId="11027" xr:uid="{D138AFF1-B605-4573-8CDD-A55BEE418313}"/>
    <cellStyle name="40% - Accent2 29 3 2 2 2" xfId="11028" xr:uid="{C2EB55C1-2DB9-49F6-8374-FD6F4B81429F}"/>
    <cellStyle name="40% - Accent2 29 3 2 2 2 2" xfId="11029" xr:uid="{913B6008-8D60-47D6-BF52-0A20AEF6A02B}"/>
    <cellStyle name="40% - Accent2 29 3 2 2 3" xfId="11030" xr:uid="{E496D517-11C6-4A10-AB14-0EFEC39694BF}"/>
    <cellStyle name="40% - Accent2 29 3 2 3" xfId="11031" xr:uid="{92C19FA6-76B4-497D-9633-E13EA5C3B8ED}"/>
    <cellStyle name="40% - Accent2 29 3 2 3 2" xfId="11032" xr:uid="{39C5CDCF-133F-4B75-9791-7CCEFA55BE66}"/>
    <cellStyle name="40% - Accent2 29 3 2 3 2 2" xfId="11033" xr:uid="{51C93AF5-FE4D-4BB5-86F8-DD80BB5CABFA}"/>
    <cellStyle name="40% - Accent2 29 3 2 3 3" xfId="11034" xr:uid="{1D2189BC-C962-4E3B-BF3C-638076E26937}"/>
    <cellStyle name="40% - Accent2 29 3 2 4" xfId="11035" xr:uid="{525C11EF-C834-453D-A494-1A1C3D363987}"/>
    <cellStyle name="40% - Accent2 29 3 2 4 2" xfId="11036" xr:uid="{CB302DD4-4C51-4F63-9B7D-09C65151F337}"/>
    <cellStyle name="40% - Accent2 29 3 2 5" xfId="11037" xr:uid="{2C3EFBAB-9A00-470C-A1A9-DC5499CDC1B9}"/>
    <cellStyle name="40% - Accent2 29 3 3" xfId="11038" xr:uid="{AA16FAE3-FC5C-48FA-9F03-574A6D0F1371}"/>
    <cellStyle name="40% - Accent2 29 3 3 2" xfId="11039" xr:uid="{BB949BB2-C1C1-4A50-8337-03C052F832A9}"/>
    <cellStyle name="40% - Accent2 29 3 3 2 2" xfId="11040" xr:uid="{6FF7642F-3B3D-40F3-B7D6-B8DA3176C33B}"/>
    <cellStyle name="40% - Accent2 29 3 3 3" xfId="11041" xr:uid="{2F0492B0-F217-408C-ADCB-4ACFAB3EC7C2}"/>
    <cellStyle name="40% - Accent2 29 3 4" xfId="11042" xr:uid="{93819EBE-49D5-4BDA-987B-CBCC09000B7E}"/>
    <cellStyle name="40% - Accent2 29 3 4 2" xfId="11043" xr:uid="{A8C3A9ED-2A7F-4D67-9801-4FDC572DA682}"/>
    <cellStyle name="40% - Accent2 29 3 4 2 2" xfId="11044" xr:uid="{8039199D-18BE-4656-8CA9-7408CE14736D}"/>
    <cellStyle name="40% - Accent2 29 3 4 3" xfId="11045" xr:uid="{B67671AE-6C25-4D4A-B523-5C0F10FC695D}"/>
    <cellStyle name="40% - Accent2 29 3 5" xfId="11046" xr:uid="{CC60E0C9-EC0F-47B6-8C92-62C82F2A37C4}"/>
    <cellStyle name="40% - Accent2 29 3 5 2" xfId="11047" xr:uid="{CDEB8CE9-B017-464A-90C8-83AA1349A6E3}"/>
    <cellStyle name="40% - Accent2 29 3 6" xfId="11048" xr:uid="{9BAD8A4B-C86A-43F2-92A6-1EF34C56A6B3}"/>
    <cellStyle name="40% - Accent2 29 4" xfId="11049" xr:uid="{B7DF90D5-5D62-43E3-8FA2-98FBEA142084}"/>
    <cellStyle name="40% - Accent2 29 4 2" xfId="11050" xr:uid="{296E2A61-5CD2-48BD-8537-450EC6D76F68}"/>
    <cellStyle name="40% - Accent2 29 4 2 2" xfId="11051" xr:uid="{9DF50C88-3E20-45F7-941D-064B822FEDC2}"/>
    <cellStyle name="40% - Accent2 29 4 2 2 2" xfId="11052" xr:uid="{A5D45C6E-6978-435D-88B3-0B25BE76CA90}"/>
    <cellStyle name="40% - Accent2 29 4 2 2 2 2" xfId="11053" xr:uid="{F16B8A9D-B881-4481-9F0D-BDD072D1AF9B}"/>
    <cellStyle name="40% - Accent2 29 4 2 2 3" xfId="11054" xr:uid="{46D5EEEC-355E-4687-91F9-6A40B0094C7D}"/>
    <cellStyle name="40% - Accent2 29 4 2 3" xfId="11055" xr:uid="{7F84F05E-19B0-41EC-AD16-0C49DFFD829A}"/>
    <cellStyle name="40% - Accent2 29 4 2 3 2" xfId="11056" xr:uid="{7A84C3D5-0F28-43CE-A120-35C109A87275}"/>
    <cellStyle name="40% - Accent2 29 4 2 3 2 2" xfId="11057" xr:uid="{E7F27BBB-503E-4229-8B60-E2BE2256A7CF}"/>
    <cellStyle name="40% - Accent2 29 4 2 3 3" xfId="11058" xr:uid="{C4E8388D-FBB5-4055-88B7-0D012E00E9FC}"/>
    <cellStyle name="40% - Accent2 29 4 2 4" xfId="11059" xr:uid="{CD9B1921-C7B5-44B9-9450-09061816352E}"/>
    <cellStyle name="40% - Accent2 29 4 2 4 2" xfId="11060" xr:uid="{DFE50487-ACF7-41A0-A09C-D46CDCBA9FFF}"/>
    <cellStyle name="40% - Accent2 29 4 2 5" xfId="11061" xr:uid="{EE008399-5502-444B-A5B7-33624495D53C}"/>
    <cellStyle name="40% - Accent2 29 4 3" xfId="11062" xr:uid="{37953CAE-B8AE-46E2-9B69-99930A70278E}"/>
    <cellStyle name="40% - Accent2 29 4 3 2" xfId="11063" xr:uid="{9534DFA5-1ED3-454C-9F89-6271E212B9B4}"/>
    <cellStyle name="40% - Accent2 29 4 3 2 2" xfId="11064" xr:uid="{3E5250B4-4FCB-4165-A38E-55A1A78A2081}"/>
    <cellStyle name="40% - Accent2 29 4 3 3" xfId="11065" xr:uid="{8D8B8AAF-FC40-47D0-A6B2-5E9F1459538C}"/>
    <cellStyle name="40% - Accent2 29 4 4" xfId="11066" xr:uid="{E6C6D98D-2C9D-4AFB-B657-F05CE4FCA89C}"/>
    <cellStyle name="40% - Accent2 29 4 4 2" xfId="11067" xr:uid="{8865835D-E679-4952-AD65-D58313B8F7A5}"/>
    <cellStyle name="40% - Accent2 29 4 4 2 2" xfId="11068" xr:uid="{0B513FAE-916F-42A4-B33F-0C6A1CC66A03}"/>
    <cellStyle name="40% - Accent2 29 4 4 3" xfId="11069" xr:uid="{2DA8CFB1-B0F4-4659-A96C-623195244CDE}"/>
    <cellStyle name="40% - Accent2 29 4 5" xfId="11070" xr:uid="{7F8654B6-6166-47AF-B4D2-EEC7328C25B6}"/>
    <cellStyle name="40% - Accent2 29 4 5 2" xfId="11071" xr:uid="{3FF6DB4D-8DD9-4FB7-B972-39F90AA204A7}"/>
    <cellStyle name="40% - Accent2 29 4 6" xfId="11072" xr:uid="{3D825406-F531-4452-9AAA-ED78474E9767}"/>
    <cellStyle name="40% - Accent2 29 5" xfId="11073" xr:uid="{780E26A9-FD63-4493-BCC1-A8DC238ED2C4}"/>
    <cellStyle name="40% - Accent2 29 5 2" xfId="11074" xr:uid="{CF9A05D2-F1BD-44F4-902C-8044940D789A}"/>
    <cellStyle name="40% - Accent2 29 5 2 2" xfId="11075" xr:uid="{F4EC7E78-A7B8-4ACA-9FAE-01B0D791FDE4}"/>
    <cellStyle name="40% - Accent2 29 5 2 2 2" xfId="11076" xr:uid="{2A4E94D2-D546-4AD6-85F5-3DAFF9E58692}"/>
    <cellStyle name="40% - Accent2 29 5 2 2 2 2" xfId="11077" xr:uid="{D182F2A8-8023-4461-855F-515B833DC0A8}"/>
    <cellStyle name="40% - Accent2 29 5 2 2 3" xfId="11078" xr:uid="{9288EE70-B4DF-4189-8449-3AB3CB972E63}"/>
    <cellStyle name="40% - Accent2 29 5 2 3" xfId="11079" xr:uid="{DA0E20AA-23B3-40DA-8A75-E0862F1F41AE}"/>
    <cellStyle name="40% - Accent2 29 5 2 3 2" xfId="11080" xr:uid="{B5E8DF92-501F-4465-9057-3B60A3E2AF70}"/>
    <cellStyle name="40% - Accent2 29 5 2 3 2 2" xfId="11081" xr:uid="{D99FA4D0-1CEE-4A54-A704-04419F742B5F}"/>
    <cellStyle name="40% - Accent2 29 5 2 3 3" xfId="11082" xr:uid="{63C42A74-509D-406D-B16F-60C4D0CE43B5}"/>
    <cellStyle name="40% - Accent2 29 5 2 4" xfId="11083" xr:uid="{7D9EE692-C982-4A47-907C-957CFEE70C06}"/>
    <cellStyle name="40% - Accent2 29 5 2 4 2" xfId="11084" xr:uid="{317A09AB-063A-470B-B254-B401A84BC108}"/>
    <cellStyle name="40% - Accent2 29 5 2 5" xfId="11085" xr:uid="{AAEB0A4F-2322-4694-B99F-6CEEC31C78E8}"/>
    <cellStyle name="40% - Accent2 29 5 3" xfId="11086" xr:uid="{13E6F0A3-120A-4ABE-BC8F-C0C9D9E8C030}"/>
    <cellStyle name="40% - Accent2 29 5 3 2" xfId="11087" xr:uid="{DFC33068-7B7E-47DE-92CF-5AAD523F2A8C}"/>
    <cellStyle name="40% - Accent2 29 5 3 2 2" xfId="11088" xr:uid="{BA678993-50B7-480F-B8BB-3DECA8A0AB67}"/>
    <cellStyle name="40% - Accent2 29 5 3 3" xfId="11089" xr:uid="{4000940B-BD3D-448D-AB30-E73DAAEEBCFE}"/>
    <cellStyle name="40% - Accent2 29 5 4" xfId="11090" xr:uid="{79BCCA39-2961-42A5-B97F-F80C6F5EB799}"/>
    <cellStyle name="40% - Accent2 29 5 4 2" xfId="11091" xr:uid="{9725B6E0-2C48-41F2-975D-431CE0A45D12}"/>
    <cellStyle name="40% - Accent2 29 5 4 2 2" xfId="11092" xr:uid="{33DD4C17-67E3-4A77-8309-535DF4E43AC7}"/>
    <cellStyle name="40% - Accent2 29 5 4 3" xfId="11093" xr:uid="{18A13BD4-A5D3-40FF-A208-6EDE96AB5B2B}"/>
    <cellStyle name="40% - Accent2 29 5 5" xfId="11094" xr:uid="{8C03F1E6-A28D-45E4-B54A-527058791374}"/>
    <cellStyle name="40% - Accent2 29 5 5 2" xfId="11095" xr:uid="{C4DBC883-1A97-4842-BB41-20815F380970}"/>
    <cellStyle name="40% - Accent2 29 5 6" xfId="11096" xr:uid="{1AFA9A52-94B4-4342-82C0-29CC244B9973}"/>
    <cellStyle name="40% - Accent2 29 6" xfId="11097" xr:uid="{5D218541-BEFE-4A83-B709-54C7981D2C43}"/>
    <cellStyle name="40% - Accent2 29 6 2" xfId="11098" xr:uid="{AC8F1C15-B9E8-4963-A3D7-B71D718EBD21}"/>
    <cellStyle name="40% - Accent2 29 6 2 2" xfId="11099" xr:uid="{E951680C-D459-4D28-A715-E7CB0B815021}"/>
    <cellStyle name="40% - Accent2 29 6 2 2 2" xfId="11100" xr:uid="{D8FE2A52-DB93-4F16-9579-1F8B1F366BE7}"/>
    <cellStyle name="40% - Accent2 29 6 2 2 2 2" xfId="11101" xr:uid="{0A82C8C7-AA0D-457C-9FEA-439FAC5AA7BF}"/>
    <cellStyle name="40% - Accent2 29 6 2 2 3" xfId="11102" xr:uid="{5AAA320E-57F6-4D57-ADA5-BD8F4F35247B}"/>
    <cellStyle name="40% - Accent2 29 6 2 3" xfId="11103" xr:uid="{8DC1BBFF-4389-4A24-A849-387244A0961A}"/>
    <cellStyle name="40% - Accent2 29 6 2 3 2" xfId="11104" xr:uid="{675D0755-6FF6-4771-8172-AA4AEAA84A46}"/>
    <cellStyle name="40% - Accent2 29 6 2 3 2 2" xfId="11105" xr:uid="{FCEEC806-A85A-4C01-A2DE-BBA95B5D03C9}"/>
    <cellStyle name="40% - Accent2 29 6 2 3 3" xfId="11106" xr:uid="{BE319D6A-9631-4978-BBF8-45C63848B5AD}"/>
    <cellStyle name="40% - Accent2 29 6 2 4" xfId="11107" xr:uid="{E8254C4D-36EB-4C9A-A3C8-A024E2959DEE}"/>
    <cellStyle name="40% - Accent2 29 6 2 4 2" xfId="11108" xr:uid="{5D43C242-A463-41A0-8BDC-547C6C0F0905}"/>
    <cellStyle name="40% - Accent2 29 6 2 5" xfId="11109" xr:uid="{B12DCCA9-9016-44C1-B2CC-3A371393B24C}"/>
    <cellStyle name="40% - Accent2 29 6 3" xfId="11110" xr:uid="{7E88DAA0-443E-4271-9AA1-4BB9BC3630B0}"/>
    <cellStyle name="40% - Accent2 29 6 3 2" xfId="11111" xr:uid="{5BD8B212-21F4-477C-91AE-FF3741A99400}"/>
    <cellStyle name="40% - Accent2 29 6 3 2 2" xfId="11112" xr:uid="{A46E5514-BFCD-40E6-AF23-935A0250754E}"/>
    <cellStyle name="40% - Accent2 29 6 3 3" xfId="11113" xr:uid="{38E27C34-B2A0-4E86-B900-0FA1B4C8C9FB}"/>
    <cellStyle name="40% - Accent2 29 6 4" xfId="11114" xr:uid="{07D9A79A-3C91-4147-B05A-08BAAED86193}"/>
    <cellStyle name="40% - Accent2 29 6 4 2" xfId="11115" xr:uid="{E5A51DF5-E447-4573-ADF7-ED68E6378427}"/>
    <cellStyle name="40% - Accent2 29 6 4 2 2" xfId="11116" xr:uid="{6CE472BA-5CB4-4E48-8128-88A29E7304AA}"/>
    <cellStyle name="40% - Accent2 29 6 4 3" xfId="11117" xr:uid="{8E6A21D9-7A39-484C-9300-12B0ED76CEEC}"/>
    <cellStyle name="40% - Accent2 29 6 5" xfId="11118" xr:uid="{B226DB8D-6A1E-445F-A836-05267FADED12}"/>
    <cellStyle name="40% - Accent2 29 6 5 2" xfId="11119" xr:uid="{1EC499BC-19BD-45F1-B8B8-EDBBC68CF47D}"/>
    <cellStyle name="40% - Accent2 29 6 6" xfId="11120" xr:uid="{1D741C2B-A515-46AF-AA61-075CA855502F}"/>
    <cellStyle name="40% - Accent2 29 7" xfId="11121" xr:uid="{57FDFA1A-E89C-469B-AFB4-7C6C4833D23B}"/>
    <cellStyle name="40% - Accent2 29 7 2" xfId="11122" xr:uid="{EA05ACA6-A363-46BA-9D3F-E007912414D9}"/>
    <cellStyle name="40% - Accent2 29 7 2 2" xfId="11123" xr:uid="{1BEC375F-5C69-4A96-B42D-49EA4FAEB402}"/>
    <cellStyle name="40% - Accent2 29 7 2 2 2" xfId="11124" xr:uid="{13FAA232-3BF0-462E-8FFB-005B6F78088D}"/>
    <cellStyle name="40% - Accent2 29 7 2 2 2 2" xfId="11125" xr:uid="{3501EE49-36F1-4C01-84AA-F595DA549849}"/>
    <cellStyle name="40% - Accent2 29 7 2 2 3" xfId="11126" xr:uid="{417C851B-92A6-4FAE-8613-7ECAF5FCD5FC}"/>
    <cellStyle name="40% - Accent2 29 7 2 3" xfId="11127" xr:uid="{1D3030A6-BEDF-4309-B73C-FB48B7495AAD}"/>
    <cellStyle name="40% - Accent2 29 7 2 3 2" xfId="11128" xr:uid="{8018503E-8BAE-4048-A758-0031277D3B6F}"/>
    <cellStyle name="40% - Accent2 29 7 2 3 2 2" xfId="11129" xr:uid="{1A837D64-4470-4655-861E-CF7DCA257531}"/>
    <cellStyle name="40% - Accent2 29 7 2 3 3" xfId="11130" xr:uid="{628DD3A5-78E3-4019-9B4A-24D26A69AFB3}"/>
    <cellStyle name="40% - Accent2 29 7 2 4" xfId="11131" xr:uid="{2DC061D6-CCEF-41CC-B8EF-7F50F4DC05FD}"/>
    <cellStyle name="40% - Accent2 29 7 2 4 2" xfId="11132" xr:uid="{A6F36BF9-45C3-4944-A083-7DF24CA73A59}"/>
    <cellStyle name="40% - Accent2 29 7 2 5" xfId="11133" xr:uid="{F988B6EF-56C3-4168-BA48-A2D5A22D74C4}"/>
    <cellStyle name="40% - Accent2 29 7 3" xfId="11134" xr:uid="{43244585-95D1-4A4E-BE7E-B91DB5980F64}"/>
    <cellStyle name="40% - Accent2 29 7 3 2" xfId="11135" xr:uid="{0867AB60-9848-4D31-9DCD-C9F51AEB4D48}"/>
    <cellStyle name="40% - Accent2 29 7 3 2 2" xfId="11136" xr:uid="{AC6675F3-0C7A-425B-8DAA-428A43C84181}"/>
    <cellStyle name="40% - Accent2 29 7 3 3" xfId="11137" xr:uid="{6D5AF81A-6DB8-4F50-96AC-1EEFCA5C0470}"/>
    <cellStyle name="40% - Accent2 29 7 4" xfId="11138" xr:uid="{09EE0001-66CD-4849-A4B7-DB936F34FF8F}"/>
    <cellStyle name="40% - Accent2 29 7 4 2" xfId="11139" xr:uid="{40D529DB-79EF-439C-9ABE-160A8C336DC1}"/>
    <cellStyle name="40% - Accent2 29 7 4 2 2" xfId="11140" xr:uid="{53F8BD77-A5B7-4C73-B0ED-DF390661C202}"/>
    <cellStyle name="40% - Accent2 29 7 4 3" xfId="11141" xr:uid="{93C7726D-625C-4DA5-8A07-30EB4175D636}"/>
    <cellStyle name="40% - Accent2 29 7 5" xfId="11142" xr:uid="{8E0A1119-48B6-4114-B705-9817D8151DBB}"/>
    <cellStyle name="40% - Accent2 29 7 5 2" xfId="11143" xr:uid="{F7A43AA1-D64A-4A07-B932-FD0892960CA7}"/>
    <cellStyle name="40% - Accent2 29 7 6" xfId="11144" xr:uid="{13293A41-D7B8-44F8-82F4-54E1FB01FEBA}"/>
    <cellStyle name="40% - Accent2 29 8" xfId="11145" xr:uid="{D2B1D064-D9EA-49BD-8DDE-38988FFA2360}"/>
    <cellStyle name="40% - Accent2 29 8 2" xfId="11146" xr:uid="{0976AE23-225F-4B7F-B2C1-0C2306FEC1F1}"/>
    <cellStyle name="40% - Accent2 29 8 2 2" xfId="11147" xr:uid="{A32CC779-184B-42C1-A7B6-64EAD5785798}"/>
    <cellStyle name="40% - Accent2 29 8 2 2 2" xfId="11148" xr:uid="{9715AD67-CBC1-4403-80B9-5669599D570C}"/>
    <cellStyle name="40% - Accent2 29 8 2 2 2 2" xfId="11149" xr:uid="{E0FC8016-F13F-469B-99D2-DE46FAF38850}"/>
    <cellStyle name="40% - Accent2 29 8 2 2 3" xfId="11150" xr:uid="{6B76CEE1-FAD8-4081-BD52-2BF83AFB55BD}"/>
    <cellStyle name="40% - Accent2 29 8 2 3" xfId="11151" xr:uid="{BF0BC72B-87ED-4E07-883B-E89187647407}"/>
    <cellStyle name="40% - Accent2 29 8 2 3 2" xfId="11152" xr:uid="{6806662E-9657-4ECC-9565-F20540470CDD}"/>
    <cellStyle name="40% - Accent2 29 8 2 3 2 2" xfId="11153" xr:uid="{6A0D60EC-0EAE-4E1E-B15F-13CAD181F1C7}"/>
    <cellStyle name="40% - Accent2 29 8 2 3 3" xfId="11154" xr:uid="{DE0E5B64-0338-4B62-8239-85F8CAA537BC}"/>
    <cellStyle name="40% - Accent2 29 8 2 4" xfId="11155" xr:uid="{0B60F2DD-4150-4E6D-8C3F-CD20B19BB532}"/>
    <cellStyle name="40% - Accent2 29 8 2 4 2" xfId="11156" xr:uid="{14719630-E3DF-4AF0-BB05-77D177056876}"/>
    <cellStyle name="40% - Accent2 29 8 2 5" xfId="11157" xr:uid="{762BF118-4B6A-4868-96EB-457F247B0009}"/>
    <cellStyle name="40% - Accent2 29 8 3" xfId="11158" xr:uid="{FF195FAA-9228-4AEF-BF66-780487AA3D76}"/>
    <cellStyle name="40% - Accent2 29 8 3 2" xfId="11159" xr:uid="{12DF9588-09C5-47E1-9412-1F74A7AB38C1}"/>
    <cellStyle name="40% - Accent2 29 8 3 2 2" xfId="11160" xr:uid="{6DE62FCC-16A9-4A36-B25F-DD0266477C7D}"/>
    <cellStyle name="40% - Accent2 29 8 3 3" xfId="11161" xr:uid="{9D1CA410-AF3D-485E-A379-4001A29B14B4}"/>
    <cellStyle name="40% - Accent2 29 8 4" xfId="11162" xr:uid="{7170DFD5-A6C9-43CC-9643-7F6AF62BC816}"/>
    <cellStyle name="40% - Accent2 29 8 4 2" xfId="11163" xr:uid="{5D543083-1F61-4ADD-AE16-6C448FE0E465}"/>
    <cellStyle name="40% - Accent2 29 8 4 2 2" xfId="11164" xr:uid="{0E1C928D-D58B-4E23-9D26-0EE5A84704C0}"/>
    <cellStyle name="40% - Accent2 29 8 4 3" xfId="11165" xr:uid="{774EBF03-D8FF-4582-9F68-73F9895EB9A0}"/>
    <cellStyle name="40% - Accent2 29 8 5" xfId="11166" xr:uid="{E82554E5-5E46-459F-AA99-F3EB2E05F8BE}"/>
    <cellStyle name="40% - Accent2 29 8 5 2" xfId="11167" xr:uid="{F6DA3FA7-48B0-401E-A055-26F8FC118DA9}"/>
    <cellStyle name="40% - Accent2 29 8 6" xfId="11168" xr:uid="{8F1F0CE0-66F8-4006-9D10-0299222184FB}"/>
    <cellStyle name="40% - Accent2 29 9" xfId="11169" xr:uid="{5E7C636C-2593-43C9-99A3-D843B368C848}"/>
    <cellStyle name="40% - Accent2 29 9 2" xfId="11170" xr:uid="{086094F6-3E29-4774-A1C0-3EB827C52BDE}"/>
    <cellStyle name="40% - Accent2 29 9 2 2" xfId="11171" xr:uid="{2330D62E-C49F-4A5C-AF35-275271637825}"/>
    <cellStyle name="40% - Accent2 29 9 2 2 2" xfId="11172" xr:uid="{415AAA07-EAA6-4043-A0ED-9ED2020DA1C8}"/>
    <cellStyle name="40% - Accent2 29 9 2 2 2 2" xfId="11173" xr:uid="{405A3850-0B8C-4EA8-B65D-BE57225D0F30}"/>
    <cellStyle name="40% - Accent2 29 9 2 2 3" xfId="11174" xr:uid="{4C941513-BB74-444A-A75D-0D8A3F941AE4}"/>
    <cellStyle name="40% - Accent2 29 9 2 3" xfId="11175" xr:uid="{17EC7FB6-9CC0-4924-979C-00EF760C7A81}"/>
    <cellStyle name="40% - Accent2 29 9 2 3 2" xfId="11176" xr:uid="{5ED2876A-111F-4E4C-80A7-ADEA8DB84952}"/>
    <cellStyle name="40% - Accent2 29 9 2 3 2 2" xfId="11177" xr:uid="{99F31C42-8D5A-4225-95FC-7377EB393028}"/>
    <cellStyle name="40% - Accent2 29 9 2 3 3" xfId="11178" xr:uid="{B60FD074-68E0-42BD-978A-C27FA4B52B9F}"/>
    <cellStyle name="40% - Accent2 29 9 2 4" xfId="11179" xr:uid="{7F8319AC-CB5F-4CE9-9C58-2B2A1CF97A4E}"/>
    <cellStyle name="40% - Accent2 29 9 2 4 2" xfId="11180" xr:uid="{123AFB89-4ACE-4162-B5D8-83CFB896C1D9}"/>
    <cellStyle name="40% - Accent2 29 9 2 5" xfId="11181" xr:uid="{ED1B08EA-C122-4009-9DCF-3A0FD501A4DC}"/>
    <cellStyle name="40% - Accent2 29 9 3" xfId="11182" xr:uid="{AF4F70ED-F8C0-417A-A97E-BC04FC625002}"/>
    <cellStyle name="40% - Accent2 29 9 3 2" xfId="11183" xr:uid="{739A141A-F6E8-467D-BB67-C4558F0B6CD5}"/>
    <cellStyle name="40% - Accent2 29 9 3 2 2" xfId="11184" xr:uid="{36001249-7576-4E75-822B-B39318E7CCA5}"/>
    <cellStyle name="40% - Accent2 29 9 3 3" xfId="11185" xr:uid="{381564A0-0B70-426A-94D6-EF8902341C06}"/>
    <cellStyle name="40% - Accent2 29 9 4" xfId="11186" xr:uid="{E5F5D8B6-76D4-43ED-A586-E951C2D2A887}"/>
    <cellStyle name="40% - Accent2 29 9 4 2" xfId="11187" xr:uid="{1AFE5244-EDFE-4C8D-B694-D7A561233E9A}"/>
    <cellStyle name="40% - Accent2 29 9 4 2 2" xfId="11188" xr:uid="{3009B63A-4AB3-48BD-A0FE-76A27FC79296}"/>
    <cellStyle name="40% - Accent2 29 9 4 3" xfId="11189" xr:uid="{BFC1071E-BF80-47FB-B683-02DA934C9693}"/>
    <cellStyle name="40% - Accent2 29 9 5" xfId="11190" xr:uid="{4ED4504B-65E6-4562-8F37-5ED37A1B832C}"/>
    <cellStyle name="40% - Accent2 29 9 5 2" xfId="11191" xr:uid="{B961B0D1-15C4-444B-96B1-97ECC5D5A26A}"/>
    <cellStyle name="40% - Accent2 29 9 6" xfId="11192" xr:uid="{058D2676-D267-4B8C-A688-3C6037A68445}"/>
    <cellStyle name="40% - Accent2 3" xfId="11193" xr:uid="{FDED866B-0079-4D57-AD66-4C7EC3C8F92E}"/>
    <cellStyle name="40% - Accent2 3 2" xfId="11194" xr:uid="{8ACE8122-CAE9-4FD3-BC1D-DF117F957782}"/>
    <cellStyle name="40% - Accent2 3 2 2" xfId="11195" xr:uid="{39B7496C-EF15-4684-A5EA-0F76953301F3}"/>
    <cellStyle name="40% - Accent2 3 2 2 2" xfId="36947" xr:uid="{EA5FF09E-43A8-4408-9B03-FAF0E6CC1AE8}"/>
    <cellStyle name="40% - Accent2 3 2 3" xfId="36948" xr:uid="{3C8BD6DF-62F9-4303-90A3-A17F351E6FC9}"/>
    <cellStyle name="40% - Accent2 3 2 4" xfId="36949" xr:uid="{81907FD6-6A17-4B23-A2CB-ED719BB51F49}"/>
    <cellStyle name="40% - Accent2 3 3" xfId="11196" xr:uid="{E77B8232-322F-4524-9747-787F5B155642}"/>
    <cellStyle name="40% - Accent2 3 3 2" xfId="36950" xr:uid="{3EC513DD-1DA1-4CFA-83D6-36E6793425C5}"/>
    <cellStyle name="40% - Accent2 3 4" xfId="36951" xr:uid="{16F62DAA-57E7-4C7C-8C04-4B72163AF8C5}"/>
    <cellStyle name="40% - Accent2 3 5" xfId="36952" xr:uid="{E859C1BE-D32C-466B-B2E6-6FCC7171A711}"/>
    <cellStyle name="40% - Accent2 3 6" xfId="36953" xr:uid="{01790E45-E020-42CD-8F86-87184E040817}"/>
    <cellStyle name="40% - Accent2 30" xfId="11197" xr:uid="{153AE5D8-E115-4533-BFD0-4B1C58561736}"/>
    <cellStyle name="40% - Accent2 30 10" xfId="11198" xr:uid="{D4A7329A-D01B-48A0-9620-4DEFAD4D9EAA}"/>
    <cellStyle name="40% - Accent2 30 10 2" xfId="11199" xr:uid="{8C428478-C8B4-428F-8488-1278202A9D88}"/>
    <cellStyle name="40% - Accent2 30 10 2 2" xfId="11200" xr:uid="{4E10DD4E-D0B5-42B7-B965-1D3305AA557E}"/>
    <cellStyle name="40% - Accent2 30 10 2 2 2" xfId="11201" xr:uid="{1032DCDC-416C-4E64-876B-50930BAD8C22}"/>
    <cellStyle name="40% - Accent2 30 10 2 2 2 2" xfId="11202" xr:uid="{5D424F18-DA88-4E8D-A73F-0BB110C0EDEC}"/>
    <cellStyle name="40% - Accent2 30 10 2 2 3" xfId="11203" xr:uid="{19C6DC80-9F40-45BC-A001-C521940BC51C}"/>
    <cellStyle name="40% - Accent2 30 10 2 3" xfId="11204" xr:uid="{96886664-1DCA-49B5-B82B-6EFA925F20AB}"/>
    <cellStyle name="40% - Accent2 30 10 2 3 2" xfId="11205" xr:uid="{9B49AE42-2F46-4573-99BD-266648B2A094}"/>
    <cellStyle name="40% - Accent2 30 10 2 3 2 2" xfId="11206" xr:uid="{A0B32CFD-22F6-4351-8A43-306AC25BCAD5}"/>
    <cellStyle name="40% - Accent2 30 10 2 3 3" xfId="11207" xr:uid="{89C13852-3321-4CFE-A839-3A7113F8118C}"/>
    <cellStyle name="40% - Accent2 30 10 2 4" xfId="11208" xr:uid="{E90C3D79-AF3C-4FA6-A499-C8500FCE2FF2}"/>
    <cellStyle name="40% - Accent2 30 10 2 4 2" xfId="11209" xr:uid="{2FF5DDC4-69D7-4087-BCA4-08A12EC798E3}"/>
    <cellStyle name="40% - Accent2 30 10 2 5" xfId="11210" xr:uid="{900BFFD1-437D-4992-9EEA-CCF53641650F}"/>
    <cellStyle name="40% - Accent2 30 10 3" xfId="11211" xr:uid="{DD61615A-8DB5-4D19-BADA-D7DEE2D121B8}"/>
    <cellStyle name="40% - Accent2 30 10 3 2" xfId="11212" xr:uid="{3C8BC316-A9A7-4BD1-BCF0-C19E7541D5C4}"/>
    <cellStyle name="40% - Accent2 30 10 3 2 2" xfId="11213" xr:uid="{508EEFD9-8EB4-41D0-86DE-C1165CA51BAA}"/>
    <cellStyle name="40% - Accent2 30 10 3 3" xfId="11214" xr:uid="{0AB3FC5C-C4B1-45AD-8BE6-D9998A6930F6}"/>
    <cellStyle name="40% - Accent2 30 10 4" xfId="11215" xr:uid="{29C199A8-82DC-41E8-89CF-E335E7679566}"/>
    <cellStyle name="40% - Accent2 30 10 4 2" xfId="11216" xr:uid="{6F91F838-0869-4C9D-8587-C2BD05A37082}"/>
    <cellStyle name="40% - Accent2 30 10 4 2 2" xfId="11217" xr:uid="{1F9A48DC-3EBD-4B7A-96E0-D1CB5EB95044}"/>
    <cellStyle name="40% - Accent2 30 10 4 3" xfId="11218" xr:uid="{75E0BCFC-7566-4278-A4B1-7F6BBF7B3244}"/>
    <cellStyle name="40% - Accent2 30 10 5" xfId="11219" xr:uid="{2EBF598A-A7E9-482C-85E4-E5C051098080}"/>
    <cellStyle name="40% - Accent2 30 10 5 2" xfId="11220" xr:uid="{19ED7C66-09B3-4213-A6EC-22F8AD965D81}"/>
    <cellStyle name="40% - Accent2 30 10 6" xfId="11221" xr:uid="{9E1B6A3A-E1DF-4B22-A575-9228E899EA9A}"/>
    <cellStyle name="40% - Accent2 30 11" xfId="11222" xr:uid="{01393DDB-060A-4F4A-B7EB-2B97DDE9161D}"/>
    <cellStyle name="40% - Accent2 30 11 2" xfId="11223" xr:uid="{0B5996EF-F60F-4F85-8DC3-0AF9F62AEFAB}"/>
    <cellStyle name="40% - Accent2 30 11 2 2" xfId="11224" xr:uid="{AA12709E-CBB7-4A69-9998-4DED6D596225}"/>
    <cellStyle name="40% - Accent2 30 11 2 2 2" xfId="11225" xr:uid="{02D76AC9-17DD-40A3-A734-020BF27E4F1D}"/>
    <cellStyle name="40% - Accent2 30 11 2 3" xfId="11226" xr:uid="{79011D5D-D5CA-4EA4-9233-F645B1A75FA5}"/>
    <cellStyle name="40% - Accent2 30 11 3" xfId="11227" xr:uid="{6F82C353-5BF7-4E77-8010-5B9A062D2D0A}"/>
    <cellStyle name="40% - Accent2 30 11 3 2" xfId="11228" xr:uid="{D02BF546-67F3-464C-A491-56FE3C61E0E0}"/>
    <cellStyle name="40% - Accent2 30 11 3 2 2" xfId="11229" xr:uid="{DCC5704C-D207-43A9-9DF1-8F3C8907BAD8}"/>
    <cellStyle name="40% - Accent2 30 11 3 3" xfId="11230" xr:uid="{555CBB91-D3B6-4D29-9C59-25B0F73322B8}"/>
    <cellStyle name="40% - Accent2 30 11 4" xfId="11231" xr:uid="{29C9867C-E72A-4FB6-B5E0-618728DFA51B}"/>
    <cellStyle name="40% - Accent2 30 11 4 2" xfId="11232" xr:uid="{0638EFBC-04F8-47EE-A887-874E42D91963}"/>
    <cellStyle name="40% - Accent2 30 11 5" xfId="11233" xr:uid="{65E3DA56-F353-4694-A7CA-E9AEBCDEC5AA}"/>
    <cellStyle name="40% - Accent2 30 12" xfId="11234" xr:uid="{B4A02DF7-1D3D-4B88-9A6A-E204D72202AB}"/>
    <cellStyle name="40% - Accent2 30 12 2" xfId="11235" xr:uid="{47FE55C0-458D-4749-A373-08B50834655F}"/>
    <cellStyle name="40% - Accent2 30 12 2 2" xfId="11236" xr:uid="{D044132D-ECB2-4990-85AB-6EB5044C61BF}"/>
    <cellStyle name="40% - Accent2 30 12 3" xfId="11237" xr:uid="{17F7C85A-9567-46EA-8E0A-0EE25159B551}"/>
    <cellStyle name="40% - Accent2 30 13" xfId="11238" xr:uid="{F075FBDD-4B98-4D02-99B9-44584EA8B402}"/>
    <cellStyle name="40% - Accent2 30 13 2" xfId="11239" xr:uid="{7F7A8CFC-9766-4B12-AE24-6426161AD23D}"/>
    <cellStyle name="40% - Accent2 30 13 2 2" xfId="11240" xr:uid="{40339D78-789C-401F-92A5-D5C7F32EA4ED}"/>
    <cellStyle name="40% - Accent2 30 13 3" xfId="11241" xr:uid="{D13CF39A-415B-4E5C-AE3E-8F34F24766B0}"/>
    <cellStyle name="40% - Accent2 30 14" xfId="11242" xr:uid="{F008B66A-63B5-40DE-90F4-739405A8E915}"/>
    <cellStyle name="40% - Accent2 30 14 2" xfId="11243" xr:uid="{FE6009A0-6B2F-4CCE-BD1B-0FA98198A613}"/>
    <cellStyle name="40% - Accent2 30 15" xfId="11244" xr:uid="{B34D4852-EB86-4402-AC27-7C4A10FE5FF2}"/>
    <cellStyle name="40% - Accent2 30 16" xfId="36954" xr:uid="{916DDB83-BE28-4560-A914-90994EBF6BFB}"/>
    <cellStyle name="40% - Accent2 30 2" xfId="11245" xr:uid="{3CDF26C7-F95D-41CE-ABBD-E481AB382560}"/>
    <cellStyle name="40% - Accent2 30 2 2" xfId="11246" xr:uid="{96F448CC-3CF9-4C93-A873-7D9913E71860}"/>
    <cellStyle name="40% - Accent2 30 2 2 2" xfId="11247" xr:uid="{912F488A-1654-4705-9122-7AA68BF6B56B}"/>
    <cellStyle name="40% - Accent2 30 2 2 2 2" xfId="11248" xr:uid="{1E740149-5EB9-49A5-B3F0-106DEAA34A40}"/>
    <cellStyle name="40% - Accent2 30 2 2 2 2 2" xfId="11249" xr:uid="{7524387C-4824-4810-9D27-447997157C17}"/>
    <cellStyle name="40% - Accent2 30 2 2 2 3" xfId="11250" xr:uid="{56E1E7CD-E07B-4661-B152-BB04407A23B1}"/>
    <cellStyle name="40% - Accent2 30 2 2 3" xfId="11251" xr:uid="{4F970147-6A17-464A-9DE5-D886A81DADA1}"/>
    <cellStyle name="40% - Accent2 30 2 2 3 2" xfId="11252" xr:uid="{CAFDEB6D-7ABB-42C1-891D-24794A1B43B8}"/>
    <cellStyle name="40% - Accent2 30 2 2 3 2 2" xfId="11253" xr:uid="{B1ACA4BB-6D68-49F9-95AA-46FA3CDC3AC6}"/>
    <cellStyle name="40% - Accent2 30 2 2 3 3" xfId="11254" xr:uid="{2C9C5463-C7EB-430C-B323-7522661AC9D2}"/>
    <cellStyle name="40% - Accent2 30 2 2 4" xfId="11255" xr:uid="{AC94C401-8398-4E1B-99B5-E2673F7BD126}"/>
    <cellStyle name="40% - Accent2 30 2 2 4 2" xfId="11256" xr:uid="{DA0578C6-8419-4A4B-9622-D3E318D19F85}"/>
    <cellStyle name="40% - Accent2 30 2 2 5" xfId="11257" xr:uid="{51A88EE9-61FE-4664-BFCD-49DAEFCF3B8C}"/>
    <cellStyle name="40% - Accent2 30 2 3" xfId="11258" xr:uid="{79951557-66AA-461A-BE52-B478DCDD2CB1}"/>
    <cellStyle name="40% - Accent2 30 2 3 2" xfId="11259" xr:uid="{FD2188D3-E72A-4054-B110-951CC2BDC6B5}"/>
    <cellStyle name="40% - Accent2 30 2 3 2 2" xfId="11260" xr:uid="{5F4A1195-5D28-457A-B6D1-D3B07FF89ADE}"/>
    <cellStyle name="40% - Accent2 30 2 3 3" xfId="11261" xr:uid="{98C69CA1-F550-4FFD-ADDF-0A9DF22A2BE3}"/>
    <cellStyle name="40% - Accent2 30 2 4" xfId="11262" xr:uid="{AA8EBBA0-D16E-41BF-92D5-B2567410473C}"/>
    <cellStyle name="40% - Accent2 30 2 4 2" xfId="11263" xr:uid="{987F3795-D909-4C41-9B02-CBD2AFAC9F24}"/>
    <cellStyle name="40% - Accent2 30 2 4 2 2" xfId="11264" xr:uid="{75D91CC5-5F49-4A28-87AA-957FACE04C43}"/>
    <cellStyle name="40% - Accent2 30 2 4 3" xfId="11265" xr:uid="{A91B4DA6-F23D-4471-84C8-7C88A4D7018A}"/>
    <cellStyle name="40% - Accent2 30 2 5" xfId="11266" xr:uid="{F0F8F31C-8EC4-4A04-A6FE-B4D62826C13A}"/>
    <cellStyle name="40% - Accent2 30 2 5 2" xfId="11267" xr:uid="{E819BDE8-2E61-4FB0-B134-5850373DA113}"/>
    <cellStyle name="40% - Accent2 30 2 6" xfId="11268" xr:uid="{FC7AAE93-F221-4D2A-A97C-17980EC658BF}"/>
    <cellStyle name="40% - Accent2 30 3" xfId="11269" xr:uid="{CE675DDC-EAA4-4292-9386-A48DD91DBBF3}"/>
    <cellStyle name="40% - Accent2 30 3 2" xfId="11270" xr:uid="{17FF5328-7D9A-4716-8694-3D3BDE415A9F}"/>
    <cellStyle name="40% - Accent2 30 3 2 2" xfId="11271" xr:uid="{2E4801DF-AA95-4F89-86BF-B5552AD045D3}"/>
    <cellStyle name="40% - Accent2 30 3 2 2 2" xfId="11272" xr:uid="{DBCAA5E2-BC2D-4B15-99FB-A33539084E19}"/>
    <cellStyle name="40% - Accent2 30 3 2 2 2 2" xfId="11273" xr:uid="{1B911D24-BDF5-4666-989D-F27FEDA0656F}"/>
    <cellStyle name="40% - Accent2 30 3 2 2 3" xfId="11274" xr:uid="{2886664D-9A19-48C0-86D1-7BEE9020E592}"/>
    <cellStyle name="40% - Accent2 30 3 2 3" xfId="11275" xr:uid="{A65FCE05-6F8E-4366-B092-06B90A185D87}"/>
    <cellStyle name="40% - Accent2 30 3 2 3 2" xfId="11276" xr:uid="{5D844FC1-E373-4CC1-B8B8-04714A1501D3}"/>
    <cellStyle name="40% - Accent2 30 3 2 3 2 2" xfId="11277" xr:uid="{A41EFFBF-AFA2-4F95-ADDF-0BDC406CC5E8}"/>
    <cellStyle name="40% - Accent2 30 3 2 3 3" xfId="11278" xr:uid="{FBC65EDA-95A0-477B-BED3-6A288720A30D}"/>
    <cellStyle name="40% - Accent2 30 3 2 4" xfId="11279" xr:uid="{DCFB4E39-EBC5-4A88-8275-7E1F5BD3083D}"/>
    <cellStyle name="40% - Accent2 30 3 2 4 2" xfId="11280" xr:uid="{4BDBECD7-6B16-4E28-BA09-AE3A2AB31283}"/>
    <cellStyle name="40% - Accent2 30 3 2 5" xfId="11281" xr:uid="{34D5558A-1856-43BE-AC94-BA3D73E3DB5E}"/>
    <cellStyle name="40% - Accent2 30 3 3" xfId="11282" xr:uid="{9447BE58-3E2E-4C4C-A8F9-2DF17DB5B17F}"/>
    <cellStyle name="40% - Accent2 30 3 3 2" xfId="11283" xr:uid="{C125C95A-F8D0-48FE-B3AF-EF293433D05E}"/>
    <cellStyle name="40% - Accent2 30 3 3 2 2" xfId="11284" xr:uid="{BC987A58-08FC-43F1-A192-EE2F07485552}"/>
    <cellStyle name="40% - Accent2 30 3 3 3" xfId="11285" xr:uid="{ED7C8BB4-4FC9-4D87-9E8E-5878DBEA0769}"/>
    <cellStyle name="40% - Accent2 30 3 4" xfId="11286" xr:uid="{09488475-B644-4F82-B1C9-3CDE0A4C961C}"/>
    <cellStyle name="40% - Accent2 30 3 4 2" xfId="11287" xr:uid="{AE01163D-7335-443D-A52E-68AD7A9B900F}"/>
    <cellStyle name="40% - Accent2 30 3 4 2 2" xfId="11288" xr:uid="{81CC2014-800E-4DB4-8F86-D5A05B726F17}"/>
    <cellStyle name="40% - Accent2 30 3 4 3" xfId="11289" xr:uid="{A0BAA12A-C3F8-4FCF-8527-A75BC61A7285}"/>
    <cellStyle name="40% - Accent2 30 3 5" xfId="11290" xr:uid="{2CAD392C-EF80-4560-BDE7-879BCAD5D2E5}"/>
    <cellStyle name="40% - Accent2 30 3 5 2" xfId="11291" xr:uid="{670C1F90-7289-409D-8D86-3336BF681066}"/>
    <cellStyle name="40% - Accent2 30 3 6" xfId="11292" xr:uid="{AB6A0272-6AF7-4D78-875B-A66505E51777}"/>
    <cellStyle name="40% - Accent2 30 4" xfId="11293" xr:uid="{3BAB850D-93DC-424C-9E87-587505CD909D}"/>
    <cellStyle name="40% - Accent2 30 4 2" xfId="11294" xr:uid="{AA161378-E3EE-419D-857F-4356CFE8162C}"/>
    <cellStyle name="40% - Accent2 30 4 2 2" xfId="11295" xr:uid="{DBC21C3D-0245-41C1-9301-442290284412}"/>
    <cellStyle name="40% - Accent2 30 4 2 2 2" xfId="11296" xr:uid="{CD9C369E-2CBE-4753-ACBE-C50CF66B9B6E}"/>
    <cellStyle name="40% - Accent2 30 4 2 2 2 2" xfId="11297" xr:uid="{EC0CF098-E4CE-4F80-8C1A-68D45DD15109}"/>
    <cellStyle name="40% - Accent2 30 4 2 2 3" xfId="11298" xr:uid="{3C6C5EE5-E662-4DC7-A5FE-BBB10C1CDD3D}"/>
    <cellStyle name="40% - Accent2 30 4 2 3" xfId="11299" xr:uid="{6826086C-66A8-4629-8538-F812A7C9CE0B}"/>
    <cellStyle name="40% - Accent2 30 4 2 3 2" xfId="11300" xr:uid="{3E1BB2EE-6A8E-4F00-B9C3-8CD931A6A31C}"/>
    <cellStyle name="40% - Accent2 30 4 2 3 2 2" xfId="11301" xr:uid="{D138ACFE-7CF5-4B79-ADEC-648FEE691593}"/>
    <cellStyle name="40% - Accent2 30 4 2 3 3" xfId="11302" xr:uid="{6C0CFB38-BF0F-4B5E-ACE3-3C15148F5140}"/>
    <cellStyle name="40% - Accent2 30 4 2 4" xfId="11303" xr:uid="{72FBBF10-41B6-4C76-9EF7-9807509D7BF1}"/>
    <cellStyle name="40% - Accent2 30 4 2 4 2" xfId="11304" xr:uid="{01D5DCF2-352F-431C-98A3-494240E62786}"/>
    <cellStyle name="40% - Accent2 30 4 2 5" xfId="11305" xr:uid="{763E2719-C704-4BE8-9FA2-B7EAFBAD4F39}"/>
    <cellStyle name="40% - Accent2 30 4 3" xfId="11306" xr:uid="{6FF11ED7-ED13-42EE-9BB0-B4F6E7DDD9CB}"/>
    <cellStyle name="40% - Accent2 30 4 3 2" xfId="11307" xr:uid="{5FF4783E-6A70-44CF-983D-72C001ABF04A}"/>
    <cellStyle name="40% - Accent2 30 4 3 2 2" xfId="11308" xr:uid="{5CF3EF58-CF07-4235-9E09-A9A0CFEE4B8A}"/>
    <cellStyle name="40% - Accent2 30 4 3 3" xfId="11309" xr:uid="{C6E2D011-D015-4A4C-AE1D-676B492087B3}"/>
    <cellStyle name="40% - Accent2 30 4 4" xfId="11310" xr:uid="{19285429-08D7-4D60-A8A4-EEA34E193A93}"/>
    <cellStyle name="40% - Accent2 30 4 4 2" xfId="11311" xr:uid="{44A9CD62-F943-46EE-A931-66AF640C4F3D}"/>
    <cellStyle name="40% - Accent2 30 4 4 2 2" xfId="11312" xr:uid="{5DE34C90-08F8-4658-9349-50426D61D64E}"/>
    <cellStyle name="40% - Accent2 30 4 4 3" xfId="11313" xr:uid="{AFFAD627-785A-490A-8417-95EA77893A66}"/>
    <cellStyle name="40% - Accent2 30 4 5" xfId="11314" xr:uid="{34056138-40DD-4B37-939C-552E19F54E5A}"/>
    <cellStyle name="40% - Accent2 30 4 5 2" xfId="11315" xr:uid="{675EE17E-F2F7-4CCB-AD58-268525005C8A}"/>
    <cellStyle name="40% - Accent2 30 4 6" xfId="11316" xr:uid="{1C60E3B5-FCBF-4C0D-9F41-6774E4DCE7B1}"/>
    <cellStyle name="40% - Accent2 30 5" xfId="11317" xr:uid="{78B8CC8F-E2ED-4E8E-B4CC-E60C29558B35}"/>
    <cellStyle name="40% - Accent2 30 5 2" xfId="11318" xr:uid="{8409428E-592D-450C-A6B0-2B0FC4AD8A92}"/>
    <cellStyle name="40% - Accent2 30 5 2 2" xfId="11319" xr:uid="{83588FAE-682F-49FA-A301-04BEFA453A82}"/>
    <cellStyle name="40% - Accent2 30 5 2 2 2" xfId="11320" xr:uid="{A4AED428-978B-44FA-88B0-2007F1EAB772}"/>
    <cellStyle name="40% - Accent2 30 5 2 2 2 2" xfId="11321" xr:uid="{302B8480-127B-4B70-ADD0-E7019D4BCDF5}"/>
    <cellStyle name="40% - Accent2 30 5 2 2 3" xfId="11322" xr:uid="{BC1C04AC-1A6A-4B85-BDC3-4109ACA799CF}"/>
    <cellStyle name="40% - Accent2 30 5 2 3" xfId="11323" xr:uid="{8D84F3E3-0BAA-4123-BD87-82D18E9256BD}"/>
    <cellStyle name="40% - Accent2 30 5 2 3 2" xfId="11324" xr:uid="{C75D9E3E-C1B5-4841-8729-67F23D388FAB}"/>
    <cellStyle name="40% - Accent2 30 5 2 3 2 2" xfId="11325" xr:uid="{4F6432B1-48D7-4A64-9DD1-F050F06B89C0}"/>
    <cellStyle name="40% - Accent2 30 5 2 3 3" xfId="11326" xr:uid="{DD66DDEA-E1E1-44D1-99F8-3520FEEDB856}"/>
    <cellStyle name="40% - Accent2 30 5 2 4" xfId="11327" xr:uid="{0E074275-7ECD-4173-A718-E2A58A89E8B2}"/>
    <cellStyle name="40% - Accent2 30 5 2 4 2" xfId="11328" xr:uid="{D51A47A6-C447-4FD8-86C3-908528254066}"/>
    <cellStyle name="40% - Accent2 30 5 2 5" xfId="11329" xr:uid="{9EEAB8AC-BA30-4E06-9888-99DE80B06D1E}"/>
    <cellStyle name="40% - Accent2 30 5 3" xfId="11330" xr:uid="{22C3BED8-53C3-4D55-A1D1-0F09795B36A6}"/>
    <cellStyle name="40% - Accent2 30 5 3 2" xfId="11331" xr:uid="{5710D747-4C1C-4EC8-8E33-3E5A20931884}"/>
    <cellStyle name="40% - Accent2 30 5 3 2 2" xfId="11332" xr:uid="{F675CB2F-F3CA-4A7D-9E17-2130C873CFD0}"/>
    <cellStyle name="40% - Accent2 30 5 3 3" xfId="11333" xr:uid="{DD9980E8-9CE0-4A80-A802-DA3198E053D3}"/>
    <cellStyle name="40% - Accent2 30 5 4" xfId="11334" xr:uid="{85688757-CAC4-40DA-9672-5A303F620653}"/>
    <cellStyle name="40% - Accent2 30 5 4 2" xfId="11335" xr:uid="{659F0EC5-011A-4D6E-ABBD-32E224937659}"/>
    <cellStyle name="40% - Accent2 30 5 4 2 2" xfId="11336" xr:uid="{12CE937F-758E-48B1-8860-C2A08CC09B2B}"/>
    <cellStyle name="40% - Accent2 30 5 4 3" xfId="11337" xr:uid="{3A1CDD80-B218-4F19-9DD3-E5DBC3746DE4}"/>
    <cellStyle name="40% - Accent2 30 5 5" xfId="11338" xr:uid="{4FB25F69-F2EE-43A1-B6BB-383E531A5D91}"/>
    <cellStyle name="40% - Accent2 30 5 5 2" xfId="11339" xr:uid="{1E164EEA-4E9A-490C-A5AE-4A96836B8B99}"/>
    <cellStyle name="40% - Accent2 30 5 6" xfId="11340" xr:uid="{677F4D56-1B8D-4AAF-B74D-73B060EE9917}"/>
    <cellStyle name="40% - Accent2 30 6" xfId="11341" xr:uid="{949F91F5-67A0-4AC8-8D6A-B9D486EEA1D6}"/>
    <cellStyle name="40% - Accent2 30 6 2" xfId="11342" xr:uid="{BBCB8052-3D59-4A96-AD68-61D5BF23AB6C}"/>
    <cellStyle name="40% - Accent2 30 6 2 2" xfId="11343" xr:uid="{405CE90A-6552-4DEC-B393-D4F3DE4CB6DD}"/>
    <cellStyle name="40% - Accent2 30 6 2 2 2" xfId="11344" xr:uid="{A425E3A4-CCAD-4702-9A6E-5F131A370322}"/>
    <cellStyle name="40% - Accent2 30 6 2 2 2 2" xfId="11345" xr:uid="{E6C3D835-5F1B-45F0-81C0-DC9EE29759EC}"/>
    <cellStyle name="40% - Accent2 30 6 2 2 3" xfId="11346" xr:uid="{8505BF89-980D-4D2C-94E2-3681A499FA85}"/>
    <cellStyle name="40% - Accent2 30 6 2 3" xfId="11347" xr:uid="{DBBC2ADF-D74B-4CE3-9652-8F9C81623021}"/>
    <cellStyle name="40% - Accent2 30 6 2 3 2" xfId="11348" xr:uid="{C3F9C585-0B15-4E2A-A14A-CE1497D8ADA8}"/>
    <cellStyle name="40% - Accent2 30 6 2 3 2 2" xfId="11349" xr:uid="{32FD32AE-D9F7-479B-B527-62AB2FF1AD2E}"/>
    <cellStyle name="40% - Accent2 30 6 2 3 3" xfId="11350" xr:uid="{08958CBA-D5EF-4CFA-8126-AA0A59505119}"/>
    <cellStyle name="40% - Accent2 30 6 2 4" xfId="11351" xr:uid="{B6C4E97B-C7D8-45D6-8885-B229FC897709}"/>
    <cellStyle name="40% - Accent2 30 6 2 4 2" xfId="11352" xr:uid="{C8183E3B-6962-41B5-9ED9-1139F4BA7247}"/>
    <cellStyle name="40% - Accent2 30 6 2 5" xfId="11353" xr:uid="{4AF4DE17-358B-4C22-9D3D-F3F88C3E5835}"/>
    <cellStyle name="40% - Accent2 30 6 3" xfId="11354" xr:uid="{F5D22910-8861-460B-B504-BE6BBCDC297D}"/>
    <cellStyle name="40% - Accent2 30 6 3 2" xfId="11355" xr:uid="{41720AF0-979F-4CF2-AC9B-BAAF2AD5361A}"/>
    <cellStyle name="40% - Accent2 30 6 3 2 2" xfId="11356" xr:uid="{3A1948CD-CF21-4350-A8CA-7C3F8D471FC2}"/>
    <cellStyle name="40% - Accent2 30 6 3 3" xfId="11357" xr:uid="{5B50443A-5954-4132-A863-AB0F584B5615}"/>
    <cellStyle name="40% - Accent2 30 6 4" xfId="11358" xr:uid="{9FA4AF3D-B5F9-47A5-9B07-7C2F3240754E}"/>
    <cellStyle name="40% - Accent2 30 6 4 2" xfId="11359" xr:uid="{30409C2A-71DC-4F7E-8017-667589174195}"/>
    <cellStyle name="40% - Accent2 30 6 4 2 2" xfId="11360" xr:uid="{F5448DAB-45EC-43D7-A48B-D77B9906123B}"/>
    <cellStyle name="40% - Accent2 30 6 4 3" xfId="11361" xr:uid="{7E8DCB15-642E-40C3-90A9-583A2EDEDAB5}"/>
    <cellStyle name="40% - Accent2 30 6 5" xfId="11362" xr:uid="{D2D48CC6-61CA-49EE-A45B-5055C7DC9C65}"/>
    <cellStyle name="40% - Accent2 30 6 5 2" xfId="11363" xr:uid="{BB594ECF-9675-4E43-868E-4BAD1A50CFC8}"/>
    <cellStyle name="40% - Accent2 30 6 6" xfId="11364" xr:uid="{43E478D0-9B04-44C7-8776-3C2F811EF34D}"/>
    <cellStyle name="40% - Accent2 30 7" xfId="11365" xr:uid="{684B19EB-B476-4787-9D2E-5772D78E0C94}"/>
    <cellStyle name="40% - Accent2 30 7 2" xfId="11366" xr:uid="{A6F4DA00-3732-4CD0-B9E6-DD8525729B1D}"/>
    <cellStyle name="40% - Accent2 30 7 2 2" xfId="11367" xr:uid="{984CF4D9-9B1B-4424-BC06-C64D5C6CFA05}"/>
    <cellStyle name="40% - Accent2 30 7 2 2 2" xfId="11368" xr:uid="{9EF06155-11D7-443C-813F-B2D553C0BCD5}"/>
    <cellStyle name="40% - Accent2 30 7 2 2 2 2" xfId="11369" xr:uid="{A7BE7B04-F4FC-4C46-A963-F20AD170F08F}"/>
    <cellStyle name="40% - Accent2 30 7 2 2 3" xfId="11370" xr:uid="{AB654D37-2F20-4610-83D9-9BF115AFF2B7}"/>
    <cellStyle name="40% - Accent2 30 7 2 3" xfId="11371" xr:uid="{3B80A2D0-2949-46C9-936E-39C383622647}"/>
    <cellStyle name="40% - Accent2 30 7 2 3 2" xfId="11372" xr:uid="{FFD66423-14DB-4A6B-8050-FEF1B38E1FD5}"/>
    <cellStyle name="40% - Accent2 30 7 2 3 2 2" xfId="11373" xr:uid="{D2E417DC-2D6E-444B-98FE-D233F188F884}"/>
    <cellStyle name="40% - Accent2 30 7 2 3 3" xfId="11374" xr:uid="{FBBEAAAB-A9E7-4D13-9160-2F2F0A4A37A2}"/>
    <cellStyle name="40% - Accent2 30 7 2 4" xfId="11375" xr:uid="{5609F82D-0957-41D9-9354-68BF0FE6EA4C}"/>
    <cellStyle name="40% - Accent2 30 7 2 4 2" xfId="11376" xr:uid="{3BBD3D9A-9743-4CB7-92CF-B705DF0F02C5}"/>
    <cellStyle name="40% - Accent2 30 7 2 5" xfId="11377" xr:uid="{66DB88F9-3530-4BFC-A3E8-65C8BBDC9080}"/>
    <cellStyle name="40% - Accent2 30 7 3" xfId="11378" xr:uid="{FA4710CA-5F78-433F-83DC-8017F211DFC2}"/>
    <cellStyle name="40% - Accent2 30 7 3 2" xfId="11379" xr:uid="{2148AF6C-FFDC-46DE-BC79-E035F477C8EB}"/>
    <cellStyle name="40% - Accent2 30 7 3 2 2" xfId="11380" xr:uid="{3EB190DE-157D-4F00-AF29-AFFDA2F52D5A}"/>
    <cellStyle name="40% - Accent2 30 7 3 3" xfId="11381" xr:uid="{E86AE8BC-2E4F-4C8C-BA96-466B16C46D25}"/>
    <cellStyle name="40% - Accent2 30 7 4" xfId="11382" xr:uid="{20C5E8AD-02E5-4CBE-8779-5462BFA6A36E}"/>
    <cellStyle name="40% - Accent2 30 7 4 2" xfId="11383" xr:uid="{A7CFE536-3B40-405B-A867-A8C8C09E4F32}"/>
    <cellStyle name="40% - Accent2 30 7 4 2 2" xfId="11384" xr:uid="{58C846A7-D832-45FD-995A-930AF3AD9B02}"/>
    <cellStyle name="40% - Accent2 30 7 4 3" xfId="11385" xr:uid="{9BBD1312-C159-4A98-ADD7-621F00E2E376}"/>
    <cellStyle name="40% - Accent2 30 7 5" xfId="11386" xr:uid="{6B8286F0-7F68-4E76-BBED-706DDC970410}"/>
    <cellStyle name="40% - Accent2 30 7 5 2" xfId="11387" xr:uid="{1B7065ED-2FCF-4F06-B396-4F81617CBD16}"/>
    <cellStyle name="40% - Accent2 30 7 6" xfId="11388" xr:uid="{7D05FEA6-0DFF-403F-996D-08C50D523F3D}"/>
    <cellStyle name="40% - Accent2 30 8" xfId="11389" xr:uid="{202DB3CC-33DD-4B68-9399-CD390278DE62}"/>
    <cellStyle name="40% - Accent2 30 8 2" xfId="11390" xr:uid="{012B553C-10AA-4251-A6BB-5FEEC6D7684E}"/>
    <cellStyle name="40% - Accent2 30 8 2 2" xfId="11391" xr:uid="{5693D36B-8358-400C-BA0A-BE108B1E0E1B}"/>
    <cellStyle name="40% - Accent2 30 8 2 2 2" xfId="11392" xr:uid="{73D6D646-3E79-44EA-8D76-1191582E0651}"/>
    <cellStyle name="40% - Accent2 30 8 2 2 2 2" xfId="11393" xr:uid="{E63A4F53-64B7-4270-92CA-E5A99647C67A}"/>
    <cellStyle name="40% - Accent2 30 8 2 2 3" xfId="11394" xr:uid="{171A80CA-55A8-430C-893A-055E57DC3395}"/>
    <cellStyle name="40% - Accent2 30 8 2 3" xfId="11395" xr:uid="{4753B563-21D2-4881-8C00-243D546D32D7}"/>
    <cellStyle name="40% - Accent2 30 8 2 3 2" xfId="11396" xr:uid="{905B2D24-F9CD-4522-B2BC-C0A619B63397}"/>
    <cellStyle name="40% - Accent2 30 8 2 3 2 2" xfId="11397" xr:uid="{3FF64AD9-7C7B-43F4-9838-8C9B48076F35}"/>
    <cellStyle name="40% - Accent2 30 8 2 3 3" xfId="11398" xr:uid="{5978C235-8F81-4938-9D3D-58F5D63D5421}"/>
    <cellStyle name="40% - Accent2 30 8 2 4" xfId="11399" xr:uid="{3CD54B78-D0B9-40F4-9A24-BA05AB407ED6}"/>
    <cellStyle name="40% - Accent2 30 8 2 4 2" xfId="11400" xr:uid="{F4DFD024-A35C-417A-9AE9-418DC08E7FAF}"/>
    <cellStyle name="40% - Accent2 30 8 2 5" xfId="11401" xr:uid="{F5AA6599-E620-4AC3-BDE6-F6B2F33C492F}"/>
    <cellStyle name="40% - Accent2 30 8 3" xfId="11402" xr:uid="{25C746EA-B2B3-42F9-BB34-66CBA32541BF}"/>
    <cellStyle name="40% - Accent2 30 8 3 2" xfId="11403" xr:uid="{AD9C7DAD-8F8B-4B82-B52B-44A4196DE5B8}"/>
    <cellStyle name="40% - Accent2 30 8 3 2 2" xfId="11404" xr:uid="{C63034AF-C962-4914-B2A7-79C5EA9F4EC5}"/>
    <cellStyle name="40% - Accent2 30 8 3 3" xfId="11405" xr:uid="{2E7FB57B-C4AF-4F07-A1D6-69A20B06E351}"/>
    <cellStyle name="40% - Accent2 30 8 4" xfId="11406" xr:uid="{AA131E55-2F29-4C77-800E-906CA554A440}"/>
    <cellStyle name="40% - Accent2 30 8 4 2" xfId="11407" xr:uid="{538BE951-AD8E-4698-8481-18B412CDB5C0}"/>
    <cellStyle name="40% - Accent2 30 8 4 2 2" xfId="11408" xr:uid="{C4BFDA6D-2F6E-4D26-BD31-A62C52E2870D}"/>
    <cellStyle name="40% - Accent2 30 8 4 3" xfId="11409" xr:uid="{3BF5FE63-552F-4CCB-8F9B-D06B577E0775}"/>
    <cellStyle name="40% - Accent2 30 8 5" xfId="11410" xr:uid="{343C08B7-8F21-4DDC-A2AB-0B6D31D11A40}"/>
    <cellStyle name="40% - Accent2 30 8 5 2" xfId="11411" xr:uid="{ED1797D1-A75D-43AF-B464-537D5EAD79BF}"/>
    <cellStyle name="40% - Accent2 30 8 6" xfId="11412" xr:uid="{927DE79C-9FBA-4C78-A40D-F5B8F6012F64}"/>
    <cellStyle name="40% - Accent2 30 9" xfId="11413" xr:uid="{AAF8F16B-6646-4974-8F10-E714EBA41D64}"/>
    <cellStyle name="40% - Accent2 30 9 2" xfId="11414" xr:uid="{8D017D58-1237-449E-9EC2-C52DF61940A8}"/>
    <cellStyle name="40% - Accent2 30 9 2 2" xfId="11415" xr:uid="{AD444069-9F20-41BD-8EF9-11D25AFA9C9D}"/>
    <cellStyle name="40% - Accent2 30 9 2 2 2" xfId="11416" xr:uid="{142D4DC0-47F7-4BF4-ACAA-2234AC7413DE}"/>
    <cellStyle name="40% - Accent2 30 9 2 2 2 2" xfId="11417" xr:uid="{2278C91D-2709-470A-853E-FC394A467AEC}"/>
    <cellStyle name="40% - Accent2 30 9 2 2 3" xfId="11418" xr:uid="{2B6415D1-0E35-4FE0-9DC1-FDF66ED34BC9}"/>
    <cellStyle name="40% - Accent2 30 9 2 3" xfId="11419" xr:uid="{B1C63CAC-54A1-48F3-9437-6E0DF538FC8D}"/>
    <cellStyle name="40% - Accent2 30 9 2 3 2" xfId="11420" xr:uid="{68278242-CC0F-4C2E-A0DB-B92401C16DF4}"/>
    <cellStyle name="40% - Accent2 30 9 2 3 2 2" xfId="11421" xr:uid="{C7B78679-20CA-405A-AE3F-AE4DE9A998D8}"/>
    <cellStyle name="40% - Accent2 30 9 2 3 3" xfId="11422" xr:uid="{58ACAE29-FB40-4C78-B623-7EB431A0246E}"/>
    <cellStyle name="40% - Accent2 30 9 2 4" xfId="11423" xr:uid="{7E4314BB-E701-41BE-9787-2D4D9F768B8B}"/>
    <cellStyle name="40% - Accent2 30 9 2 4 2" xfId="11424" xr:uid="{6314B9DE-7FB4-44F1-8FEA-E7F731E1A3E2}"/>
    <cellStyle name="40% - Accent2 30 9 2 5" xfId="11425" xr:uid="{6134D7C5-29C4-40BB-BCBF-8681D88236B8}"/>
    <cellStyle name="40% - Accent2 30 9 3" xfId="11426" xr:uid="{4E773379-A945-4BE0-A1F8-BC4C1880816D}"/>
    <cellStyle name="40% - Accent2 30 9 3 2" xfId="11427" xr:uid="{DC9B0B32-9D26-4AFF-9937-84559B30A215}"/>
    <cellStyle name="40% - Accent2 30 9 3 2 2" xfId="11428" xr:uid="{700F50A4-4DC0-4D80-BA1C-C7F3F19613B1}"/>
    <cellStyle name="40% - Accent2 30 9 3 3" xfId="11429" xr:uid="{FE2DC90F-08ED-4C38-874F-068EA7A7024F}"/>
    <cellStyle name="40% - Accent2 30 9 4" xfId="11430" xr:uid="{DAD6B2B3-77FB-4705-9B14-4ECE625D7887}"/>
    <cellStyle name="40% - Accent2 30 9 4 2" xfId="11431" xr:uid="{9B2448CC-A7DE-4E42-A139-20CA7F09D4BB}"/>
    <cellStyle name="40% - Accent2 30 9 4 2 2" xfId="11432" xr:uid="{94E3C315-8AC8-451D-87C5-11945E4BF5ED}"/>
    <cellStyle name="40% - Accent2 30 9 4 3" xfId="11433" xr:uid="{E7CC6666-EBAB-4D93-A36D-D536014BFA22}"/>
    <cellStyle name="40% - Accent2 30 9 5" xfId="11434" xr:uid="{F79FBB9A-7424-4129-823B-03A8C4AD755B}"/>
    <cellStyle name="40% - Accent2 30 9 5 2" xfId="11435" xr:uid="{8652A032-C814-4492-9113-FC591118A451}"/>
    <cellStyle name="40% - Accent2 30 9 6" xfId="11436" xr:uid="{3EB43447-5AE8-4474-B7FA-76A7B386B948}"/>
    <cellStyle name="40% - Accent2 31" xfId="11437" xr:uid="{69550FBC-7EB6-4EF7-92EA-A7AF8176E23F}"/>
    <cellStyle name="40% - Accent2 31 10" xfId="11438" xr:uid="{D02380DD-8B46-4FC8-BB51-73A5CCD9E1E2}"/>
    <cellStyle name="40% - Accent2 31 10 2" xfId="11439" xr:uid="{379A47D7-0B98-42C9-BA35-A9EEE8A99E63}"/>
    <cellStyle name="40% - Accent2 31 10 2 2" xfId="11440" xr:uid="{E16BD203-5A6B-40B4-8FA5-D54161016D2F}"/>
    <cellStyle name="40% - Accent2 31 10 2 2 2" xfId="11441" xr:uid="{A34498FF-7046-4E82-B4FC-345E76681942}"/>
    <cellStyle name="40% - Accent2 31 10 2 2 2 2" xfId="11442" xr:uid="{B3713721-14DA-414F-AFCC-3A4A05C6E89E}"/>
    <cellStyle name="40% - Accent2 31 10 2 2 3" xfId="11443" xr:uid="{9E5751D4-4020-4300-8818-9BFA93359AE8}"/>
    <cellStyle name="40% - Accent2 31 10 2 3" xfId="11444" xr:uid="{D254593B-05BD-466C-A9E5-C47660B93E61}"/>
    <cellStyle name="40% - Accent2 31 10 2 3 2" xfId="11445" xr:uid="{787B9BAE-2897-4492-A14C-08F17F51DBA7}"/>
    <cellStyle name="40% - Accent2 31 10 2 3 2 2" xfId="11446" xr:uid="{131994BE-4884-4D6C-A8CA-3ED849A659C8}"/>
    <cellStyle name="40% - Accent2 31 10 2 3 3" xfId="11447" xr:uid="{ECF28EBD-E7A8-4570-BDAA-C749B45C2346}"/>
    <cellStyle name="40% - Accent2 31 10 2 4" xfId="11448" xr:uid="{D322BC33-8472-4F71-8267-B3B3B4F5DBC4}"/>
    <cellStyle name="40% - Accent2 31 10 2 4 2" xfId="11449" xr:uid="{9CB3F68B-D008-4B05-9F17-95CA5452AB14}"/>
    <cellStyle name="40% - Accent2 31 10 2 5" xfId="11450" xr:uid="{D1FF3F7A-96FF-495A-A9FF-C980E7D97B24}"/>
    <cellStyle name="40% - Accent2 31 10 3" xfId="11451" xr:uid="{12F31F21-00A7-4EF5-B603-2CB817D096A7}"/>
    <cellStyle name="40% - Accent2 31 10 3 2" xfId="11452" xr:uid="{30312668-A3BB-4675-96AD-F18F539198B5}"/>
    <cellStyle name="40% - Accent2 31 10 3 2 2" xfId="11453" xr:uid="{9147E7D5-7DB4-4A0F-A04F-A89838E0D5FB}"/>
    <cellStyle name="40% - Accent2 31 10 3 3" xfId="11454" xr:uid="{9067CE67-5303-4E27-8A83-18074E9563A6}"/>
    <cellStyle name="40% - Accent2 31 10 4" xfId="11455" xr:uid="{6B7F20CF-E84B-4717-9651-4A43C06CBDC3}"/>
    <cellStyle name="40% - Accent2 31 10 4 2" xfId="11456" xr:uid="{A6F35C01-CB3A-426B-9EE8-C2F5C8AEAA01}"/>
    <cellStyle name="40% - Accent2 31 10 4 2 2" xfId="11457" xr:uid="{EE1741EF-E682-4C74-8899-A93BFE9004F0}"/>
    <cellStyle name="40% - Accent2 31 10 4 3" xfId="11458" xr:uid="{4D2A42BE-7863-4032-A09D-C6EB2BE42465}"/>
    <cellStyle name="40% - Accent2 31 10 5" xfId="11459" xr:uid="{630BC317-4628-460F-859D-A3D15630E13A}"/>
    <cellStyle name="40% - Accent2 31 10 5 2" xfId="11460" xr:uid="{A0A4E39B-4AD8-4A2C-BAB9-BC5AABD9C113}"/>
    <cellStyle name="40% - Accent2 31 10 6" xfId="11461" xr:uid="{601DF1B9-0979-4C1F-BDF8-64CC5B0139AF}"/>
    <cellStyle name="40% - Accent2 31 11" xfId="11462" xr:uid="{762BD736-BBFB-4C18-BAAA-FC6470E792BB}"/>
    <cellStyle name="40% - Accent2 31 11 2" xfId="11463" xr:uid="{72FCD6C7-2CEB-4E77-8A4D-DE31F839A1E8}"/>
    <cellStyle name="40% - Accent2 31 11 2 2" xfId="11464" xr:uid="{767245FE-F6CD-4B4B-97BE-FB6395AA71F1}"/>
    <cellStyle name="40% - Accent2 31 11 2 2 2" xfId="11465" xr:uid="{448299AB-C91B-414A-BF11-1154810C0313}"/>
    <cellStyle name="40% - Accent2 31 11 2 3" xfId="11466" xr:uid="{F7832368-9985-416D-A00C-50243BE96EAA}"/>
    <cellStyle name="40% - Accent2 31 11 3" xfId="11467" xr:uid="{A2FB990D-67B2-48FA-BD61-0A0DC4E34663}"/>
    <cellStyle name="40% - Accent2 31 11 3 2" xfId="11468" xr:uid="{D7B83F7C-2A37-4C44-B16C-368D033D0E5D}"/>
    <cellStyle name="40% - Accent2 31 11 3 2 2" xfId="11469" xr:uid="{99604BB8-9B19-4CC3-BEA1-1BC149D16F69}"/>
    <cellStyle name="40% - Accent2 31 11 3 3" xfId="11470" xr:uid="{76C2E466-1885-4F36-85A1-37B5A554F736}"/>
    <cellStyle name="40% - Accent2 31 11 4" xfId="11471" xr:uid="{B601E874-C4AD-4B05-B1FB-E32D9AE24D5A}"/>
    <cellStyle name="40% - Accent2 31 11 4 2" xfId="11472" xr:uid="{015F32D0-FBD0-4489-89D7-DF856676A579}"/>
    <cellStyle name="40% - Accent2 31 11 5" xfId="11473" xr:uid="{83FFD628-E0F7-4022-8AE9-DCC03E52956A}"/>
    <cellStyle name="40% - Accent2 31 12" xfId="11474" xr:uid="{5F49CB3A-7206-4694-A48E-10D9B1D450B1}"/>
    <cellStyle name="40% - Accent2 31 12 2" xfId="11475" xr:uid="{CB5029A4-9731-4C42-BCB4-196DFC152079}"/>
    <cellStyle name="40% - Accent2 31 12 2 2" xfId="11476" xr:uid="{F77FF9F9-C168-41E8-A7D9-749DEA98986A}"/>
    <cellStyle name="40% - Accent2 31 12 3" xfId="11477" xr:uid="{13FB8EE4-E5D6-4453-BC16-F638381769B9}"/>
    <cellStyle name="40% - Accent2 31 13" xfId="11478" xr:uid="{6096992B-F030-4522-B2E9-F5546217FF21}"/>
    <cellStyle name="40% - Accent2 31 13 2" xfId="11479" xr:uid="{2B028BDC-61E0-4AC3-A859-F703F589F9CF}"/>
    <cellStyle name="40% - Accent2 31 13 2 2" xfId="11480" xr:uid="{0D223ED7-7017-4770-922C-381E277A6C14}"/>
    <cellStyle name="40% - Accent2 31 13 3" xfId="11481" xr:uid="{056B1D2D-171F-4119-8BA6-658F2068886C}"/>
    <cellStyle name="40% - Accent2 31 14" xfId="11482" xr:uid="{E1EEE3A4-49D5-41F9-983E-5EE8D3826B13}"/>
    <cellStyle name="40% - Accent2 31 14 2" xfId="11483" xr:uid="{666CAD16-A752-4EA7-B546-586DACA6C302}"/>
    <cellStyle name="40% - Accent2 31 15" xfId="11484" xr:uid="{730C4101-28CC-42EA-8CB3-B5318DBEA21B}"/>
    <cellStyle name="40% - Accent2 31 16" xfId="36955" xr:uid="{5302FE27-A458-41F4-8F1A-8EF2AF25B0BD}"/>
    <cellStyle name="40% - Accent2 31 2" xfId="11485" xr:uid="{294E62BF-782B-417C-AD4D-1E196EEAB885}"/>
    <cellStyle name="40% - Accent2 31 2 2" xfId="11486" xr:uid="{62A66B45-8FD4-4F32-80FC-4B87A1C4A926}"/>
    <cellStyle name="40% - Accent2 31 2 2 2" xfId="11487" xr:uid="{F7B1CD64-E698-4D25-BEAE-41E4B10FA869}"/>
    <cellStyle name="40% - Accent2 31 2 2 2 2" xfId="11488" xr:uid="{56885057-5062-4EA2-AFA3-ABF5CFBF98A3}"/>
    <cellStyle name="40% - Accent2 31 2 2 2 2 2" xfId="11489" xr:uid="{85B9A68F-B3CA-42FB-A9FB-8DF7485ECA3C}"/>
    <cellStyle name="40% - Accent2 31 2 2 2 3" xfId="11490" xr:uid="{17D460AC-D4E0-4542-A032-61E464C6CDA3}"/>
    <cellStyle name="40% - Accent2 31 2 2 3" xfId="11491" xr:uid="{A620A20C-5E7E-4E14-8CF4-00EBC1AA4553}"/>
    <cellStyle name="40% - Accent2 31 2 2 3 2" xfId="11492" xr:uid="{B2DD6531-9E9C-4A72-B43A-3340CD575B9E}"/>
    <cellStyle name="40% - Accent2 31 2 2 3 2 2" xfId="11493" xr:uid="{AE3BB054-532B-4468-828A-450D31694FEB}"/>
    <cellStyle name="40% - Accent2 31 2 2 3 3" xfId="11494" xr:uid="{944BC470-4DAB-4DA7-8EEA-BA3F69A6C6FB}"/>
    <cellStyle name="40% - Accent2 31 2 2 4" xfId="11495" xr:uid="{9FEEC50A-9FEC-4CA1-9898-D2D377642BBF}"/>
    <cellStyle name="40% - Accent2 31 2 2 4 2" xfId="11496" xr:uid="{40270F84-3178-4971-A937-B507772FDE36}"/>
    <cellStyle name="40% - Accent2 31 2 2 5" xfId="11497" xr:uid="{1320EB47-B399-4441-9B4F-BA990D914A51}"/>
    <cellStyle name="40% - Accent2 31 2 3" xfId="11498" xr:uid="{75DADD0E-94C2-41FB-92F9-519827BCDE68}"/>
    <cellStyle name="40% - Accent2 31 2 3 2" xfId="11499" xr:uid="{4C6C991F-761A-4F4A-A5DF-5DDB4CD7D749}"/>
    <cellStyle name="40% - Accent2 31 2 3 2 2" xfId="11500" xr:uid="{E1075B90-F90A-4A29-88B7-66A740C5F7B8}"/>
    <cellStyle name="40% - Accent2 31 2 3 3" xfId="11501" xr:uid="{B2F42D36-3826-4A39-86CC-3320A29E7A84}"/>
    <cellStyle name="40% - Accent2 31 2 4" xfId="11502" xr:uid="{8846A73C-FF1F-4B41-9BF9-F0622038C7AB}"/>
    <cellStyle name="40% - Accent2 31 2 4 2" xfId="11503" xr:uid="{29AA8B80-B5BC-4F76-A2D2-2B905D8D02F8}"/>
    <cellStyle name="40% - Accent2 31 2 4 2 2" xfId="11504" xr:uid="{B5589DE0-7F98-4DEE-8274-33DF9F77EFCC}"/>
    <cellStyle name="40% - Accent2 31 2 4 3" xfId="11505" xr:uid="{3B5AE97D-E2FD-47B9-8409-6A5D4A65B19C}"/>
    <cellStyle name="40% - Accent2 31 2 5" xfId="11506" xr:uid="{51D12954-445E-4BCA-8D15-884D714D1994}"/>
    <cellStyle name="40% - Accent2 31 2 5 2" xfId="11507" xr:uid="{E978EBD2-F417-4186-8B9C-5586A1A444C8}"/>
    <cellStyle name="40% - Accent2 31 2 6" xfId="11508" xr:uid="{CF0EBD00-D2D7-4901-975A-5004E8196CA9}"/>
    <cellStyle name="40% - Accent2 31 3" xfId="11509" xr:uid="{5AE1C834-DAFF-44B2-ADC8-97EA53981C63}"/>
    <cellStyle name="40% - Accent2 31 3 2" xfId="11510" xr:uid="{66B70A5D-610A-4E61-A09E-131E4DC38EAB}"/>
    <cellStyle name="40% - Accent2 31 3 2 2" xfId="11511" xr:uid="{48A0FEF4-3A76-471B-9692-78E024CCEF9C}"/>
    <cellStyle name="40% - Accent2 31 3 2 2 2" xfId="11512" xr:uid="{F99C3772-141F-4A60-A43D-153EA74686F1}"/>
    <cellStyle name="40% - Accent2 31 3 2 2 2 2" xfId="11513" xr:uid="{DF960CAB-23C5-49A6-81CC-242574F09ED8}"/>
    <cellStyle name="40% - Accent2 31 3 2 2 3" xfId="11514" xr:uid="{1B92E10A-3CB0-438F-9A03-C85B64533ACE}"/>
    <cellStyle name="40% - Accent2 31 3 2 3" xfId="11515" xr:uid="{D4365A93-4130-4E5B-A044-E3AA02EBDDAD}"/>
    <cellStyle name="40% - Accent2 31 3 2 3 2" xfId="11516" xr:uid="{36A8FB67-3518-4113-B01D-7937DDEF83CA}"/>
    <cellStyle name="40% - Accent2 31 3 2 3 2 2" xfId="11517" xr:uid="{17EBB78B-BDF0-422B-A4D7-7DDC6B264BE7}"/>
    <cellStyle name="40% - Accent2 31 3 2 3 3" xfId="11518" xr:uid="{04892583-CC30-4D29-9782-695A9B31433B}"/>
    <cellStyle name="40% - Accent2 31 3 2 4" xfId="11519" xr:uid="{0F6ED9E9-968D-4603-ADA8-A4AB1E5CB896}"/>
    <cellStyle name="40% - Accent2 31 3 2 4 2" xfId="11520" xr:uid="{422111C4-F7E8-4A19-8DF7-A1B09FB0C254}"/>
    <cellStyle name="40% - Accent2 31 3 2 5" xfId="11521" xr:uid="{1172CD4A-2269-43D6-B113-2B9E26467A41}"/>
    <cellStyle name="40% - Accent2 31 3 3" xfId="11522" xr:uid="{12126A62-E259-4258-9744-5F6A897E6ACA}"/>
    <cellStyle name="40% - Accent2 31 3 3 2" xfId="11523" xr:uid="{393553FF-B900-4B8C-88C5-579378E3EE61}"/>
    <cellStyle name="40% - Accent2 31 3 3 2 2" xfId="11524" xr:uid="{A634C774-F38D-408A-A5C2-807F2DFC35A1}"/>
    <cellStyle name="40% - Accent2 31 3 3 3" xfId="11525" xr:uid="{4B1509EE-56C4-4C89-82DB-3D2D1C3B216B}"/>
    <cellStyle name="40% - Accent2 31 3 4" xfId="11526" xr:uid="{E6BBB9FE-2E53-46B6-9F86-C5923CA5756A}"/>
    <cellStyle name="40% - Accent2 31 3 4 2" xfId="11527" xr:uid="{380C52D0-6D52-404F-9B4E-643FA1987DF0}"/>
    <cellStyle name="40% - Accent2 31 3 4 2 2" xfId="11528" xr:uid="{5E770F65-5A5B-42B3-A647-A8F551B5B8E8}"/>
    <cellStyle name="40% - Accent2 31 3 4 3" xfId="11529" xr:uid="{EEB0DB36-4006-4613-AAE9-56825E29B5F0}"/>
    <cellStyle name="40% - Accent2 31 3 5" xfId="11530" xr:uid="{8ED81BD0-40E3-4848-91A1-B5AB38F6B582}"/>
    <cellStyle name="40% - Accent2 31 3 5 2" xfId="11531" xr:uid="{4DBBBB57-0DDF-4805-AC03-BED36FB8C4A9}"/>
    <cellStyle name="40% - Accent2 31 3 6" xfId="11532" xr:uid="{59C62AFF-85A6-4170-B8AB-EDDD9A59C6BD}"/>
    <cellStyle name="40% - Accent2 31 4" xfId="11533" xr:uid="{1C785A1A-B2AE-4F1F-A0D4-D79AEE35672B}"/>
    <cellStyle name="40% - Accent2 31 4 2" xfId="11534" xr:uid="{7184FE2B-7B3F-4ED6-8ADE-4FECDD5DBBC7}"/>
    <cellStyle name="40% - Accent2 31 4 2 2" xfId="11535" xr:uid="{54925E05-502C-49A9-8EF9-45459C915006}"/>
    <cellStyle name="40% - Accent2 31 4 2 2 2" xfId="11536" xr:uid="{13F29BA5-FFB7-4C5C-B0B0-36E1753A2933}"/>
    <cellStyle name="40% - Accent2 31 4 2 2 2 2" xfId="11537" xr:uid="{902ECFDA-A9B1-49C5-84EC-1E4D1E7E4607}"/>
    <cellStyle name="40% - Accent2 31 4 2 2 3" xfId="11538" xr:uid="{F5C8A0AF-11E3-4253-9749-9129F53509CF}"/>
    <cellStyle name="40% - Accent2 31 4 2 3" xfId="11539" xr:uid="{F1C40D3B-339F-4DE2-A05E-41F8453AAEB3}"/>
    <cellStyle name="40% - Accent2 31 4 2 3 2" xfId="11540" xr:uid="{C884850C-FED3-466A-A7A5-49FC005FEE43}"/>
    <cellStyle name="40% - Accent2 31 4 2 3 2 2" xfId="11541" xr:uid="{171AE076-84C6-4C2B-80B4-7C8C383885C3}"/>
    <cellStyle name="40% - Accent2 31 4 2 3 3" xfId="11542" xr:uid="{632C5586-0FF1-4D79-811D-350E8C0B714D}"/>
    <cellStyle name="40% - Accent2 31 4 2 4" xfId="11543" xr:uid="{6AB64E80-BB0E-4588-8193-A62BB85173F7}"/>
    <cellStyle name="40% - Accent2 31 4 2 4 2" xfId="11544" xr:uid="{F014CBA9-23AF-411D-A303-33826A142263}"/>
    <cellStyle name="40% - Accent2 31 4 2 5" xfId="11545" xr:uid="{95641ADC-19FA-4D9C-8640-12EC58B77611}"/>
    <cellStyle name="40% - Accent2 31 4 3" xfId="11546" xr:uid="{DE2BE26A-FD08-4B6C-95EB-FBA023BFCDC4}"/>
    <cellStyle name="40% - Accent2 31 4 3 2" xfId="11547" xr:uid="{AF6C159A-DA96-44CB-A0E0-5E86791C0FDB}"/>
    <cellStyle name="40% - Accent2 31 4 3 2 2" xfId="11548" xr:uid="{48A2D54E-9279-409F-A38E-09875BA2A8CF}"/>
    <cellStyle name="40% - Accent2 31 4 3 3" xfId="11549" xr:uid="{212067E6-90B8-4570-9FAA-A58B8FE7B9B0}"/>
    <cellStyle name="40% - Accent2 31 4 4" xfId="11550" xr:uid="{A673B667-F5CE-4E85-BEA8-0E2DB184FA46}"/>
    <cellStyle name="40% - Accent2 31 4 4 2" xfId="11551" xr:uid="{E6E0E550-7AE8-4918-BA5C-69F80B28FB4B}"/>
    <cellStyle name="40% - Accent2 31 4 4 2 2" xfId="11552" xr:uid="{A41F6DDD-DFA7-462D-B81A-4C5374E8F069}"/>
    <cellStyle name="40% - Accent2 31 4 4 3" xfId="11553" xr:uid="{A02960FD-187E-4787-8B01-7CC643053ACD}"/>
    <cellStyle name="40% - Accent2 31 4 5" xfId="11554" xr:uid="{126C6A76-2A12-4E20-BB5C-12CF6929B632}"/>
    <cellStyle name="40% - Accent2 31 4 5 2" xfId="11555" xr:uid="{C88748D5-7493-4B1D-9902-923BE9E24CA8}"/>
    <cellStyle name="40% - Accent2 31 4 6" xfId="11556" xr:uid="{8512D809-153D-440D-99A8-79B871C2B959}"/>
    <cellStyle name="40% - Accent2 31 5" xfId="11557" xr:uid="{7329357B-BD3B-474A-8795-10F74F396244}"/>
    <cellStyle name="40% - Accent2 31 5 2" xfId="11558" xr:uid="{ECE8D864-542E-47D4-8323-613CB0677793}"/>
    <cellStyle name="40% - Accent2 31 5 2 2" xfId="11559" xr:uid="{4BA2E41A-707B-41C0-A0C7-4EB1D22A1165}"/>
    <cellStyle name="40% - Accent2 31 5 2 2 2" xfId="11560" xr:uid="{F667D9B5-A8B9-4189-A53B-5B002B365803}"/>
    <cellStyle name="40% - Accent2 31 5 2 2 2 2" xfId="11561" xr:uid="{247F4A6A-D9BA-46D7-B69F-CCDCE8CA2693}"/>
    <cellStyle name="40% - Accent2 31 5 2 2 3" xfId="11562" xr:uid="{D459811C-5E1E-4971-943C-D1DCC57CEF0A}"/>
    <cellStyle name="40% - Accent2 31 5 2 3" xfId="11563" xr:uid="{5B83D919-9B16-4AC8-ACC4-E60F154DD3DD}"/>
    <cellStyle name="40% - Accent2 31 5 2 3 2" xfId="11564" xr:uid="{E03D03FA-5708-4721-98A7-855379180D96}"/>
    <cellStyle name="40% - Accent2 31 5 2 3 2 2" xfId="11565" xr:uid="{F7ADCB42-BAD2-495A-84AD-A575467FD86B}"/>
    <cellStyle name="40% - Accent2 31 5 2 3 3" xfId="11566" xr:uid="{1D42D209-B0B0-4F75-BAD7-9949CC37F0BD}"/>
    <cellStyle name="40% - Accent2 31 5 2 4" xfId="11567" xr:uid="{F00226EC-008D-490B-9DEB-FA4A4BCA8859}"/>
    <cellStyle name="40% - Accent2 31 5 2 4 2" xfId="11568" xr:uid="{0732DFDC-2C8A-4A50-971C-4B812D22E6A0}"/>
    <cellStyle name="40% - Accent2 31 5 2 5" xfId="11569" xr:uid="{A5DC30AA-BC13-4063-AE4F-95F8CD866487}"/>
    <cellStyle name="40% - Accent2 31 5 3" xfId="11570" xr:uid="{11059D42-FE97-4DF1-86F3-C89BABDFD839}"/>
    <cellStyle name="40% - Accent2 31 5 3 2" xfId="11571" xr:uid="{869BF695-3871-44CA-BE49-8F76E73E6CE3}"/>
    <cellStyle name="40% - Accent2 31 5 3 2 2" xfId="11572" xr:uid="{083150B0-951D-4D8A-87B6-C45FBBF2321B}"/>
    <cellStyle name="40% - Accent2 31 5 3 3" xfId="11573" xr:uid="{2C1CD078-FF62-4001-93D1-9F7F8EA23046}"/>
    <cellStyle name="40% - Accent2 31 5 4" xfId="11574" xr:uid="{E9FF9CDC-1034-47A2-9C86-95585866F533}"/>
    <cellStyle name="40% - Accent2 31 5 4 2" xfId="11575" xr:uid="{4DEBF090-0560-4F07-A00C-4C4B75B2E64E}"/>
    <cellStyle name="40% - Accent2 31 5 4 2 2" xfId="11576" xr:uid="{0B94BA00-A437-4D0E-90C4-E93AD684FAEE}"/>
    <cellStyle name="40% - Accent2 31 5 4 3" xfId="11577" xr:uid="{0F02AAFF-23C0-4CCC-A055-EF7095E98943}"/>
    <cellStyle name="40% - Accent2 31 5 5" xfId="11578" xr:uid="{028EBC60-8983-47F4-89A8-615E7FA7FEFE}"/>
    <cellStyle name="40% - Accent2 31 5 5 2" xfId="11579" xr:uid="{4C6FAC3F-A6F3-40A9-BAF1-992AE7CAC8B6}"/>
    <cellStyle name="40% - Accent2 31 5 6" xfId="11580" xr:uid="{12483A84-4DCF-4CCC-B57A-1D4E620AB484}"/>
    <cellStyle name="40% - Accent2 31 6" xfId="11581" xr:uid="{9A33844D-FC53-4FD2-93FF-F2E402949EAF}"/>
    <cellStyle name="40% - Accent2 31 6 2" xfId="11582" xr:uid="{1DCE621B-2E7A-4015-9663-97F703204DB3}"/>
    <cellStyle name="40% - Accent2 31 6 2 2" xfId="11583" xr:uid="{2685D88F-3B3B-4D55-8C29-4E94ECC54FD0}"/>
    <cellStyle name="40% - Accent2 31 6 2 2 2" xfId="11584" xr:uid="{04E2B7D9-048B-4072-86E0-28C1FF8D639A}"/>
    <cellStyle name="40% - Accent2 31 6 2 2 2 2" xfId="11585" xr:uid="{69C7A73F-D505-47BB-AF40-0FEB0322CF07}"/>
    <cellStyle name="40% - Accent2 31 6 2 2 3" xfId="11586" xr:uid="{80DC504A-3DE0-49B8-BE1F-9F4B5AC85204}"/>
    <cellStyle name="40% - Accent2 31 6 2 3" xfId="11587" xr:uid="{FF01B32B-2EE1-434D-8190-1B2CA7738A90}"/>
    <cellStyle name="40% - Accent2 31 6 2 3 2" xfId="11588" xr:uid="{51D506E8-FBB2-4D18-938B-7040FB08668B}"/>
    <cellStyle name="40% - Accent2 31 6 2 3 2 2" xfId="11589" xr:uid="{876348A3-FF58-4FCD-97AB-F5E184A388E5}"/>
    <cellStyle name="40% - Accent2 31 6 2 3 3" xfId="11590" xr:uid="{E14B1B76-3D12-4099-ACF8-8B0D2E2170F2}"/>
    <cellStyle name="40% - Accent2 31 6 2 4" xfId="11591" xr:uid="{3F7C937D-BC1B-46F9-8635-68A5347FC483}"/>
    <cellStyle name="40% - Accent2 31 6 2 4 2" xfId="11592" xr:uid="{98C69C53-291B-486A-A8C0-039EDAF37F74}"/>
    <cellStyle name="40% - Accent2 31 6 2 5" xfId="11593" xr:uid="{1D9874AD-1E07-402C-82A8-1AC5A6203539}"/>
    <cellStyle name="40% - Accent2 31 6 3" xfId="11594" xr:uid="{E38EAC59-6F7F-42C0-A924-031FBA79536A}"/>
    <cellStyle name="40% - Accent2 31 6 3 2" xfId="11595" xr:uid="{101E3FA5-B1D5-4E1C-80F1-C32C3F6BB5E5}"/>
    <cellStyle name="40% - Accent2 31 6 3 2 2" xfId="11596" xr:uid="{9AE2871E-4438-4A48-97DA-C2F35A58A629}"/>
    <cellStyle name="40% - Accent2 31 6 3 3" xfId="11597" xr:uid="{A8F4A518-32BB-4E8D-96B8-1F95769F04E5}"/>
    <cellStyle name="40% - Accent2 31 6 4" xfId="11598" xr:uid="{A4E5843A-9FBD-4272-A1C0-FE53F6D8E9FD}"/>
    <cellStyle name="40% - Accent2 31 6 4 2" xfId="11599" xr:uid="{53332D7C-47AC-4461-90CE-FFD62C1C826E}"/>
    <cellStyle name="40% - Accent2 31 6 4 2 2" xfId="11600" xr:uid="{25EEDE18-50FE-434E-A013-26A0E1C10618}"/>
    <cellStyle name="40% - Accent2 31 6 4 3" xfId="11601" xr:uid="{C6E6C9AC-BACE-4FB9-A7A2-B95AD5BCE8F0}"/>
    <cellStyle name="40% - Accent2 31 6 5" xfId="11602" xr:uid="{AA593C2B-C913-4605-AF28-F450006FCA8A}"/>
    <cellStyle name="40% - Accent2 31 6 5 2" xfId="11603" xr:uid="{ADC155AB-2C94-469F-A226-478BD62C9702}"/>
    <cellStyle name="40% - Accent2 31 6 6" xfId="11604" xr:uid="{F376183A-40E6-4B3C-8808-D39925AF879C}"/>
    <cellStyle name="40% - Accent2 31 7" xfId="11605" xr:uid="{6DE57A77-5363-474A-941E-AC8AEDA3ECEC}"/>
    <cellStyle name="40% - Accent2 31 7 2" xfId="11606" xr:uid="{3F461D75-EECC-4738-AE7D-35E38134AB8A}"/>
    <cellStyle name="40% - Accent2 31 7 2 2" xfId="11607" xr:uid="{C6AA192A-F485-4A4F-88ED-419B7B25F45E}"/>
    <cellStyle name="40% - Accent2 31 7 2 2 2" xfId="11608" xr:uid="{3F382FA6-56EC-4900-BFD9-E73BB2D9DDCC}"/>
    <cellStyle name="40% - Accent2 31 7 2 2 2 2" xfId="11609" xr:uid="{685AA181-835A-43D2-A362-4464C2BE5947}"/>
    <cellStyle name="40% - Accent2 31 7 2 2 3" xfId="11610" xr:uid="{32BFD78F-9305-481B-A96A-ECBC8C589F5D}"/>
    <cellStyle name="40% - Accent2 31 7 2 3" xfId="11611" xr:uid="{0240CEC5-3970-4706-A443-9441C342AA41}"/>
    <cellStyle name="40% - Accent2 31 7 2 3 2" xfId="11612" xr:uid="{E8E1CB32-5BB0-4F1E-9EC4-2AE99F9C3F38}"/>
    <cellStyle name="40% - Accent2 31 7 2 3 2 2" xfId="11613" xr:uid="{E2DB3653-1849-4C78-BF85-7B5B979BD08C}"/>
    <cellStyle name="40% - Accent2 31 7 2 3 3" xfId="11614" xr:uid="{E36A2BEC-936E-415C-9E24-77802FA4BA4B}"/>
    <cellStyle name="40% - Accent2 31 7 2 4" xfId="11615" xr:uid="{78CA97A5-2312-40B9-A274-6284A7BDDE87}"/>
    <cellStyle name="40% - Accent2 31 7 2 4 2" xfId="11616" xr:uid="{23B148EB-12EE-40A2-9C92-873D53D01B79}"/>
    <cellStyle name="40% - Accent2 31 7 2 5" xfId="11617" xr:uid="{3AA7DFE1-33A6-442E-885A-AA45DCE3AF3F}"/>
    <cellStyle name="40% - Accent2 31 7 3" xfId="11618" xr:uid="{A2D65DE6-DE29-4CEB-BD9A-AC79E43B747A}"/>
    <cellStyle name="40% - Accent2 31 7 3 2" xfId="11619" xr:uid="{16AAE14D-8F90-4CFE-A185-3EFF7500B3C3}"/>
    <cellStyle name="40% - Accent2 31 7 3 2 2" xfId="11620" xr:uid="{1FA455B7-C030-4042-A5B4-734BA929F1EC}"/>
    <cellStyle name="40% - Accent2 31 7 3 3" xfId="11621" xr:uid="{EF26188C-D727-44D7-8A5B-F60338838AC2}"/>
    <cellStyle name="40% - Accent2 31 7 4" xfId="11622" xr:uid="{CA66F78F-83D6-4A72-B081-5EBB86F07E1C}"/>
    <cellStyle name="40% - Accent2 31 7 4 2" xfId="11623" xr:uid="{1C9A90EA-41FE-442F-B445-56EB744F50A0}"/>
    <cellStyle name="40% - Accent2 31 7 4 2 2" xfId="11624" xr:uid="{51D6EA1D-182E-43D5-94D3-A313B9E443FF}"/>
    <cellStyle name="40% - Accent2 31 7 4 3" xfId="11625" xr:uid="{295FFEFA-5137-4EB9-94BB-44977100DF0A}"/>
    <cellStyle name="40% - Accent2 31 7 5" xfId="11626" xr:uid="{C84CBFB0-8F8F-4922-93B1-6C3B49411733}"/>
    <cellStyle name="40% - Accent2 31 7 5 2" xfId="11627" xr:uid="{24778D7D-8C07-41EE-B1C5-A35E94B01918}"/>
    <cellStyle name="40% - Accent2 31 7 6" xfId="11628" xr:uid="{82DFC9A7-DC83-4894-9245-F016CB5EB240}"/>
    <cellStyle name="40% - Accent2 31 8" xfId="11629" xr:uid="{B0F77422-9A00-48BE-BBA5-8B17D1D9EA42}"/>
    <cellStyle name="40% - Accent2 31 8 2" xfId="11630" xr:uid="{9BCF7336-3E85-424D-B68E-C029220190FC}"/>
    <cellStyle name="40% - Accent2 31 8 2 2" xfId="11631" xr:uid="{B2AC27B4-5B04-40D4-98A3-25F5248B7F06}"/>
    <cellStyle name="40% - Accent2 31 8 2 2 2" xfId="11632" xr:uid="{84534736-26F0-4AEC-85EB-A5A66CC917FF}"/>
    <cellStyle name="40% - Accent2 31 8 2 2 2 2" xfId="11633" xr:uid="{9C32CA53-4B73-4CF3-B981-C9628548D6D6}"/>
    <cellStyle name="40% - Accent2 31 8 2 2 3" xfId="11634" xr:uid="{DE127C2C-D64F-4DBE-B524-CB9123AAB279}"/>
    <cellStyle name="40% - Accent2 31 8 2 3" xfId="11635" xr:uid="{FC83C55B-E7B8-417C-A162-659C037155D5}"/>
    <cellStyle name="40% - Accent2 31 8 2 3 2" xfId="11636" xr:uid="{9B947511-4271-4905-B6E4-840616A319E3}"/>
    <cellStyle name="40% - Accent2 31 8 2 3 2 2" xfId="11637" xr:uid="{35F9F902-300B-466C-A732-A22E666DF1D6}"/>
    <cellStyle name="40% - Accent2 31 8 2 3 3" xfId="11638" xr:uid="{8C02315A-1639-4F0C-B139-CACCF6ABA963}"/>
    <cellStyle name="40% - Accent2 31 8 2 4" xfId="11639" xr:uid="{CB8D4B5B-487C-4BD7-A7E8-B1EEC9FFB6E7}"/>
    <cellStyle name="40% - Accent2 31 8 2 4 2" xfId="11640" xr:uid="{5762C6AF-1A01-437C-B895-617679BF0146}"/>
    <cellStyle name="40% - Accent2 31 8 2 5" xfId="11641" xr:uid="{B54E2201-0A0A-4A99-84A6-E3202A96ACCC}"/>
    <cellStyle name="40% - Accent2 31 8 3" xfId="11642" xr:uid="{D7B24F50-26BE-4ACF-92CD-E45CCBC9BE88}"/>
    <cellStyle name="40% - Accent2 31 8 3 2" xfId="11643" xr:uid="{D837484C-64E8-41EB-AFDF-AD29FB57F0E2}"/>
    <cellStyle name="40% - Accent2 31 8 3 2 2" xfId="11644" xr:uid="{57AC235F-9E59-48B6-B72F-D8DBCE4E43A8}"/>
    <cellStyle name="40% - Accent2 31 8 3 3" xfId="11645" xr:uid="{FF23EB74-924F-4209-AE1E-0EF7D46DE4E4}"/>
    <cellStyle name="40% - Accent2 31 8 4" xfId="11646" xr:uid="{D71F4C4E-6E9C-48DA-8D06-B840CA448EEE}"/>
    <cellStyle name="40% - Accent2 31 8 4 2" xfId="11647" xr:uid="{1AEE21CC-024D-40A6-8D40-2107A9203876}"/>
    <cellStyle name="40% - Accent2 31 8 4 2 2" xfId="11648" xr:uid="{AE04B521-E375-4D69-A170-AD86867BB6E2}"/>
    <cellStyle name="40% - Accent2 31 8 4 3" xfId="11649" xr:uid="{E8A73923-C9C9-43A2-95A9-F1B201E187B0}"/>
    <cellStyle name="40% - Accent2 31 8 5" xfId="11650" xr:uid="{24BF0A26-75D4-4046-8F83-C904D7571163}"/>
    <cellStyle name="40% - Accent2 31 8 5 2" xfId="11651" xr:uid="{36DA4291-91C3-4E63-AFB1-6FF1B924EAA7}"/>
    <cellStyle name="40% - Accent2 31 8 6" xfId="11652" xr:uid="{B93AA305-1E3B-47AF-95AD-78E7D506BC0D}"/>
    <cellStyle name="40% - Accent2 31 9" xfId="11653" xr:uid="{FD66DB22-1AEB-4CFD-BE9A-7D48165CCB82}"/>
    <cellStyle name="40% - Accent2 31 9 2" xfId="11654" xr:uid="{085F44ED-D6A0-4F3D-9ED5-7C3FC2BE105F}"/>
    <cellStyle name="40% - Accent2 31 9 2 2" xfId="11655" xr:uid="{06BE6311-6C59-46EF-81D7-3FB08DD23E28}"/>
    <cellStyle name="40% - Accent2 31 9 2 2 2" xfId="11656" xr:uid="{976D51A5-48C4-4AB7-AE20-B4DCCCB5C752}"/>
    <cellStyle name="40% - Accent2 31 9 2 2 2 2" xfId="11657" xr:uid="{6DD3320E-84A4-43CE-A439-857E338C9E95}"/>
    <cellStyle name="40% - Accent2 31 9 2 2 3" xfId="11658" xr:uid="{2F30753C-F41C-4ADB-98BC-F81A5C6BCBEF}"/>
    <cellStyle name="40% - Accent2 31 9 2 3" xfId="11659" xr:uid="{33D9532F-2DBF-4D58-81C8-6903928CD3C3}"/>
    <cellStyle name="40% - Accent2 31 9 2 3 2" xfId="11660" xr:uid="{E9046265-07BC-47B9-8AD4-FC4377ADF971}"/>
    <cellStyle name="40% - Accent2 31 9 2 3 2 2" xfId="11661" xr:uid="{35037625-7332-4A0A-A4C3-DC00783EDDB5}"/>
    <cellStyle name="40% - Accent2 31 9 2 3 3" xfId="11662" xr:uid="{626DEEDB-589F-4D8D-8FCD-FF0B6B507D2A}"/>
    <cellStyle name="40% - Accent2 31 9 2 4" xfId="11663" xr:uid="{1A9E926A-1F0E-4F48-A09C-4B586A59AF3B}"/>
    <cellStyle name="40% - Accent2 31 9 2 4 2" xfId="11664" xr:uid="{54D83BEC-7907-462B-B0A9-FE53F7F5787A}"/>
    <cellStyle name="40% - Accent2 31 9 2 5" xfId="11665" xr:uid="{069134FB-DAD1-437D-AEB2-D0ED066C17EB}"/>
    <cellStyle name="40% - Accent2 31 9 3" xfId="11666" xr:uid="{1CCF18C1-C9D0-48A1-8C62-6A7FFB9F16AB}"/>
    <cellStyle name="40% - Accent2 31 9 3 2" xfId="11667" xr:uid="{82B1F779-6EF0-4857-B61D-E579F07C8EF0}"/>
    <cellStyle name="40% - Accent2 31 9 3 2 2" xfId="11668" xr:uid="{6EB782C5-23FA-468C-B4E4-74047FDC8CB0}"/>
    <cellStyle name="40% - Accent2 31 9 3 3" xfId="11669" xr:uid="{24414E42-1586-46D1-9126-C5545EF73D78}"/>
    <cellStyle name="40% - Accent2 31 9 4" xfId="11670" xr:uid="{A01508BB-6FA2-4BB7-AD85-BE9379DC2858}"/>
    <cellStyle name="40% - Accent2 31 9 4 2" xfId="11671" xr:uid="{C90DB6CB-84C0-4D6B-9184-82E7C151409A}"/>
    <cellStyle name="40% - Accent2 31 9 4 2 2" xfId="11672" xr:uid="{D0C7D5DE-9BD5-4CD7-BAA8-EBFCB7B6B30A}"/>
    <cellStyle name="40% - Accent2 31 9 4 3" xfId="11673" xr:uid="{6EF79305-45B2-483B-9E32-5A40F6B19F8C}"/>
    <cellStyle name="40% - Accent2 31 9 5" xfId="11674" xr:uid="{7887E7F0-0910-465C-911C-03FAD7596D02}"/>
    <cellStyle name="40% - Accent2 31 9 5 2" xfId="11675" xr:uid="{1C9B9890-1804-4A1F-BA65-1C089AE4DA85}"/>
    <cellStyle name="40% - Accent2 31 9 6" xfId="11676" xr:uid="{C0873B34-283C-4CDB-A34A-C64CE30F713D}"/>
    <cellStyle name="40% - Accent2 32" xfId="11677" xr:uid="{C74E3DA0-1CEA-4411-A64D-E07F80FA2F14}"/>
    <cellStyle name="40% - Accent2 32 2" xfId="11678" xr:uid="{491FE975-3495-4ABB-B3E4-FC844E8916FA}"/>
    <cellStyle name="40% - Accent2 32 2 2" xfId="11679" xr:uid="{A07C6A8F-84A0-48D7-9D46-5A0FE174FCF0}"/>
    <cellStyle name="40% - Accent2 32 2 2 2" xfId="11680" xr:uid="{851875FB-1618-4AD5-9ECA-8B9641C97309}"/>
    <cellStyle name="40% - Accent2 32 2 2 2 2" xfId="11681" xr:uid="{035AD54D-BD29-459B-ABC9-DC439161E1CC}"/>
    <cellStyle name="40% - Accent2 32 2 2 3" xfId="11682" xr:uid="{0049E110-6A4E-492C-9251-711F6FAA718A}"/>
    <cellStyle name="40% - Accent2 32 2 3" xfId="11683" xr:uid="{B65BF511-29BE-4050-BCB6-2E66F478EB8C}"/>
    <cellStyle name="40% - Accent2 32 2 3 2" xfId="11684" xr:uid="{84CE2A64-C80D-4E2F-948C-80946C730D29}"/>
    <cellStyle name="40% - Accent2 32 2 3 2 2" xfId="11685" xr:uid="{DA3C6161-F1AB-4A66-8234-39A105061B0A}"/>
    <cellStyle name="40% - Accent2 32 2 3 3" xfId="11686" xr:uid="{A5FC5D84-220B-47D5-AE26-3DF9E97D3F0E}"/>
    <cellStyle name="40% - Accent2 32 2 4" xfId="11687" xr:uid="{B3B382E4-2880-44E3-AA3A-CEBCEB0AB0B7}"/>
    <cellStyle name="40% - Accent2 32 2 4 2" xfId="11688" xr:uid="{E7DB51F6-1C60-4F09-B4D6-BD86E47D5F59}"/>
    <cellStyle name="40% - Accent2 32 2 5" xfId="11689" xr:uid="{DEAE8C94-81C8-47E1-A9E1-8AD0AD4951B2}"/>
    <cellStyle name="40% - Accent2 32 3" xfId="11690" xr:uid="{EE321FDD-8E15-40E8-8E05-460C159DC84D}"/>
    <cellStyle name="40% - Accent2 32 3 2" xfId="11691" xr:uid="{80FB234E-B4FF-4E02-A663-E047001C5EA8}"/>
    <cellStyle name="40% - Accent2 32 3 2 2" xfId="11692" xr:uid="{FF8122E4-D77A-452F-B95D-C6898D29D4ED}"/>
    <cellStyle name="40% - Accent2 32 3 3" xfId="11693" xr:uid="{4DB686FA-569B-45B9-BD7B-21323F63D542}"/>
    <cellStyle name="40% - Accent2 32 4" xfId="11694" xr:uid="{66E45C7B-20D0-45C1-99BC-CD75F2E3DCED}"/>
    <cellStyle name="40% - Accent2 32 4 2" xfId="11695" xr:uid="{2C594638-50C9-450B-9104-4A7F849601FB}"/>
    <cellStyle name="40% - Accent2 32 4 2 2" xfId="11696" xr:uid="{EB1F943D-8D70-4B95-BCD6-D4C760788EB7}"/>
    <cellStyle name="40% - Accent2 32 4 3" xfId="11697" xr:uid="{D0DAA87E-AEF4-43EE-A584-5DF63A0D0414}"/>
    <cellStyle name="40% - Accent2 32 5" xfId="11698" xr:uid="{F66473E5-A015-476E-AE0F-0F1093A6FC38}"/>
    <cellStyle name="40% - Accent2 32 5 2" xfId="11699" xr:uid="{CBAF50CA-A468-4647-87ED-155F46C7B0C9}"/>
    <cellStyle name="40% - Accent2 32 6" xfId="11700" xr:uid="{AA2D8310-489D-4C3F-9455-F34A94F0C381}"/>
    <cellStyle name="40% - Accent2 32 7" xfId="36956" xr:uid="{78C6F3B9-86BE-4868-ADB6-A1E9E4202090}"/>
    <cellStyle name="40% - Accent2 33" xfId="11701" xr:uid="{37070719-4A45-4DB0-887B-2D764AF55D90}"/>
    <cellStyle name="40% - Accent2 33 2" xfId="11702" xr:uid="{2A9DC934-E1FB-4547-80EC-D6334BE94799}"/>
    <cellStyle name="40% - Accent2 33 2 2" xfId="11703" xr:uid="{918A6747-6285-482C-8A51-D779D9CEC8D1}"/>
    <cellStyle name="40% - Accent2 33 2 2 2" xfId="11704" xr:uid="{8E6EA7F7-D717-446F-9CEB-5F3B1C736E45}"/>
    <cellStyle name="40% - Accent2 33 2 2 2 2" xfId="11705" xr:uid="{FC8BA790-D6F3-4B72-9055-E14BA897D997}"/>
    <cellStyle name="40% - Accent2 33 2 2 3" xfId="11706" xr:uid="{CCE25E2D-74AA-4368-B937-BB50E805CBDF}"/>
    <cellStyle name="40% - Accent2 33 2 3" xfId="11707" xr:uid="{E5525D77-66F3-4518-B76A-78981A599053}"/>
    <cellStyle name="40% - Accent2 33 2 3 2" xfId="11708" xr:uid="{5EE31CEF-E631-4F6C-81EF-48D90E06B91F}"/>
    <cellStyle name="40% - Accent2 33 2 3 2 2" xfId="11709" xr:uid="{5FB77C3B-A234-4C51-B61C-390731316FF1}"/>
    <cellStyle name="40% - Accent2 33 2 3 3" xfId="11710" xr:uid="{A65257FE-AB06-4D61-8D3B-677CD31A51B0}"/>
    <cellStyle name="40% - Accent2 33 2 4" xfId="11711" xr:uid="{8EA399EE-FDA7-45AA-9EA1-1BE078E82FD8}"/>
    <cellStyle name="40% - Accent2 33 2 4 2" xfId="11712" xr:uid="{01189B80-C69B-4ECF-AD26-C54DF96AD16D}"/>
    <cellStyle name="40% - Accent2 33 2 5" xfId="11713" xr:uid="{911E7334-3263-44D6-95E7-CFBD0554695E}"/>
    <cellStyle name="40% - Accent2 33 3" xfId="11714" xr:uid="{933E8314-AD0F-413D-B790-A580F26E67A1}"/>
    <cellStyle name="40% - Accent2 33 3 2" xfId="11715" xr:uid="{879BB58B-210D-4123-A2F8-0638CB13C212}"/>
    <cellStyle name="40% - Accent2 33 3 2 2" xfId="11716" xr:uid="{5A98B057-4F62-4BD1-8E1A-73D3438403BA}"/>
    <cellStyle name="40% - Accent2 33 3 3" xfId="11717" xr:uid="{108A4243-EA30-4E4D-8CC4-537CCA79FED3}"/>
    <cellStyle name="40% - Accent2 33 4" xfId="11718" xr:uid="{FD05DF23-9C4E-48A7-AFB0-F6C1FDBDAE63}"/>
    <cellStyle name="40% - Accent2 33 4 2" xfId="11719" xr:uid="{C629457D-00E6-4A21-8F09-3F91E3D313BC}"/>
    <cellStyle name="40% - Accent2 33 4 2 2" xfId="11720" xr:uid="{7384BB10-44A3-4565-992F-6A46DDA479D2}"/>
    <cellStyle name="40% - Accent2 33 4 3" xfId="11721" xr:uid="{0C01CBB8-AE05-46F5-A726-7B47AFF946C5}"/>
    <cellStyle name="40% - Accent2 33 5" xfId="11722" xr:uid="{D273B32C-4223-4FCE-B937-78FFE38184FE}"/>
    <cellStyle name="40% - Accent2 33 5 2" xfId="11723" xr:uid="{FD55D781-A25C-4E38-9618-DAAE1B10CB9E}"/>
    <cellStyle name="40% - Accent2 33 6" xfId="36957" xr:uid="{29E0CFA8-18F1-4C21-9B65-DCD4707D8CFB}"/>
    <cellStyle name="40% - Accent2 34" xfId="11724" xr:uid="{D871DB67-CB02-4343-8E6A-94832EFADEC7}"/>
    <cellStyle name="40% - Accent2 34 2" xfId="11725" xr:uid="{DBDF23C0-AB5D-47E2-8439-B310EB13D09D}"/>
    <cellStyle name="40% - Accent2 34 2 2" xfId="11726" xr:uid="{CCF30BD4-3D8F-44E4-91CF-4B4423D36615}"/>
    <cellStyle name="40% - Accent2 34 2 2 2" xfId="11727" xr:uid="{3B8DAE53-8228-474E-8DD6-32B6693D3CC2}"/>
    <cellStyle name="40% - Accent2 34 2 2 2 2" xfId="11728" xr:uid="{FCCF26D2-8C0E-444A-8F63-B502934ABE52}"/>
    <cellStyle name="40% - Accent2 34 2 2 3" xfId="11729" xr:uid="{E87C2CEB-9F98-473F-815F-A64F67A41E0F}"/>
    <cellStyle name="40% - Accent2 34 2 3" xfId="11730" xr:uid="{52A4BA7C-7BC1-430A-8A4B-E9F976DDFC16}"/>
    <cellStyle name="40% - Accent2 34 2 3 2" xfId="11731" xr:uid="{12BA8D8E-AA69-4728-9936-D2C7A9ADD37E}"/>
    <cellStyle name="40% - Accent2 34 2 3 2 2" xfId="11732" xr:uid="{E2A499E1-937D-44DF-9894-AAD5B77E30E8}"/>
    <cellStyle name="40% - Accent2 34 2 3 3" xfId="11733" xr:uid="{BBB7A63B-FB03-4597-903A-54565CF4E775}"/>
    <cellStyle name="40% - Accent2 34 2 4" xfId="11734" xr:uid="{A82B63BE-DDD4-4919-84C8-8AB411A0DB12}"/>
    <cellStyle name="40% - Accent2 34 2 4 2" xfId="11735" xr:uid="{495D06FA-B0A0-4A5F-B4DC-0B9CBE749548}"/>
    <cellStyle name="40% - Accent2 34 2 5" xfId="11736" xr:uid="{919D205B-BD6D-4768-99B4-4ECF60ADA077}"/>
    <cellStyle name="40% - Accent2 34 3" xfId="11737" xr:uid="{75767B29-50E4-49EB-A5F8-B3D1EF200293}"/>
    <cellStyle name="40% - Accent2 34 3 2" xfId="11738" xr:uid="{22A7058B-FD3E-40FE-A246-B8AB2CFECA3D}"/>
    <cellStyle name="40% - Accent2 34 3 2 2" xfId="11739" xr:uid="{61FB6975-BE80-4C94-9AEA-98815CE486B0}"/>
    <cellStyle name="40% - Accent2 34 3 3" xfId="11740" xr:uid="{1CE14203-4712-4123-BAE8-D6E063B96169}"/>
    <cellStyle name="40% - Accent2 34 4" xfId="11741" xr:uid="{50C2B0DF-B326-4629-950C-4188FA9EED19}"/>
    <cellStyle name="40% - Accent2 34 4 2" xfId="11742" xr:uid="{EBD5B8EA-5BB3-4205-9063-B636649C82E1}"/>
    <cellStyle name="40% - Accent2 34 4 2 2" xfId="11743" xr:uid="{21DD6D81-A302-4E40-9560-2B5DE6A346D8}"/>
    <cellStyle name="40% - Accent2 34 4 3" xfId="11744" xr:uid="{C046DF1B-05DE-41A4-ADAA-20794F0ECB97}"/>
    <cellStyle name="40% - Accent2 34 5" xfId="11745" xr:uid="{E03A0335-4BFB-4250-9A5C-4481DA073FA9}"/>
    <cellStyle name="40% - Accent2 34 5 2" xfId="11746" xr:uid="{1ECED87B-B358-4CC2-BA3F-44FAD3BE0099}"/>
    <cellStyle name="40% - Accent2 34 6" xfId="36958" xr:uid="{C25F3319-864E-4059-B451-B8AADC42024D}"/>
    <cellStyle name="40% - Accent2 35" xfId="11747" xr:uid="{99823286-48ED-48C8-BBA5-8BB0B4475517}"/>
    <cellStyle name="40% - Accent2 35 2" xfId="11748" xr:uid="{0D342ACF-386A-4FC0-979A-B478E4A626D0}"/>
    <cellStyle name="40% - Accent2 35 2 2" xfId="11749" xr:uid="{850DC51A-3328-485F-B25A-219A478E9521}"/>
    <cellStyle name="40% - Accent2 35 2 2 2" xfId="11750" xr:uid="{39DF3A5E-EF40-4DA3-9E71-4D7F25758387}"/>
    <cellStyle name="40% - Accent2 35 2 2 2 2" xfId="11751" xr:uid="{966E2D9F-C53F-4F2B-8B3B-FBDD598306BE}"/>
    <cellStyle name="40% - Accent2 35 2 2 3" xfId="11752" xr:uid="{DA03A8B8-CF3B-4420-9310-896BD1D43DB8}"/>
    <cellStyle name="40% - Accent2 35 2 3" xfId="11753" xr:uid="{6DD53AE1-9FCA-4EFD-BB87-E0B9B1B0389F}"/>
    <cellStyle name="40% - Accent2 35 2 3 2" xfId="11754" xr:uid="{BE2EDFDB-CF0D-42E2-A409-8001D8748A2E}"/>
    <cellStyle name="40% - Accent2 35 2 3 2 2" xfId="11755" xr:uid="{10D3C7FC-99E1-4549-8E55-1F09EB369CBF}"/>
    <cellStyle name="40% - Accent2 35 2 3 3" xfId="11756" xr:uid="{F62FC424-F616-4B1F-990A-03D07B5C457C}"/>
    <cellStyle name="40% - Accent2 35 2 4" xfId="11757" xr:uid="{2269092A-CBDE-47EA-BD56-3A7AE2D942CC}"/>
    <cellStyle name="40% - Accent2 35 2 4 2" xfId="11758" xr:uid="{AB63ECC4-2B69-47B1-B55B-D80D46DA0BF5}"/>
    <cellStyle name="40% - Accent2 35 2 5" xfId="11759" xr:uid="{A2B7FF3A-7C64-4D39-A08A-955946B5A464}"/>
    <cellStyle name="40% - Accent2 35 3" xfId="11760" xr:uid="{FEAB4C94-00F8-400F-846E-EA61AA0747E2}"/>
    <cellStyle name="40% - Accent2 35 3 2" xfId="11761" xr:uid="{B1E818BE-39C4-4DD1-A04D-4EFEF12151B2}"/>
    <cellStyle name="40% - Accent2 35 3 2 2" xfId="11762" xr:uid="{2618BB5E-C411-41EF-84B0-F207CF29E56D}"/>
    <cellStyle name="40% - Accent2 35 3 3" xfId="11763" xr:uid="{E3BBAC99-2BEB-4ADD-8A21-C2C48A63F61E}"/>
    <cellStyle name="40% - Accent2 35 4" xfId="11764" xr:uid="{7E040933-7465-4A1D-B60B-E0F6B26CD35C}"/>
    <cellStyle name="40% - Accent2 35 4 2" xfId="11765" xr:uid="{9505B5C2-80BE-4C83-8045-9E2731D6DC2D}"/>
    <cellStyle name="40% - Accent2 35 4 2 2" xfId="11766" xr:uid="{F1A7E8F9-0DFE-4ACA-9052-FD09527B0CE2}"/>
    <cellStyle name="40% - Accent2 35 4 3" xfId="11767" xr:uid="{392658BF-EF53-4121-BC9D-2E61D1B8B451}"/>
    <cellStyle name="40% - Accent2 35 5" xfId="11768" xr:uid="{F828DB07-B510-40D9-8B63-BF03F48CD632}"/>
    <cellStyle name="40% - Accent2 35 5 2" xfId="11769" xr:uid="{2D79DD6F-25A1-402B-9067-005DBBA13F85}"/>
    <cellStyle name="40% - Accent2 35 6" xfId="36959" xr:uid="{4B870FA4-F9D9-4FFC-AF0C-332F2256191C}"/>
    <cellStyle name="40% - Accent2 36" xfId="11770" xr:uid="{72E6BC65-E71C-42BC-B05C-314CDC526D8C}"/>
    <cellStyle name="40% - Accent2 36 2" xfId="11771" xr:uid="{72B0B818-DFAD-4542-AA15-1CCFA5445D78}"/>
    <cellStyle name="40% - Accent2 36 2 2" xfId="11772" xr:uid="{3C29F8C7-06B1-454A-9675-3C467CE4C31D}"/>
    <cellStyle name="40% - Accent2 36 2 2 2" xfId="11773" xr:uid="{B4D382E7-A70A-4876-9300-5379039CE0D3}"/>
    <cellStyle name="40% - Accent2 36 2 2 2 2" xfId="11774" xr:uid="{F88311DF-E6C5-4D7E-8002-B4F02C8D28B5}"/>
    <cellStyle name="40% - Accent2 36 2 2 3" xfId="11775" xr:uid="{25C0B74D-D16E-4828-8FA4-D912D0301CBE}"/>
    <cellStyle name="40% - Accent2 36 2 3" xfId="11776" xr:uid="{7FB3B040-CC7E-4203-9D20-B320439F1310}"/>
    <cellStyle name="40% - Accent2 36 2 3 2" xfId="11777" xr:uid="{57A244D4-2C93-4F46-A909-98A03E4968C1}"/>
    <cellStyle name="40% - Accent2 36 2 3 2 2" xfId="11778" xr:uid="{8FF58CF7-9B9D-4E65-9944-1A01E61E11DE}"/>
    <cellStyle name="40% - Accent2 36 2 3 3" xfId="11779" xr:uid="{47576EE5-DE42-4994-A174-742851758CBD}"/>
    <cellStyle name="40% - Accent2 36 2 4" xfId="11780" xr:uid="{E5F78495-887A-4A97-B869-4C998CDAE57C}"/>
    <cellStyle name="40% - Accent2 36 2 4 2" xfId="11781" xr:uid="{D8752FE7-EC89-4F87-8E01-489DE87000E7}"/>
    <cellStyle name="40% - Accent2 36 2 5" xfId="11782" xr:uid="{9128A51E-36D8-4F8B-8565-3EFBE7479041}"/>
    <cellStyle name="40% - Accent2 36 3" xfId="11783" xr:uid="{9E316995-E7F7-49CA-A4B5-2FE9B7DB77B5}"/>
    <cellStyle name="40% - Accent2 36 3 2" xfId="11784" xr:uid="{63D974CE-AE1B-4F2D-943D-E4394829A9B6}"/>
    <cellStyle name="40% - Accent2 36 3 2 2" xfId="11785" xr:uid="{D41F734F-D7E2-4058-B26B-D57CD41681F4}"/>
    <cellStyle name="40% - Accent2 36 3 3" xfId="11786" xr:uid="{34A74574-9357-43AF-BFA6-ACE6D105F8AC}"/>
    <cellStyle name="40% - Accent2 36 4" xfId="11787" xr:uid="{A8299FDD-6339-4814-ADF2-9151998D8487}"/>
    <cellStyle name="40% - Accent2 36 4 2" xfId="11788" xr:uid="{6617A166-EBE5-4F6A-ABEA-2587B2E127F5}"/>
    <cellStyle name="40% - Accent2 36 4 2 2" xfId="11789" xr:uid="{1F8B0593-CF65-4E64-94A7-12EE1028FD58}"/>
    <cellStyle name="40% - Accent2 36 4 3" xfId="11790" xr:uid="{5C1FAC5A-7A0A-409C-A98D-A188BFBEB460}"/>
    <cellStyle name="40% - Accent2 36 5" xfId="11791" xr:uid="{7E0873EE-03BB-41B5-BDC4-3271A80D18DB}"/>
    <cellStyle name="40% - Accent2 36 5 2" xfId="11792" xr:uid="{A8B93E7F-D049-4EA6-ADFA-903C4BD92277}"/>
    <cellStyle name="40% - Accent2 36 6" xfId="36960" xr:uid="{0A0654BE-B694-4F72-9AE9-28431DE57E59}"/>
    <cellStyle name="40% - Accent2 37" xfId="11793" xr:uid="{4551DC9B-52A3-428B-9C1E-8EAF59FE7EF4}"/>
    <cellStyle name="40% - Accent2 37 2" xfId="11794" xr:uid="{F7C91742-D956-4534-845E-12728CEC0C72}"/>
    <cellStyle name="40% - Accent2 37 2 2" xfId="11795" xr:uid="{617C4B50-4804-43FB-95B3-AB70471AF6BC}"/>
    <cellStyle name="40% - Accent2 37 2 2 2" xfId="11796" xr:uid="{6234D97A-E591-40AD-8239-AE9412EFDCFB}"/>
    <cellStyle name="40% - Accent2 37 2 2 2 2" xfId="11797" xr:uid="{61859E94-7D3C-4822-A0B9-EC383458E1C5}"/>
    <cellStyle name="40% - Accent2 37 2 2 3" xfId="11798" xr:uid="{1A1DF8A9-65FA-4D5F-99CB-A69E52C3294F}"/>
    <cellStyle name="40% - Accent2 37 2 3" xfId="11799" xr:uid="{DCED9B64-E124-4E21-8D4E-942BC99B9CB0}"/>
    <cellStyle name="40% - Accent2 37 2 3 2" xfId="11800" xr:uid="{228F1E57-2CD0-4350-91E2-7CDB9D681D00}"/>
    <cellStyle name="40% - Accent2 37 2 3 2 2" xfId="11801" xr:uid="{97955909-BF04-46A4-9E75-FFEB4FA93F2D}"/>
    <cellStyle name="40% - Accent2 37 2 3 3" xfId="11802" xr:uid="{FB3848D6-6E48-49C5-B2B4-F195DE767642}"/>
    <cellStyle name="40% - Accent2 37 2 4" xfId="11803" xr:uid="{70ED4925-9CC1-4081-9C42-CC6CF49D6484}"/>
    <cellStyle name="40% - Accent2 37 2 4 2" xfId="11804" xr:uid="{AF6DB916-8010-4AB9-9E62-E8BCC09D28EB}"/>
    <cellStyle name="40% - Accent2 37 2 5" xfId="11805" xr:uid="{0180A164-3DBF-41EE-88FC-A87EA21CFFE2}"/>
    <cellStyle name="40% - Accent2 37 3" xfId="11806" xr:uid="{486D8382-05C9-4E0B-97EE-338CF0D0FD87}"/>
    <cellStyle name="40% - Accent2 37 3 2" xfId="11807" xr:uid="{86828313-F9E1-4D03-9A6B-BF2A872523BB}"/>
    <cellStyle name="40% - Accent2 37 3 2 2" xfId="11808" xr:uid="{E18EADE8-B191-4225-BF79-CE69DE52AC23}"/>
    <cellStyle name="40% - Accent2 37 3 3" xfId="11809" xr:uid="{F48DD771-CCD8-4C5D-8797-85FEFB9E4050}"/>
    <cellStyle name="40% - Accent2 37 4" xfId="11810" xr:uid="{EBFE957A-7F69-41CD-B3F1-150895883204}"/>
    <cellStyle name="40% - Accent2 37 4 2" xfId="11811" xr:uid="{3F76BB01-61EA-46CA-9381-19E749FCE5DA}"/>
    <cellStyle name="40% - Accent2 37 4 2 2" xfId="11812" xr:uid="{4B93059D-C7C1-4581-83C4-B6282DA1D426}"/>
    <cellStyle name="40% - Accent2 37 4 3" xfId="11813" xr:uid="{E8CE8317-AC57-44E5-9BA7-D5CDBF711851}"/>
    <cellStyle name="40% - Accent2 37 5" xfId="11814" xr:uid="{FC3B459E-173B-4847-9A0F-2A072A80726B}"/>
    <cellStyle name="40% - Accent2 37 5 2" xfId="11815" xr:uid="{330CA91F-CF66-4C18-8C03-05FB0F5ACF4D}"/>
    <cellStyle name="40% - Accent2 37 6" xfId="36961" xr:uid="{45D7AE05-12C6-423C-BB7E-0DF71A7809F3}"/>
    <cellStyle name="40% - Accent2 38" xfId="11816" xr:uid="{B66837C5-0E42-4D5F-A20A-909DBE0B72D2}"/>
    <cellStyle name="40% - Accent2 38 2" xfId="11817" xr:uid="{2E34E4C9-1F58-41BE-83C6-4A2593E6A93C}"/>
    <cellStyle name="40% - Accent2 38 2 2" xfId="11818" xr:uid="{2105F9C1-F4DF-4783-9FA0-5C323DDF6853}"/>
    <cellStyle name="40% - Accent2 38 2 2 2" xfId="11819" xr:uid="{E0F346B6-85A9-4B56-97A6-833D1055717E}"/>
    <cellStyle name="40% - Accent2 38 2 2 2 2" xfId="11820" xr:uid="{92E3360D-3F12-4127-B611-1AC54F94509C}"/>
    <cellStyle name="40% - Accent2 38 2 2 3" xfId="11821" xr:uid="{EF019C39-9715-4245-83BC-8FD06770489A}"/>
    <cellStyle name="40% - Accent2 38 2 3" xfId="11822" xr:uid="{245800FC-B2A4-4135-88A2-DC984D8B3D81}"/>
    <cellStyle name="40% - Accent2 38 2 3 2" xfId="11823" xr:uid="{754435C6-47F5-49D6-8B6C-2BFD97626941}"/>
    <cellStyle name="40% - Accent2 38 2 3 2 2" xfId="11824" xr:uid="{879825EA-6E89-4324-9300-D8469070B44D}"/>
    <cellStyle name="40% - Accent2 38 2 3 3" xfId="11825" xr:uid="{E1FE8BD4-FAEB-4A82-A3EC-80F070BEA302}"/>
    <cellStyle name="40% - Accent2 38 2 4" xfId="11826" xr:uid="{E844062F-3DD1-41F9-8E53-6763C425EB95}"/>
    <cellStyle name="40% - Accent2 38 2 4 2" xfId="11827" xr:uid="{72CDDC18-19FC-464F-83A3-BFBB4BF6DEDF}"/>
    <cellStyle name="40% - Accent2 38 2 5" xfId="11828" xr:uid="{075BBE62-867C-4C61-87AC-A6DF86D70E4C}"/>
    <cellStyle name="40% - Accent2 38 3" xfId="11829" xr:uid="{A688DCC4-63E6-4DEC-80A2-5DA431FD936A}"/>
    <cellStyle name="40% - Accent2 38 3 2" xfId="11830" xr:uid="{250E6D93-CECD-4B65-B150-9FFAC8E97A49}"/>
    <cellStyle name="40% - Accent2 38 3 2 2" xfId="11831" xr:uid="{9E3352C1-244A-457C-B272-7B64703F616E}"/>
    <cellStyle name="40% - Accent2 38 3 3" xfId="11832" xr:uid="{BA11C638-E12A-4FF5-AE92-41CA4EC22CDA}"/>
    <cellStyle name="40% - Accent2 38 4" xfId="11833" xr:uid="{B8939890-C186-4ACB-BCAB-E31DEE727716}"/>
    <cellStyle name="40% - Accent2 38 4 2" xfId="11834" xr:uid="{AFAE5650-1604-4D7B-98D2-921D0F6D55D6}"/>
    <cellStyle name="40% - Accent2 38 4 2 2" xfId="11835" xr:uid="{B1EE99C6-0B69-4E89-A9D8-425F9E8CD14A}"/>
    <cellStyle name="40% - Accent2 38 4 3" xfId="11836" xr:uid="{90C3D6A2-7342-4148-8A23-D766A463E143}"/>
    <cellStyle name="40% - Accent2 38 5" xfId="11837" xr:uid="{92F9DED3-9D76-480B-ACEE-8E080A81CC79}"/>
    <cellStyle name="40% - Accent2 38 5 2" xfId="11838" xr:uid="{2BB29994-60D8-4DB9-BC4D-3B023ABD75E0}"/>
    <cellStyle name="40% - Accent2 38 6" xfId="36962" xr:uid="{4C0C8EAE-6E25-4A7A-8AF4-BB67BDB4B566}"/>
    <cellStyle name="40% - Accent2 39" xfId="11839" xr:uid="{9134D61B-AD96-4382-ACFD-49FABC61A2F1}"/>
    <cellStyle name="40% - Accent2 39 2" xfId="11840" xr:uid="{0D2502F4-29B0-4368-976B-97AC9F59032D}"/>
    <cellStyle name="40% - Accent2 39 2 2" xfId="11841" xr:uid="{2FD02FF9-09FF-4A07-8BAA-DA21ED6B0B1C}"/>
    <cellStyle name="40% - Accent2 39 2 2 2" xfId="11842" xr:uid="{AE498579-1443-4924-8137-860AED0C0FD8}"/>
    <cellStyle name="40% - Accent2 39 2 2 2 2" xfId="11843" xr:uid="{74701B4A-4FC2-4577-9ACA-F474463C0D4D}"/>
    <cellStyle name="40% - Accent2 39 2 2 3" xfId="11844" xr:uid="{B3641327-BB33-48C0-9BCD-CF03B4C8F4DA}"/>
    <cellStyle name="40% - Accent2 39 2 3" xfId="11845" xr:uid="{1FB04818-4080-4CDB-885B-E63FBF6A9415}"/>
    <cellStyle name="40% - Accent2 39 2 3 2" xfId="11846" xr:uid="{A2937FE3-8151-4739-B956-CD24816A0852}"/>
    <cellStyle name="40% - Accent2 39 2 3 2 2" xfId="11847" xr:uid="{D6D6417B-DC86-46F7-A294-7B248089ACDB}"/>
    <cellStyle name="40% - Accent2 39 2 3 3" xfId="11848" xr:uid="{524F902E-BBDD-4D2F-8A98-4E0106480F5F}"/>
    <cellStyle name="40% - Accent2 39 2 4" xfId="11849" xr:uid="{62ED8AB0-4CD5-40F2-B8FD-97FBD348C46A}"/>
    <cellStyle name="40% - Accent2 39 2 4 2" xfId="11850" xr:uid="{D08BE424-7D6C-4E96-83F3-F3A70B0B253D}"/>
    <cellStyle name="40% - Accent2 39 2 5" xfId="11851" xr:uid="{99EC7CAD-C18D-42A2-8525-6CCD39D4BF25}"/>
    <cellStyle name="40% - Accent2 39 3" xfId="11852" xr:uid="{648018BE-6415-41FB-A478-A75832824B2C}"/>
    <cellStyle name="40% - Accent2 39 3 2" xfId="11853" xr:uid="{6900DCAC-AFD7-4683-8DAA-325B8A4573CC}"/>
    <cellStyle name="40% - Accent2 39 3 2 2" xfId="11854" xr:uid="{6B8AAE9E-2749-4644-BC02-3D60A90A374A}"/>
    <cellStyle name="40% - Accent2 39 3 3" xfId="11855" xr:uid="{7EF8E82E-99D8-47B6-BCD4-B4B7F71BAACA}"/>
    <cellStyle name="40% - Accent2 39 4" xfId="11856" xr:uid="{5C3D7746-3669-47B6-981F-13103F0B84C7}"/>
    <cellStyle name="40% - Accent2 39 4 2" xfId="11857" xr:uid="{98EF591A-0D9B-4024-8A3C-0E9FB84A6164}"/>
    <cellStyle name="40% - Accent2 39 4 2 2" xfId="11858" xr:uid="{82C6AD3F-679A-4C63-984E-65566FD39DB3}"/>
    <cellStyle name="40% - Accent2 39 4 3" xfId="11859" xr:uid="{921DC6ED-C9D4-40F7-975E-EB8D020146FB}"/>
    <cellStyle name="40% - Accent2 39 5" xfId="11860" xr:uid="{7DE1C8FA-E898-43BD-AA9B-E63BB9FF3B72}"/>
    <cellStyle name="40% - Accent2 39 5 2" xfId="11861" xr:uid="{A5280BC1-51DE-43EF-8E2B-F04AB0F90D40}"/>
    <cellStyle name="40% - Accent2 39 6" xfId="36963" xr:uid="{D4115055-34F2-44AF-95EE-317EFD7BE258}"/>
    <cellStyle name="40% - Accent2 4" xfId="11862" xr:uid="{036E95B3-1F30-4E82-BED5-BBE1891728C8}"/>
    <cellStyle name="40% - Accent2 4 2" xfId="11863" xr:uid="{FF40E597-5FFD-4D47-A24E-3BDB000D3D62}"/>
    <cellStyle name="40% - Accent2 4 2 2" xfId="11864" xr:uid="{7BC7FDB7-7E17-4230-86A3-82D815810020}"/>
    <cellStyle name="40% - Accent2 4 2 2 2" xfId="36964" xr:uid="{2F069808-6619-4B86-8E9D-FF92798FF0DA}"/>
    <cellStyle name="40% - Accent2 4 2 3" xfId="36965" xr:uid="{15E45859-A5C3-4E91-87E6-916967580F27}"/>
    <cellStyle name="40% - Accent2 4 2 4" xfId="36966" xr:uid="{B4065D1E-CA3E-488F-8D20-F686853CFF71}"/>
    <cellStyle name="40% - Accent2 4 3" xfId="11865" xr:uid="{4805D8B4-178E-40E2-8451-C1C43322F491}"/>
    <cellStyle name="40% - Accent2 4 3 2" xfId="36967" xr:uid="{B9FB7B63-17A1-4A4B-9D26-7F62E4D40704}"/>
    <cellStyle name="40% - Accent2 4 4" xfId="36968" xr:uid="{197F8ED6-FAE7-4A27-8089-741FAE168CA8}"/>
    <cellStyle name="40% - Accent2 4 5" xfId="36969" xr:uid="{F787531D-4A54-4406-97D6-8DFDC8FF07F6}"/>
    <cellStyle name="40% - Accent2 40" xfId="11866" xr:uid="{164162B7-D132-4E4B-B4E1-DC8A25CBD78F}"/>
    <cellStyle name="40% - Accent2 40 2" xfId="11867" xr:uid="{9B59C122-2429-4E53-873A-6ECA37B1821F}"/>
    <cellStyle name="40% - Accent2 40 2 2" xfId="11868" xr:uid="{5987DB1D-63CF-48B5-AB28-E45A5CBDF163}"/>
    <cellStyle name="40% - Accent2 40 2 2 2" xfId="11869" xr:uid="{A104718D-88B1-4490-80F5-A414010E6F43}"/>
    <cellStyle name="40% - Accent2 40 2 2 2 2" xfId="11870" xr:uid="{F33F4279-D41E-4DA7-B32B-3361F75DDFBD}"/>
    <cellStyle name="40% - Accent2 40 2 2 3" xfId="11871" xr:uid="{A5C08B6F-02A4-453A-81F7-81484A40EB2A}"/>
    <cellStyle name="40% - Accent2 40 2 3" xfId="11872" xr:uid="{5CD5A293-820C-4BD6-A163-B20E9CACD8F6}"/>
    <cellStyle name="40% - Accent2 40 2 3 2" xfId="11873" xr:uid="{3B72D70D-29A3-4D9D-9BE4-C0E3D1811961}"/>
    <cellStyle name="40% - Accent2 40 2 3 2 2" xfId="11874" xr:uid="{F8E80279-4C18-4F0C-A980-5F41456726D5}"/>
    <cellStyle name="40% - Accent2 40 2 3 3" xfId="11875" xr:uid="{E55F3595-1024-4754-B892-534D35EC1288}"/>
    <cellStyle name="40% - Accent2 40 2 4" xfId="11876" xr:uid="{26D81A08-785E-4882-9ED9-540F751F6EED}"/>
    <cellStyle name="40% - Accent2 40 2 4 2" xfId="11877" xr:uid="{9858F069-1C4C-4047-9208-E038E1A0B6B5}"/>
    <cellStyle name="40% - Accent2 40 2 5" xfId="11878" xr:uid="{AE2C15A4-C66B-4C68-8665-DB2803558796}"/>
    <cellStyle name="40% - Accent2 40 3" xfId="11879" xr:uid="{C9410976-5E16-47CF-9DBB-0005D26379E1}"/>
    <cellStyle name="40% - Accent2 40 3 2" xfId="11880" xr:uid="{BC91E121-D4A6-4374-B020-5D621D3D86B0}"/>
    <cellStyle name="40% - Accent2 40 3 2 2" xfId="11881" xr:uid="{D2F8B8C6-6BCF-41C4-BEC2-9E1B6AEB1A3D}"/>
    <cellStyle name="40% - Accent2 40 3 3" xfId="11882" xr:uid="{5706D8AE-EBD3-46F7-B378-BB73F6EE45F1}"/>
    <cellStyle name="40% - Accent2 40 4" xfId="11883" xr:uid="{5427A2A5-ACB1-4388-A254-E1249D5EFAF5}"/>
    <cellStyle name="40% - Accent2 40 4 2" xfId="11884" xr:uid="{6E2ED964-3618-4386-B48E-3A7E761E5120}"/>
    <cellStyle name="40% - Accent2 40 4 2 2" xfId="11885" xr:uid="{6CAE8C71-D9D2-4CE4-A954-669B67BE8F52}"/>
    <cellStyle name="40% - Accent2 40 4 3" xfId="11886" xr:uid="{77DB2552-52D9-44FD-8A7C-5803ED7FB307}"/>
    <cellStyle name="40% - Accent2 40 5" xfId="11887" xr:uid="{01071321-B68E-4CF8-8447-BED11C41A500}"/>
    <cellStyle name="40% - Accent2 40 5 2" xfId="11888" xr:uid="{EC1B5ABD-E051-4E3A-A3EB-0510ACDE2E64}"/>
    <cellStyle name="40% - Accent2 40 6" xfId="36970" xr:uid="{9B667C24-C3D7-4547-A0CC-516B9C4B7EFB}"/>
    <cellStyle name="40% - Accent2 41" xfId="11889" xr:uid="{7758825F-0456-4759-AE85-C38903B308FB}"/>
    <cellStyle name="40% - Accent2 41 2" xfId="11890" xr:uid="{CAF888E2-D70F-4EE2-ACB3-0C3EBC9DC617}"/>
    <cellStyle name="40% - Accent2 41 2 2" xfId="11891" xr:uid="{58AFADEA-298A-42E9-B900-DCBF3E930087}"/>
    <cellStyle name="40% - Accent2 41 2 2 2" xfId="11892" xr:uid="{C171AE8D-342E-43C4-8B30-AA5B23A4DB14}"/>
    <cellStyle name="40% - Accent2 41 2 2 2 2" xfId="11893" xr:uid="{A1442C1F-BBE1-4EA4-BF40-D503B1DB0519}"/>
    <cellStyle name="40% - Accent2 41 2 2 3" xfId="11894" xr:uid="{3F70CDB8-8652-4892-A7CA-1F33294BE970}"/>
    <cellStyle name="40% - Accent2 41 2 3" xfId="11895" xr:uid="{327C8CF2-90D4-4ABD-9FBC-0AF07146AB0D}"/>
    <cellStyle name="40% - Accent2 41 2 3 2" xfId="11896" xr:uid="{EC1AC6C9-B6D7-45BF-9CBD-BA0E06D9D356}"/>
    <cellStyle name="40% - Accent2 41 2 3 2 2" xfId="11897" xr:uid="{38569E54-7C4A-46B1-BFA7-8FDC0FB4EEC0}"/>
    <cellStyle name="40% - Accent2 41 2 3 3" xfId="11898" xr:uid="{23D4A04D-05B8-4370-87E9-3EBF8B894BCB}"/>
    <cellStyle name="40% - Accent2 41 2 4" xfId="11899" xr:uid="{1A4EF614-B5DF-4B52-AB5E-B0C4A18542B4}"/>
    <cellStyle name="40% - Accent2 41 2 4 2" xfId="11900" xr:uid="{26DE84A1-E3DB-4065-952A-32BD83C7D4CC}"/>
    <cellStyle name="40% - Accent2 41 2 5" xfId="11901" xr:uid="{0BA4E180-4E7D-45C3-BA62-D256A9BF1416}"/>
    <cellStyle name="40% - Accent2 41 3" xfId="11902" xr:uid="{EAF5D7C9-AD64-45C7-842F-CCE10A1B1A3F}"/>
    <cellStyle name="40% - Accent2 41 3 2" xfId="11903" xr:uid="{CEE04330-D376-46D5-B593-D33E4167A5F1}"/>
    <cellStyle name="40% - Accent2 41 3 2 2" xfId="11904" xr:uid="{573F765D-32CE-48F1-84FC-AACBC8A6A358}"/>
    <cellStyle name="40% - Accent2 41 3 3" xfId="11905" xr:uid="{C3E612C7-5ADD-4415-9E72-9D9D9F2BDFC8}"/>
    <cellStyle name="40% - Accent2 41 4" xfId="11906" xr:uid="{BDCA2A48-147D-44B1-8C0B-BB534E87E3CB}"/>
    <cellStyle name="40% - Accent2 41 4 2" xfId="11907" xr:uid="{5E5D7E58-4C15-46C8-B39D-CC7EB8E1BC08}"/>
    <cellStyle name="40% - Accent2 41 4 2 2" xfId="11908" xr:uid="{624D06E7-039C-4975-B9F2-2D73EB20CB6C}"/>
    <cellStyle name="40% - Accent2 41 4 3" xfId="11909" xr:uid="{FE835A90-88D8-4ADE-A178-C3D55BEDB6A7}"/>
    <cellStyle name="40% - Accent2 41 5" xfId="11910" xr:uid="{89735AD3-90C6-46FB-9D9B-F6B22D5B6E42}"/>
    <cellStyle name="40% - Accent2 41 5 2" xfId="11911" xr:uid="{FE182F5A-7336-486D-BDDA-D3058B96C392}"/>
    <cellStyle name="40% - Accent2 41 6" xfId="36971" xr:uid="{468EC6C6-DFE3-4866-8A40-AAA1C52020E2}"/>
    <cellStyle name="40% - Accent2 42" xfId="11912" xr:uid="{987DB093-97CA-410C-9E97-7E98F0A983BB}"/>
    <cellStyle name="40% - Accent2 42 2" xfId="11913" xr:uid="{84631E15-6061-4362-A57C-B84291C5F949}"/>
    <cellStyle name="40% - Accent2 42 2 2" xfId="11914" xr:uid="{F5AFFEB8-FDBE-4251-9015-13CBB635A590}"/>
    <cellStyle name="40% - Accent2 42 2 2 2" xfId="11915" xr:uid="{D558391D-F899-4BBF-BBD0-5DD8F8EE897F}"/>
    <cellStyle name="40% - Accent2 42 2 2 2 2" xfId="11916" xr:uid="{B8546410-5303-46A5-9F2F-B6FA7DAC30D9}"/>
    <cellStyle name="40% - Accent2 42 2 2 3" xfId="11917" xr:uid="{6BE1189D-0ABE-4E0C-9B94-11E78BF5D865}"/>
    <cellStyle name="40% - Accent2 42 2 3" xfId="11918" xr:uid="{F806452C-1317-4ABE-90AC-B98AC16025C5}"/>
    <cellStyle name="40% - Accent2 42 2 3 2" xfId="11919" xr:uid="{D08BD598-8329-4138-A77D-C9DA9FFBEBCD}"/>
    <cellStyle name="40% - Accent2 42 2 3 2 2" xfId="11920" xr:uid="{4D546215-EB82-4410-AB60-BCA51599BF03}"/>
    <cellStyle name="40% - Accent2 42 2 3 3" xfId="11921" xr:uid="{211818D3-531C-41B1-AE63-3237ED308621}"/>
    <cellStyle name="40% - Accent2 42 2 4" xfId="11922" xr:uid="{12ADA9DA-29EA-4ADE-9E8A-DC47CD227943}"/>
    <cellStyle name="40% - Accent2 42 2 4 2" xfId="11923" xr:uid="{4A65060A-F9FD-46CE-A793-C2BC640F58A1}"/>
    <cellStyle name="40% - Accent2 42 2 5" xfId="11924" xr:uid="{07B21D5F-E1AD-4D86-A12B-494B02F4439A}"/>
    <cellStyle name="40% - Accent2 42 3" xfId="11925" xr:uid="{A5E85639-E8AE-4DF7-A9E2-8925498F153B}"/>
    <cellStyle name="40% - Accent2 42 3 2" xfId="11926" xr:uid="{44B8E660-3CE1-4A1D-BD1D-03424ACEFA64}"/>
    <cellStyle name="40% - Accent2 42 3 2 2" xfId="11927" xr:uid="{1488BD92-4BCD-4C49-A65F-78D6426FA292}"/>
    <cellStyle name="40% - Accent2 42 3 3" xfId="11928" xr:uid="{211C8D5D-9652-4F1F-AF95-60B2CCE0F76F}"/>
    <cellStyle name="40% - Accent2 42 4" xfId="11929" xr:uid="{A207B47E-9A11-4B9C-B007-4721B43C2C44}"/>
    <cellStyle name="40% - Accent2 42 4 2" xfId="11930" xr:uid="{F3FDB868-B354-441A-9EB2-A9136449EE9D}"/>
    <cellStyle name="40% - Accent2 42 4 2 2" xfId="11931" xr:uid="{C8C21E93-B42B-4573-BC8B-61A716658A44}"/>
    <cellStyle name="40% - Accent2 42 4 3" xfId="11932" xr:uid="{BEEB1C97-85C9-4B30-96C7-5366E578ACFD}"/>
    <cellStyle name="40% - Accent2 42 5" xfId="11933" xr:uid="{FD136BED-413B-4340-B7AA-FD3A1024727C}"/>
    <cellStyle name="40% - Accent2 42 5 2" xfId="11934" xr:uid="{64850828-CD75-403E-A202-0C20A4867E7F}"/>
    <cellStyle name="40% - Accent2 42 6" xfId="36972" xr:uid="{0950FB8F-234C-4F7F-8FF6-D321579061F2}"/>
    <cellStyle name="40% - Accent2 43" xfId="11935" xr:uid="{3AB9B080-172B-4BA0-BDF8-8B15EE9B2C6E}"/>
    <cellStyle name="40% - Accent2 43 2" xfId="11936" xr:uid="{4C9CB718-1C8C-4915-B8D5-ACD3ED3EA6E0}"/>
    <cellStyle name="40% - Accent2 43 3" xfId="36973" xr:uid="{DCADCDCA-012E-46F2-9027-DA8E8DFBDE42}"/>
    <cellStyle name="40% - Accent2 44" xfId="11937" xr:uid="{5558DEE8-1F06-4F4C-8B82-7512A5336243}"/>
    <cellStyle name="40% - Accent2 44 2" xfId="11938" xr:uid="{FBFE9109-F914-45F8-8AF2-952C0F8E9F71}"/>
    <cellStyle name="40% - Accent2 44 3" xfId="36974" xr:uid="{36CB7211-2B43-4518-AB70-BD79F4B6C1E3}"/>
    <cellStyle name="40% - Accent2 45" xfId="11939" xr:uid="{CCD5F5C5-4325-4C35-84BD-8A5EBDCA79B2}"/>
    <cellStyle name="40% - Accent2 45 2" xfId="11940" xr:uid="{EE51AC66-FBAC-4CB3-913E-04F740F392B2}"/>
    <cellStyle name="40% - Accent2 45 3" xfId="36975" xr:uid="{BE070BA5-DB9C-44E7-8247-D07CB6E4FBD8}"/>
    <cellStyle name="40% - Accent2 46" xfId="11941" xr:uid="{C9B8AC57-F860-4DDB-AD0F-1CDD8694C14E}"/>
    <cellStyle name="40% - Accent2 46 2" xfId="11942" xr:uid="{C3BE8728-7823-43A4-B750-10F0B6D4AFD0}"/>
    <cellStyle name="40% - Accent2 46 3" xfId="36976" xr:uid="{8DA675F9-646A-472A-8309-F82B54817EDB}"/>
    <cellStyle name="40% - Accent2 47" xfId="11943" xr:uid="{92AADC4E-100C-44CC-9558-7F0D951042C1}"/>
    <cellStyle name="40% - Accent2 47 2" xfId="11944" xr:uid="{9743F62C-9FB6-41FF-A687-D1F119E890F1}"/>
    <cellStyle name="40% - Accent2 47 3" xfId="36977" xr:uid="{63B63A6C-FA8A-4C73-BB0C-28DD7555E04B}"/>
    <cellStyle name="40% - Accent2 48" xfId="11945" xr:uid="{9BF12ADD-B09A-4E60-BBF0-BEDC64075A76}"/>
    <cellStyle name="40% - Accent2 48 2" xfId="11946" xr:uid="{81BDE86A-4CA0-43F6-AD2F-7DCF07910040}"/>
    <cellStyle name="40% - Accent2 48 3" xfId="36978" xr:uid="{44AAE96E-E799-4929-A3FB-0F64C5751ED7}"/>
    <cellStyle name="40% - Accent2 49" xfId="11947" xr:uid="{83035A2A-E75D-4AC0-95E4-CC9684B23350}"/>
    <cellStyle name="40% - Accent2 49 2" xfId="11948" xr:uid="{6E31F9D0-9F6C-43EC-81BA-4799B3BF3E6F}"/>
    <cellStyle name="40% - Accent2 49 3" xfId="36979" xr:uid="{F254589D-3228-4A69-B57E-8FF24505EFC7}"/>
    <cellStyle name="40% - Accent2 5" xfId="11949" xr:uid="{61533474-7726-4A07-B4CB-37FF5438830F}"/>
    <cellStyle name="40% - Accent2 5 2" xfId="11950" xr:uid="{FEAE68B9-354C-4930-AB42-A1DE47B03FFF}"/>
    <cellStyle name="40% - Accent2 5 2 2" xfId="11951" xr:uid="{3EC241B1-9904-4145-9BE0-8D9EB6EC7052}"/>
    <cellStyle name="40% - Accent2 5 2 2 2" xfId="36980" xr:uid="{E0F0CD12-BD0F-4774-B8BD-C84D1AF072AB}"/>
    <cellStyle name="40% - Accent2 5 2 3" xfId="36981" xr:uid="{CBA4B89C-4F4E-493F-ADD0-A140107B5BAA}"/>
    <cellStyle name="40% - Accent2 5 2 4" xfId="36982" xr:uid="{AE2847D1-8007-4AC5-BD3C-30130A62B543}"/>
    <cellStyle name="40% - Accent2 5 3" xfId="11952" xr:uid="{31DD9C3E-D055-49A7-B3B2-432B0A272317}"/>
    <cellStyle name="40% - Accent2 5 3 2" xfId="36983" xr:uid="{85BD3798-7584-4EFC-A32B-3197E3B54470}"/>
    <cellStyle name="40% - Accent2 5 4" xfId="36984" xr:uid="{AABFC8B3-5D97-415C-8168-65C4529E526F}"/>
    <cellStyle name="40% - Accent2 5 5" xfId="36985" xr:uid="{F94D9D3E-5485-4845-A706-6975438C8E85}"/>
    <cellStyle name="40% - Accent2 50" xfId="11953" xr:uid="{30E6C05C-7037-465C-A08C-334395C664C1}"/>
    <cellStyle name="40% - Accent2 50 2" xfId="11954" xr:uid="{51EA9EE3-3767-4A93-AE29-08C9D569DF14}"/>
    <cellStyle name="40% - Accent2 50 3" xfId="36986" xr:uid="{547D592A-218F-4EF7-A59B-68ED28776992}"/>
    <cellStyle name="40% - Accent2 51" xfId="11955" xr:uid="{2D9CC983-981B-4C57-B768-3FFCA7B6C8C7}"/>
    <cellStyle name="40% - Accent2 51 2" xfId="36987" xr:uid="{1AAB0EBE-AE4E-4311-9D1F-900117D8BE65}"/>
    <cellStyle name="40% - Accent2 52" xfId="11956" xr:uid="{3F48132A-4FD6-4240-B22B-BF423178357B}"/>
    <cellStyle name="40% - Accent2 52 2" xfId="36988" xr:uid="{E1788A89-C83D-4EDD-B1E1-FBF8677BE0E4}"/>
    <cellStyle name="40% - Accent2 53" xfId="11957" xr:uid="{EECE77D4-12EC-4C25-9ACD-4CF64E5CAFDE}"/>
    <cellStyle name="40% - Accent2 53 2" xfId="36989" xr:uid="{082733AC-47B4-4902-88E7-D3FDE05783D4}"/>
    <cellStyle name="40% - Accent2 54" xfId="11958" xr:uid="{1820A247-A1EE-4607-AB79-8BB55A2326C7}"/>
    <cellStyle name="40% - Accent2 54 2" xfId="36990" xr:uid="{675FFA05-70C3-4D49-94E5-8A4B50CB6053}"/>
    <cellStyle name="40% - Accent2 55" xfId="11959" xr:uid="{D4B8D3EB-C473-49E5-AC8A-2C0271543C17}"/>
    <cellStyle name="40% - Accent2 55 2" xfId="36991" xr:uid="{A2CCFF80-765C-4155-86DB-C30176636973}"/>
    <cellStyle name="40% - Accent2 56" xfId="11960" xr:uid="{A1DA267F-20E6-4AA0-8AF0-A21F6853477B}"/>
    <cellStyle name="40% - Accent2 56 2" xfId="36992" xr:uid="{143B116E-308C-4B01-91DD-3A85DE91245E}"/>
    <cellStyle name="40% - Accent2 57" xfId="11961" xr:uid="{F506B833-9188-4AEA-AFC4-B48BE5609B5E}"/>
    <cellStyle name="40% - Accent2 57 2" xfId="36993" xr:uid="{EB53A118-65E8-4E26-88C0-A0B581D78988}"/>
    <cellStyle name="40% - Accent2 58" xfId="11962" xr:uid="{5390DAEF-11F5-4D32-BE31-C381C65A1F55}"/>
    <cellStyle name="40% - Accent2 58 2" xfId="36994" xr:uid="{EA448D3A-4D3F-4EDD-B7FC-917FC08C750B}"/>
    <cellStyle name="40% - Accent2 59" xfId="11963" xr:uid="{16577DA2-C407-4BFC-99BF-5BA21778C94A}"/>
    <cellStyle name="40% - Accent2 59 2" xfId="36995" xr:uid="{4050C2BD-EB6E-4B0D-A436-2E744BF441FB}"/>
    <cellStyle name="40% - Accent2 6" xfId="11964" xr:uid="{9BA0D03A-96E0-4E6E-A00A-6F479641C237}"/>
    <cellStyle name="40% - Accent2 6 2" xfId="11965" xr:uid="{AEC01B68-825F-42C1-96AE-ED5EA2BB333D}"/>
    <cellStyle name="40% - Accent2 6 2 2" xfId="11966" xr:uid="{3D9EEDEC-6394-4CD8-AF3B-BC24C477513B}"/>
    <cellStyle name="40% - Accent2 6 2 2 2" xfId="36996" xr:uid="{DF9E8BE9-1CD8-42CA-87C5-497838D8A970}"/>
    <cellStyle name="40% - Accent2 6 2 3" xfId="36997" xr:uid="{B8A19C32-0DFB-429C-A40E-1037433781BC}"/>
    <cellStyle name="40% - Accent2 6 2 4" xfId="36998" xr:uid="{456E150B-87C6-4024-A8C6-66982A341495}"/>
    <cellStyle name="40% - Accent2 6 3" xfId="11967" xr:uid="{EC9F604F-D423-4EAD-BD16-944BF05D8A0D}"/>
    <cellStyle name="40% - Accent2 6 3 2" xfId="36999" xr:uid="{6C525C24-24B4-4873-B8DB-7C9B19AE526C}"/>
    <cellStyle name="40% - Accent2 6 4" xfId="37000" xr:uid="{E2E7A802-D4CB-40A2-B10C-E55D70ED732E}"/>
    <cellStyle name="40% - Accent2 6 5" xfId="37001" xr:uid="{494B5186-1E28-4CDB-8218-2F81C1D8898B}"/>
    <cellStyle name="40% - Accent2 60" xfId="11968" xr:uid="{E46C3339-CB32-4FE9-A3BA-9064016DBE51}"/>
    <cellStyle name="40% - Accent2 60 2" xfId="37002" xr:uid="{DA99B2C3-EAA2-4D30-ABAC-C36C10619AB7}"/>
    <cellStyle name="40% - Accent2 61" xfId="11969" xr:uid="{786002C1-7173-429D-8F13-1491DCBE93F8}"/>
    <cellStyle name="40% - Accent2 61 2" xfId="37003" xr:uid="{8E81C2E4-9AD1-4ECA-AAF6-2941B0EA4262}"/>
    <cellStyle name="40% - Accent2 62" xfId="11970" xr:uid="{35CD2238-13A8-4050-A209-F9BF39408ADD}"/>
    <cellStyle name="40% - Accent2 62 2" xfId="37004" xr:uid="{2FE3A632-F9F4-454E-9EAC-00C4ACF7CB05}"/>
    <cellStyle name="40% - Accent2 63" xfId="11971" xr:uid="{A4813611-2DC4-4D04-A3CD-A70058DBD402}"/>
    <cellStyle name="40% - Accent2 63 2" xfId="37005" xr:uid="{C70AA259-FB7E-4075-8AEE-185FBCC29AD4}"/>
    <cellStyle name="40% - Accent2 64" xfId="11972" xr:uid="{5141DF29-C245-45AF-82DE-AE6A9A9C1177}"/>
    <cellStyle name="40% - Accent2 64 2" xfId="37006" xr:uid="{340C96A1-4FEE-4CAD-AECC-7F3BF4EFEEDE}"/>
    <cellStyle name="40% - Accent2 65" xfId="11973" xr:uid="{CE82C086-6D97-46FA-8044-C0F6F5CC2570}"/>
    <cellStyle name="40% - Accent2 65 2" xfId="37007" xr:uid="{B9A43698-1E0D-493E-9A7E-8C62EE27C7ED}"/>
    <cellStyle name="40% - Accent2 66" xfId="11974" xr:uid="{90C0777B-932E-492C-9448-5C9DBBE36B24}"/>
    <cellStyle name="40% - Accent2 66 2" xfId="11975" xr:uid="{FBA11D19-CA1C-4BEF-9CF7-9F8045EFE1C3}"/>
    <cellStyle name="40% - Accent2 66 2 2" xfId="11976" xr:uid="{B51F53EB-0A7B-49BB-87F1-CE2A5EF95E7E}"/>
    <cellStyle name="40% - Accent2 66 3" xfId="11977" xr:uid="{CAC16B89-1210-48E9-8BEF-6035EF05445A}"/>
    <cellStyle name="40% - Accent2 66 3 2" xfId="11978" xr:uid="{2F183B11-872E-4BE6-9CDA-8753968F020F}"/>
    <cellStyle name="40% - Accent2 66 4" xfId="11979" xr:uid="{313EC437-A92B-40EA-A3ED-AC7D1758D9FD}"/>
    <cellStyle name="40% - Accent2 66 5" xfId="37008" xr:uid="{2FF6007F-5232-4399-B32A-A76EE7084084}"/>
    <cellStyle name="40% - Accent2 67" xfId="11980" xr:uid="{BA8499D2-6077-4CE8-9AE0-4F5C441CAAAC}"/>
    <cellStyle name="40% - Accent2 67 2" xfId="11981" xr:uid="{668007D8-91C0-4C46-8DA2-0A3A54CF952F}"/>
    <cellStyle name="40% - Accent2 67 2 2" xfId="11982" xr:uid="{875F512A-BC31-4440-A676-7A69B16D616B}"/>
    <cellStyle name="40% - Accent2 67 3" xfId="11983" xr:uid="{BBFB7D1E-49C1-4A87-909D-0614584B750C}"/>
    <cellStyle name="40% - Accent2 67 3 2" xfId="11984" xr:uid="{2CCB6D17-D408-40F5-AC16-C9869AFCEF14}"/>
    <cellStyle name="40% - Accent2 67 4" xfId="11985" xr:uid="{DCEFB2BB-5E26-41AB-B91E-2992962E9DBD}"/>
    <cellStyle name="40% - Accent2 67 5" xfId="37009" xr:uid="{0F8EE4B3-3D07-4323-A030-B70EB495C9AF}"/>
    <cellStyle name="40% - Accent2 68" xfId="11986" xr:uid="{0AF355BF-790C-44F8-8CA5-93AEF7762612}"/>
    <cellStyle name="40% - Accent2 68 2" xfId="11987" xr:uid="{82B023D1-51F0-4B0D-B3B8-D9FCC22C549E}"/>
    <cellStyle name="40% - Accent2 68 2 2" xfId="11988" xr:uid="{0BB0801B-14D1-4C4D-88D7-5AAA5C786473}"/>
    <cellStyle name="40% - Accent2 68 3" xfId="11989" xr:uid="{D822D23E-1E16-4108-8279-B28642D4E6CF}"/>
    <cellStyle name="40% - Accent2 68 3 2" xfId="11990" xr:uid="{D385B416-1E00-476E-A5FC-B0C039BC8729}"/>
    <cellStyle name="40% - Accent2 68 4" xfId="11991" xr:uid="{4D93F23F-49AE-4A27-873A-C682ED7E8D18}"/>
    <cellStyle name="40% - Accent2 68 5" xfId="37010" xr:uid="{9012B80B-31D8-49C5-B957-0F41E2DDF72A}"/>
    <cellStyle name="40% - Accent2 69" xfId="11992" xr:uid="{FE8E19B5-8C1B-44EA-B80F-C62A46D05375}"/>
    <cellStyle name="40% - Accent2 69 2" xfId="11993" xr:uid="{51758CE9-95EA-4222-8030-87CE8262A421}"/>
    <cellStyle name="40% - Accent2 69 2 2" xfId="11994" xr:uid="{9F8D8420-1A88-46BE-84E2-0E18A987840D}"/>
    <cellStyle name="40% - Accent2 69 3" xfId="11995" xr:uid="{C9616BF9-E684-4321-8FF3-0E2B6653D05A}"/>
    <cellStyle name="40% - Accent2 69 4" xfId="37011" xr:uid="{F7FD9CCA-6F60-4B0F-A7E6-507DAC8CEE91}"/>
    <cellStyle name="40% - Accent2 7" xfId="11996" xr:uid="{148A8711-EB95-4249-B1F3-638B5A98CEE1}"/>
    <cellStyle name="40% - Accent2 7 2" xfId="11997" xr:uid="{6426D5D6-A394-4E18-B349-8D9654ED1E3E}"/>
    <cellStyle name="40% - Accent2 7 2 2" xfId="11998" xr:uid="{8D2008A5-DC93-4848-8A38-165665056CBC}"/>
    <cellStyle name="40% - Accent2 7 2 2 2" xfId="37012" xr:uid="{29341E10-966F-483D-83DB-0E5265A5DB9D}"/>
    <cellStyle name="40% - Accent2 7 2 3" xfId="37013" xr:uid="{1873D43E-B6EC-4363-9574-339F09EAF507}"/>
    <cellStyle name="40% - Accent2 7 2 4" xfId="37014" xr:uid="{2836C6B6-53ED-47BE-B280-A012F400AA8C}"/>
    <cellStyle name="40% - Accent2 7 3" xfId="11999" xr:uid="{1C340EFC-6AE7-4917-BFF1-98EA745FEE3A}"/>
    <cellStyle name="40% - Accent2 7 3 2" xfId="37015" xr:uid="{E3AC30AD-7DF4-49CF-954B-08B92F8B6BDE}"/>
    <cellStyle name="40% - Accent2 7 4" xfId="37016" xr:uid="{1FC348C3-9A31-414B-B239-9472674B947F}"/>
    <cellStyle name="40% - Accent2 7 5" xfId="37017" xr:uid="{421319F3-DFD8-4CF9-BC07-2EF5E4EE9860}"/>
    <cellStyle name="40% - Accent2 70" xfId="12000" xr:uid="{E2B3E302-01EB-455C-B406-62EB749E8B35}"/>
    <cellStyle name="40% - Accent2 70 2" xfId="12001" xr:uid="{AA07CA0C-D5CC-4852-B612-7B333068D796}"/>
    <cellStyle name="40% - Accent2 70 2 2" xfId="12002" xr:uid="{3F37302E-FAF2-4598-8216-9AFD4D3AC61C}"/>
    <cellStyle name="40% - Accent2 70 3" xfId="12003" xr:uid="{4B1E476E-D320-4AAD-BAF4-0344ADAE376C}"/>
    <cellStyle name="40% - Accent2 70 4" xfId="37018" xr:uid="{EA0C2FE9-B606-49FF-BB6A-87D5260A4638}"/>
    <cellStyle name="40% - Accent2 71" xfId="12004" xr:uid="{DB155FCB-A9E2-4821-BEF8-D6320B0722BE}"/>
    <cellStyle name="40% - Accent2 71 2" xfId="12005" xr:uid="{2D112088-DEB0-422C-911E-80360739E580}"/>
    <cellStyle name="40% - Accent2 71 2 2" xfId="12006" xr:uid="{5D390129-1A28-49E6-A241-B293A53B7533}"/>
    <cellStyle name="40% - Accent2 71 3" xfId="12007" xr:uid="{BC0B4CF8-36C0-4E46-BA58-CCC44350BE53}"/>
    <cellStyle name="40% - Accent2 71 4" xfId="37019" xr:uid="{FAF7B445-3B6F-49CC-AD0C-B1C6DFD85426}"/>
    <cellStyle name="40% - Accent2 72" xfId="12008" xr:uid="{2B74CF27-C9C4-4EE1-B93D-D98D9E72FC31}"/>
    <cellStyle name="40% - Accent2 72 2" xfId="12009" xr:uid="{3FEC39D1-9B49-431F-8627-2E3EAC55ECB3}"/>
    <cellStyle name="40% - Accent2 72 2 2" xfId="12010" xr:uid="{A6A3F41A-47C1-4A7A-9D30-5F1BFE2CAF1D}"/>
    <cellStyle name="40% - Accent2 72 3" xfId="12011" xr:uid="{0CBEE5F4-B682-46C5-A596-65CB7EF56F0F}"/>
    <cellStyle name="40% - Accent2 72 4" xfId="37020" xr:uid="{F090BA2F-4F87-4B47-AE42-18F91CE6C801}"/>
    <cellStyle name="40% - Accent2 73" xfId="12012" xr:uid="{3F001E44-622F-4E1B-B807-1FEC40698B31}"/>
    <cellStyle name="40% - Accent2 73 2" xfId="12013" xr:uid="{E5AECB73-B583-48D2-9DF5-393E96C41BCB}"/>
    <cellStyle name="40% - Accent2 73 2 2" xfId="12014" xr:uid="{9FDEB5FF-4CDE-4598-9F1C-757A0935CA6C}"/>
    <cellStyle name="40% - Accent2 73 3" xfId="12015" xr:uid="{11E1F45A-188E-46E3-9D08-103757D90348}"/>
    <cellStyle name="40% - Accent2 73 4" xfId="37021" xr:uid="{BEA1BD96-CE84-4042-B4C7-CB4D63E20D7B}"/>
    <cellStyle name="40% - Accent2 74" xfId="12016" xr:uid="{67E71B74-0A58-4169-B9F0-21CFF4A6AA58}"/>
    <cellStyle name="40% - Accent2 74 2" xfId="12017" xr:uid="{FB4D117F-54C6-498D-B7F7-0F002DF27492}"/>
    <cellStyle name="40% - Accent2 74 2 2" xfId="12018" xr:uid="{DA733855-371A-4F6D-9881-D0D528C39963}"/>
    <cellStyle name="40% - Accent2 74 3" xfId="12019" xr:uid="{E21487B7-29CB-413F-833A-8AA18314A708}"/>
    <cellStyle name="40% - Accent2 74 4" xfId="37022" xr:uid="{62CDEF32-502C-4770-9C5D-CD359297A203}"/>
    <cellStyle name="40% - Accent2 75" xfId="12020" xr:uid="{D9F71151-5EE2-4298-9C29-8947687A51BA}"/>
    <cellStyle name="40% - Accent2 75 2" xfId="12021" xr:uid="{8C9238FD-EE48-4BBC-8B18-138EFE7A0184}"/>
    <cellStyle name="40% - Accent2 75 2 2" xfId="12022" xr:uid="{1A221E3F-B9C0-4E25-9167-99832F0A4588}"/>
    <cellStyle name="40% - Accent2 75 3" xfId="12023" xr:uid="{3470129D-CED0-46C0-A19F-26D44F5F979F}"/>
    <cellStyle name="40% - Accent2 75 4" xfId="37023" xr:uid="{EB4288F9-760E-4A39-9D2C-D6B357C1FAC9}"/>
    <cellStyle name="40% - Accent2 76" xfId="12024" xr:uid="{869AB4FF-3C42-46BE-8808-647C137F11F1}"/>
    <cellStyle name="40% - Accent2 76 2" xfId="12025" xr:uid="{E430A576-9BD5-488A-A6DE-14152A36BE3B}"/>
    <cellStyle name="40% - Accent2 76 2 2" xfId="12026" xr:uid="{7C7C4D03-258F-4D7A-B88A-5BA30D47C8D5}"/>
    <cellStyle name="40% - Accent2 76 3" xfId="12027" xr:uid="{78D045BC-85AE-4EB8-AB0F-DE57FD7B6CF5}"/>
    <cellStyle name="40% - Accent2 76 4" xfId="37024" xr:uid="{06C22D10-6C37-40EF-A140-11BEC8CFDE44}"/>
    <cellStyle name="40% - Accent2 77" xfId="12028" xr:uid="{333455E2-5AF2-4CFF-BFEF-D1653F4FB0FF}"/>
    <cellStyle name="40% - Accent2 77 2" xfId="12029" xr:uid="{90078815-DB2E-4E12-BF92-F9E6DAF52DA4}"/>
    <cellStyle name="40% - Accent2 77 2 2" xfId="12030" xr:uid="{6983C23F-4A7E-436A-96B9-4CDB78408FFC}"/>
    <cellStyle name="40% - Accent2 77 3" xfId="12031" xr:uid="{4A9BF83F-1B42-46C6-9167-EA990DEF1E56}"/>
    <cellStyle name="40% - Accent2 77 4" xfId="37025" xr:uid="{4FC085A7-A3F0-4438-A097-1873F580A366}"/>
    <cellStyle name="40% - Accent2 78" xfId="12032" xr:uid="{17CA8DF6-A39E-4FF1-93CD-D62F32B774A4}"/>
    <cellStyle name="40% - Accent2 78 2" xfId="12033" xr:uid="{124AA3EF-E91F-48F2-A06A-B18180750309}"/>
    <cellStyle name="40% - Accent2 78 2 2" xfId="12034" xr:uid="{443D19F6-6C23-40CF-A1E3-D7FB220F2C38}"/>
    <cellStyle name="40% - Accent2 78 3" xfId="12035" xr:uid="{B3D9DA11-67C4-4EC4-BB19-81F2409EBB0E}"/>
    <cellStyle name="40% - Accent2 78 4" xfId="37026" xr:uid="{21AA6E30-F3AD-453A-BE7E-7C0C24345FB0}"/>
    <cellStyle name="40% - Accent2 79" xfId="12036" xr:uid="{A6DECB02-9162-45C4-B13C-49E4113A934F}"/>
    <cellStyle name="40% - Accent2 79 2" xfId="12037" xr:uid="{ECA35F42-E7E6-4C95-8131-ED97881B8CDD}"/>
    <cellStyle name="40% - Accent2 79 3" xfId="37027" xr:uid="{B059753B-C2B6-4ADB-9DED-2B71E4AD87D0}"/>
    <cellStyle name="40% - Accent2 8" xfId="12038" xr:uid="{1524DEC5-58C6-47C6-8FE1-E02ACC6DB594}"/>
    <cellStyle name="40% - Accent2 8 2" xfId="12039" xr:uid="{42E2BDCC-3082-4C48-A0E0-CAE70B95BDAA}"/>
    <cellStyle name="40% - Accent2 8 2 2" xfId="12040" xr:uid="{C2273379-86C6-4F4C-9227-A5CC1A8DA2E7}"/>
    <cellStyle name="40% - Accent2 8 2 2 2" xfId="37028" xr:uid="{44666DF4-A0B6-4FF7-B9B3-4974EC782699}"/>
    <cellStyle name="40% - Accent2 8 2 3" xfId="37029" xr:uid="{09E97EC1-2B81-40FB-8148-BB23B2738020}"/>
    <cellStyle name="40% - Accent2 8 3" xfId="12041" xr:uid="{B951EBB3-7A93-4B2F-8F28-AAD5B2DF7EFA}"/>
    <cellStyle name="40% - Accent2 8 3 2" xfId="37030" xr:uid="{B52A43A2-3090-4284-A5F7-AD5CAD8D1B0B}"/>
    <cellStyle name="40% - Accent2 8 4" xfId="37031" xr:uid="{31437518-4BEE-43BF-ADD3-A08DFAF0B639}"/>
    <cellStyle name="40% - Accent2 8 5" xfId="37032" xr:uid="{54AFF801-8A32-430D-AE86-01C1F2F030D1}"/>
    <cellStyle name="40% - Accent2 8 6" xfId="37033" xr:uid="{C4855450-4E58-4390-B67C-B5B695516DD8}"/>
    <cellStyle name="40% - Accent2 8 7" xfId="37034" xr:uid="{4E8B49A2-74CA-4772-AF08-C284D50D5E4B}"/>
    <cellStyle name="40% - Accent2 80" xfId="12042" xr:uid="{835D6471-A803-4C53-83FE-C9DE60C19778}"/>
    <cellStyle name="40% - Accent2 80 2" xfId="12043" xr:uid="{0B2CE179-A4C7-4E63-AB2D-A4D0F1CE915E}"/>
    <cellStyle name="40% - Accent2 80 3" xfId="37035" xr:uid="{E1A0A0FD-D49A-4E3B-B8A6-CA8411CB243C}"/>
    <cellStyle name="40% - Accent2 81" xfId="12044" xr:uid="{0EC93DE6-018D-4E42-8822-02E8DA99EE6B}"/>
    <cellStyle name="40% - Accent2 81 2" xfId="12045" xr:uid="{FBFE0A8F-9CC1-454B-A6A9-565F9A63FA67}"/>
    <cellStyle name="40% - Accent2 81 3" xfId="37036" xr:uid="{273D29BF-669C-466D-9691-84CC0F6506E6}"/>
    <cellStyle name="40% - Accent2 82" xfId="12046" xr:uid="{32116391-F361-42C5-9F3E-F96BEB3C6658}"/>
    <cellStyle name="40% - Accent2 82 2" xfId="12047" xr:uid="{1A94EC49-3B2D-4E6C-94B1-19BA2B0F93E9}"/>
    <cellStyle name="40% - Accent2 82 3" xfId="37037" xr:uid="{FC91D16E-5DDB-41A3-AA43-D7FC214DF59D}"/>
    <cellStyle name="40% - Accent2 83" xfId="12048" xr:uid="{2544F03F-0D58-4784-930C-1DD888EB872C}"/>
    <cellStyle name="40% - Accent2 83 2" xfId="12049" xr:uid="{D52FE017-9151-49CC-917B-603140C5EE70}"/>
    <cellStyle name="40% - Accent2 83 3" xfId="37038" xr:uid="{FDE1D458-6572-4611-BEB3-04F6408897D4}"/>
    <cellStyle name="40% - Accent2 84" xfId="12050" xr:uid="{66087B41-F9A2-4C7A-9F26-137D127EAF0E}"/>
    <cellStyle name="40% - Accent2 84 2" xfId="12051" xr:uid="{AC8EE4E1-6D23-4466-9068-BDA68AD3C6B9}"/>
    <cellStyle name="40% - Accent2 84 3" xfId="37039" xr:uid="{A7C5B7DF-C09B-4639-97D5-654A83A7AE4B}"/>
    <cellStyle name="40% - Accent2 85" xfId="12052" xr:uid="{A5A5542E-9874-4BBE-9936-3DBF8BC814E7}"/>
    <cellStyle name="40% - Accent2 85 2" xfId="12053" xr:uid="{1E9027EF-7BFF-4FFD-8AA8-8D6AA01BB923}"/>
    <cellStyle name="40% - Accent2 85 3" xfId="37040" xr:uid="{C0CDAD57-C15C-4A8C-A2F5-9F7D182BF846}"/>
    <cellStyle name="40% - Accent2 86" xfId="12054" xr:uid="{589CDADC-FC9E-444B-BA74-B824016E212E}"/>
    <cellStyle name="40% - Accent2 86 2" xfId="12055" xr:uid="{996F91DC-AD15-4788-9DB4-2CDDFE407CD3}"/>
    <cellStyle name="40% - Accent2 86 3" xfId="37041" xr:uid="{D3461478-7949-466A-9B40-C92DF776E43B}"/>
    <cellStyle name="40% - Accent2 87" xfId="12056" xr:uid="{A437A096-8FD4-4B3C-AEB1-F1AA06981BC3}"/>
    <cellStyle name="40% - Accent2 87 2" xfId="12057" xr:uid="{21EE0E79-B205-49CD-84EF-1D1DAEE8DFEE}"/>
    <cellStyle name="40% - Accent2 87 3" xfId="37042" xr:uid="{800E7349-0704-4CD3-8011-DF26F89B5D15}"/>
    <cellStyle name="40% - Accent2 88" xfId="12058" xr:uid="{2A07CF1A-891D-4E1F-A39B-BF667281146C}"/>
    <cellStyle name="40% - Accent2 88 2" xfId="12059" xr:uid="{F3849567-F817-4E7F-AB8F-9B53B1E61BF1}"/>
    <cellStyle name="40% - Accent2 88 3" xfId="37043" xr:uid="{12362A94-AB04-4652-A4B8-A68D6131357D}"/>
    <cellStyle name="40% - Accent2 89" xfId="12060" xr:uid="{59D6F5C4-D14D-4B41-806E-2DDC01337366}"/>
    <cellStyle name="40% - Accent2 89 2" xfId="12061" xr:uid="{9A10AA28-277B-4AE6-8CFF-BF0D564BFA99}"/>
    <cellStyle name="40% - Accent2 89 3" xfId="37044" xr:uid="{921B88AF-E6D4-4D40-A5C4-CFE5A4C8A82A}"/>
    <cellStyle name="40% - Accent2 9" xfId="12062" xr:uid="{8DB17496-92E3-4AE3-BB94-CD743BB4DB4B}"/>
    <cellStyle name="40% - Accent2 9 2" xfId="12063" xr:uid="{EB0E80F6-C4CA-4A47-AD00-00ACB9137222}"/>
    <cellStyle name="40% - Accent2 9 2 2" xfId="12064" xr:uid="{5D8C98D5-915D-4EB8-88E6-E25EA788F0DA}"/>
    <cellStyle name="40% - Accent2 9 2 2 2" xfId="37045" xr:uid="{90D3E913-4EF9-461B-88D7-72C3EBD52D06}"/>
    <cellStyle name="40% - Accent2 9 2 3" xfId="37046" xr:uid="{F45854EE-69DF-4C07-8188-D051B5E7CF3C}"/>
    <cellStyle name="40% - Accent2 9 3" xfId="12065" xr:uid="{2E8C9B1D-37F9-4E74-BEFE-9AFB5024F39A}"/>
    <cellStyle name="40% - Accent2 9 3 2" xfId="37047" xr:uid="{434E27C8-2146-4500-9F63-88E7370019F6}"/>
    <cellStyle name="40% - Accent2 9 4" xfId="37048" xr:uid="{195DB281-C824-4F6E-A744-5FCFE8334589}"/>
    <cellStyle name="40% - Accent2 9 5" xfId="37049" xr:uid="{EDB05052-3065-4AE6-9CCF-3A3F947B19EA}"/>
    <cellStyle name="40% - Accent2 9 6" xfId="37050" xr:uid="{E88563C7-E4E9-42FF-AA53-36D49478B2B6}"/>
    <cellStyle name="40% - Accent2 90" xfId="12066" xr:uid="{54F3F5DC-EA52-4675-9329-E75193D6BDE3}"/>
    <cellStyle name="40% - Accent2 90 2" xfId="12067" xr:uid="{A86A7EF4-AFFF-4AF6-9DE0-B8EAF20DFC36}"/>
    <cellStyle name="40% - Accent2 90 3" xfId="37051" xr:uid="{B2CAE8F2-4866-4E87-8615-2F85516BBF9B}"/>
    <cellStyle name="40% - Accent2 91" xfId="12068" xr:uid="{5BD1451B-92F6-437C-81A9-93DFE18FDE6F}"/>
    <cellStyle name="40% - Accent2 91 2" xfId="12069" xr:uid="{621FF8F5-E9EC-4FE7-BEBF-E3E393F8564B}"/>
    <cellStyle name="40% - Accent2 91 3" xfId="37052" xr:uid="{2C205975-9E82-481F-A95F-FE640D0061BA}"/>
    <cellStyle name="40% - Accent2 92" xfId="12070" xr:uid="{F763F11E-B242-483C-BD15-ED7DF035A051}"/>
    <cellStyle name="40% - Accent2 92 2" xfId="12071" xr:uid="{E5F90899-47DF-4B3B-85B3-0264EAB4745D}"/>
    <cellStyle name="40% - Accent2 92 3" xfId="37053" xr:uid="{818AB7C7-9AF4-463C-91CC-8D7BB69897DB}"/>
    <cellStyle name="40% - Accent2 93" xfId="12072" xr:uid="{F155B279-C397-47ED-A64B-1B1D5158C206}"/>
    <cellStyle name="40% - Accent2 93 2" xfId="12073" xr:uid="{C0A38C06-84B7-49F7-984D-965C5BE1E9C4}"/>
    <cellStyle name="40% - Accent2 93 3" xfId="37054" xr:uid="{4FC25076-3398-40CE-93BB-875E20228FA0}"/>
    <cellStyle name="40% - Accent2 94" xfId="12074" xr:uid="{2E99AF8A-90B1-4580-B457-C1D01BD7A0F9}"/>
    <cellStyle name="40% - Accent2 94 2" xfId="12075" xr:uid="{C860789F-1626-4F21-8F58-CD179946A233}"/>
    <cellStyle name="40% - Accent2 94 3" xfId="37055" xr:uid="{C0D01C9C-450D-4A97-8276-EBF363B8C47F}"/>
    <cellStyle name="40% - Accent2 95" xfId="12076" xr:uid="{B112C2C3-64C7-499E-B2CC-820B49169900}"/>
    <cellStyle name="40% - Accent2 95 2" xfId="12077" xr:uid="{D76E369A-0AB2-4818-9512-0E6A6A0AFFF2}"/>
    <cellStyle name="40% - Accent2 95 3" xfId="37056" xr:uid="{0E40101D-9BD7-472C-9ECE-4E1C22AC00C1}"/>
    <cellStyle name="40% - Accent2 96" xfId="12078" xr:uid="{606D10D5-2FB4-4D63-8134-02257E7DBEC3}"/>
    <cellStyle name="40% - Accent2 96 2" xfId="12079" xr:uid="{0E67BB2C-B65D-4760-93C3-5BD116E484B4}"/>
    <cellStyle name="40% - Accent2 96 3" xfId="37057" xr:uid="{F9754321-FF00-42E7-AB9A-9E059148859D}"/>
    <cellStyle name="40% - Accent2 97" xfId="12080" xr:uid="{EA33A2D0-EF79-4C90-875F-9CAB695D802F}"/>
    <cellStyle name="40% - Accent2 97 2" xfId="12081" xr:uid="{74D81C39-B30E-46A3-A0F8-CFE38066EEA0}"/>
    <cellStyle name="40% - Accent2 97 3" xfId="37058" xr:uid="{596C15E1-A6B7-4525-B3EF-1FB28DDFAABE}"/>
    <cellStyle name="40% - Accent2 98" xfId="12082" xr:uid="{E6B74CE6-12BD-4EAE-B963-8FCEFD120590}"/>
    <cellStyle name="40% - Accent2 98 2" xfId="12083" xr:uid="{4BBCDDB7-F873-4437-99C7-CC31A30DE516}"/>
    <cellStyle name="40% - Accent2 98 3" xfId="37059" xr:uid="{95290D76-E500-4C8D-A810-DC9573E53ED5}"/>
    <cellStyle name="40% - Accent2 99" xfId="12084" xr:uid="{F4F0DEB5-26E3-402A-973B-F3F1FBF0966B}"/>
    <cellStyle name="40% - Accent2 99 2" xfId="12085" xr:uid="{90788491-B8DB-4B39-B05E-C6B55D3D4AAF}"/>
    <cellStyle name="40% - Accent2 99 3" xfId="37060" xr:uid="{C8512C88-D39B-441F-A7EA-EA525E342E8D}"/>
    <cellStyle name="40% - Accent3" xfId="40" builtinId="39" hidden="1"/>
    <cellStyle name="40% - Accent3" xfId="114" builtinId="39" customBuiltin="1"/>
    <cellStyle name="40% - Accent3 10" xfId="12086" xr:uid="{23AC0C5F-B34C-4372-A6C0-ECCBBEB3D2B6}"/>
    <cellStyle name="40% - Accent3 10 2" xfId="12087" xr:uid="{C689403D-AC94-436E-BDAB-4DB54CCFC63A}"/>
    <cellStyle name="40% - Accent3 10 2 2" xfId="12088" xr:uid="{EB1D8A6E-C727-4051-A2DF-A11DA018474F}"/>
    <cellStyle name="40% - Accent3 10 2 2 2" xfId="37061" xr:uid="{BC349F01-99A8-44D8-AC47-87B27AED565B}"/>
    <cellStyle name="40% - Accent3 10 2 3" xfId="37062" xr:uid="{80AB297B-B7F1-4C6B-9F20-D9EFB13D5215}"/>
    <cellStyle name="40% - Accent3 10 3" xfId="12089" xr:uid="{F01867DB-D4B2-40D8-9FBC-510B86388175}"/>
    <cellStyle name="40% - Accent3 10 3 2" xfId="37063" xr:uid="{77D09147-FC37-4508-AEA7-314D1D3C449C}"/>
    <cellStyle name="40% - Accent3 10 4" xfId="37064" xr:uid="{75B0129C-C50E-4E0A-8431-DE6388A7DC2B}"/>
    <cellStyle name="40% - Accent3 10 5" xfId="37065" xr:uid="{0032DECB-952B-49A8-BA3E-3E910E268A22}"/>
    <cellStyle name="40% - Accent3 10 6" xfId="37066" xr:uid="{73F24D6B-8A51-4E43-9FFB-77FE98344E7A}"/>
    <cellStyle name="40% - Accent3 100" xfId="12090" xr:uid="{D568B86A-7EB1-4B88-8AF0-9CAB98A4E837}"/>
    <cellStyle name="40% - Accent3 100 2" xfId="12091" xr:uid="{AD366135-E86C-4B0A-89DE-F8D5E15D9C3E}"/>
    <cellStyle name="40% - Accent3 100 3" xfId="37067" xr:uid="{09023DC3-DA57-416C-A375-853E6248431E}"/>
    <cellStyle name="40% - Accent3 101" xfId="12092" xr:uid="{F3E762D5-3D6A-48F3-933B-72113F631829}"/>
    <cellStyle name="40% - Accent3 102" xfId="12093" xr:uid="{A585C900-D347-48CF-9FD8-314AC6CD1AEB}"/>
    <cellStyle name="40% - Accent3 103" xfId="12094" xr:uid="{D6F08CCF-FB1A-4F8D-BCBD-F012D3B71A94}"/>
    <cellStyle name="40% - Accent3 104" xfId="12095" xr:uid="{BA5A9532-2C4D-4838-852D-F1A954B929A9}"/>
    <cellStyle name="40% - Accent3 105" xfId="12096" xr:uid="{0C9BD99C-F5F2-446C-A98D-A111B542AFE0}"/>
    <cellStyle name="40% - Accent3 106" xfId="12097" xr:uid="{96094B15-B7F9-4784-9ECD-611306D46668}"/>
    <cellStyle name="40% - Accent3 107" xfId="12098" xr:uid="{9D7461BA-9B35-4735-8A89-2D98B57A3268}"/>
    <cellStyle name="40% - Accent3 108" xfId="12099" xr:uid="{6BF8A293-A761-420F-8B77-8D3F49589BA0}"/>
    <cellStyle name="40% - Accent3 109" xfId="12100" xr:uid="{F170AC01-96B1-47D0-85F7-DAA71B3656EE}"/>
    <cellStyle name="40% - Accent3 11" xfId="12101" xr:uid="{46F82DE2-656C-4F10-8B17-A7CA074D7310}"/>
    <cellStyle name="40% - Accent3 11 2" xfId="12102" xr:uid="{F6BA0747-5CC9-4308-AF84-9DF6C1F643BF}"/>
    <cellStyle name="40% - Accent3 11 2 2" xfId="12103" xr:uid="{F95E611F-4179-4087-A64D-654125A8867B}"/>
    <cellStyle name="40% - Accent3 11 2 2 2" xfId="37068" xr:uid="{F65BBD08-E55C-4E1F-B416-D161B4B61606}"/>
    <cellStyle name="40% - Accent3 11 2 3" xfId="37069" xr:uid="{CCB81904-CA4D-4180-B650-3B32A11D69D1}"/>
    <cellStyle name="40% - Accent3 11 3" xfId="12104" xr:uid="{80C0E623-B147-40DC-9487-1F7423B107C3}"/>
    <cellStyle name="40% - Accent3 11 3 2" xfId="37070" xr:uid="{BA5901C8-8C00-4513-A242-C65384730811}"/>
    <cellStyle name="40% - Accent3 11 4" xfId="37071" xr:uid="{2B0067EB-9AA6-40D2-A5AF-779BCF6982F2}"/>
    <cellStyle name="40% - Accent3 11 5" xfId="37072" xr:uid="{3F9F37D9-7D2D-4501-9AC6-F11F9685A1FF}"/>
    <cellStyle name="40% - Accent3 11 6" xfId="37073" xr:uid="{E9905C75-BF5D-4CC6-A038-B152CAA9C9EA}"/>
    <cellStyle name="40% - Accent3 110" xfId="12105" xr:uid="{7ACAF811-451E-4761-8CAE-D1FF5AF0EDE4}"/>
    <cellStyle name="40% - Accent3 111" xfId="12106" xr:uid="{D1D302CC-9E48-44A6-8299-276C9EB96656}"/>
    <cellStyle name="40% - Accent3 112" xfId="12107" xr:uid="{777DD8EF-BA25-40CF-9219-83C355F95095}"/>
    <cellStyle name="40% - Accent3 113" xfId="12108" xr:uid="{90FCFBD0-62EF-4C54-999D-E7C7F193A8B3}"/>
    <cellStyle name="40% - Accent3 114" xfId="12109" xr:uid="{16A1923A-8894-46C7-8A6B-0EB7FDB920BF}"/>
    <cellStyle name="40% - Accent3 115" xfId="12110" xr:uid="{85018BD0-472D-403C-BD3D-E0DE79829019}"/>
    <cellStyle name="40% - Accent3 116" xfId="12111" xr:uid="{8CFA2433-35D1-468C-8EB3-E5B1ED0F5DE4}"/>
    <cellStyle name="40% - Accent3 117" xfId="12112" xr:uid="{8D27040B-9A37-498A-B65E-021F1538E333}"/>
    <cellStyle name="40% - Accent3 118" xfId="12113" xr:uid="{C77A1B5D-ED45-4A20-97F3-A426C166189B}"/>
    <cellStyle name="40% - Accent3 119" xfId="12114" xr:uid="{BD339EF1-F02A-4851-BC7A-B60197D8DF57}"/>
    <cellStyle name="40% - Accent3 12" xfId="12115" xr:uid="{7EA92C30-01CB-4849-8BEB-CF7CC5747F9F}"/>
    <cellStyle name="40% - Accent3 12 2" xfId="12116" xr:uid="{2C1E18CC-0D60-49F3-8BA6-023FC1AAAB9E}"/>
    <cellStyle name="40% - Accent3 12 2 2" xfId="12117" xr:uid="{0ECF6B08-76DB-4650-92DD-8285AE394484}"/>
    <cellStyle name="40% - Accent3 12 2 2 2" xfId="37074" xr:uid="{F25FF839-7EA0-491C-A01C-A897EF03B4AB}"/>
    <cellStyle name="40% - Accent3 12 2 3" xfId="37075" xr:uid="{0614AA1B-6178-4BFD-B21B-C341D627CC35}"/>
    <cellStyle name="40% - Accent3 12 3" xfId="12118" xr:uid="{3F62A94D-78DD-48C9-BD24-572E1EE064AD}"/>
    <cellStyle name="40% - Accent3 12 3 2" xfId="37076" xr:uid="{68E29DC3-AAA9-4E31-B711-ABC44ABB2DFC}"/>
    <cellStyle name="40% - Accent3 12 4" xfId="37077" xr:uid="{BC52D592-891A-44D6-B607-5E9CC31B2380}"/>
    <cellStyle name="40% - Accent3 12 5" xfId="37078" xr:uid="{C920B00F-DA11-469F-A73F-8D49A0F6D0D8}"/>
    <cellStyle name="40% - Accent3 12 6" xfId="37079" xr:uid="{B34DB5A3-847C-4002-A51F-015B0102B73A}"/>
    <cellStyle name="40% - Accent3 120" xfId="12119" xr:uid="{261D9708-7413-4CC8-B12D-E0F47D2EA627}"/>
    <cellStyle name="40% - Accent3 121" xfId="12120" xr:uid="{DB4D6743-B6E2-4DB3-9FF1-4EAA20015FDA}"/>
    <cellStyle name="40% - Accent3 122" xfId="12121" xr:uid="{18E5789D-2A6C-4DA0-9AA4-162436493179}"/>
    <cellStyle name="40% - Accent3 123" xfId="12122" xr:uid="{0EAAAC94-E046-4790-94EF-8F4E79AC1D85}"/>
    <cellStyle name="40% - Accent3 124" xfId="12123" xr:uid="{B47FCCE5-FA95-4A68-825B-23FC5EE76FBF}"/>
    <cellStyle name="40% - Accent3 125" xfId="12124" xr:uid="{E728A116-E64E-4290-A81B-BF3FF6A0F71E}"/>
    <cellStyle name="40% - Accent3 126" xfId="12125" xr:uid="{2FF3EE56-E740-4EE3-ABEC-1F57FB6BAFC6}"/>
    <cellStyle name="40% - Accent3 127" xfId="12126" xr:uid="{7456ABE3-194B-41D3-87D7-B2E9FA79266A}"/>
    <cellStyle name="40% - Accent3 128" xfId="12127" xr:uid="{CAFD08FA-3CEE-4BC0-B602-E91ECE048B1C}"/>
    <cellStyle name="40% - Accent3 129" xfId="12128" xr:uid="{25120F12-22F0-40C2-85EA-F12C84871D13}"/>
    <cellStyle name="40% - Accent3 13" xfId="12129" xr:uid="{7A5C7BE1-7E14-4912-B7AD-52CC2114D299}"/>
    <cellStyle name="40% - Accent3 13 2" xfId="12130" xr:uid="{AEFB595E-B97F-4CAC-88E9-F56C5B4A4F8D}"/>
    <cellStyle name="40% - Accent3 13 2 2" xfId="12131" xr:uid="{D96EA254-3D57-436C-A821-DAEE8F5F27AC}"/>
    <cellStyle name="40% - Accent3 13 2 2 2" xfId="37080" xr:uid="{57A384F3-E24A-4E61-BCD8-51AB29BA2B00}"/>
    <cellStyle name="40% - Accent3 13 2 3" xfId="37081" xr:uid="{0DA3DC9F-2A56-4B7B-9512-3FBD97583D55}"/>
    <cellStyle name="40% - Accent3 13 3" xfId="12132" xr:uid="{3B457634-C5A3-4A60-BFEF-6260C6F62AB0}"/>
    <cellStyle name="40% - Accent3 13 3 2" xfId="37082" xr:uid="{11FE0C3B-06D9-4031-8B7D-1181694D0E36}"/>
    <cellStyle name="40% - Accent3 13 4" xfId="37083" xr:uid="{3410C16E-3019-442D-92AA-58C72971A7F6}"/>
    <cellStyle name="40% - Accent3 13 5" xfId="37084" xr:uid="{F12C7D08-8673-4DBA-B67D-ACB6CC6EEA78}"/>
    <cellStyle name="40% - Accent3 13 6" xfId="37085" xr:uid="{518A8544-B1D0-4DEC-8387-86C95467A386}"/>
    <cellStyle name="40% - Accent3 130" xfId="12133" xr:uid="{F730AA50-C596-498D-8440-AAC6B0B29165}"/>
    <cellStyle name="40% - Accent3 131" xfId="12134" xr:uid="{486D7C9A-868C-4BEC-AA2B-6AADDC482E18}"/>
    <cellStyle name="40% - Accent3 132" xfId="12135" xr:uid="{87C6119E-FD25-4133-9915-8C5BE326DC24}"/>
    <cellStyle name="40% - Accent3 133" xfId="12136" xr:uid="{43ED601C-67EE-4311-B50B-C419F0E69A15}"/>
    <cellStyle name="40% - Accent3 134" xfId="12137" xr:uid="{4DDC6587-C34F-48B8-92F2-1F378E8E357B}"/>
    <cellStyle name="40% - Accent3 135" xfId="12138" xr:uid="{EE61B26B-BF1B-4F5D-A53C-17C228F81A9C}"/>
    <cellStyle name="40% - Accent3 136" xfId="12139" xr:uid="{1A2501C9-4B0C-416A-B7D4-0A9EE96680EC}"/>
    <cellStyle name="40% - Accent3 137" xfId="12140" xr:uid="{6F63D883-4119-4F6F-AB86-300CE9F2EFB6}"/>
    <cellStyle name="40% - Accent3 138" xfId="12141" xr:uid="{8E8F0E01-74DE-4E29-88D6-9112682033BC}"/>
    <cellStyle name="40% - Accent3 139" xfId="12142" xr:uid="{19D60C88-1081-4D4C-871B-C9297871F7AD}"/>
    <cellStyle name="40% - Accent3 14" xfId="12143" xr:uid="{90D57089-C943-4D02-AA39-9042533A9147}"/>
    <cellStyle name="40% - Accent3 14 2" xfId="12144" xr:uid="{E42073F9-3066-49DE-94C9-8FA963469E67}"/>
    <cellStyle name="40% - Accent3 14 2 2" xfId="12145" xr:uid="{DD6E8324-7C83-42B4-9B61-A9008D8A440F}"/>
    <cellStyle name="40% - Accent3 14 2 2 2" xfId="37086" xr:uid="{8F55DCB5-94DD-4813-9EDD-AEBAD07B7067}"/>
    <cellStyle name="40% - Accent3 14 2 3" xfId="37087" xr:uid="{55D8B35C-7E6B-48C7-A174-60D790F4426A}"/>
    <cellStyle name="40% - Accent3 14 3" xfId="12146" xr:uid="{25BBE155-C930-4E66-A743-4374B9ED0059}"/>
    <cellStyle name="40% - Accent3 14 3 2" xfId="37088" xr:uid="{90D95256-E3AD-48E8-94DE-3A100DD6E8FF}"/>
    <cellStyle name="40% - Accent3 14 4" xfId="37089" xr:uid="{BB83E93A-3F9F-4C6E-97B4-76FD62480434}"/>
    <cellStyle name="40% - Accent3 14 5" xfId="37090" xr:uid="{7F47CCFF-7399-4154-8C6D-097B10B1D4FD}"/>
    <cellStyle name="40% - Accent3 14 6" xfId="37091" xr:uid="{1040A432-05E7-4E62-AFE9-88C7E5F4212D}"/>
    <cellStyle name="40% - Accent3 140" xfId="12147" xr:uid="{7A12409D-0738-4E68-B759-85B05B9DB72B}"/>
    <cellStyle name="40% - Accent3 141" xfId="12148" xr:uid="{82A15931-6412-4233-8734-C0C75DFB3AE4}"/>
    <cellStyle name="40% - Accent3 142" xfId="12149" xr:uid="{B61B74F6-1EE3-4385-BB48-5A806AD48341}"/>
    <cellStyle name="40% - Accent3 143" xfId="12150" xr:uid="{503F1609-DEA8-4A4C-89D3-FD0FA44B5BEA}"/>
    <cellStyle name="40% - Accent3 144" xfId="12151" xr:uid="{E5096B69-D82D-44CA-B415-3F2075B6112E}"/>
    <cellStyle name="40% - Accent3 145" xfId="12152" xr:uid="{DFCEDD59-BE94-4D3C-BB27-EFB04F8CB6A7}"/>
    <cellStyle name="40% - Accent3 146" xfId="12153" xr:uid="{BB8FB354-711A-440D-B548-27DE8E26AB41}"/>
    <cellStyle name="40% - Accent3 147" xfId="12154" xr:uid="{048E8EDC-74C8-4175-9913-DC518BFBC01E}"/>
    <cellStyle name="40% - Accent3 148" xfId="12155" xr:uid="{86673196-C778-47F7-81AD-BB2A7CD3C738}"/>
    <cellStyle name="40% - Accent3 149" xfId="12156" xr:uid="{9FF14443-2A82-45CA-94EC-D56F34E42F9D}"/>
    <cellStyle name="40% - Accent3 15" xfId="12157" xr:uid="{6FD4AE0D-0F74-41ED-BE18-0B550D4E5A8C}"/>
    <cellStyle name="40% - Accent3 15 2" xfId="12158" xr:uid="{C2EAE1FF-0E73-4967-8083-25875A4BCFD4}"/>
    <cellStyle name="40% - Accent3 15 2 2" xfId="12159" xr:uid="{065D0E45-D9A6-4062-8404-42E0B54FBF6E}"/>
    <cellStyle name="40% - Accent3 15 2 2 2" xfId="37092" xr:uid="{1318FE83-25A2-480F-A4CA-AEF41970E7EC}"/>
    <cellStyle name="40% - Accent3 15 2 3" xfId="37093" xr:uid="{16103EBD-6095-46F5-BF7F-05B2207A5EB5}"/>
    <cellStyle name="40% - Accent3 15 3" xfId="12160" xr:uid="{DE7404DB-BAF4-429C-86C1-0BECC0614F35}"/>
    <cellStyle name="40% - Accent3 15 3 2" xfId="37094" xr:uid="{E8B8AE92-CD08-4E2E-9F30-CEE7FCE63C8D}"/>
    <cellStyle name="40% - Accent3 15 4" xfId="37095" xr:uid="{D624F1F0-1C22-4ADB-A8C3-01347497C27D}"/>
    <cellStyle name="40% - Accent3 15 5" xfId="37096" xr:uid="{C1D7FC66-2E64-4159-88B9-3EE38B4F2BA9}"/>
    <cellStyle name="40% - Accent3 15 6" xfId="37097" xr:uid="{20F4BDE3-B493-458A-97C6-28BF8AA74E1A}"/>
    <cellStyle name="40% - Accent3 150" xfId="12161" xr:uid="{84418659-CFDF-4FAD-A93B-BB51E1A7B04D}"/>
    <cellStyle name="40% - Accent3 151" xfId="12162" xr:uid="{CE83E6B1-FC69-4290-B447-8B597329D632}"/>
    <cellStyle name="40% - Accent3 152" xfId="12163" xr:uid="{AF04024B-44F3-4706-94A1-3AC71FA7F475}"/>
    <cellStyle name="40% - Accent3 153" xfId="12164" xr:uid="{E866B54F-2F74-4C4C-B899-A9E1A6FD5D72}"/>
    <cellStyle name="40% - Accent3 154" xfId="12165" xr:uid="{DF8EB06A-027E-41CE-9A40-6457265A0256}"/>
    <cellStyle name="40% - Accent3 155" xfId="12166" xr:uid="{E291FA91-759B-4137-B639-18B3BD04EB46}"/>
    <cellStyle name="40% - Accent3 156" xfId="12167" xr:uid="{15F9B19E-985C-4D16-8847-DAE9B1AF24B2}"/>
    <cellStyle name="40% - Accent3 157" xfId="12168" xr:uid="{7FCE211B-FDF5-4DFA-9F3A-0CA26240BB00}"/>
    <cellStyle name="40% - Accent3 158" xfId="12169" xr:uid="{3410A610-63D0-4213-AB23-79402921809C}"/>
    <cellStyle name="40% - Accent3 159" xfId="12170" xr:uid="{ED42178B-20BC-4EC3-8FB0-3D078D0C0170}"/>
    <cellStyle name="40% - Accent3 16" xfId="12171" xr:uid="{5205AB1F-265A-4755-95A4-8C537899622B}"/>
    <cellStyle name="40% - Accent3 16 2" xfId="12172" xr:uid="{2D0A9E54-2B95-4999-B174-82D2D96593DC}"/>
    <cellStyle name="40% - Accent3 16 2 2" xfId="12173" xr:uid="{714B08D7-D092-466F-93B1-39618CD95834}"/>
    <cellStyle name="40% - Accent3 16 2 2 2" xfId="37098" xr:uid="{D9F2FE40-DCFB-4112-BAF0-2DFD0B937B59}"/>
    <cellStyle name="40% - Accent3 16 2 3" xfId="37099" xr:uid="{45720ADC-9990-44BA-881D-E6C387BE55E6}"/>
    <cellStyle name="40% - Accent3 16 3" xfId="12174" xr:uid="{F7406EC3-76AA-43A2-83C9-D780D9731AEE}"/>
    <cellStyle name="40% - Accent3 16 3 2" xfId="37100" xr:uid="{9530B45A-40FF-43A0-BAAD-491052AC655D}"/>
    <cellStyle name="40% - Accent3 16 4" xfId="37101" xr:uid="{598BF107-D05D-4553-95D9-E28473D4EC1B}"/>
    <cellStyle name="40% - Accent3 16 5" xfId="37102" xr:uid="{55062BD2-2D68-4E05-B6AF-2657F923B5FD}"/>
    <cellStyle name="40% - Accent3 16 6" xfId="37103" xr:uid="{0C2DD411-7DBB-485B-A4F3-4D2B3468152C}"/>
    <cellStyle name="40% - Accent3 160" xfId="12175" xr:uid="{F229921E-1350-4D3A-B50B-6867DD4681B7}"/>
    <cellStyle name="40% - Accent3 17" xfId="12176" xr:uid="{5C00A2F7-EF7E-4B2E-94D6-A585D7B8B8D8}"/>
    <cellStyle name="40% - Accent3 17 2" xfId="12177" xr:uid="{8707716E-E99B-417B-B2F8-61130647417B}"/>
    <cellStyle name="40% - Accent3 17 2 2" xfId="12178" xr:uid="{A8427014-5CBD-4CF9-91A2-536140079557}"/>
    <cellStyle name="40% - Accent3 17 2 2 2" xfId="37104" xr:uid="{1D75CA63-A5F7-4971-B987-49E03C33C20F}"/>
    <cellStyle name="40% - Accent3 17 2 3" xfId="37105" xr:uid="{417C2DAB-C866-440F-96C9-80D2121A3805}"/>
    <cellStyle name="40% - Accent3 17 3" xfId="12179" xr:uid="{B73C754C-30D9-4535-9DD8-51BE3D7E6EC4}"/>
    <cellStyle name="40% - Accent3 17 3 2" xfId="37106" xr:uid="{B1CEDE6E-88B9-4726-BE35-9D49CD4EE24E}"/>
    <cellStyle name="40% - Accent3 17 4" xfId="37107" xr:uid="{B5EEAFF5-8F7C-49D7-A9A1-61060FCFF558}"/>
    <cellStyle name="40% - Accent3 17 5" xfId="37108" xr:uid="{C95014A2-773C-49DD-A1BF-47C5E93B3B34}"/>
    <cellStyle name="40% - Accent3 17 6" xfId="37109" xr:uid="{8EB1A2DB-1AF5-4797-B12D-3E3679E49883}"/>
    <cellStyle name="40% - Accent3 18" xfId="12180" xr:uid="{BE07454E-B980-4BB8-8AB2-1FDF0E3E5AA6}"/>
    <cellStyle name="40% - Accent3 18 2" xfId="12181" xr:uid="{03AFF0EC-9A96-4700-935F-15D1E010DB9A}"/>
    <cellStyle name="40% - Accent3 18 2 2" xfId="12182" xr:uid="{27C31258-C016-4B16-9A1C-9BBCA90B6D53}"/>
    <cellStyle name="40% - Accent3 18 2 2 2" xfId="37110" xr:uid="{5335F585-A560-49F7-9439-D3CF7596F25A}"/>
    <cellStyle name="40% - Accent3 18 2 3" xfId="37111" xr:uid="{873AA10B-2A2E-4C90-899C-D0597A46B227}"/>
    <cellStyle name="40% - Accent3 18 3" xfId="12183" xr:uid="{F6311B4D-B4E4-41EB-AFA8-DC70B6C98774}"/>
    <cellStyle name="40% - Accent3 18 3 2" xfId="37112" xr:uid="{24049DD1-91C5-4AC6-9353-349AC050DD90}"/>
    <cellStyle name="40% - Accent3 18 4" xfId="37113" xr:uid="{6B57B4B9-B1E6-4967-A977-D0ADEE7B4E45}"/>
    <cellStyle name="40% - Accent3 18 5" xfId="37114" xr:uid="{77D644EF-4807-4F8F-BC94-9BC946196C03}"/>
    <cellStyle name="40% - Accent3 18 6" xfId="37115" xr:uid="{8A19F795-F77E-4098-BC2C-4EC331936385}"/>
    <cellStyle name="40% - Accent3 19" xfId="12184" xr:uid="{D85E4DEE-FC20-48DE-B13E-B986FCD647CD}"/>
    <cellStyle name="40% - Accent3 19 2" xfId="12185" xr:uid="{3D7A8B1B-F862-45E1-8CAD-8D6B06AC0B58}"/>
    <cellStyle name="40% - Accent3 19 2 2" xfId="37116" xr:uid="{27ACA44A-A46F-4FE6-98A8-AB67702FD8A8}"/>
    <cellStyle name="40% - Accent3 19 3" xfId="37117" xr:uid="{F8C5B80E-0471-4967-A15C-73550AB80701}"/>
    <cellStyle name="40% - Accent3 19 4" xfId="37118" xr:uid="{7FC98409-12DF-4BC8-BB6F-D18F03833A34}"/>
    <cellStyle name="40% - Accent3 19 5" xfId="37119" xr:uid="{3B28175D-1384-4E15-B968-A8ACAE679748}"/>
    <cellStyle name="40% - Accent3 2" xfId="12186" xr:uid="{F3A6C97E-D211-4390-BC2A-4BE966FA8156}"/>
    <cellStyle name="40% - Accent3 2 2" xfId="12187" xr:uid="{ACE20707-AA4B-492F-8869-DE369596352B}"/>
    <cellStyle name="40% - Accent3 2 2 2" xfId="12188" xr:uid="{78EFD86A-3AA7-40E6-A059-6792C47719BB}"/>
    <cellStyle name="40% - Accent3 2 2 2 2" xfId="37120" xr:uid="{A11391BE-0FC3-4DBF-8846-DF95B212495F}"/>
    <cellStyle name="40% - Accent3 2 2 3" xfId="37121" xr:uid="{4C00A104-E0D7-4B7F-BB26-412EB99029CC}"/>
    <cellStyle name="40% - Accent3 2 2 4" xfId="37122" xr:uid="{CFBCAB3D-D08B-475B-A1A2-97BDD9EC59B1}"/>
    <cellStyle name="40% - Accent3 2 3" xfId="12189" xr:uid="{E9486A47-7E92-4C99-BD42-CE2256117586}"/>
    <cellStyle name="40% - Accent3 2 3 2" xfId="37123" xr:uid="{7A4365C7-051F-4F3B-A038-1926BCC2EC21}"/>
    <cellStyle name="40% - Accent3 2 3 3" xfId="37124" xr:uid="{354630E3-343D-4DBD-9447-2D22E9A1996D}"/>
    <cellStyle name="40% - Accent3 2 3 4" xfId="37125" xr:uid="{87410861-A4F9-444A-BA95-6E1219FBF326}"/>
    <cellStyle name="40% - Accent3 2 4" xfId="12190" xr:uid="{C62C13AA-887C-45A7-AB36-E61891682848}"/>
    <cellStyle name="40% - Accent3 2 4 2" xfId="37126" xr:uid="{D6C2A238-C39F-4EB0-8674-2CEE7A7315C6}"/>
    <cellStyle name="40% - Accent3 2 5" xfId="37127" xr:uid="{C9133278-0304-4B8E-AE78-2890952888DC}"/>
    <cellStyle name="40% - Accent3 2 6" xfId="37128" xr:uid="{7B2C06F5-A31D-48E3-BEA5-9C90E390645B}"/>
    <cellStyle name="40% - Accent3 2_Jun 11 details" xfId="12191" xr:uid="{4FFD1749-9AC8-48BF-A08D-45780D4344D9}"/>
    <cellStyle name="40% - Accent3 20" xfId="12192" xr:uid="{259F9EF0-732C-421F-A365-380C34F4D39D}"/>
    <cellStyle name="40% - Accent3 20 2" xfId="37129" xr:uid="{42A6ABA6-25E6-4DD5-B502-84E3DBFCE8EE}"/>
    <cellStyle name="40% - Accent3 20 3" xfId="37130" xr:uid="{C7BCCFF8-F942-4B48-8259-9ADC962DF787}"/>
    <cellStyle name="40% - Accent3 20 4" xfId="37131" xr:uid="{A16501E8-6C67-4792-BBA1-25BF5001AEB3}"/>
    <cellStyle name="40% - Accent3 21" xfId="12193" xr:uid="{D72AC727-16F8-43DA-9C64-11A00C869884}"/>
    <cellStyle name="40% - Accent3 21 2" xfId="37132" xr:uid="{39D01273-EB82-4DC3-A761-0BD68C7B9F77}"/>
    <cellStyle name="40% - Accent3 21 3" xfId="37133" xr:uid="{4E25E8AC-51E4-494A-A591-57B98EF82591}"/>
    <cellStyle name="40% - Accent3 22" xfId="12194" xr:uid="{79C85E42-7C15-45DA-93EE-A8DC81CB34D1}"/>
    <cellStyle name="40% - Accent3 22 2" xfId="37134" xr:uid="{53CD602B-384F-4ABA-BDAD-C506C68CE5FC}"/>
    <cellStyle name="40% - Accent3 22 3" xfId="37135" xr:uid="{D345465A-F4D1-4F31-A210-C9BF5ED9B2FC}"/>
    <cellStyle name="40% - Accent3 23" xfId="12195" xr:uid="{DADD95F4-D2AB-4780-B1A3-5DE7084DEAA8}"/>
    <cellStyle name="40% - Accent3 23 2" xfId="37136" xr:uid="{F4465E35-0049-42FC-82A9-BA6BAA20A536}"/>
    <cellStyle name="40% - Accent3 24" xfId="12196" xr:uid="{85CD5CE5-7A46-4B16-A6A8-63B3D1C15C61}"/>
    <cellStyle name="40% - Accent3 24 2" xfId="37137" xr:uid="{5E073D2A-375E-439A-AD7C-E4FA38785181}"/>
    <cellStyle name="40% - Accent3 25" xfId="12197" xr:uid="{666AFFCC-E54D-44F5-A2B3-9483A6689C3A}"/>
    <cellStyle name="40% - Accent3 25 2" xfId="37138" xr:uid="{3E0D972E-5A74-4554-9E87-DB17EABAB527}"/>
    <cellStyle name="40% - Accent3 26" xfId="12198" xr:uid="{17CBD85B-D1C2-443C-ACA6-2DF86AD770C3}"/>
    <cellStyle name="40% - Accent3 26 2" xfId="37139" xr:uid="{717A1019-2EAE-4FF7-A281-F3FE9D22C2AD}"/>
    <cellStyle name="40% - Accent3 27" xfId="12199" xr:uid="{626A4749-CA29-4AFE-9101-FB0BF19F205E}"/>
    <cellStyle name="40% - Accent3 27 2" xfId="37140" xr:uid="{00235F75-8539-4A4B-BFA3-DFED081D266E}"/>
    <cellStyle name="40% - Accent3 28" xfId="12200" xr:uid="{FF068C5B-EB69-4F6A-BBAA-6419BA5C3A53}"/>
    <cellStyle name="40% - Accent3 28 10" xfId="12201" xr:uid="{0A74A2FA-DC8A-4012-85AE-C2371EA6CDF1}"/>
    <cellStyle name="40% - Accent3 28 10 2" xfId="12202" xr:uid="{27B558A3-3C6F-46B6-BCBC-5050082A2CA7}"/>
    <cellStyle name="40% - Accent3 28 10 2 2" xfId="12203" xr:uid="{88EC7847-EFF2-436E-B514-5D769CAA3676}"/>
    <cellStyle name="40% - Accent3 28 10 2 2 2" xfId="12204" xr:uid="{55397ACC-CCE2-4BCE-B3B5-B452B31E9489}"/>
    <cellStyle name="40% - Accent3 28 10 2 2 2 2" xfId="12205" xr:uid="{019ECE5D-6C8F-44CD-A523-6D5837069443}"/>
    <cellStyle name="40% - Accent3 28 10 2 2 3" xfId="12206" xr:uid="{0F6641AF-48B4-43F9-A7C9-689E3742D2A0}"/>
    <cellStyle name="40% - Accent3 28 10 2 3" xfId="12207" xr:uid="{0597827B-E8F9-4505-BC77-052A7DE451C0}"/>
    <cellStyle name="40% - Accent3 28 10 2 3 2" xfId="12208" xr:uid="{CA7019C1-A8FF-4402-B262-931B20E36B7E}"/>
    <cellStyle name="40% - Accent3 28 10 2 3 2 2" xfId="12209" xr:uid="{A2682703-B37F-4117-B82A-1F5977351E1F}"/>
    <cellStyle name="40% - Accent3 28 10 2 3 3" xfId="12210" xr:uid="{973904DC-F6D8-4972-93D7-E292A184095A}"/>
    <cellStyle name="40% - Accent3 28 10 2 4" xfId="12211" xr:uid="{F9FC51DA-E6C4-4662-82EF-3097B915EDDD}"/>
    <cellStyle name="40% - Accent3 28 10 2 4 2" xfId="12212" xr:uid="{B4411F2E-1572-407D-B90D-838F9B1D49A4}"/>
    <cellStyle name="40% - Accent3 28 10 2 5" xfId="12213" xr:uid="{2B9785B6-89CE-497F-9458-3CB060E9D36E}"/>
    <cellStyle name="40% - Accent3 28 10 3" xfId="12214" xr:uid="{46DBBC2D-FB5D-4709-A93F-802FDAF0194F}"/>
    <cellStyle name="40% - Accent3 28 10 3 2" xfId="12215" xr:uid="{1E346D8B-B118-44E2-B363-A7EDD45A5E35}"/>
    <cellStyle name="40% - Accent3 28 10 3 2 2" xfId="12216" xr:uid="{E3936690-49E1-4B3B-97F7-46F2CA9E8051}"/>
    <cellStyle name="40% - Accent3 28 10 3 3" xfId="12217" xr:uid="{E4DC1A9C-0390-4BF4-997A-4BB2C2578486}"/>
    <cellStyle name="40% - Accent3 28 10 4" xfId="12218" xr:uid="{6E43904E-708F-404F-ABFF-4E0BB146F748}"/>
    <cellStyle name="40% - Accent3 28 10 4 2" xfId="12219" xr:uid="{4DE1460F-299C-4D67-AEB4-879487605FF1}"/>
    <cellStyle name="40% - Accent3 28 10 4 2 2" xfId="12220" xr:uid="{A247C2CF-184A-48ED-9098-34DAEDBDA293}"/>
    <cellStyle name="40% - Accent3 28 10 4 3" xfId="12221" xr:uid="{D311A9BF-D5CE-492D-AC99-1616313BB0A3}"/>
    <cellStyle name="40% - Accent3 28 10 5" xfId="12222" xr:uid="{CE619624-8DC5-4EEF-A054-C20A772D3630}"/>
    <cellStyle name="40% - Accent3 28 10 5 2" xfId="12223" xr:uid="{CCE5E782-7FD8-4D93-B9B8-AA2DF7479FD3}"/>
    <cellStyle name="40% - Accent3 28 10 6" xfId="12224" xr:uid="{E1D2BF35-EE32-4A13-A17D-D6D2ABF6E38A}"/>
    <cellStyle name="40% - Accent3 28 11" xfId="12225" xr:uid="{D90A2273-CD26-4C7C-B3F6-15920FED4638}"/>
    <cellStyle name="40% - Accent3 28 11 2" xfId="12226" xr:uid="{ADE14046-6BF5-43A9-8326-5DEC65A7A055}"/>
    <cellStyle name="40% - Accent3 28 11 2 2" xfId="12227" xr:uid="{99C428CD-F939-4D73-BFEE-8E227AD4FDB9}"/>
    <cellStyle name="40% - Accent3 28 11 2 2 2" xfId="12228" xr:uid="{4A39406F-ADCE-46E5-B109-A2DAA14594E9}"/>
    <cellStyle name="40% - Accent3 28 11 2 3" xfId="12229" xr:uid="{78613097-6DDD-4758-9380-EE463B179A6E}"/>
    <cellStyle name="40% - Accent3 28 11 3" xfId="12230" xr:uid="{286D3919-0D31-4B73-AAFB-2D58F493E077}"/>
    <cellStyle name="40% - Accent3 28 11 3 2" xfId="12231" xr:uid="{B19FEAAF-DDCE-47FE-8DD5-71A7DC2FE73B}"/>
    <cellStyle name="40% - Accent3 28 11 3 2 2" xfId="12232" xr:uid="{9D917424-6199-4CB9-99BC-169D321B09EB}"/>
    <cellStyle name="40% - Accent3 28 11 3 3" xfId="12233" xr:uid="{096B7FA7-A62C-4367-9339-4808683CFD10}"/>
    <cellStyle name="40% - Accent3 28 11 4" xfId="12234" xr:uid="{4B7680F6-98A3-40CC-80B4-6DCC6FED8EC1}"/>
    <cellStyle name="40% - Accent3 28 11 4 2" xfId="12235" xr:uid="{A082FDAD-7A73-48CB-AC65-67B2FE96100E}"/>
    <cellStyle name="40% - Accent3 28 11 5" xfId="12236" xr:uid="{BE51223E-2056-420E-82C9-63F129458177}"/>
    <cellStyle name="40% - Accent3 28 12" xfId="12237" xr:uid="{882988FB-7A5D-44A4-BA71-B67313A40107}"/>
    <cellStyle name="40% - Accent3 28 12 2" xfId="12238" xr:uid="{ABB6B3D0-04B1-4AC9-B233-DDD59F96F098}"/>
    <cellStyle name="40% - Accent3 28 12 2 2" xfId="12239" xr:uid="{2590290C-BB36-40FA-BF1A-908CA5BB504F}"/>
    <cellStyle name="40% - Accent3 28 12 3" xfId="12240" xr:uid="{623EB132-32DE-4CBE-8052-D09D88F1DD7D}"/>
    <cellStyle name="40% - Accent3 28 13" xfId="12241" xr:uid="{05E2B693-3C8B-4D5C-A46E-F50933E7637A}"/>
    <cellStyle name="40% - Accent3 28 13 2" xfId="12242" xr:uid="{56BE1B7D-F113-4354-A7D0-395A439F72CD}"/>
    <cellStyle name="40% - Accent3 28 13 2 2" xfId="12243" xr:uid="{A0E6E3BD-C21C-4F14-BEC6-592A6ED8352B}"/>
    <cellStyle name="40% - Accent3 28 13 3" xfId="12244" xr:uid="{73F99A2A-3768-4629-AEC8-EC21DBF55599}"/>
    <cellStyle name="40% - Accent3 28 14" xfId="12245" xr:uid="{542EE792-2441-4224-98BC-03D4B13DD454}"/>
    <cellStyle name="40% - Accent3 28 14 2" xfId="12246" xr:uid="{D71D3023-0ED7-474D-8128-30B1054EE3E5}"/>
    <cellStyle name="40% - Accent3 28 15" xfId="12247" xr:uid="{94A91FA9-F3A1-42EA-8073-A3ABF8C556CA}"/>
    <cellStyle name="40% - Accent3 28 16" xfId="37141" xr:uid="{B70B60F0-CF85-4A8E-9077-73E1684C6EFC}"/>
    <cellStyle name="40% - Accent3 28 2" xfId="12248" xr:uid="{CB3DBA34-EF9F-4AF9-B94C-A9066FE08329}"/>
    <cellStyle name="40% - Accent3 28 2 2" xfId="12249" xr:uid="{23832410-6D1B-41A2-B3B0-73EA6B59D3DE}"/>
    <cellStyle name="40% - Accent3 28 2 2 2" xfId="12250" xr:uid="{9840DDF3-F116-4A72-AED3-8915EEFD3814}"/>
    <cellStyle name="40% - Accent3 28 2 2 2 2" xfId="12251" xr:uid="{87C29263-2DD3-436B-B228-4852AB7ED052}"/>
    <cellStyle name="40% - Accent3 28 2 2 2 2 2" xfId="12252" xr:uid="{61E0A07C-6CA5-41CE-B55E-722BCA914D51}"/>
    <cellStyle name="40% - Accent3 28 2 2 2 3" xfId="12253" xr:uid="{B292BB4C-D032-49A1-82A4-48AE7B998622}"/>
    <cellStyle name="40% - Accent3 28 2 2 3" xfId="12254" xr:uid="{E7AFEF25-7EA9-4691-B2CE-7B4CFADF31F7}"/>
    <cellStyle name="40% - Accent3 28 2 2 3 2" xfId="12255" xr:uid="{84BE2732-FC14-4A21-8FCB-789A0A89BADA}"/>
    <cellStyle name="40% - Accent3 28 2 2 3 2 2" xfId="12256" xr:uid="{7BF94F33-1B34-4CFA-A8DA-B5C39002A3FC}"/>
    <cellStyle name="40% - Accent3 28 2 2 3 3" xfId="12257" xr:uid="{858238CF-869D-492D-9646-31F6FC5CD1E4}"/>
    <cellStyle name="40% - Accent3 28 2 2 4" xfId="12258" xr:uid="{FC6A2633-86E7-4E35-9B74-9645C13E03F0}"/>
    <cellStyle name="40% - Accent3 28 2 2 4 2" xfId="12259" xr:uid="{5A7B3690-A6F2-45D7-919E-8993FE2D40ED}"/>
    <cellStyle name="40% - Accent3 28 2 2 5" xfId="12260" xr:uid="{D7149D56-19FF-4ED1-A8FA-18B48623B970}"/>
    <cellStyle name="40% - Accent3 28 2 3" xfId="12261" xr:uid="{A3C0917B-2270-42F4-850A-D6774B8BF6CB}"/>
    <cellStyle name="40% - Accent3 28 2 3 2" xfId="12262" xr:uid="{8988BFF3-1ABB-4F1E-9307-6935EEAEF99A}"/>
    <cellStyle name="40% - Accent3 28 2 3 2 2" xfId="12263" xr:uid="{F94836D4-D75D-4587-9544-BC7B5CF4DE7F}"/>
    <cellStyle name="40% - Accent3 28 2 3 3" xfId="12264" xr:uid="{48AA4E36-2205-43CA-AE60-5C20AB4F3FE3}"/>
    <cellStyle name="40% - Accent3 28 2 4" xfId="12265" xr:uid="{32D35A00-8ED0-479B-B1AF-98B13D00C261}"/>
    <cellStyle name="40% - Accent3 28 2 4 2" xfId="12266" xr:uid="{7B4E4C25-7815-48D3-B06F-662EA01B04F3}"/>
    <cellStyle name="40% - Accent3 28 2 4 2 2" xfId="12267" xr:uid="{1706078D-1E3F-4D2E-91EF-4EE2228995CE}"/>
    <cellStyle name="40% - Accent3 28 2 4 3" xfId="12268" xr:uid="{EFFEFE2B-B1FA-4702-AAC3-9AC79A5190F3}"/>
    <cellStyle name="40% - Accent3 28 2 5" xfId="12269" xr:uid="{9E184C72-C52C-46E8-9D18-619BFB841E69}"/>
    <cellStyle name="40% - Accent3 28 2 5 2" xfId="12270" xr:uid="{7562AD2C-4E64-47B9-82E4-EC2B958DC1A7}"/>
    <cellStyle name="40% - Accent3 28 2 6" xfId="12271" xr:uid="{96242E9A-C212-480A-A771-7B5CE0156215}"/>
    <cellStyle name="40% - Accent3 28 3" xfId="12272" xr:uid="{B65FEF8D-B33B-4B7E-9D4B-6BBE15F3A00A}"/>
    <cellStyle name="40% - Accent3 28 3 2" xfId="12273" xr:uid="{BF8C3214-4E2A-4E68-80D7-8A79B6EAC1E0}"/>
    <cellStyle name="40% - Accent3 28 3 2 2" xfId="12274" xr:uid="{9601042B-7629-4405-9516-7CAD1A57C2D8}"/>
    <cellStyle name="40% - Accent3 28 3 2 2 2" xfId="12275" xr:uid="{8F90A093-09C7-4F09-A50C-D32D31CA02FB}"/>
    <cellStyle name="40% - Accent3 28 3 2 2 2 2" xfId="12276" xr:uid="{84F33E34-B5B1-4385-8251-2F1002D68BE9}"/>
    <cellStyle name="40% - Accent3 28 3 2 2 3" xfId="12277" xr:uid="{5625192B-9FF3-4900-A348-90C886BD7BFC}"/>
    <cellStyle name="40% - Accent3 28 3 2 3" xfId="12278" xr:uid="{374F7D27-3005-477A-A3E9-5AC7C4F25E98}"/>
    <cellStyle name="40% - Accent3 28 3 2 3 2" xfId="12279" xr:uid="{F73EE2D6-6A2B-41EA-97EF-C293801C469D}"/>
    <cellStyle name="40% - Accent3 28 3 2 3 2 2" xfId="12280" xr:uid="{36AB0F1D-24D2-4272-AA42-1ECBEFE2CD52}"/>
    <cellStyle name="40% - Accent3 28 3 2 3 3" xfId="12281" xr:uid="{4916753F-5BFA-4497-AD70-2FA24C273527}"/>
    <cellStyle name="40% - Accent3 28 3 2 4" xfId="12282" xr:uid="{57F5BC66-E5C5-488B-BCA4-39B9B6BCDA3D}"/>
    <cellStyle name="40% - Accent3 28 3 2 4 2" xfId="12283" xr:uid="{DBC2ED46-B6CE-4F56-8C11-4ABD5D17AEFC}"/>
    <cellStyle name="40% - Accent3 28 3 2 5" xfId="12284" xr:uid="{92EA91F3-D1C4-4BCF-A79E-509B19CB33DA}"/>
    <cellStyle name="40% - Accent3 28 3 3" xfId="12285" xr:uid="{19401CC3-CE5A-4D71-B2C2-E90D5FAFE896}"/>
    <cellStyle name="40% - Accent3 28 3 3 2" xfId="12286" xr:uid="{69BCD0EB-21F0-438E-8219-79C0D4D1B48E}"/>
    <cellStyle name="40% - Accent3 28 3 3 2 2" xfId="12287" xr:uid="{7F354312-49CE-4A2C-93AC-28ABBE000973}"/>
    <cellStyle name="40% - Accent3 28 3 3 3" xfId="12288" xr:uid="{9908A17C-A2C6-4FCC-A423-DE7FDA36177F}"/>
    <cellStyle name="40% - Accent3 28 3 4" xfId="12289" xr:uid="{C718F9EE-A711-44B2-9F1F-D005BF759659}"/>
    <cellStyle name="40% - Accent3 28 3 4 2" xfId="12290" xr:uid="{2D733A80-5E70-4A59-B25E-398094F1A486}"/>
    <cellStyle name="40% - Accent3 28 3 4 2 2" xfId="12291" xr:uid="{13413304-89BC-426E-98DA-7169D43D40D3}"/>
    <cellStyle name="40% - Accent3 28 3 4 3" xfId="12292" xr:uid="{EF9AF192-4AF6-4F08-B711-193AEE8F9C24}"/>
    <cellStyle name="40% - Accent3 28 3 5" xfId="12293" xr:uid="{1EF7A783-A013-4703-AA8F-EB11D9D7633D}"/>
    <cellStyle name="40% - Accent3 28 3 5 2" xfId="12294" xr:uid="{918E51D0-3A90-4333-BD44-9EAB93D17DF4}"/>
    <cellStyle name="40% - Accent3 28 3 6" xfId="12295" xr:uid="{28FAA0FE-5C95-41DE-AAC3-85817B31C1AE}"/>
    <cellStyle name="40% - Accent3 28 4" xfId="12296" xr:uid="{E8A353D5-019D-4152-945A-1D7177E4D97B}"/>
    <cellStyle name="40% - Accent3 28 4 2" xfId="12297" xr:uid="{77E3202E-C69F-4758-8CA4-B4C8BB3D60BD}"/>
    <cellStyle name="40% - Accent3 28 4 2 2" xfId="12298" xr:uid="{39BF88DB-F12B-4857-BF0A-DBE16778FBF6}"/>
    <cellStyle name="40% - Accent3 28 4 2 2 2" xfId="12299" xr:uid="{8D6340FB-8A9C-4ED9-AE13-66B0EB3C88C3}"/>
    <cellStyle name="40% - Accent3 28 4 2 2 2 2" xfId="12300" xr:uid="{51B95B36-2717-4B48-95FB-A4D59A43ADF6}"/>
    <cellStyle name="40% - Accent3 28 4 2 2 3" xfId="12301" xr:uid="{E55F06C7-ADB3-4385-8A22-A45817944187}"/>
    <cellStyle name="40% - Accent3 28 4 2 3" xfId="12302" xr:uid="{D99CEDDB-5303-4224-B3EB-8C4FE8213989}"/>
    <cellStyle name="40% - Accent3 28 4 2 3 2" xfId="12303" xr:uid="{0A97F7D1-4668-47B6-A63B-A93E7B9F4A5F}"/>
    <cellStyle name="40% - Accent3 28 4 2 3 2 2" xfId="12304" xr:uid="{396600A8-B784-4996-BACC-CB1EEF6897F0}"/>
    <cellStyle name="40% - Accent3 28 4 2 3 3" xfId="12305" xr:uid="{FE7CEFA9-0F6C-4068-9042-8E86F6D8859E}"/>
    <cellStyle name="40% - Accent3 28 4 2 4" xfId="12306" xr:uid="{7FE9077A-434D-462C-9DB8-7C4FA891566B}"/>
    <cellStyle name="40% - Accent3 28 4 2 4 2" xfId="12307" xr:uid="{99195CB6-F7E6-40E3-860B-C2A82FAF3871}"/>
    <cellStyle name="40% - Accent3 28 4 2 5" xfId="12308" xr:uid="{1637B30A-2A05-41AC-8008-04D779555143}"/>
    <cellStyle name="40% - Accent3 28 4 3" xfId="12309" xr:uid="{D724D728-8D3D-478D-87E1-201D6C4C3757}"/>
    <cellStyle name="40% - Accent3 28 4 3 2" xfId="12310" xr:uid="{F6CBCB6E-413B-47BA-B995-FB759CA9886D}"/>
    <cellStyle name="40% - Accent3 28 4 3 2 2" xfId="12311" xr:uid="{E1615249-9E3F-4E22-BC06-B5C9493430AB}"/>
    <cellStyle name="40% - Accent3 28 4 3 3" xfId="12312" xr:uid="{681184A3-04D5-4D8C-A475-B0F82AD6F497}"/>
    <cellStyle name="40% - Accent3 28 4 4" xfId="12313" xr:uid="{22FFC013-400E-44E1-8319-E66C3DACD7C2}"/>
    <cellStyle name="40% - Accent3 28 4 4 2" xfId="12314" xr:uid="{F090724D-CB00-474B-9D32-32B22B34745F}"/>
    <cellStyle name="40% - Accent3 28 4 4 2 2" xfId="12315" xr:uid="{F8DD8B11-4E4B-486D-B0CD-8E88B191A605}"/>
    <cellStyle name="40% - Accent3 28 4 4 3" xfId="12316" xr:uid="{ACBF5F1F-E4E1-48DC-9534-5CB184BDB8F4}"/>
    <cellStyle name="40% - Accent3 28 4 5" xfId="12317" xr:uid="{5D578EC3-B799-4818-A84A-6C260B02DD43}"/>
    <cellStyle name="40% - Accent3 28 4 5 2" xfId="12318" xr:uid="{9D19745C-BF9D-42FD-AC6B-CA20F905E61B}"/>
    <cellStyle name="40% - Accent3 28 4 6" xfId="12319" xr:uid="{58B0BA53-7DFF-4107-8761-01F7618B9AA2}"/>
    <cellStyle name="40% - Accent3 28 5" xfId="12320" xr:uid="{4BCEC7C9-BF6D-447F-B1FC-C195A147B002}"/>
    <cellStyle name="40% - Accent3 28 5 2" xfId="12321" xr:uid="{4AF183BA-1B5F-4B64-928E-C2E9BCB31034}"/>
    <cellStyle name="40% - Accent3 28 5 2 2" xfId="12322" xr:uid="{E5DDAE5A-5DC4-4CF1-8B00-C3D98CAE52B6}"/>
    <cellStyle name="40% - Accent3 28 5 2 2 2" xfId="12323" xr:uid="{10CC9F3B-12FA-4F5D-8078-D85315FC17A0}"/>
    <cellStyle name="40% - Accent3 28 5 2 2 2 2" xfId="12324" xr:uid="{A3497FA8-F50D-415D-86F7-F375FAE48412}"/>
    <cellStyle name="40% - Accent3 28 5 2 2 3" xfId="12325" xr:uid="{4F0DA3F1-99CC-40FF-97D3-C3A774BD37EA}"/>
    <cellStyle name="40% - Accent3 28 5 2 3" xfId="12326" xr:uid="{8CCF7554-6F91-4D9A-B81B-FBCA7A7314F1}"/>
    <cellStyle name="40% - Accent3 28 5 2 3 2" xfId="12327" xr:uid="{2D2CCC29-67F4-4614-A7DC-3D63252F13D4}"/>
    <cellStyle name="40% - Accent3 28 5 2 3 2 2" xfId="12328" xr:uid="{973C6B48-FDE2-4A63-8A1C-8593F481BA21}"/>
    <cellStyle name="40% - Accent3 28 5 2 3 3" xfId="12329" xr:uid="{0A41DFCE-3C09-49C1-B090-CB845FD0E336}"/>
    <cellStyle name="40% - Accent3 28 5 2 4" xfId="12330" xr:uid="{0FFDB60C-F51A-4839-90B2-121A72B3946C}"/>
    <cellStyle name="40% - Accent3 28 5 2 4 2" xfId="12331" xr:uid="{A671F2EB-FCF7-4241-9C2F-95A7484BD3AC}"/>
    <cellStyle name="40% - Accent3 28 5 2 5" xfId="12332" xr:uid="{2EC97EE5-55A6-455A-B2B1-16C12E3DAA88}"/>
    <cellStyle name="40% - Accent3 28 5 3" xfId="12333" xr:uid="{218DD9B0-FB91-4C0F-97D4-934D44C47663}"/>
    <cellStyle name="40% - Accent3 28 5 3 2" xfId="12334" xr:uid="{25481129-A1E9-463F-AE1A-F0A58FBF064B}"/>
    <cellStyle name="40% - Accent3 28 5 3 2 2" xfId="12335" xr:uid="{58338DF1-BCF2-4634-8064-20905E40C59B}"/>
    <cellStyle name="40% - Accent3 28 5 3 3" xfId="12336" xr:uid="{D63B1010-1FC7-4446-B6AD-B3790673BEC8}"/>
    <cellStyle name="40% - Accent3 28 5 4" xfId="12337" xr:uid="{B7CD6F9B-165D-4F45-9791-114D2B800D58}"/>
    <cellStyle name="40% - Accent3 28 5 4 2" xfId="12338" xr:uid="{32F7C0B2-C2FD-4177-A5AF-58B22EA6A131}"/>
    <cellStyle name="40% - Accent3 28 5 4 2 2" xfId="12339" xr:uid="{D259CD21-D9E1-4E80-8792-98B20BDEC590}"/>
    <cellStyle name="40% - Accent3 28 5 4 3" xfId="12340" xr:uid="{043E426E-B997-42E1-AD0D-33555D810FD4}"/>
    <cellStyle name="40% - Accent3 28 5 5" xfId="12341" xr:uid="{47CC1E47-C3C6-4A0D-959F-96E2EBC2AC1B}"/>
    <cellStyle name="40% - Accent3 28 5 5 2" xfId="12342" xr:uid="{B7C1164E-03C2-4979-8F00-A90B0AB6D601}"/>
    <cellStyle name="40% - Accent3 28 5 6" xfId="12343" xr:uid="{3E514C16-3E04-4E1E-8FBA-F6EB04EBC212}"/>
    <cellStyle name="40% - Accent3 28 6" xfId="12344" xr:uid="{CE068056-E053-4918-B78C-3CFCFA586F33}"/>
    <cellStyle name="40% - Accent3 28 6 2" xfId="12345" xr:uid="{C4EA4905-739C-4D36-AB45-4EB32A57C74F}"/>
    <cellStyle name="40% - Accent3 28 6 2 2" xfId="12346" xr:uid="{7EF773EA-2DD8-44BE-89A3-D6DFAE647EB7}"/>
    <cellStyle name="40% - Accent3 28 6 2 2 2" xfId="12347" xr:uid="{0262D8A1-CF09-4169-802B-6B89CC2B8159}"/>
    <cellStyle name="40% - Accent3 28 6 2 2 2 2" xfId="12348" xr:uid="{103BA5DC-4BD7-4D9B-9C4B-0757E090DC24}"/>
    <cellStyle name="40% - Accent3 28 6 2 2 3" xfId="12349" xr:uid="{4F89B69E-96E1-4997-B4C7-D061A12D0008}"/>
    <cellStyle name="40% - Accent3 28 6 2 3" xfId="12350" xr:uid="{89B4A060-5032-4CFC-9C3F-1B1C975C7BF6}"/>
    <cellStyle name="40% - Accent3 28 6 2 3 2" xfId="12351" xr:uid="{8ACE9702-793C-49DF-86BC-03E0C9B01D90}"/>
    <cellStyle name="40% - Accent3 28 6 2 3 2 2" xfId="12352" xr:uid="{1BCD620E-7AC1-40AE-B770-42ABCA16A051}"/>
    <cellStyle name="40% - Accent3 28 6 2 3 3" xfId="12353" xr:uid="{36A36BA6-53C5-4138-87E5-A5CA9D78D23B}"/>
    <cellStyle name="40% - Accent3 28 6 2 4" xfId="12354" xr:uid="{64FCAF0A-D1A7-43E1-81ED-D9C76632C221}"/>
    <cellStyle name="40% - Accent3 28 6 2 4 2" xfId="12355" xr:uid="{4D0DB9EB-86E5-4503-B782-1E900FB850A5}"/>
    <cellStyle name="40% - Accent3 28 6 2 5" xfId="12356" xr:uid="{D2E90406-A4B9-48E0-96CC-3BDF21CBBB6E}"/>
    <cellStyle name="40% - Accent3 28 6 3" xfId="12357" xr:uid="{1681EFF9-D947-4136-A596-6EC6D5DD5B3C}"/>
    <cellStyle name="40% - Accent3 28 6 3 2" xfId="12358" xr:uid="{A5E3C469-08FD-4352-BC57-67D7DE380E2F}"/>
    <cellStyle name="40% - Accent3 28 6 3 2 2" xfId="12359" xr:uid="{2BE647A0-A963-4294-9804-2509AE2CA5AC}"/>
    <cellStyle name="40% - Accent3 28 6 3 3" xfId="12360" xr:uid="{41D39576-948D-44F6-ADA4-53641C24B064}"/>
    <cellStyle name="40% - Accent3 28 6 4" xfId="12361" xr:uid="{A74EFAE5-1EBF-426C-A435-2C3CFCE4C550}"/>
    <cellStyle name="40% - Accent3 28 6 4 2" xfId="12362" xr:uid="{C5171B36-6996-4E01-BDFF-5190D8C494C4}"/>
    <cellStyle name="40% - Accent3 28 6 4 2 2" xfId="12363" xr:uid="{2A92A7F6-73AD-405A-8D1C-A57F90A42262}"/>
    <cellStyle name="40% - Accent3 28 6 4 3" xfId="12364" xr:uid="{73AE94C2-8457-470E-9ECB-D3ACA2128575}"/>
    <cellStyle name="40% - Accent3 28 6 5" xfId="12365" xr:uid="{67CC9BA7-AC97-4854-8CBF-4C06AE073985}"/>
    <cellStyle name="40% - Accent3 28 6 5 2" xfId="12366" xr:uid="{41BFBDAE-2987-4077-AF54-A1F19E731239}"/>
    <cellStyle name="40% - Accent3 28 6 6" xfId="12367" xr:uid="{A67B729A-0BFA-42EB-BCB1-C40C427EC26A}"/>
    <cellStyle name="40% - Accent3 28 7" xfId="12368" xr:uid="{BB6AFD34-3E19-4F2D-9737-7702E854F70A}"/>
    <cellStyle name="40% - Accent3 28 7 2" xfId="12369" xr:uid="{E4693535-9CBC-4474-B673-3BC70629B32A}"/>
    <cellStyle name="40% - Accent3 28 7 2 2" xfId="12370" xr:uid="{4C924F45-4DF0-4F36-8123-95A17C770236}"/>
    <cellStyle name="40% - Accent3 28 7 2 2 2" xfId="12371" xr:uid="{60D68097-CEFF-41E4-BA60-7F60CD9AFD4F}"/>
    <cellStyle name="40% - Accent3 28 7 2 2 2 2" xfId="12372" xr:uid="{83012FBE-3183-4371-86EF-2C1BEC2FED04}"/>
    <cellStyle name="40% - Accent3 28 7 2 2 3" xfId="12373" xr:uid="{828CCD4A-390B-4824-969E-5C309A61481F}"/>
    <cellStyle name="40% - Accent3 28 7 2 3" xfId="12374" xr:uid="{9CA56DBD-0B24-4C8B-BDF2-0C808863B113}"/>
    <cellStyle name="40% - Accent3 28 7 2 3 2" xfId="12375" xr:uid="{89E00D25-DB1C-4E33-9E1D-A9FB425932AE}"/>
    <cellStyle name="40% - Accent3 28 7 2 3 2 2" xfId="12376" xr:uid="{BCDAE4DD-4841-467F-8236-EDD5F38830E4}"/>
    <cellStyle name="40% - Accent3 28 7 2 3 3" xfId="12377" xr:uid="{08DEA75A-CFC1-4F45-8EFF-18B9C912B9B5}"/>
    <cellStyle name="40% - Accent3 28 7 2 4" xfId="12378" xr:uid="{4F87121E-C5D4-4A19-A1D3-4E192AF733DE}"/>
    <cellStyle name="40% - Accent3 28 7 2 4 2" xfId="12379" xr:uid="{0CD81BFD-0262-4762-8552-211D3E86D4CB}"/>
    <cellStyle name="40% - Accent3 28 7 2 5" xfId="12380" xr:uid="{BDD522A1-F469-4C43-9DE1-5E813B74568D}"/>
    <cellStyle name="40% - Accent3 28 7 3" xfId="12381" xr:uid="{0567B3DD-D8D5-4101-B46B-D2B7D227253C}"/>
    <cellStyle name="40% - Accent3 28 7 3 2" xfId="12382" xr:uid="{1C3528DD-7112-4D6A-B2A9-B066CCB39BB1}"/>
    <cellStyle name="40% - Accent3 28 7 3 2 2" xfId="12383" xr:uid="{CE91FBB5-5371-4ECB-B7AC-004AA6F5993B}"/>
    <cellStyle name="40% - Accent3 28 7 3 3" xfId="12384" xr:uid="{000DE4BB-5EAA-4C2D-9343-BD59D9646930}"/>
    <cellStyle name="40% - Accent3 28 7 4" xfId="12385" xr:uid="{591F7F74-AAE2-436E-9EC9-D79B7E189CE8}"/>
    <cellStyle name="40% - Accent3 28 7 4 2" xfId="12386" xr:uid="{75D52B35-B612-4625-9AB5-7ADC61B9ACD8}"/>
    <cellStyle name="40% - Accent3 28 7 4 2 2" xfId="12387" xr:uid="{1745A792-FFC8-499A-BB60-23C3C9853D15}"/>
    <cellStyle name="40% - Accent3 28 7 4 3" xfId="12388" xr:uid="{D2B7A5E6-A909-489B-BFA3-042B2F90D33E}"/>
    <cellStyle name="40% - Accent3 28 7 5" xfId="12389" xr:uid="{42065EB2-297F-407A-A054-57B63C81EB18}"/>
    <cellStyle name="40% - Accent3 28 7 5 2" xfId="12390" xr:uid="{8F339582-13E9-4DF1-ADB4-5C8101873E15}"/>
    <cellStyle name="40% - Accent3 28 7 6" xfId="12391" xr:uid="{63C0A577-662B-401B-A33F-7B3CC7D9BDAF}"/>
    <cellStyle name="40% - Accent3 28 8" xfId="12392" xr:uid="{8E3947DD-654E-414B-B753-2B9A6C7D26E1}"/>
    <cellStyle name="40% - Accent3 28 8 2" xfId="12393" xr:uid="{39C635DD-0D25-4B29-85D3-2AC17E8AFA61}"/>
    <cellStyle name="40% - Accent3 28 8 2 2" xfId="12394" xr:uid="{75D0C153-3D58-4A6C-B2D1-90BF6FA8ADD1}"/>
    <cellStyle name="40% - Accent3 28 8 2 2 2" xfId="12395" xr:uid="{AE6DF6B6-CAC9-4321-9E94-223C11B559B1}"/>
    <cellStyle name="40% - Accent3 28 8 2 2 2 2" xfId="12396" xr:uid="{AA399A64-202A-42BC-A528-406C4F8734F5}"/>
    <cellStyle name="40% - Accent3 28 8 2 2 3" xfId="12397" xr:uid="{33BEE626-C5C1-4830-91C7-DC430FF04900}"/>
    <cellStyle name="40% - Accent3 28 8 2 3" xfId="12398" xr:uid="{828AC30F-2C68-44BC-81FE-E032943FCC29}"/>
    <cellStyle name="40% - Accent3 28 8 2 3 2" xfId="12399" xr:uid="{AD5E5867-4D6C-4BDB-A7F2-36EDB30A493E}"/>
    <cellStyle name="40% - Accent3 28 8 2 3 2 2" xfId="12400" xr:uid="{8CC2D3DC-9C28-43A0-ACCF-ABC9B4DB54E8}"/>
    <cellStyle name="40% - Accent3 28 8 2 3 3" xfId="12401" xr:uid="{D6BCF45E-3FF9-42C9-8A64-0B36BC229983}"/>
    <cellStyle name="40% - Accent3 28 8 2 4" xfId="12402" xr:uid="{19FF3144-F87B-4DDB-AAF9-245432C99CC4}"/>
    <cellStyle name="40% - Accent3 28 8 2 4 2" xfId="12403" xr:uid="{E89E01B1-EF6D-4BEF-B7D3-5F22B0C74503}"/>
    <cellStyle name="40% - Accent3 28 8 2 5" xfId="12404" xr:uid="{F46004E3-58C2-464A-90EF-73D3569AFB85}"/>
    <cellStyle name="40% - Accent3 28 8 3" xfId="12405" xr:uid="{358507C8-2D75-43C3-927F-A552C4F97603}"/>
    <cellStyle name="40% - Accent3 28 8 3 2" xfId="12406" xr:uid="{C12FABB8-9609-4234-8D19-DD6FDE78FDD6}"/>
    <cellStyle name="40% - Accent3 28 8 3 2 2" xfId="12407" xr:uid="{AC006889-489E-4788-BB9B-61D21F445242}"/>
    <cellStyle name="40% - Accent3 28 8 3 3" xfId="12408" xr:uid="{CCE4582D-8F32-4979-AE68-1F4660A13436}"/>
    <cellStyle name="40% - Accent3 28 8 4" xfId="12409" xr:uid="{CBB12BE8-2FBD-430E-9BFA-E31D45FE9474}"/>
    <cellStyle name="40% - Accent3 28 8 4 2" xfId="12410" xr:uid="{8B1ADB00-4C97-4C7F-BD0C-B5287092A7C1}"/>
    <cellStyle name="40% - Accent3 28 8 4 2 2" xfId="12411" xr:uid="{E355AF8B-5FBF-4672-B539-2DA5794EAB53}"/>
    <cellStyle name="40% - Accent3 28 8 4 3" xfId="12412" xr:uid="{4616F73B-FA8C-45FD-A9C5-87CE85C35F93}"/>
    <cellStyle name="40% - Accent3 28 8 5" xfId="12413" xr:uid="{CDDC269C-2944-48D2-A67F-7DAB47A93798}"/>
    <cellStyle name="40% - Accent3 28 8 5 2" xfId="12414" xr:uid="{1D21AA7E-2AA2-41D9-ADCF-65A42311283C}"/>
    <cellStyle name="40% - Accent3 28 8 6" xfId="12415" xr:uid="{FABD4BB2-2B34-4A54-9D29-BE3BBC8593F0}"/>
    <cellStyle name="40% - Accent3 28 9" xfId="12416" xr:uid="{8C325CE0-B628-4C00-944D-ECEAA94B1B4C}"/>
    <cellStyle name="40% - Accent3 28 9 2" xfId="12417" xr:uid="{20C592EA-1A72-4F95-B50C-BD0A306D9167}"/>
    <cellStyle name="40% - Accent3 28 9 2 2" xfId="12418" xr:uid="{B7A2B7B0-D852-49D7-8B7F-C7662715CA8C}"/>
    <cellStyle name="40% - Accent3 28 9 2 2 2" xfId="12419" xr:uid="{A64A9830-D2E4-4D4A-B1FD-8ACD9669A7CE}"/>
    <cellStyle name="40% - Accent3 28 9 2 2 2 2" xfId="12420" xr:uid="{ECB866C2-1BC1-4F27-B80D-9A60F7CC0678}"/>
    <cellStyle name="40% - Accent3 28 9 2 2 3" xfId="12421" xr:uid="{39540636-D5B7-4525-A000-3052A0EA1DAE}"/>
    <cellStyle name="40% - Accent3 28 9 2 3" xfId="12422" xr:uid="{4DFE7322-69BE-4D33-BD2D-6E66FC47C5B9}"/>
    <cellStyle name="40% - Accent3 28 9 2 3 2" xfId="12423" xr:uid="{C65AD530-DEDE-4F64-A6DD-B773BC87E57E}"/>
    <cellStyle name="40% - Accent3 28 9 2 3 2 2" xfId="12424" xr:uid="{C88597EF-4302-4B1B-AECC-39ABE8EE7942}"/>
    <cellStyle name="40% - Accent3 28 9 2 3 3" xfId="12425" xr:uid="{C71B4362-1B56-4B29-A8CB-44B0BAABF545}"/>
    <cellStyle name="40% - Accent3 28 9 2 4" xfId="12426" xr:uid="{51CC3396-D538-4275-A5AA-86F3C1E9C6A8}"/>
    <cellStyle name="40% - Accent3 28 9 2 4 2" xfId="12427" xr:uid="{F5DC9920-C48D-4299-85D8-0E27E7B93D64}"/>
    <cellStyle name="40% - Accent3 28 9 2 5" xfId="12428" xr:uid="{AECBB259-0EA6-4B15-9AE9-226FE59FC969}"/>
    <cellStyle name="40% - Accent3 28 9 3" xfId="12429" xr:uid="{CD1465FD-291B-4242-B770-E819695B1D16}"/>
    <cellStyle name="40% - Accent3 28 9 3 2" xfId="12430" xr:uid="{6E0AD696-E02F-47D8-A3C4-7A6816C01D11}"/>
    <cellStyle name="40% - Accent3 28 9 3 2 2" xfId="12431" xr:uid="{D8E55BFF-85D9-47BE-A26F-247E1AB74182}"/>
    <cellStyle name="40% - Accent3 28 9 3 3" xfId="12432" xr:uid="{B39B6ACF-0BD4-4B02-9C98-4681B6B504E1}"/>
    <cellStyle name="40% - Accent3 28 9 4" xfId="12433" xr:uid="{A398D06D-8B96-471E-AF5C-2DA8360219C8}"/>
    <cellStyle name="40% - Accent3 28 9 4 2" xfId="12434" xr:uid="{A2D31978-F8F1-4477-B9F8-7CE50C7230C2}"/>
    <cellStyle name="40% - Accent3 28 9 4 2 2" xfId="12435" xr:uid="{56492CC3-64D9-46F3-840D-0C6C3AD1EBC9}"/>
    <cellStyle name="40% - Accent3 28 9 4 3" xfId="12436" xr:uid="{026F7676-2516-4DE5-AB99-FE989F5C148A}"/>
    <cellStyle name="40% - Accent3 28 9 5" xfId="12437" xr:uid="{368E4B50-12E4-45C2-A289-45B4909B60FD}"/>
    <cellStyle name="40% - Accent3 28 9 5 2" xfId="12438" xr:uid="{673D06DB-9181-463A-8A31-551ACC8C9BB3}"/>
    <cellStyle name="40% - Accent3 28 9 6" xfId="12439" xr:uid="{330DF125-64F4-449B-ABAD-DFAFBBB0D103}"/>
    <cellStyle name="40% - Accent3 29" xfId="12440" xr:uid="{8F5D983B-CE99-45E7-944B-7AC5E5D0C2BA}"/>
    <cellStyle name="40% - Accent3 29 10" xfId="12441" xr:uid="{4B248CF5-CEA3-40E2-8E19-DF150D3DD3E0}"/>
    <cellStyle name="40% - Accent3 29 10 2" xfId="12442" xr:uid="{51E1A737-67F0-4228-AAEB-C25C56E9C09A}"/>
    <cellStyle name="40% - Accent3 29 10 2 2" xfId="12443" xr:uid="{FDD49818-BC25-4829-B035-5C35F9F9E569}"/>
    <cellStyle name="40% - Accent3 29 10 2 2 2" xfId="12444" xr:uid="{D111C62B-9532-473D-B1F2-78E401503C5F}"/>
    <cellStyle name="40% - Accent3 29 10 2 2 2 2" xfId="12445" xr:uid="{96C9F9B5-E4A9-4EBA-9BAC-E92C7D668CEC}"/>
    <cellStyle name="40% - Accent3 29 10 2 2 3" xfId="12446" xr:uid="{66DCEE1A-84AB-49B9-8A2C-055634606182}"/>
    <cellStyle name="40% - Accent3 29 10 2 3" xfId="12447" xr:uid="{A61163CE-3980-414B-A83B-20827262CF64}"/>
    <cellStyle name="40% - Accent3 29 10 2 3 2" xfId="12448" xr:uid="{CE6D3344-04BE-4229-9A16-01397855096F}"/>
    <cellStyle name="40% - Accent3 29 10 2 3 2 2" xfId="12449" xr:uid="{A3863DD9-5DE8-4F21-BE74-07CC146ABD23}"/>
    <cellStyle name="40% - Accent3 29 10 2 3 3" xfId="12450" xr:uid="{BBE5CE89-55F9-4B2C-BABA-C1356C0A078F}"/>
    <cellStyle name="40% - Accent3 29 10 2 4" xfId="12451" xr:uid="{0CA75DFA-4F2E-43A4-96F5-10C21D335340}"/>
    <cellStyle name="40% - Accent3 29 10 2 4 2" xfId="12452" xr:uid="{6B812C83-422C-45DE-900D-964BF00E6FDC}"/>
    <cellStyle name="40% - Accent3 29 10 2 5" xfId="12453" xr:uid="{2F29EAED-F2F2-44B5-A4F0-73BB3B67BA91}"/>
    <cellStyle name="40% - Accent3 29 10 3" xfId="12454" xr:uid="{C7988E63-0EDB-4EE0-B9BC-63BA516A4F4B}"/>
    <cellStyle name="40% - Accent3 29 10 3 2" xfId="12455" xr:uid="{815A708B-6EB0-426D-B2BD-73A70D4437AE}"/>
    <cellStyle name="40% - Accent3 29 10 3 2 2" xfId="12456" xr:uid="{8D34F159-53AD-4B1D-B67E-8F47D2705BDC}"/>
    <cellStyle name="40% - Accent3 29 10 3 3" xfId="12457" xr:uid="{D56114EE-11A2-4703-B025-F3755CA12F3E}"/>
    <cellStyle name="40% - Accent3 29 10 4" xfId="12458" xr:uid="{ED2C4AF3-4578-4FBA-B012-EEF679A0A9CD}"/>
    <cellStyle name="40% - Accent3 29 10 4 2" xfId="12459" xr:uid="{0E455C6C-CDC7-4A77-AD4F-0396236A1DC1}"/>
    <cellStyle name="40% - Accent3 29 10 4 2 2" xfId="12460" xr:uid="{2C5B40D7-76EA-46B1-8588-38C769CE752C}"/>
    <cellStyle name="40% - Accent3 29 10 4 3" xfId="12461" xr:uid="{36DC94D7-0EC6-4064-8A26-4585C8BB432E}"/>
    <cellStyle name="40% - Accent3 29 10 5" xfId="12462" xr:uid="{9E9A11BC-32A8-4A16-9D39-F8A9C2C1A82B}"/>
    <cellStyle name="40% - Accent3 29 10 5 2" xfId="12463" xr:uid="{EDE87029-94E6-4439-BF8F-E2BB27B750BA}"/>
    <cellStyle name="40% - Accent3 29 10 6" xfId="12464" xr:uid="{EF9072D9-33D2-4A59-ACDB-EE99A31A5F76}"/>
    <cellStyle name="40% - Accent3 29 11" xfId="12465" xr:uid="{3B626E78-015D-4BA0-BFCD-2DC5A5B44FD5}"/>
    <cellStyle name="40% - Accent3 29 11 2" xfId="12466" xr:uid="{03A993D9-EAAD-4209-8814-F680DDD4DF8C}"/>
    <cellStyle name="40% - Accent3 29 11 2 2" xfId="12467" xr:uid="{B478B07D-8177-4667-BBD3-28C6F45F7669}"/>
    <cellStyle name="40% - Accent3 29 11 2 2 2" xfId="12468" xr:uid="{3A66397D-C681-45E6-957E-3738A4F6E080}"/>
    <cellStyle name="40% - Accent3 29 11 2 3" xfId="12469" xr:uid="{C52E68F5-233D-4141-BF65-C99A8F12D347}"/>
    <cellStyle name="40% - Accent3 29 11 3" xfId="12470" xr:uid="{6C4C2B3D-420C-426C-ACB2-9BD02F6B08A0}"/>
    <cellStyle name="40% - Accent3 29 11 3 2" xfId="12471" xr:uid="{0C17E189-FB97-478C-98BE-1A3D8E54EF19}"/>
    <cellStyle name="40% - Accent3 29 11 3 2 2" xfId="12472" xr:uid="{55DFC581-FFD9-4413-A5F6-1340709635B8}"/>
    <cellStyle name="40% - Accent3 29 11 3 3" xfId="12473" xr:uid="{3590C828-2435-4AF0-95BA-2E29145E0FF8}"/>
    <cellStyle name="40% - Accent3 29 11 4" xfId="12474" xr:uid="{F3B628FB-3581-4022-8852-1C09636D5966}"/>
    <cellStyle name="40% - Accent3 29 11 4 2" xfId="12475" xr:uid="{9DA86213-48BE-4F97-8BC3-ECFAE3CC197D}"/>
    <cellStyle name="40% - Accent3 29 11 5" xfId="12476" xr:uid="{EBAC9298-5446-49DF-95C9-8D0AD92E5712}"/>
    <cellStyle name="40% - Accent3 29 12" xfId="12477" xr:uid="{857C99BA-A8F4-4773-9FF6-34F2B85CDB3B}"/>
    <cellStyle name="40% - Accent3 29 12 2" xfId="12478" xr:uid="{0EC75F68-75AD-49F5-85C1-96D958BBBF45}"/>
    <cellStyle name="40% - Accent3 29 12 2 2" xfId="12479" xr:uid="{4E038E98-0548-464F-8E9C-B19F29A0A2DC}"/>
    <cellStyle name="40% - Accent3 29 12 3" xfId="12480" xr:uid="{9B173490-B4AF-4492-A416-434B3F2F053E}"/>
    <cellStyle name="40% - Accent3 29 13" xfId="12481" xr:uid="{DF85E6A1-784A-445B-9787-D2A4906C2F59}"/>
    <cellStyle name="40% - Accent3 29 13 2" xfId="12482" xr:uid="{8530D786-1216-4F47-8395-A2FFD8202D75}"/>
    <cellStyle name="40% - Accent3 29 13 2 2" xfId="12483" xr:uid="{10E24671-B7FC-4858-A2C0-F5FFC466786C}"/>
    <cellStyle name="40% - Accent3 29 13 3" xfId="12484" xr:uid="{2C60DAFF-099E-4A34-95EF-5B03FD7BB454}"/>
    <cellStyle name="40% - Accent3 29 14" xfId="12485" xr:uid="{A61D1269-E73B-4D37-8C24-6C787D5CC5E2}"/>
    <cellStyle name="40% - Accent3 29 14 2" xfId="12486" xr:uid="{167C947C-482B-4E13-B578-FE6542445C66}"/>
    <cellStyle name="40% - Accent3 29 15" xfId="12487" xr:uid="{FA2F5EBC-D4D9-4518-9DC2-83EC4C74CDED}"/>
    <cellStyle name="40% - Accent3 29 16" xfId="37142" xr:uid="{7CFF1163-4FC4-4C34-B93D-9B92B6B1CD5B}"/>
    <cellStyle name="40% - Accent3 29 2" xfId="12488" xr:uid="{6DB4A98D-F1C4-4BBA-8E28-9BE52333AD75}"/>
    <cellStyle name="40% - Accent3 29 2 2" xfId="12489" xr:uid="{AC909E78-320E-4D54-852C-16D2ACEBECB7}"/>
    <cellStyle name="40% - Accent3 29 2 2 2" xfId="12490" xr:uid="{59990BCE-09ED-4EA3-9D7F-CC07432301BF}"/>
    <cellStyle name="40% - Accent3 29 2 2 2 2" xfId="12491" xr:uid="{F6B7875D-F949-4E9D-8879-E68685B2EEDE}"/>
    <cellStyle name="40% - Accent3 29 2 2 2 2 2" xfId="12492" xr:uid="{8C60AC65-6E0F-4DF7-B877-391CFADC8FFE}"/>
    <cellStyle name="40% - Accent3 29 2 2 2 3" xfId="12493" xr:uid="{D58C8707-99BE-4F93-B2CF-378143185CEC}"/>
    <cellStyle name="40% - Accent3 29 2 2 3" xfId="12494" xr:uid="{6F24C99C-382A-49FE-A233-2CBA7483BA9A}"/>
    <cellStyle name="40% - Accent3 29 2 2 3 2" xfId="12495" xr:uid="{ECA02E58-ED66-4F28-8B74-B456EA6CEAE8}"/>
    <cellStyle name="40% - Accent3 29 2 2 3 2 2" xfId="12496" xr:uid="{E9285C2F-43FD-4509-AF13-4C2E51A94D3B}"/>
    <cellStyle name="40% - Accent3 29 2 2 3 3" xfId="12497" xr:uid="{8F98E6FA-05ED-4F42-B496-62DA3D177235}"/>
    <cellStyle name="40% - Accent3 29 2 2 4" xfId="12498" xr:uid="{5A8B8F60-26CD-4E0A-A2EF-C7B56508B387}"/>
    <cellStyle name="40% - Accent3 29 2 2 4 2" xfId="12499" xr:uid="{89F52BA1-CDD8-49AE-9AC3-DB7BBEBCB299}"/>
    <cellStyle name="40% - Accent3 29 2 2 5" xfId="12500" xr:uid="{939EB804-10D5-42A6-BEC1-FEA6C3130FAF}"/>
    <cellStyle name="40% - Accent3 29 2 3" xfId="12501" xr:uid="{F28A55A4-502D-4111-805C-6912E855CF5A}"/>
    <cellStyle name="40% - Accent3 29 2 3 2" xfId="12502" xr:uid="{313CED1C-6CC3-464A-85AA-02622C8548F6}"/>
    <cellStyle name="40% - Accent3 29 2 3 2 2" xfId="12503" xr:uid="{1C9120B4-358E-4CCE-ADD0-52246F96F930}"/>
    <cellStyle name="40% - Accent3 29 2 3 3" xfId="12504" xr:uid="{6CA082C5-8A6A-4CCC-8350-6D20F5AC5DC7}"/>
    <cellStyle name="40% - Accent3 29 2 4" xfId="12505" xr:uid="{11F6CCE1-9C70-445F-A63D-9146F3123C07}"/>
    <cellStyle name="40% - Accent3 29 2 4 2" xfId="12506" xr:uid="{22D0FA9E-C1B3-44AC-A9AF-2EB00CD8237A}"/>
    <cellStyle name="40% - Accent3 29 2 4 2 2" xfId="12507" xr:uid="{BF094202-0148-49D8-B362-DB2F45E87085}"/>
    <cellStyle name="40% - Accent3 29 2 4 3" xfId="12508" xr:uid="{8C25E79F-1512-42EB-812F-74773AEAA145}"/>
    <cellStyle name="40% - Accent3 29 2 5" xfId="12509" xr:uid="{9BD407C3-06BE-4332-9B4A-528299C476EB}"/>
    <cellStyle name="40% - Accent3 29 2 5 2" xfId="12510" xr:uid="{0EA7F13A-C398-4C65-8BC8-6101A1E2EF6A}"/>
    <cellStyle name="40% - Accent3 29 2 6" xfId="12511" xr:uid="{EAAFE10D-A059-42F8-B967-937ECDEF9911}"/>
    <cellStyle name="40% - Accent3 29 3" xfId="12512" xr:uid="{61E043F0-ACEA-4045-BDF8-BA731ECD7ED1}"/>
    <cellStyle name="40% - Accent3 29 3 2" xfId="12513" xr:uid="{02820538-B901-4997-9B4F-0774EC15AEAA}"/>
    <cellStyle name="40% - Accent3 29 3 2 2" xfId="12514" xr:uid="{E5DEB92F-B95E-47F8-B305-D72C7F43CB87}"/>
    <cellStyle name="40% - Accent3 29 3 2 2 2" xfId="12515" xr:uid="{73CE6499-4D0C-4435-9410-B7729C1E1FDC}"/>
    <cellStyle name="40% - Accent3 29 3 2 2 2 2" xfId="12516" xr:uid="{D70236CB-8A63-4E6F-B415-BC0A2B9C48DC}"/>
    <cellStyle name="40% - Accent3 29 3 2 2 3" xfId="12517" xr:uid="{30C6416E-BFED-44FA-BE35-0CAFC8AD407B}"/>
    <cellStyle name="40% - Accent3 29 3 2 3" xfId="12518" xr:uid="{DB3DA931-3D58-4003-AF00-21FB1384FBAA}"/>
    <cellStyle name="40% - Accent3 29 3 2 3 2" xfId="12519" xr:uid="{06B486CC-D227-4697-8984-E84775DDB0CD}"/>
    <cellStyle name="40% - Accent3 29 3 2 3 2 2" xfId="12520" xr:uid="{0AAB6F7B-27A8-474F-AE34-B5395F6B7847}"/>
    <cellStyle name="40% - Accent3 29 3 2 3 3" xfId="12521" xr:uid="{B7F0EA04-0678-4813-ABD5-81FB20F9EE07}"/>
    <cellStyle name="40% - Accent3 29 3 2 4" xfId="12522" xr:uid="{300D35FD-9B4B-4A66-9AE8-53AFAA6F414E}"/>
    <cellStyle name="40% - Accent3 29 3 2 4 2" xfId="12523" xr:uid="{AA5EA6A4-C590-42B8-9524-58780F21302A}"/>
    <cellStyle name="40% - Accent3 29 3 2 5" xfId="12524" xr:uid="{E205A1FD-4934-4AF3-9124-66631CE23930}"/>
    <cellStyle name="40% - Accent3 29 3 3" xfId="12525" xr:uid="{ADB4D01D-CC32-436E-A24D-3B3642798B10}"/>
    <cellStyle name="40% - Accent3 29 3 3 2" xfId="12526" xr:uid="{897A8BE3-EBF9-426B-8946-B16F373D82AE}"/>
    <cellStyle name="40% - Accent3 29 3 3 2 2" xfId="12527" xr:uid="{DE1B0A78-1399-4B43-9933-63AC191F1212}"/>
    <cellStyle name="40% - Accent3 29 3 3 3" xfId="12528" xr:uid="{327B5A46-18A3-45C6-B334-4BFE0D17EE64}"/>
    <cellStyle name="40% - Accent3 29 3 4" xfId="12529" xr:uid="{D60EAAA2-C56A-4AE2-AFE7-80E30CEC3E09}"/>
    <cellStyle name="40% - Accent3 29 3 4 2" xfId="12530" xr:uid="{BCDEDDB0-6780-43BC-AB9B-9E554BA6834B}"/>
    <cellStyle name="40% - Accent3 29 3 4 2 2" xfId="12531" xr:uid="{89E62482-5116-4EEB-8003-D5D23ED64B83}"/>
    <cellStyle name="40% - Accent3 29 3 4 3" xfId="12532" xr:uid="{87FD36DB-5778-49E3-9031-AEB3D807C395}"/>
    <cellStyle name="40% - Accent3 29 3 5" xfId="12533" xr:uid="{3E23B9E4-5580-428A-AED2-68B9BF36066A}"/>
    <cellStyle name="40% - Accent3 29 3 5 2" xfId="12534" xr:uid="{68DD9A11-DA9D-4F10-BB64-33B7848A8C9B}"/>
    <cellStyle name="40% - Accent3 29 3 6" xfId="12535" xr:uid="{0F59AD79-EE4D-40D1-87EE-2C9834A61934}"/>
    <cellStyle name="40% - Accent3 29 4" xfId="12536" xr:uid="{B49F0FBD-0493-49A1-9885-2A1308DD35AD}"/>
    <cellStyle name="40% - Accent3 29 4 2" xfId="12537" xr:uid="{9DA0F7F8-3472-41A8-B96C-5772FCBF437D}"/>
    <cellStyle name="40% - Accent3 29 4 2 2" xfId="12538" xr:uid="{097C43F9-12A2-4757-AF3C-ECA56EB2CB2A}"/>
    <cellStyle name="40% - Accent3 29 4 2 2 2" xfId="12539" xr:uid="{AF997BCB-BD02-405D-8FD5-75D5A40CDC94}"/>
    <cellStyle name="40% - Accent3 29 4 2 2 2 2" xfId="12540" xr:uid="{FBB1CE6C-E771-45A7-8FBA-E6EE56BB7092}"/>
    <cellStyle name="40% - Accent3 29 4 2 2 3" xfId="12541" xr:uid="{B7C6EC9D-C2FE-40CA-A656-C4FE2DBA59B7}"/>
    <cellStyle name="40% - Accent3 29 4 2 3" xfId="12542" xr:uid="{5B3844F9-339C-4020-B21F-068D95F8AACC}"/>
    <cellStyle name="40% - Accent3 29 4 2 3 2" xfId="12543" xr:uid="{7E4EB975-D099-40C6-BE0B-3F9F03C1DA00}"/>
    <cellStyle name="40% - Accent3 29 4 2 3 2 2" xfId="12544" xr:uid="{08980BC8-394F-4211-B385-29B3BF595F9C}"/>
    <cellStyle name="40% - Accent3 29 4 2 3 3" xfId="12545" xr:uid="{F0E12613-A17D-4D9A-8587-E4632BBFC85D}"/>
    <cellStyle name="40% - Accent3 29 4 2 4" xfId="12546" xr:uid="{CC915527-9FF0-4480-A8F9-525601FB200D}"/>
    <cellStyle name="40% - Accent3 29 4 2 4 2" xfId="12547" xr:uid="{1BBF117B-E606-476C-BB9A-C669E70BCB0C}"/>
    <cellStyle name="40% - Accent3 29 4 2 5" xfId="12548" xr:uid="{F7C67B78-A0FD-4A6D-88E7-88122BF0A82E}"/>
    <cellStyle name="40% - Accent3 29 4 3" xfId="12549" xr:uid="{FEE2C74B-26C8-49C6-9807-EEB8038ED408}"/>
    <cellStyle name="40% - Accent3 29 4 3 2" xfId="12550" xr:uid="{092EAE64-51FB-49B7-A2D1-761698B3A121}"/>
    <cellStyle name="40% - Accent3 29 4 3 2 2" xfId="12551" xr:uid="{84CB011B-6590-4131-B3CC-2599F09BB6E5}"/>
    <cellStyle name="40% - Accent3 29 4 3 3" xfId="12552" xr:uid="{740CFB88-364C-4F89-9A0E-F22F5C09A57B}"/>
    <cellStyle name="40% - Accent3 29 4 4" xfId="12553" xr:uid="{A11DFE98-8CFB-49A9-A9FE-B39D897B70E5}"/>
    <cellStyle name="40% - Accent3 29 4 4 2" xfId="12554" xr:uid="{A9B69F9D-B184-4A25-BDB3-EF4884B90A78}"/>
    <cellStyle name="40% - Accent3 29 4 4 2 2" xfId="12555" xr:uid="{B20DD410-EA48-49BB-82E3-3A30119DDFD7}"/>
    <cellStyle name="40% - Accent3 29 4 4 3" xfId="12556" xr:uid="{04CFEA7C-B70D-4911-B6C4-44BCB02BB522}"/>
    <cellStyle name="40% - Accent3 29 4 5" xfId="12557" xr:uid="{66DD6F5E-EBEF-4F79-BA4D-904A6B4BCD37}"/>
    <cellStyle name="40% - Accent3 29 4 5 2" xfId="12558" xr:uid="{C2CFDEDB-8DF7-4885-8B48-7C5A4591209E}"/>
    <cellStyle name="40% - Accent3 29 4 6" xfId="12559" xr:uid="{2EF2388F-099F-49EC-91ED-C143C68B1403}"/>
    <cellStyle name="40% - Accent3 29 5" xfId="12560" xr:uid="{5B1F1B73-B203-47C2-8E50-6AB5910402A5}"/>
    <cellStyle name="40% - Accent3 29 5 2" xfId="12561" xr:uid="{43A03665-8E23-4D57-9B5D-4A7CE5629C84}"/>
    <cellStyle name="40% - Accent3 29 5 2 2" xfId="12562" xr:uid="{FE769B86-60BF-466E-9A6B-9A9096CE819B}"/>
    <cellStyle name="40% - Accent3 29 5 2 2 2" xfId="12563" xr:uid="{0DBC9630-9297-4C12-82A1-78760894AE11}"/>
    <cellStyle name="40% - Accent3 29 5 2 2 2 2" xfId="12564" xr:uid="{8E207578-15EE-4D81-8054-03DE71EF6AF4}"/>
    <cellStyle name="40% - Accent3 29 5 2 2 3" xfId="12565" xr:uid="{F34337A2-9042-445D-81AB-B0B70FA2A0F8}"/>
    <cellStyle name="40% - Accent3 29 5 2 3" xfId="12566" xr:uid="{60D42DEA-0A8F-4B79-94CD-8C23C5947A01}"/>
    <cellStyle name="40% - Accent3 29 5 2 3 2" xfId="12567" xr:uid="{D5CA87B6-BEE5-44D1-80C2-5239E37D00B9}"/>
    <cellStyle name="40% - Accent3 29 5 2 3 2 2" xfId="12568" xr:uid="{B52D5F1A-F987-4749-8D72-06587DB52F7A}"/>
    <cellStyle name="40% - Accent3 29 5 2 3 3" xfId="12569" xr:uid="{57661088-6DB2-4DF5-8199-52377F6BA862}"/>
    <cellStyle name="40% - Accent3 29 5 2 4" xfId="12570" xr:uid="{0FD11155-3729-4F6E-9AF7-8069C1D30EB2}"/>
    <cellStyle name="40% - Accent3 29 5 2 4 2" xfId="12571" xr:uid="{7F8C53B5-F97A-4F1D-8EC3-257811418134}"/>
    <cellStyle name="40% - Accent3 29 5 2 5" xfId="12572" xr:uid="{0E6A762C-35C2-450F-91AF-D47BD681366C}"/>
    <cellStyle name="40% - Accent3 29 5 3" xfId="12573" xr:uid="{248C1224-5C4C-4B74-B739-F0761FD027E0}"/>
    <cellStyle name="40% - Accent3 29 5 3 2" xfId="12574" xr:uid="{3AAA5243-C45E-4FFA-BB55-13FE74348846}"/>
    <cellStyle name="40% - Accent3 29 5 3 2 2" xfId="12575" xr:uid="{8EA10C84-FE1D-4975-AC96-95F535112A39}"/>
    <cellStyle name="40% - Accent3 29 5 3 3" xfId="12576" xr:uid="{5284B96B-9AB7-4EBC-AE9A-7FF700851D6B}"/>
    <cellStyle name="40% - Accent3 29 5 4" xfId="12577" xr:uid="{44989825-D9B9-4D73-AC61-D171B25CCCDF}"/>
    <cellStyle name="40% - Accent3 29 5 4 2" xfId="12578" xr:uid="{A0F59DC1-63B2-4C66-AE32-7C02DC66E43C}"/>
    <cellStyle name="40% - Accent3 29 5 4 2 2" xfId="12579" xr:uid="{35B152F7-4402-4459-9724-57A38B95A297}"/>
    <cellStyle name="40% - Accent3 29 5 4 3" xfId="12580" xr:uid="{89E0A9E5-AA17-4632-9925-C2CD8AB178FA}"/>
    <cellStyle name="40% - Accent3 29 5 5" xfId="12581" xr:uid="{40870C25-D64C-4A62-81C8-CEB081F04071}"/>
    <cellStyle name="40% - Accent3 29 5 5 2" xfId="12582" xr:uid="{44D40317-FBAF-412B-A594-11B28E5C9150}"/>
    <cellStyle name="40% - Accent3 29 5 6" xfId="12583" xr:uid="{131680FC-FA8A-4DE2-AAF3-EF4D476FB5A2}"/>
    <cellStyle name="40% - Accent3 29 6" xfId="12584" xr:uid="{7C1AA6DE-A4A7-4E3D-8B07-C2CFD62BE67D}"/>
    <cellStyle name="40% - Accent3 29 6 2" xfId="12585" xr:uid="{D609806E-D003-44AC-814A-36375B208997}"/>
    <cellStyle name="40% - Accent3 29 6 2 2" xfId="12586" xr:uid="{8C714F5C-0CDC-4A71-8ADF-18733BE2F66B}"/>
    <cellStyle name="40% - Accent3 29 6 2 2 2" xfId="12587" xr:uid="{097EBF72-C094-4B6E-840E-AFEC44E0C2B0}"/>
    <cellStyle name="40% - Accent3 29 6 2 2 2 2" xfId="12588" xr:uid="{E274A123-DCFB-423B-B603-CD455652BECB}"/>
    <cellStyle name="40% - Accent3 29 6 2 2 3" xfId="12589" xr:uid="{9194F390-E767-4EAC-B0A6-4C4D7C5D5526}"/>
    <cellStyle name="40% - Accent3 29 6 2 3" xfId="12590" xr:uid="{3AFF39C8-A0D2-44F6-BD61-C7CE05876F89}"/>
    <cellStyle name="40% - Accent3 29 6 2 3 2" xfId="12591" xr:uid="{081CFAFB-D346-4318-AAFA-934663FD33BD}"/>
    <cellStyle name="40% - Accent3 29 6 2 3 2 2" xfId="12592" xr:uid="{49D4FAB7-278D-41FA-92BB-E398A7CDF7E7}"/>
    <cellStyle name="40% - Accent3 29 6 2 3 3" xfId="12593" xr:uid="{88BAAF7E-F2E8-431C-813E-A7E5DB6795E7}"/>
    <cellStyle name="40% - Accent3 29 6 2 4" xfId="12594" xr:uid="{50BC132C-7815-480E-899D-1721D3FF10F6}"/>
    <cellStyle name="40% - Accent3 29 6 2 4 2" xfId="12595" xr:uid="{4FF7DBFD-EC3C-42BE-9280-BD44B3A502B8}"/>
    <cellStyle name="40% - Accent3 29 6 2 5" xfId="12596" xr:uid="{BA787C7A-86A2-43C7-B2BB-81CE59875982}"/>
    <cellStyle name="40% - Accent3 29 6 3" xfId="12597" xr:uid="{8861FE27-280E-49E6-9552-083E60AC6454}"/>
    <cellStyle name="40% - Accent3 29 6 3 2" xfId="12598" xr:uid="{790A6F1E-3060-4358-A7FE-7C019BD54354}"/>
    <cellStyle name="40% - Accent3 29 6 3 2 2" xfId="12599" xr:uid="{0334EF75-C49E-45C6-9837-5C17F923ADEC}"/>
    <cellStyle name="40% - Accent3 29 6 3 3" xfId="12600" xr:uid="{41425F0D-67D4-48D6-9866-2B452F6C340B}"/>
    <cellStyle name="40% - Accent3 29 6 4" xfId="12601" xr:uid="{374F7714-1C3F-4958-8E2C-7D72695F3F42}"/>
    <cellStyle name="40% - Accent3 29 6 4 2" xfId="12602" xr:uid="{80CFCD7C-68E2-495B-9458-F63F795C06B8}"/>
    <cellStyle name="40% - Accent3 29 6 4 2 2" xfId="12603" xr:uid="{C3C12E17-5F63-4E16-A114-1FF7C561A848}"/>
    <cellStyle name="40% - Accent3 29 6 4 3" xfId="12604" xr:uid="{EF673A7E-B6F1-4370-B15C-A3B872CE5CF6}"/>
    <cellStyle name="40% - Accent3 29 6 5" xfId="12605" xr:uid="{CB819AA5-4F53-4AEE-B6FA-3D1D17DF25F5}"/>
    <cellStyle name="40% - Accent3 29 6 5 2" xfId="12606" xr:uid="{868A4CCA-8148-4734-AF48-FD25873701FC}"/>
    <cellStyle name="40% - Accent3 29 6 6" xfId="12607" xr:uid="{7ACA6998-DE51-4F26-987B-27E189D19DEE}"/>
    <cellStyle name="40% - Accent3 29 7" xfId="12608" xr:uid="{8973DC6B-37AB-45A2-8FEF-FAEF37028F61}"/>
    <cellStyle name="40% - Accent3 29 7 2" xfId="12609" xr:uid="{3F4299DD-8B83-40ED-92C9-E5DD079E49E9}"/>
    <cellStyle name="40% - Accent3 29 7 2 2" xfId="12610" xr:uid="{B557A80F-6671-47DF-8963-7E468B4A6A86}"/>
    <cellStyle name="40% - Accent3 29 7 2 2 2" xfId="12611" xr:uid="{6A940AFC-E2A4-4095-8A28-A857D7E1B745}"/>
    <cellStyle name="40% - Accent3 29 7 2 2 2 2" xfId="12612" xr:uid="{B02447E4-BC6D-4FE9-BA09-653144A9D576}"/>
    <cellStyle name="40% - Accent3 29 7 2 2 3" xfId="12613" xr:uid="{FD6CA3FE-0ED1-4F4D-8F17-06F5725D285F}"/>
    <cellStyle name="40% - Accent3 29 7 2 3" xfId="12614" xr:uid="{827537D5-DA65-47C0-AA7C-9C9E24C735B6}"/>
    <cellStyle name="40% - Accent3 29 7 2 3 2" xfId="12615" xr:uid="{A0F0EFD1-99DF-47D9-A346-1992C4728A62}"/>
    <cellStyle name="40% - Accent3 29 7 2 3 2 2" xfId="12616" xr:uid="{1C6C2B1E-0FD7-4B90-B94A-E08F930E5DD1}"/>
    <cellStyle name="40% - Accent3 29 7 2 3 3" xfId="12617" xr:uid="{2CAFE3DC-FF22-4A8E-9F09-0D3DF0EB3ED8}"/>
    <cellStyle name="40% - Accent3 29 7 2 4" xfId="12618" xr:uid="{8B74AC56-CCC3-415D-8BBF-2809A2079061}"/>
    <cellStyle name="40% - Accent3 29 7 2 4 2" xfId="12619" xr:uid="{B396F223-DFC7-4FC7-9219-D6CF123EC41C}"/>
    <cellStyle name="40% - Accent3 29 7 2 5" xfId="12620" xr:uid="{83ECCEEA-2945-4BBE-8488-4092FF09DB89}"/>
    <cellStyle name="40% - Accent3 29 7 3" xfId="12621" xr:uid="{E74057F5-AB57-4C76-B0A4-8E20D3D5477A}"/>
    <cellStyle name="40% - Accent3 29 7 3 2" xfId="12622" xr:uid="{7105D439-C200-457E-A3D7-82BF7E7AD78F}"/>
    <cellStyle name="40% - Accent3 29 7 3 2 2" xfId="12623" xr:uid="{B01BEA5C-BB90-4475-80B2-578904805B43}"/>
    <cellStyle name="40% - Accent3 29 7 3 3" xfId="12624" xr:uid="{82EF2CC1-ECF3-4E63-8E61-34567072FA7D}"/>
    <cellStyle name="40% - Accent3 29 7 4" xfId="12625" xr:uid="{F044FFCD-F27A-4DF9-B386-1AFD3B86219D}"/>
    <cellStyle name="40% - Accent3 29 7 4 2" xfId="12626" xr:uid="{214BB30E-CEF5-44E3-AF99-487E83530BC4}"/>
    <cellStyle name="40% - Accent3 29 7 4 2 2" xfId="12627" xr:uid="{EF7F4879-09A9-4533-859B-E84DBDB727C6}"/>
    <cellStyle name="40% - Accent3 29 7 4 3" xfId="12628" xr:uid="{27DD7875-6BF8-42DF-85C6-1C6CEB09735B}"/>
    <cellStyle name="40% - Accent3 29 7 5" xfId="12629" xr:uid="{4F9B21BE-09AA-4A9E-91D5-6A7991C799A7}"/>
    <cellStyle name="40% - Accent3 29 7 5 2" xfId="12630" xr:uid="{46ECA373-9A03-4986-BF0C-196A099A7819}"/>
    <cellStyle name="40% - Accent3 29 7 6" xfId="12631" xr:uid="{C05F5DC3-621F-4E3A-97EE-96F57F6848E8}"/>
    <cellStyle name="40% - Accent3 29 8" xfId="12632" xr:uid="{D530860A-F0CB-4F0D-A125-0D22CE202B8E}"/>
    <cellStyle name="40% - Accent3 29 8 2" xfId="12633" xr:uid="{90E447DA-0F05-472D-A2B0-C0C99FE7CDB4}"/>
    <cellStyle name="40% - Accent3 29 8 2 2" xfId="12634" xr:uid="{E8895A31-A68B-490A-91E0-A491F9837BBB}"/>
    <cellStyle name="40% - Accent3 29 8 2 2 2" xfId="12635" xr:uid="{463CB247-CF8E-4645-9EE4-45BEEEB4B508}"/>
    <cellStyle name="40% - Accent3 29 8 2 2 2 2" xfId="12636" xr:uid="{4F1F0C57-68B0-4049-A5EA-7DAD951FFB76}"/>
    <cellStyle name="40% - Accent3 29 8 2 2 3" xfId="12637" xr:uid="{F7C6F31B-EFB5-4B8C-B3EC-EB7BB9527789}"/>
    <cellStyle name="40% - Accent3 29 8 2 3" xfId="12638" xr:uid="{034EF564-FDB4-42CC-B1F1-96925C69C163}"/>
    <cellStyle name="40% - Accent3 29 8 2 3 2" xfId="12639" xr:uid="{B75AB7ED-5ACF-4D89-9616-AE22EDE3064B}"/>
    <cellStyle name="40% - Accent3 29 8 2 3 2 2" xfId="12640" xr:uid="{94549222-2333-4038-AA9A-49E515716E24}"/>
    <cellStyle name="40% - Accent3 29 8 2 3 3" xfId="12641" xr:uid="{82A32069-5613-4DFF-9B17-B1F4897AE933}"/>
    <cellStyle name="40% - Accent3 29 8 2 4" xfId="12642" xr:uid="{5105D203-4138-4CDA-A230-74B57D74F70F}"/>
    <cellStyle name="40% - Accent3 29 8 2 4 2" xfId="12643" xr:uid="{0C538D5A-CA96-4D8E-80F7-065ABE505D0D}"/>
    <cellStyle name="40% - Accent3 29 8 2 5" xfId="12644" xr:uid="{A0C1AF3D-BBB4-4CB2-9619-CBEFC968AB67}"/>
    <cellStyle name="40% - Accent3 29 8 3" xfId="12645" xr:uid="{8FD7F863-A3FF-4F98-A53E-9E86C5BEF9F5}"/>
    <cellStyle name="40% - Accent3 29 8 3 2" xfId="12646" xr:uid="{607E8016-5434-465B-82DE-6D6BAFFD697B}"/>
    <cellStyle name="40% - Accent3 29 8 3 2 2" xfId="12647" xr:uid="{0C8AA278-94B1-41B5-A83D-213692F236DC}"/>
    <cellStyle name="40% - Accent3 29 8 3 3" xfId="12648" xr:uid="{C5613959-B5A5-42FF-B817-7A069A91D778}"/>
    <cellStyle name="40% - Accent3 29 8 4" xfId="12649" xr:uid="{FE6A17EE-874E-4710-A4D2-6DFEC3CFF246}"/>
    <cellStyle name="40% - Accent3 29 8 4 2" xfId="12650" xr:uid="{100C8355-5E57-49F3-BC9F-8831BE2519D5}"/>
    <cellStyle name="40% - Accent3 29 8 4 2 2" xfId="12651" xr:uid="{E7A5B780-8388-4E7C-A0A3-88F4D44C93A0}"/>
    <cellStyle name="40% - Accent3 29 8 4 3" xfId="12652" xr:uid="{F9ADC087-73A1-46A5-8241-760DC697A0A2}"/>
    <cellStyle name="40% - Accent3 29 8 5" xfId="12653" xr:uid="{D1BFE388-A8BF-49DD-A630-26B761FA35AA}"/>
    <cellStyle name="40% - Accent3 29 8 5 2" xfId="12654" xr:uid="{88416799-14E4-466F-8061-0398D09A88F8}"/>
    <cellStyle name="40% - Accent3 29 8 6" xfId="12655" xr:uid="{E63C5F97-0444-4A43-AE6E-CD7B455C37F6}"/>
    <cellStyle name="40% - Accent3 29 9" xfId="12656" xr:uid="{3DE2BD2F-A05E-427F-81F7-13164E34C61C}"/>
    <cellStyle name="40% - Accent3 29 9 2" xfId="12657" xr:uid="{7E4E9A5C-5024-4F7E-AF1E-2E86957085EB}"/>
    <cellStyle name="40% - Accent3 29 9 2 2" xfId="12658" xr:uid="{0096B44C-F11B-46A9-99B6-B9AFCBA989FA}"/>
    <cellStyle name="40% - Accent3 29 9 2 2 2" xfId="12659" xr:uid="{86F301A6-C868-4F1E-97AD-4C6266E5F7EC}"/>
    <cellStyle name="40% - Accent3 29 9 2 2 2 2" xfId="12660" xr:uid="{617773F8-5419-409D-A5F5-2E4B30CD964E}"/>
    <cellStyle name="40% - Accent3 29 9 2 2 3" xfId="12661" xr:uid="{8B331BD3-BFAA-4617-AD3F-A1DFA37F05D7}"/>
    <cellStyle name="40% - Accent3 29 9 2 3" xfId="12662" xr:uid="{412AE7C6-7238-4E4A-B790-834EC5347A4E}"/>
    <cellStyle name="40% - Accent3 29 9 2 3 2" xfId="12663" xr:uid="{926C2F95-BFD4-49B3-8440-B7F9C4405F95}"/>
    <cellStyle name="40% - Accent3 29 9 2 3 2 2" xfId="12664" xr:uid="{5D282D0F-1AAB-4786-ADC7-35384774EC87}"/>
    <cellStyle name="40% - Accent3 29 9 2 3 3" xfId="12665" xr:uid="{E1F4C188-6747-47CD-B846-C97408E7D8BE}"/>
    <cellStyle name="40% - Accent3 29 9 2 4" xfId="12666" xr:uid="{37A96CB2-A0C1-466A-BAAB-BA4D6B705DF2}"/>
    <cellStyle name="40% - Accent3 29 9 2 4 2" xfId="12667" xr:uid="{F7838DE7-087B-4C68-8CB6-5D984271ACF0}"/>
    <cellStyle name="40% - Accent3 29 9 2 5" xfId="12668" xr:uid="{5B8FFB41-2B39-4F5A-A4CE-8D291E92177B}"/>
    <cellStyle name="40% - Accent3 29 9 3" xfId="12669" xr:uid="{F83119A8-3B23-4B8B-BD23-D6429E7DB2CB}"/>
    <cellStyle name="40% - Accent3 29 9 3 2" xfId="12670" xr:uid="{2FAEA0CC-9816-4C73-992F-5F5E9D4D769E}"/>
    <cellStyle name="40% - Accent3 29 9 3 2 2" xfId="12671" xr:uid="{ACE558EF-08FC-431F-A6FF-3E2A0C7CA9B4}"/>
    <cellStyle name="40% - Accent3 29 9 3 3" xfId="12672" xr:uid="{2095EBC6-D95E-4FD6-83A2-378920CC1A0D}"/>
    <cellStyle name="40% - Accent3 29 9 4" xfId="12673" xr:uid="{7A24AEF4-3C1E-4F85-B25A-A13398E479F5}"/>
    <cellStyle name="40% - Accent3 29 9 4 2" xfId="12674" xr:uid="{2E4908B6-8E3A-44AE-9ABC-6278A2E61946}"/>
    <cellStyle name="40% - Accent3 29 9 4 2 2" xfId="12675" xr:uid="{80BACD08-91AB-405D-B0F7-ADF2845DECD4}"/>
    <cellStyle name="40% - Accent3 29 9 4 3" xfId="12676" xr:uid="{A87FFC72-4CC6-42E0-95BC-91DB007DA8F3}"/>
    <cellStyle name="40% - Accent3 29 9 5" xfId="12677" xr:uid="{848559E1-1684-4817-AF99-09DEB100D662}"/>
    <cellStyle name="40% - Accent3 29 9 5 2" xfId="12678" xr:uid="{FBB0AE53-A59A-4D6F-AE0A-DE21E18FFBB0}"/>
    <cellStyle name="40% - Accent3 29 9 6" xfId="12679" xr:uid="{0557F2CA-AFE7-4CFE-8FDC-6C5D831466CB}"/>
    <cellStyle name="40% - Accent3 3" xfId="12680" xr:uid="{46387EC1-03B7-4464-AEEA-C8304C1ED12C}"/>
    <cellStyle name="40% - Accent3 3 2" xfId="12681" xr:uid="{7A12CF4F-9073-49C6-8C76-362407911306}"/>
    <cellStyle name="40% - Accent3 3 2 2" xfId="12682" xr:uid="{56F086FA-ADD7-41B5-8A62-DE7984E9ECEB}"/>
    <cellStyle name="40% - Accent3 3 2 2 2" xfId="37143" xr:uid="{A057CC7D-668A-4634-85F2-BE851E0CB037}"/>
    <cellStyle name="40% - Accent3 3 2 3" xfId="37144" xr:uid="{23043210-8979-482D-90ED-2571140B2F27}"/>
    <cellStyle name="40% - Accent3 3 2 4" xfId="37145" xr:uid="{7D6E3FAE-01FB-4B01-B92B-B270BBC3D099}"/>
    <cellStyle name="40% - Accent3 3 3" xfId="12683" xr:uid="{7BAEA628-33E6-4D2D-AA7C-2F00C3825983}"/>
    <cellStyle name="40% - Accent3 3 3 2" xfId="37146" xr:uid="{DD67EF14-7653-453A-937B-D52658CB3C17}"/>
    <cellStyle name="40% - Accent3 3 4" xfId="37147" xr:uid="{BF6EEA76-CB7B-4285-B810-39180052DFEF}"/>
    <cellStyle name="40% - Accent3 3 5" xfId="37148" xr:uid="{10E4D196-3076-49A5-8BD0-5AB588FBFEF3}"/>
    <cellStyle name="40% - Accent3 3 6" xfId="37149" xr:uid="{E6B92747-1434-45D1-89DA-553F8A6C754D}"/>
    <cellStyle name="40% - Accent3 30" xfId="12684" xr:uid="{DEE6FBBF-6087-48AD-89FD-27DD13DF53F8}"/>
    <cellStyle name="40% - Accent3 30 10" xfId="12685" xr:uid="{6830B3FD-7667-42DB-931C-987AA087CDDB}"/>
    <cellStyle name="40% - Accent3 30 10 2" xfId="12686" xr:uid="{64B03B70-6691-4D1B-A831-6C76AC9218BA}"/>
    <cellStyle name="40% - Accent3 30 10 2 2" xfId="12687" xr:uid="{C16F4128-47B5-4AAB-BDFC-1DFC8E9638C8}"/>
    <cellStyle name="40% - Accent3 30 10 2 2 2" xfId="12688" xr:uid="{21A3CF55-9027-43DE-A5DC-8CC8156B6A5C}"/>
    <cellStyle name="40% - Accent3 30 10 2 2 2 2" xfId="12689" xr:uid="{74A13D2F-E8CA-414C-AA4E-B987522D93DA}"/>
    <cellStyle name="40% - Accent3 30 10 2 2 3" xfId="12690" xr:uid="{43D616B5-7374-44DE-B3FC-4A749E83763D}"/>
    <cellStyle name="40% - Accent3 30 10 2 3" xfId="12691" xr:uid="{F66AFFAE-A528-4110-9639-854A609B644B}"/>
    <cellStyle name="40% - Accent3 30 10 2 3 2" xfId="12692" xr:uid="{CCEC263F-568B-41B1-8843-E6E66774F8E0}"/>
    <cellStyle name="40% - Accent3 30 10 2 3 2 2" xfId="12693" xr:uid="{BE0AEC16-5BAF-4DAC-AEA4-5B37E18C2B51}"/>
    <cellStyle name="40% - Accent3 30 10 2 3 3" xfId="12694" xr:uid="{A92F6825-A3BA-4760-AC1E-91D38D796E88}"/>
    <cellStyle name="40% - Accent3 30 10 2 4" xfId="12695" xr:uid="{73F7E63B-824D-4DCB-8358-5CB2E96458DA}"/>
    <cellStyle name="40% - Accent3 30 10 2 4 2" xfId="12696" xr:uid="{3E1295B9-400F-40BA-A854-508B0622E4E4}"/>
    <cellStyle name="40% - Accent3 30 10 2 5" xfId="12697" xr:uid="{EE4D21BB-7E30-4ED2-A920-C5CC45B3613A}"/>
    <cellStyle name="40% - Accent3 30 10 3" xfId="12698" xr:uid="{F8AB745A-E16D-4EFE-A259-444CDC833558}"/>
    <cellStyle name="40% - Accent3 30 10 3 2" xfId="12699" xr:uid="{911E737E-C414-450D-91D1-561BA26828FB}"/>
    <cellStyle name="40% - Accent3 30 10 3 2 2" xfId="12700" xr:uid="{AACA8120-E9F5-4591-973F-CAB71A72CF62}"/>
    <cellStyle name="40% - Accent3 30 10 3 3" xfId="12701" xr:uid="{9510ABE8-BB03-4D51-88B4-DF4C9F8C7EF6}"/>
    <cellStyle name="40% - Accent3 30 10 4" xfId="12702" xr:uid="{0AF71352-0197-4701-9D01-4660E47DA4FB}"/>
    <cellStyle name="40% - Accent3 30 10 4 2" xfId="12703" xr:uid="{AD3019E2-403E-4586-A86F-3A994F7668B0}"/>
    <cellStyle name="40% - Accent3 30 10 4 2 2" xfId="12704" xr:uid="{98AAF23B-BF6B-478F-BE61-757805E70A4E}"/>
    <cellStyle name="40% - Accent3 30 10 4 3" xfId="12705" xr:uid="{851E86B0-3292-46E8-99E2-A91700B801FA}"/>
    <cellStyle name="40% - Accent3 30 10 5" xfId="12706" xr:uid="{17B626C7-52C8-4D59-97B4-1FAF6F5F2AFA}"/>
    <cellStyle name="40% - Accent3 30 10 5 2" xfId="12707" xr:uid="{22728BF2-2A3A-4F24-A936-27CA53CE498E}"/>
    <cellStyle name="40% - Accent3 30 10 6" xfId="12708" xr:uid="{72B7BC4B-54C2-4B78-96EC-1EE1D981B7C1}"/>
    <cellStyle name="40% - Accent3 30 11" xfId="12709" xr:uid="{1B1A056E-BC70-4F7A-A4D6-1E6C53CBBD51}"/>
    <cellStyle name="40% - Accent3 30 11 2" xfId="12710" xr:uid="{44CE770D-9D25-425B-B230-1FC0E8EA4DDC}"/>
    <cellStyle name="40% - Accent3 30 11 2 2" xfId="12711" xr:uid="{BA90C45D-6BBF-4956-B47A-FFD65047D593}"/>
    <cellStyle name="40% - Accent3 30 11 2 2 2" xfId="12712" xr:uid="{5C5F2A43-EFE3-4865-8251-8C2E59F030F1}"/>
    <cellStyle name="40% - Accent3 30 11 2 3" xfId="12713" xr:uid="{CAFCFD68-3F94-43CA-BD1B-29A8DD566BA2}"/>
    <cellStyle name="40% - Accent3 30 11 3" xfId="12714" xr:uid="{B83865AD-F904-4E9F-8776-042F4A338617}"/>
    <cellStyle name="40% - Accent3 30 11 3 2" xfId="12715" xr:uid="{2421BCEF-8C06-45B4-983F-AB815CEE3451}"/>
    <cellStyle name="40% - Accent3 30 11 3 2 2" xfId="12716" xr:uid="{3A372C1F-E256-4F14-9022-EFB7437C5264}"/>
    <cellStyle name="40% - Accent3 30 11 3 3" xfId="12717" xr:uid="{2845D77F-25A5-4288-9097-0FCE28639D5C}"/>
    <cellStyle name="40% - Accent3 30 11 4" xfId="12718" xr:uid="{2C2A289F-A06E-42FD-B8C3-C0E2539D115B}"/>
    <cellStyle name="40% - Accent3 30 11 4 2" xfId="12719" xr:uid="{D9E3703F-884E-4275-ADDD-9C550B1611DC}"/>
    <cellStyle name="40% - Accent3 30 11 5" xfId="12720" xr:uid="{F1D54971-3D2E-4BB9-A322-CB2B523978C4}"/>
    <cellStyle name="40% - Accent3 30 12" xfId="12721" xr:uid="{6A14A9BA-FE3E-4434-8DF2-9EA5C429CF46}"/>
    <cellStyle name="40% - Accent3 30 12 2" xfId="12722" xr:uid="{5BBFD804-8530-4B2A-B76C-49FAC170EE44}"/>
    <cellStyle name="40% - Accent3 30 12 2 2" xfId="12723" xr:uid="{880B8E06-9D99-4930-9A89-A1BD3FCE4B70}"/>
    <cellStyle name="40% - Accent3 30 12 3" xfId="12724" xr:uid="{55BE8C24-4E47-414D-B55B-F9A5F37AF255}"/>
    <cellStyle name="40% - Accent3 30 13" xfId="12725" xr:uid="{DEC75513-0832-4507-89C1-4832C8D3B67B}"/>
    <cellStyle name="40% - Accent3 30 13 2" xfId="12726" xr:uid="{AD5ADB19-9F23-4B42-9CD8-D80BEF59F0FE}"/>
    <cellStyle name="40% - Accent3 30 13 2 2" xfId="12727" xr:uid="{45BB9E7D-B133-4B28-814B-BDADA5817246}"/>
    <cellStyle name="40% - Accent3 30 13 3" xfId="12728" xr:uid="{C6F1AE36-3F7F-4969-AC01-347B7F8B2984}"/>
    <cellStyle name="40% - Accent3 30 14" xfId="12729" xr:uid="{58C8CAC4-AE2B-47FE-B721-5C5A064D50BD}"/>
    <cellStyle name="40% - Accent3 30 14 2" xfId="12730" xr:uid="{3185A693-BEE2-45BB-8508-AB58743F521A}"/>
    <cellStyle name="40% - Accent3 30 15" xfId="12731" xr:uid="{52CC7BDD-5FAE-4797-B384-0CD5942F0BDD}"/>
    <cellStyle name="40% - Accent3 30 16" xfId="37150" xr:uid="{B18B95E8-5692-452F-B9C4-4669C1C013F1}"/>
    <cellStyle name="40% - Accent3 30 2" xfId="12732" xr:uid="{AA79AECF-1C50-4878-8915-A5058A03854D}"/>
    <cellStyle name="40% - Accent3 30 2 2" xfId="12733" xr:uid="{FC504F7D-3912-4BD8-B84C-8D49DDF93E65}"/>
    <cellStyle name="40% - Accent3 30 2 2 2" xfId="12734" xr:uid="{0A1E934C-3252-40AE-A55C-84BDCEF58269}"/>
    <cellStyle name="40% - Accent3 30 2 2 2 2" xfId="12735" xr:uid="{2E05408B-4904-4F29-8596-35226442F00A}"/>
    <cellStyle name="40% - Accent3 30 2 2 2 2 2" xfId="12736" xr:uid="{4BDDA91D-36F7-4FCC-AB45-8C6E3E0FDFC7}"/>
    <cellStyle name="40% - Accent3 30 2 2 2 3" xfId="12737" xr:uid="{B7987E81-C16A-446C-B87E-F3EEFF17A41B}"/>
    <cellStyle name="40% - Accent3 30 2 2 3" xfId="12738" xr:uid="{7BD2CE14-4DC1-4138-8BF8-5EEB01A4BC19}"/>
    <cellStyle name="40% - Accent3 30 2 2 3 2" xfId="12739" xr:uid="{6930C76F-9648-43E5-AFD4-769957E24D2E}"/>
    <cellStyle name="40% - Accent3 30 2 2 3 2 2" xfId="12740" xr:uid="{C48D45C8-9B86-43A4-942D-B65FF35B68BA}"/>
    <cellStyle name="40% - Accent3 30 2 2 3 3" xfId="12741" xr:uid="{E14FCF82-84AD-47C9-867B-EA265C2FAD48}"/>
    <cellStyle name="40% - Accent3 30 2 2 4" xfId="12742" xr:uid="{4AF6E7E3-F71E-4DE3-9C1B-3D528820DA00}"/>
    <cellStyle name="40% - Accent3 30 2 2 4 2" xfId="12743" xr:uid="{B9F9B91B-7BDA-462F-BE83-18F773B24946}"/>
    <cellStyle name="40% - Accent3 30 2 2 5" xfId="12744" xr:uid="{1B869C9F-F26F-4C20-BE10-2857644C1167}"/>
    <cellStyle name="40% - Accent3 30 2 3" xfId="12745" xr:uid="{E3C91EF2-4CDF-43BF-A726-B61951264B58}"/>
    <cellStyle name="40% - Accent3 30 2 3 2" xfId="12746" xr:uid="{376ECDCC-FFDB-4B34-9535-B4863825F65D}"/>
    <cellStyle name="40% - Accent3 30 2 3 2 2" xfId="12747" xr:uid="{25BEF65E-CCDF-4B4E-A39A-8BAC6842C9F9}"/>
    <cellStyle name="40% - Accent3 30 2 3 3" xfId="12748" xr:uid="{2A7BA57A-8FFE-4CC3-97D3-63985765FF7D}"/>
    <cellStyle name="40% - Accent3 30 2 4" xfId="12749" xr:uid="{1EBD6C75-9DAF-4D1F-84CA-E61BCCDEC1BA}"/>
    <cellStyle name="40% - Accent3 30 2 4 2" xfId="12750" xr:uid="{BBE3F2D5-4D1B-4924-8614-4D483A557A6C}"/>
    <cellStyle name="40% - Accent3 30 2 4 2 2" xfId="12751" xr:uid="{F1C73624-35C2-47A0-BF9B-921AAB9231DB}"/>
    <cellStyle name="40% - Accent3 30 2 4 3" xfId="12752" xr:uid="{08C2AC4A-473B-4074-80C9-5ABCE0D2E194}"/>
    <cellStyle name="40% - Accent3 30 2 5" xfId="12753" xr:uid="{27FFB924-6C2F-4BAC-9A7A-70E7B1FE8D07}"/>
    <cellStyle name="40% - Accent3 30 2 5 2" xfId="12754" xr:uid="{60AE4AEC-66C0-46DE-B07C-A62764230609}"/>
    <cellStyle name="40% - Accent3 30 2 6" xfId="12755" xr:uid="{CF0383D2-1BB5-4850-87AB-ED4C813FB57E}"/>
    <cellStyle name="40% - Accent3 30 3" xfId="12756" xr:uid="{8B26BEF6-0C99-41D6-9290-80DA640E0E01}"/>
    <cellStyle name="40% - Accent3 30 3 2" xfId="12757" xr:uid="{4685D620-6693-4094-8817-56DA38AB7143}"/>
    <cellStyle name="40% - Accent3 30 3 2 2" xfId="12758" xr:uid="{FBA993BC-9706-418C-8DC7-3AFEAC10FAD8}"/>
    <cellStyle name="40% - Accent3 30 3 2 2 2" xfId="12759" xr:uid="{8401CF9A-5049-414D-AEE5-4BBF41324111}"/>
    <cellStyle name="40% - Accent3 30 3 2 2 2 2" xfId="12760" xr:uid="{48F14E37-02CF-485F-AA7D-67BA74AF1D0E}"/>
    <cellStyle name="40% - Accent3 30 3 2 2 3" xfId="12761" xr:uid="{F59BFDBA-A525-4A0B-9AB2-4CF1DE3A56D2}"/>
    <cellStyle name="40% - Accent3 30 3 2 3" xfId="12762" xr:uid="{D607D657-5447-418B-8500-2AC982A62BB7}"/>
    <cellStyle name="40% - Accent3 30 3 2 3 2" xfId="12763" xr:uid="{57783D20-EF67-446E-AE9F-173A6FAE37FD}"/>
    <cellStyle name="40% - Accent3 30 3 2 3 2 2" xfId="12764" xr:uid="{E7EAC65F-7F37-49EF-BF8D-72BDE7A93B23}"/>
    <cellStyle name="40% - Accent3 30 3 2 3 3" xfId="12765" xr:uid="{75A8B807-6B2E-4D7E-8DC0-A72954015160}"/>
    <cellStyle name="40% - Accent3 30 3 2 4" xfId="12766" xr:uid="{6215B279-E0ED-466E-B533-4744812FE017}"/>
    <cellStyle name="40% - Accent3 30 3 2 4 2" xfId="12767" xr:uid="{B198126A-1F9F-4BB6-9643-0A18353F8956}"/>
    <cellStyle name="40% - Accent3 30 3 2 5" xfId="12768" xr:uid="{F79DEE21-DE37-4644-8D1C-41050FE58F18}"/>
    <cellStyle name="40% - Accent3 30 3 3" xfId="12769" xr:uid="{33D73181-88E3-4FFD-A2BB-77D3288571C0}"/>
    <cellStyle name="40% - Accent3 30 3 3 2" xfId="12770" xr:uid="{F1EF53BB-46EB-4DF3-BBCA-91CFEAAEE8B8}"/>
    <cellStyle name="40% - Accent3 30 3 3 2 2" xfId="12771" xr:uid="{5783D5AD-CC14-4DF5-B24F-982907B24211}"/>
    <cellStyle name="40% - Accent3 30 3 3 3" xfId="12772" xr:uid="{89E26EBC-06F1-4BDE-AB7C-2BC6C71075B5}"/>
    <cellStyle name="40% - Accent3 30 3 4" xfId="12773" xr:uid="{6C91F124-44F8-4F24-92FD-171FE63E182B}"/>
    <cellStyle name="40% - Accent3 30 3 4 2" xfId="12774" xr:uid="{9DBD3073-0FB6-4201-B88E-6CE23CC8ACC0}"/>
    <cellStyle name="40% - Accent3 30 3 4 2 2" xfId="12775" xr:uid="{F83D1FCA-803A-4D20-A580-30130FDF7ACA}"/>
    <cellStyle name="40% - Accent3 30 3 4 3" xfId="12776" xr:uid="{A9E21028-314B-42CF-A044-D33CD71551C6}"/>
    <cellStyle name="40% - Accent3 30 3 5" xfId="12777" xr:uid="{21D0F70B-2A23-4929-B92D-BA7E74A7D5BB}"/>
    <cellStyle name="40% - Accent3 30 3 5 2" xfId="12778" xr:uid="{C764F4F2-45E2-4068-B4E0-4E78A0CBD9B0}"/>
    <cellStyle name="40% - Accent3 30 3 6" xfId="12779" xr:uid="{3B7330E5-0D34-4942-A798-EFE10ECF26FD}"/>
    <cellStyle name="40% - Accent3 30 4" xfId="12780" xr:uid="{4720BCD9-E0F5-4DFF-AC18-7EA07A94D700}"/>
    <cellStyle name="40% - Accent3 30 4 2" xfId="12781" xr:uid="{326DF06F-1E3D-402E-ADE6-D65EF5254040}"/>
    <cellStyle name="40% - Accent3 30 4 2 2" xfId="12782" xr:uid="{32E125E1-FA76-424D-B0A6-072ED2A15EB0}"/>
    <cellStyle name="40% - Accent3 30 4 2 2 2" xfId="12783" xr:uid="{F6B3A064-0763-4D49-8CF7-8A66EE18F73D}"/>
    <cellStyle name="40% - Accent3 30 4 2 2 2 2" xfId="12784" xr:uid="{6B6A2ED8-265B-4FD9-9140-A3C30B145423}"/>
    <cellStyle name="40% - Accent3 30 4 2 2 3" xfId="12785" xr:uid="{866B52D5-8561-4745-9351-7F35F88B7B9A}"/>
    <cellStyle name="40% - Accent3 30 4 2 3" xfId="12786" xr:uid="{A632CC56-2F20-4CE3-92E7-FC214BCEF46F}"/>
    <cellStyle name="40% - Accent3 30 4 2 3 2" xfId="12787" xr:uid="{DAEB1E5F-538B-4765-81AF-326198300148}"/>
    <cellStyle name="40% - Accent3 30 4 2 3 2 2" xfId="12788" xr:uid="{AA594EB0-B5DE-4BCC-8BD9-8C464176F9D1}"/>
    <cellStyle name="40% - Accent3 30 4 2 3 3" xfId="12789" xr:uid="{DA37DBE8-D0D4-4A44-A12C-FF1E7BE36CFE}"/>
    <cellStyle name="40% - Accent3 30 4 2 4" xfId="12790" xr:uid="{DB93A6AC-673C-427F-84D7-E95D4581AAC3}"/>
    <cellStyle name="40% - Accent3 30 4 2 4 2" xfId="12791" xr:uid="{9BCE002E-DD6D-493F-9CC3-76498DA4763D}"/>
    <cellStyle name="40% - Accent3 30 4 2 5" xfId="12792" xr:uid="{1B9B8B8B-1144-4EA0-A2B4-5AE254E85861}"/>
    <cellStyle name="40% - Accent3 30 4 3" xfId="12793" xr:uid="{AFC4B7C2-4AB5-44F8-80B9-E082EB56B098}"/>
    <cellStyle name="40% - Accent3 30 4 3 2" xfId="12794" xr:uid="{E8407A49-E2C3-472C-8CB4-B540FEB68257}"/>
    <cellStyle name="40% - Accent3 30 4 3 2 2" xfId="12795" xr:uid="{4632F48E-3BF1-4F57-8056-3401315AEC87}"/>
    <cellStyle name="40% - Accent3 30 4 3 3" xfId="12796" xr:uid="{821457AA-D4CF-4081-A339-649905C07273}"/>
    <cellStyle name="40% - Accent3 30 4 4" xfId="12797" xr:uid="{50F37696-3432-4B5A-A71D-8A24582332C1}"/>
    <cellStyle name="40% - Accent3 30 4 4 2" xfId="12798" xr:uid="{A982C4AE-6803-4FB0-BF22-FDF9D6165EEC}"/>
    <cellStyle name="40% - Accent3 30 4 4 2 2" xfId="12799" xr:uid="{A16D4A63-7A57-4513-A9AA-96FAE06F4672}"/>
    <cellStyle name="40% - Accent3 30 4 4 3" xfId="12800" xr:uid="{C97941E5-28DF-4E3E-9717-3F64D74B1AC2}"/>
    <cellStyle name="40% - Accent3 30 4 5" xfId="12801" xr:uid="{ED2BCAE1-BA8E-4B08-BB0E-CC9313619E41}"/>
    <cellStyle name="40% - Accent3 30 4 5 2" xfId="12802" xr:uid="{3A65EB27-493E-4DB0-BCF8-2149A7D1097A}"/>
    <cellStyle name="40% - Accent3 30 4 6" xfId="12803" xr:uid="{47F78D59-06BF-458E-BC32-A2F1A866EE15}"/>
    <cellStyle name="40% - Accent3 30 5" xfId="12804" xr:uid="{E7DFD44F-A668-43D7-9607-22518DF9C2CE}"/>
    <cellStyle name="40% - Accent3 30 5 2" xfId="12805" xr:uid="{CF56149F-4AB9-4FA4-BC32-E704A82609BF}"/>
    <cellStyle name="40% - Accent3 30 5 2 2" xfId="12806" xr:uid="{61B5DC76-A811-4C59-9702-A77CD49B9AAA}"/>
    <cellStyle name="40% - Accent3 30 5 2 2 2" xfId="12807" xr:uid="{D6D852CF-F25C-42C1-848A-186263547330}"/>
    <cellStyle name="40% - Accent3 30 5 2 2 2 2" xfId="12808" xr:uid="{65F7B1C7-10AF-46E7-B95C-12EE38CE55F8}"/>
    <cellStyle name="40% - Accent3 30 5 2 2 3" xfId="12809" xr:uid="{127B370F-0D5B-4479-A39C-349F35AFC968}"/>
    <cellStyle name="40% - Accent3 30 5 2 3" xfId="12810" xr:uid="{F57CB163-A38A-4F23-9B70-F7E97F3DA0C9}"/>
    <cellStyle name="40% - Accent3 30 5 2 3 2" xfId="12811" xr:uid="{3A034711-EC1C-4CDF-BB52-4B3124378724}"/>
    <cellStyle name="40% - Accent3 30 5 2 3 2 2" xfId="12812" xr:uid="{3343C81F-D1C7-4B30-A997-8549C5F2F376}"/>
    <cellStyle name="40% - Accent3 30 5 2 3 3" xfId="12813" xr:uid="{9F1C9C34-3469-4028-B9EC-79155184FC5D}"/>
    <cellStyle name="40% - Accent3 30 5 2 4" xfId="12814" xr:uid="{08A333F3-59BA-4221-90D8-4C0903ECB1CB}"/>
    <cellStyle name="40% - Accent3 30 5 2 4 2" xfId="12815" xr:uid="{F5ABCF25-1C0B-4171-8951-5A3CEF293B62}"/>
    <cellStyle name="40% - Accent3 30 5 2 5" xfId="12816" xr:uid="{B0DD3329-9797-45CD-B13C-11AE0BBE515C}"/>
    <cellStyle name="40% - Accent3 30 5 3" xfId="12817" xr:uid="{EEB0EAC2-B0EE-4EBC-9A20-096CEBCB493D}"/>
    <cellStyle name="40% - Accent3 30 5 3 2" xfId="12818" xr:uid="{D4A70888-0FE3-4105-891C-BD3A90BF988B}"/>
    <cellStyle name="40% - Accent3 30 5 3 2 2" xfId="12819" xr:uid="{1036A73B-8224-4ADA-BA46-2BEDE484B768}"/>
    <cellStyle name="40% - Accent3 30 5 3 3" xfId="12820" xr:uid="{AF5C2834-79B6-4C38-A86E-6E918A626961}"/>
    <cellStyle name="40% - Accent3 30 5 4" xfId="12821" xr:uid="{921B3274-C218-437B-AE68-7AC1647B4DF4}"/>
    <cellStyle name="40% - Accent3 30 5 4 2" xfId="12822" xr:uid="{B68C1190-4F14-49B2-8482-41BAA4732F1B}"/>
    <cellStyle name="40% - Accent3 30 5 4 2 2" xfId="12823" xr:uid="{D208132A-C5E7-499C-84D1-ED011D26EB82}"/>
    <cellStyle name="40% - Accent3 30 5 4 3" xfId="12824" xr:uid="{7E331A76-BCD2-46C5-9546-99AEC0970AE0}"/>
    <cellStyle name="40% - Accent3 30 5 5" xfId="12825" xr:uid="{8E5B12D2-023C-47A5-9503-B39C29CADC65}"/>
    <cellStyle name="40% - Accent3 30 5 5 2" xfId="12826" xr:uid="{C16A4EB0-7037-4C97-963B-1FEAD79C6932}"/>
    <cellStyle name="40% - Accent3 30 5 6" xfId="12827" xr:uid="{08190785-CFEA-4F29-83DB-FEC558F99FE1}"/>
    <cellStyle name="40% - Accent3 30 6" xfId="12828" xr:uid="{60447EA3-2439-493E-B0AB-FDE542A7B0E7}"/>
    <cellStyle name="40% - Accent3 30 6 2" xfId="12829" xr:uid="{359ED1F9-3961-4EF0-8491-61E4DAE4AC61}"/>
    <cellStyle name="40% - Accent3 30 6 2 2" xfId="12830" xr:uid="{2A8F2712-09ED-4C21-B0AB-E16F4511DE9E}"/>
    <cellStyle name="40% - Accent3 30 6 2 2 2" xfId="12831" xr:uid="{66C17547-F6A7-4B05-87D3-5834405E8873}"/>
    <cellStyle name="40% - Accent3 30 6 2 2 2 2" xfId="12832" xr:uid="{13F71449-4EDA-4685-BE17-F2DB9A9DEA18}"/>
    <cellStyle name="40% - Accent3 30 6 2 2 3" xfId="12833" xr:uid="{CCE05040-42DF-401C-964E-BDAA9751CC8D}"/>
    <cellStyle name="40% - Accent3 30 6 2 3" xfId="12834" xr:uid="{754DE0AF-2959-44C1-AC38-ED81E9F9EC00}"/>
    <cellStyle name="40% - Accent3 30 6 2 3 2" xfId="12835" xr:uid="{1340CA3C-29E0-4856-8843-01C0106B4A9A}"/>
    <cellStyle name="40% - Accent3 30 6 2 3 2 2" xfId="12836" xr:uid="{F8D4CF91-CC44-4D9D-8734-ABD00B7159CD}"/>
    <cellStyle name="40% - Accent3 30 6 2 3 3" xfId="12837" xr:uid="{E34ABD9A-8D6C-4E45-8057-248F73A81B46}"/>
    <cellStyle name="40% - Accent3 30 6 2 4" xfId="12838" xr:uid="{0F0F079F-BC79-4B24-BDAD-A7B125F9C24C}"/>
    <cellStyle name="40% - Accent3 30 6 2 4 2" xfId="12839" xr:uid="{5D2EEDB2-4926-46F8-984F-B5EB7DDBD9BE}"/>
    <cellStyle name="40% - Accent3 30 6 2 5" xfId="12840" xr:uid="{10C28856-BED2-4EA5-BD96-5710958BD67C}"/>
    <cellStyle name="40% - Accent3 30 6 3" xfId="12841" xr:uid="{C7D7922B-D44C-44EB-BD98-E9EE2B25F3F2}"/>
    <cellStyle name="40% - Accent3 30 6 3 2" xfId="12842" xr:uid="{2B26565B-FDD9-46DA-96F9-B7538985C50B}"/>
    <cellStyle name="40% - Accent3 30 6 3 2 2" xfId="12843" xr:uid="{88822108-5879-4703-91F3-32D434F83A59}"/>
    <cellStyle name="40% - Accent3 30 6 3 3" xfId="12844" xr:uid="{397CAAAA-FBD2-4647-8B4B-2395CE5D7EFC}"/>
    <cellStyle name="40% - Accent3 30 6 4" xfId="12845" xr:uid="{3A041426-C182-499A-90D3-70F6D5E06859}"/>
    <cellStyle name="40% - Accent3 30 6 4 2" xfId="12846" xr:uid="{AF9CCD7B-ED67-4EB6-A156-82CDF2CE9A8F}"/>
    <cellStyle name="40% - Accent3 30 6 4 2 2" xfId="12847" xr:uid="{A865F13A-A2E8-4CE1-B1B2-EE636FCDBB76}"/>
    <cellStyle name="40% - Accent3 30 6 4 3" xfId="12848" xr:uid="{585AACA4-7D1A-410A-B6AC-FA66548B4B52}"/>
    <cellStyle name="40% - Accent3 30 6 5" xfId="12849" xr:uid="{E7171F4C-972F-4D5C-86B8-768F3F0C894D}"/>
    <cellStyle name="40% - Accent3 30 6 5 2" xfId="12850" xr:uid="{EBE6A356-2552-4FF5-9460-D2FBDC92A9DE}"/>
    <cellStyle name="40% - Accent3 30 6 6" xfId="12851" xr:uid="{C554C790-9C53-4CD2-86BF-C87D44836FDA}"/>
    <cellStyle name="40% - Accent3 30 7" xfId="12852" xr:uid="{4EAA75B5-B6FC-45DB-861C-B3B6A438077A}"/>
    <cellStyle name="40% - Accent3 30 7 2" xfId="12853" xr:uid="{7FF47300-46AD-41EC-905A-AB526105CA76}"/>
    <cellStyle name="40% - Accent3 30 7 2 2" xfId="12854" xr:uid="{91497F04-CF91-48C9-A04D-5CA30BEBDCC2}"/>
    <cellStyle name="40% - Accent3 30 7 2 2 2" xfId="12855" xr:uid="{0480A9B7-B46D-467C-9EB4-731AA21FE084}"/>
    <cellStyle name="40% - Accent3 30 7 2 2 2 2" xfId="12856" xr:uid="{086865F4-B593-448A-94AE-81FDDE9AAEF6}"/>
    <cellStyle name="40% - Accent3 30 7 2 2 3" xfId="12857" xr:uid="{14F58A87-C428-4407-BB44-59DA87C17DB1}"/>
    <cellStyle name="40% - Accent3 30 7 2 3" xfId="12858" xr:uid="{D69A0101-C57A-4204-9BBA-6A571C0391F7}"/>
    <cellStyle name="40% - Accent3 30 7 2 3 2" xfId="12859" xr:uid="{8DF8D887-C61C-47AE-8EF7-6A9562151E3B}"/>
    <cellStyle name="40% - Accent3 30 7 2 3 2 2" xfId="12860" xr:uid="{86120136-E3DB-4CA5-AAB0-F3134D3E8F18}"/>
    <cellStyle name="40% - Accent3 30 7 2 3 3" xfId="12861" xr:uid="{1811FF42-59C4-4416-B7DF-D657BB38736D}"/>
    <cellStyle name="40% - Accent3 30 7 2 4" xfId="12862" xr:uid="{D47914E4-8818-40ED-9AC3-26B18B807DFD}"/>
    <cellStyle name="40% - Accent3 30 7 2 4 2" xfId="12863" xr:uid="{25317437-48A4-483F-A2EB-8EC04A721B56}"/>
    <cellStyle name="40% - Accent3 30 7 2 5" xfId="12864" xr:uid="{0D69A46D-5C7F-468F-968F-890803751B67}"/>
    <cellStyle name="40% - Accent3 30 7 3" xfId="12865" xr:uid="{A1CB98F6-707B-41C9-B9E5-6EAC43B85D7A}"/>
    <cellStyle name="40% - Accent3 30 7 3 2" xfId="12866" xr:uid="{E83D3970-8B3C-44A5-8858-9E38C5988807}"/>
    <cellStyle name="40% - Accent3 30 7 3 2 2" xfId="12867" xr:uid="{F2B83623-247A-4CEB-89A9-4F990FC9404B}"/>
    <cellStyle name="40% - Accent3 30 7 3 3" xfId="12868" xr:uid="{4082833C-0A7D-40D0-A2E9-CBA495181A4A}"/>
    <cellStyle name="40% - Accent3 30 7 4" xfId="12869" xr:uid="{749E0B16-6A1A-42F6-97D2-46CC2446EADF}"/>
    <cellStyle name="40% - Accent3 30 7 4 2" xfId="12870" xr:uid="{7664F93C-4330-404F-B032-A7C07815677A}"/>
    <cellStyle name="40% - Accent3 30 7 4 2 2" xfId="12871" xr:uid="{D1B3FFD9-3EE9-4189-A0F6-49064306B297}"/>
    <cellStyle name="40% - Accent3 30 7 4 3" xfId="12872" xr:uid="{0573DF91-E48F-4DE0-90AD-767371EDE0FC}"/>
    <cellStyle name="40% - Accent3 30 7 5" xfId="12873" xr:uid="{D1BEAE6F-EFBE-401D-808D-11FB4D5312C0}"/>
    <cellStyle name="40% - Accent3 30 7 5 2" xfId="12874" xr:uid="{70CAD645-536C-44E1-A102-3527A284EA48}"/>
    <cellStyle name="40% - Accent3 30 7 6" xfId="12875" xr:uid="{28011016-A7A9-4951-8827-1737E17867D6}"/>
    <cellStyle name="40% - Accent3 30 8" xfId="12876" xr:uid="{7891698B-CD5D-4F3F-8191-2AA86E5DBA55}"/>
    <cellStyle name="40% - Accent3 30 8 2" xfId="12877" xr:uid="{71A8AA79-2831-4473-9D34-B1850AEC1AAA}"/>
    <cellStyle name="40% - Accent3 30 8 2 2" xfId="12878" xr:uid="{25D542EC-63C5-4F0F-A17B-82540E6F9F52}"/>
    <cellStyle name="40% - Accent3 30 8 2 2 2" xfId="12879" xr:uid="{FC17059B-C525-4FB1-A01B-96EF4057C941}"/>
    <cellStyle name="40% - Accent3 30 8 2 2 2 2" xfId="12880" xr:uid="{D8DE5E7F-6E8E-4622-87D8-5A5B651BC488}"/>
    <cellStyle name="40% - Accent3 30 8 2 2 3" xfId="12881" xr:uid="{21DA5318-EBBB-4C40-A518-2AC89F0B0E51}"/>
    <cellStyle name="40% - Accent3 30 8 2 3" xfId="12882" xr:uid="{2831C61D-D8D6-4951-8F2A-14565C4A3D1A}"/>
    <cellStyle name="40% - Accent3 30 8 2 3 2" xfId="12883" xr:uid="{CB90287B-7E94-4685-AE0B-A3FD129F01C8}"/>
    <cellStyle name="40% - Accent3 30 8 2 3 2 2" xfId="12884" xr:uid="{20CF5B46-32AE-4A02-B683-30652118D2F0}"/>
    <cellStyle name="40% - Accent3 30 8 2 3 3" xfId="12885" xr:uid="{29CD2ABC-DC5D-457E-B59F-D4A889F5A68E}"/>
    <cellStyle name="40% - Accent3 30 8 2 4" xfId="12886" xr:uid="{12993C3D-1260-4505-BE40-A9C83CC4DF01}"/>
    <cellStyle name="40% - Accent3 30 8 2 4 2" xfId="12887" xr:uid="{DE75E7CE-CCFD-452C-9644-17DC29C61E43}"/>
    <cellStyle name="40% - Accent3 30 8 2 5" xfId="12888" xr:uid="{0FC311F3-87A2-4142-9EFD-71B102B3AE2F}"/>
    <cellStyle name="40% - Accent3 30 8 3" xfId="12889" xr:uid="{C360937A-947A-445C-A4C2-732329E0B147}"/>
    <cellStyle name="40% - Accent3 30 8 3 2" xfId="12890" xr:uid="{42E3EF49-C879-4407-9205-48D90E12276B}"/>
    <cellStyle name="40% - Accent3 30 8 3 2 2" xfId="12891" xr:uid="{C9167968-33AA-47B7-B03B-405DDBD0E601}"/>
    <cellStyle name="40% - Accent3 30 8 3 3" xfId="12892" xr:uid="{C3FACB28-32E4-4ED3-97FF-BF907AC3A28E}"/>
    <cellStyle name="40% - Accent3 30 8 4" xfId="12893" xr:uid="{6AC5D724-2D69-47A3-9862-53E603295071}"/>
    <cellStyle name="40% - Accent3 30 8 4 2" xfId="12894" xr:uid="{35945A25-E176-4710-87A9-8070764B0F53}"/>
    <cellStyle name="40% - Accent3 30 8 4 2 2" xfId="12895" xr:uid="{DA2B9024-F625-4F0A-84AB-1D3E7BD9AADF}"/>
    <cellStyle name="40% - Accent3 30 8 4 3" xfId="12896" xr:uid="{581DDF29-CC91-4D65-9FB1-3DC2E5C1B91A}"/>
    <cellStyle name="40% - Accent3 30 8 5" xfId="12897" xr:uid="{CFF82CDC-13A9-455E-AF61-6048563153F0}"/>
    <cellStyle name="40% - Accent3 30 8 5 2" xfId="12898" xr:uid="{A58F2E8E-2474-437E-B253-0D221225FFE5}"/>
    <cellStyle name="40% - Accent3 30 8 6" xfId="12899" xr:uid="{99A2157E-73A4-4AE6-B420-7BA9789E5CF9}"/>
    <cellStyle name="40% - Accent3 30 9" xfId="12900" xr:uid="{EE5A781A-8FDA-407D-AB18-82852CF156AA}"/>
    <cellStyle name="40% - Accent3 30 9 2" xfId="12901" xr:uid="{98176707-2418-4249-8029-CA511D9E5BF4}"/>
    <cellStyle name="40% - Accent3 30 9 2 2" xfId="12902" xr:uid="{9981E27D-366F-4130-A747-D05DE7C7C58B}"/>
    <cellStyle name="40% - Accent3 30 9 2 2 2" xfId="12903" xr:uid="{6DF6FA52-0E72-4374-BA92-C0C90A7DC697}"/>
    <cellStyle name="40% - Accent3 30 9 2 2 2 2" xfId="12904" xr:uid="{AA87FFBA-0E12-43E1-9372-FA2452F45A45}"/>
    <cellStyle name="40% - Accent3 30 9 2 2 3" xfId="12905" xr:uid="{6FBB365A-3DC1-4D63-A361-5EB3DA679060}"/>
    <cellStyle name="40% - Accent3 30 9 2 3" xfId="12906" xr:uid="{18006BBD-F773-4049-824E-BF70274ED8B4}"/>
    <cellStyle name="40% - Accent3 30 9 2 3 2" xfId="12907" xr:uid="{1E3008E8-4456-4D06-8A65-6F2A0C8C0A71}"/>
    <cellStyle name="40% - Accent3 30 9 2 3 2 2" xfId="12908" xr:uid="{E6E6CC4A-4F73-4B12-8E2B-CB329068F346}"/>
    <cellStyle name="40% - Accent3 30 9 2 3 3" xfId="12909" xr:uid="{B4209710-6572-4C50-AC74-C2F6B00BFE32}"/>
    <cellStyle name="40% - Accent3 30 9 2 4" xfId="12910" xr:uid="{22D161EF-3EFF-4C29-A8E4-35D11BAD57EC}"/>
    <cellStyle name="40% - Accent3 30 9 2 4 2" xfId="12911" xr:uid="{4CD6F191-FE83-47B6-A4E5-568B6D921B9E}"/>
    <cellStyle name="40% - Accent3 30 9 2 5" xfId="12912" xr:uid="{B0570E26-A508-47F5-A539-51835992D935}"/>
    <cellStyle name="40% - Accent3 30 9 3" xfId="12913" xr:uid="{A972ACB5-A0CD-4A08-ADF7-8DE34E54219A}"/>
    <cellStyle name="40% - Accent3 30 9 3 2" xfId="12914" xr:uid="{93F1DBA3-32B3-4864-8A36-AB6A86F11D94}"/>
    <cellStyle name="40% - Accent3 30 9 3 2 2" xfId="12915" xr:uid="{A2D0A462-502A-40DF-92FE-F4F8EE7C870F}"/>
    <cellStyle name="40% - Accent3 30 9 3 3" xfId="12916" xr:uid="{7C33713C-DA54-4266-BA38-E9F994868C5A}"/>
    <cellStyle name="40% - Accent3 30 9 4" xfId="12917" xr:uid="{D5B6E35F-187A-418D-81BC-374375C05D4D}"/>
    <cellStyle name="40% - Accent3 30 9 4 2" xfId="12918" xr:uid="{0D7B43A5-5405-4C93-9476-D5151E6C0E34}"/>
    <cellStyle name="40% - Accent3 30 9 4 2 2" xfId="12919" xr:uid="{8938B142-1F87-4043-AB14-EFAE920BD63F}"/>
    <cellStyle name="40% - Accent3 30 9 4 3" xfId="12920" xr:uid="{269F324B-B0C2-43AA-A808-31D894CF10A5}"/>
    <cellStyle name="40% - Accent3 30 9 5" xfId="12921" xr:uid="{C3C1D322-1B19-455F-B698-8FF0158EA7D1}"/>
    <cellStyle name="40% - Accent3 30 9 5 2" xfId="12922" xr:uid="{DB79513A-82B0-4282-819F-67D814B9FD3C}"/>
    <cellStyle name="40% - Accent3 30 9 6" xfId="12923" xr:uid="{1E0FC505-7FFA-4270-9FF8-B063A10B7EB8}"/>
    <cellStyle name="40% - Accent3 31" xfId="12924" xr:uid="{B806A281-7BC4-47DE-961E-2FF433B5C7A1}"/>
    <cellStyle name="40% - Accent3 31 10" xfId="12925" xr:uid="{05D3DEA0-8292-478E-AE1F-CEB53A9DAEF8}"/>
    <cellStyle name="40% - Accent3 31 10 2" xfId="12926" xr:uid="{629AADB8-1FF2-43C0-A392-137D8EA298E9}"/>
    <cellStyle name="40% - Accent3 31 10 2 2" xfId="12927" xr:uid="{F0E4A425-5753-49F8-9FB9-7AB9F7958435}"/>
    <cellStyle name="40% - Accent3 31 10 2 2 2" xfId="12928" xr:uid="{9873DDC0-7E4D-4B7E-8D32-3EEB50B284C3}"/>
    <cellStyle name="40% - Accent3 31 10 2 2 2 2" xfId="12929" xr:uid="{6BC7A1D2-D138-4834-821C-D5804AA7BCC2}"/>
    <cellStyle name="40% - Accent3 31 10 2 2 3" xfId="12930" xr:uid="{FD0A1127-2B37-4FC0-A71F-B1D3BD88647F}"/>
    <cellStyle name="40% - Accent3 31 10 2 3" xfId="12931" xr:uid="{9318BE0E-DA0F-4E20-AD51-6CBAC049C4C8}"/>
    <cellStyle name="40% - Accent3 31 10 2 3 2" xfId="12932" xr:uid="{2F168AAE-BE73-4934-ADFD-1CCCD30D0E7A}"/>
    <cellStyle name="40% - Accent3 31 10 2 3 2 2" xfId="12933" xr:uid="{B72FCF58-B482-4CA1-B803-7361CA6E9F5E}"/>
    <cellStyle name="40% - Accent3 31 10 2 3 3" xfId="12934" xr:uid="{6447188A-347B-44AE-B60F-3AD99569BE51}"/>
    <cellStyle name="40% - Accent3 31 10 2 4" xfId="12935" xr:uid="{BBD89EC5-B8FE-40AF-9271-121CC91336BB}"/>
    <cellStyle name="40% - Accent3 31 10 2 4 2" xfId="12936" xr:uid="{72C5BC82-A9EB-45D9-9AA9-55B7CC88479E}"/>
    <cellStyle name="40% - Accent3 31 10 2 5" xfId="12937" xr:uid="{24CB32AB-43E6-4E75-A605-B169470E2FCF}"/>
    <cellStyle name="40% - Accent3 31 10 3" xfId="12938" xr:uid="{656114C6-A292-4F0D-BF4E-C8F17C5E0B75}"/>
    <cellStyle name="40% - Accent3 31 10 3 2" xfId="12939" xr:uid="{98710A3E-EC00-46A2-9187-5515823613CE}"/>
    <cellStyle name="40% - Accent3 31 10 3 2 2" xfId="12940" xr:uid="{B1B5AE25-7682-42AB-ABBC-9FA6E6B4A399}"/>
    <cellStyle name="40% - Accent3 31 10 3 3" xfId="12941" xr:uid="{918C7022-2018-49D0-A0CA-EBD47901A34B}"/>
    <cellStyle name="40% - Accent3 31 10 4" xfId="12942" xr:uid="{908C16AD-B10D-4430-B835-D180B8DD10EC}"/>
    <cellStyle name="40% - Accent3 31 10 4 2" xfId="12943" xr:uid="{CDAC1A8D-13F9-4800-9549-05228C17DF22}"/>
    <cellStyle name="40% - Accent3 31 10 4 2 2" xfId="12944" xr:uid="{430D4713-E596-4A26-936B-B4157F0A1DC7}"/>
    <cellStyle name="40% - Accent3 31 10 4 3" xfId="12945" xr:uid="{31345C70-C8F2-45EE-9EC6-6C7048009EA7}"/>
    <cellStyle name="40% - Accent3 31 10 5" xfId="12946" xr:uid="{7EF93B86-769C-46DD-B1D8-049975323481}"/>
    <cellStyle name="40% - Accent3 31 10 5 2" xfId="12947" xr:uid="{577CD8E2-09C6-46FA-93C0-4C8D20D70F37}"/>
    <cellStyle name="40% - Accent3 31 10 6" xfId="12948" xr:uid="{6119E753-D8AE-4C3A-8EBE-6784F2FD1D36}"/>
    <cellStyle name="40% - Accent3 31 11" xfId="12949" xr:uid="{9C07B71D-9FFA-4CBC-AA23-CE3736891368}"/>
    <cellStyle name="40% - Accent3 31 11 2" xfId="12950" xr:uid="{E104DA25-65F5-41AB-AF62-36E2A5F67DF3}"/>
    <cellStyle name="40% - Accent3 31 11 2 2" xfId="12951" xr:uid="{76472286-CD2C-434C-A969-49AE1E2CF051}"/>
    <cellStyle name="40% - Accent3 31 11 2 2 2" xfId="12952" xr:uid="{86948DB8-673C-4345-945D-34490EE664D1}"/>
    <cellStyle name="40% - Accent3 31 11 2 3" xfId="12953" xr:uid="{31F65A3C-BA3B-4222-8576-556CCCC4FBAD}"/>
    <cellStyle name="40% - Accent3 31 11 3" xfId="12954" xr:uid="{2FBD91D7-88C6-4C02-95A8-5EC283DF891D}"/>
    <cellStyle name="40% - Accent3 31 11 3 2" xfId="12955" xr:uid="{DCA06BE8-43E8-4616-BB43-33E09C02CA0F}"/>
    <cellStyle name="40% - Accent3 31 11 3 2 2" xfId="12956" xr:uid="{A68FBB39-ABBF-4E7A-9541-0AE62F64A567}"/>
    <cellStyle name="40% - Accent3 31 11 3 3" xfId="12957" xr:uid="{C2BF68A7-970C-4DBA-9A81-0A4BA49484FC}"/>
    <cellStyle name="40% - Accent3 31 11 4" xfId="12958" xr:uid="{5770B817-D9AB-4ABB-AC53-78BF01D4CB85}"/>
    <cellStyle name="40% - Accent3 31 11 4 2" xfId="12959" xr:uid="{EDFB431B-9D65-43FF-8ED3-621FCEF02579}"/>
    <cellStyle name="40% - Accent3 31 11 5" xfId="12960" xr:uid="{F7BE435E-62A5-4E31-BA4E-CEB472B08966}"/>
    <cellStyle name="40% - Accent3 31 12" xfId="12961" xr:uid="{B06C859E-2FB1-4C26-8BE6-73157E41D819}"/>
    <cellStyle name="40% - Accent3 31 12 2" xfId="12962" xr:uid="{32A9A5CB-D2AE-4185-BF60-73898197BD35}"/>
    <cellStyle name="40% - Accent3 31 12 2 2" xfId="12963" xr:uid="{2A17C24A-0999-4BE7-91E8-7FAA6D456038}"/>
    <cellStyle name="40% - Accent3 31 12 3" xfId="12964" xr:uid="{D78958AD-7A36-48F2-8134-B33447B8FB0A}"/>
    <cellStyle name="40% - Accent3 31 13" xfId="12965" xr:uid="{AB500C63-75E4-4F6C-9131-48BB9F00FE47}"/>
    <cellStyle name="40% - Accent3 31 13 2" xfId="12966" xr:uid="{6701F51C-84E2-4535-802A-9FA5275D29E1}"/>
    <cellStyle name="40% - Accent3 31 13 2 2" xfId="12967" xr:uid="{82CD9FDF-4E8D-4927-8699-9116C15E4C2A}"/>
    <cellStyle name="40% - Accent3 31 13 3" xfId="12968" xr:uid="{40CF0BA9-E91B-4AF3-A573-7B55FB7BDA1A}"/>
    <cellStyle name="40% - Accent3 31 14" xfId="12969" xr:uid="{1327975B-3A82-4FD8-995C-E6119994BA6A}"/>
    <cellStyle name="40% - Accent3 31 14 2" xfId="12970" xr:uid="{08384D5A-1DB6-4F3D-8A8A-5ECC841473A0}"/>
    <cellStyle name="40% - Accent3 31 15" xfId="12971" xr:uid="{9F2D15ED-1A96-4C45-9F4D-3D5D72970846}"/>
    <cellStyle name="40% - Accent3 31 16" xfId="37151" xr:uid="{941172D3-E3FA-4D9F-977C-29562075E7A7}"/>
    <cellStyle name="40% - Accent3 31 2" xfId="12972" xr:uid="{7027357E-DEDB-44C1-82E8-5B6CB82345EA}"/>
    <cellStyle name="40% - Accent3 31 2 2" xfId="12973" xr:uid="{CE5364C6-9A08-43B5-A7BF-45171AAD5B32}"/>
    <cellStyle name="40% - Accent3 31 2 2 2" xfId="12974" xr:uid="{9757BDBE-96EA-44D1-8C52-5990058F2CD3}"/>
    <cellStyle name="40% - Accent3 31 2 2 2 2" xfId="12975" xr:uid="{76CFAA5B-A61A-43AB-BF9D-ABE5DC6E68A0}"/>
    <cellStyle name="40% - Accent3 31 2 2 2 2 2" xfId="12976" xr:uid="{33CFD16D-B693-41DB-94B3-F10AF0370ED7}"/>
    <cellStyle name="40% - Accent3 31 2 2 2 3" xfId="12977" xr:uid="{B1384AE3-FAC4-4690-86F1-17F76B53E17B}"/>
    <cellStyle name="40% - Accent3 31 2 2 3" xfId="12978" xr:uid="{7EE32D91-5500-491B-ABBE-8AC0E0484F77}"/>
    <cellStyle name="40% - Accent3 31 2 2 3 2" xfId="12979" xr:uid="{979F7089-B0B4-4905-9033-7E2869E12C61}"/>
    <cellStyle name="40% - Accent3 31 2 2 3 2 2" xfId="12980" xr:uid="{79756A01-D1AA-4E76-8723-9D92B35818D8}"/>
    <cellStyle name="40% - Accent3 31 2 2 3 3" xfId="12981" xr:uid="{D606CA37-88B1-4A03-B86F-F6FA270E678B}"/>
    <cellStyle name="40% - Accent3 31 2 2 4" xfId="12982" xr:uid="{87A4C009-5C38-4E09-AE88-74FF0EB9AE94}"/>
    <cellStyle name="40% - Accent3 31 2 2 4 2" xfId="12983" xr:uid="{C75D0422-7360-41A5-AEE5-179E9B984255}"/>
    <cellStyle name="40% - Accent3 31 2 2 5" xfId="12984" xr:uid="{10617461-6E07-423A-BC81-B52D75AA1C35}"/>
    <cellStyle name="40% - Accent3 31 2 3" xfId="12985" xr:uid="{89F0DB5C-294B-4481-AAE8-DBA00B50884D}"/>
    <cellStyle name="40% - Accent3 31 2 3 2" xfId="12986" xr:uid="{6452533B-8903-48D5-985C-ACB74C648B3D}"/>
    <cellStyle name="40% - Accent3 31 2 3 2 2" xfId="12987" xr:uid="{0DD5DFB9-992D-427A-B635-926CA328F8F2}"/>
    <cellStyle name="40% - Accent3 31 2 3 3" xfId="12988" xr:uid="{ED03ABFC-C4DF-4E43-B323-93AC89A264B5}"/>
    <cellStyle name="40% - Accent3 31 2 4" xfId="12989" xr:uid="{8E936ED6-54BC-4B5E-9F4B-74F9CAF102A8}"/>
    <cellStyle name="40% - Accent3 31 2 4 2" xfId="12990" xr:uid="{2DA845CA-6B9A-4EE9-A92B-662BE8EB8BB9}"/>
    <cellStyle name="40% - Accent3 31 2 4 2 2" xfId="12991" xr:uid="{C2778CE9-3F58-42A5-962E-0F44D741D07C}"/>
    <cellStyle name="40% - Accent3 31 2 4 3" xfId="12992" xr:uid="{D523FA26-6741-4D04-AD5F-AA700B3C58EA}"/>
    <cellStyle name="40% - Accent3 31 2 5" xfId="12993" xr:uid="{BB49AAF5-A730-45FA-987D-8AF72720815F}"/>
    <cellStyle name="40% - Accent3 31 2 5 2" xfId="12994" xr:uid="{DB116461-87D4-40AB-8AF0-05B71A2085B2}"/>
    <cellStyle name="40% - Accent3 31 2 6" xfId="12995" xr:uid="{087C6EB4-26EE-4FCC-92AC-2B82DE006221}"/>
    <cellStyle name="40% - Accent3 31 3" xfId="12996" xr:uid="{541F6AE7-209D-43A6-A2AF-CAC391E44486}"/>
    <cellStyle name="40% - Accent3 31 3 2" xfId="12997" xr:uid="{384B603A-3DC0-4EE2-8504-D4BED10C5C42}"/>
    <cellStyle name="40% - Accent3 31 3 2 2" xfId="12998" xr:uid="{7487A1E8-25D6-4A43-8D5F-178CE84781F2}"/>
    <cellStyle name="40% - Accent3 31 3 2 2 2" xfId="12999" xr:uid="{954CC388-5925-46C5-9417-B47FED55633B}"/>
    <cellStyle name="40% - Accent3 31 3 2 2 2 2" xfId="13000" xr:uid="{9A338331-8C12-4FC2-B24E-77926EF21AB3}"/>
    <cellStyle name="40% - Accent3 31 3 2 2 3" xfId="13001" xr:uid="{8A39F1BD-6986-4139-8963-ACEB9D05C5FC}"/>
    <cellStyle name="40% - Accent3 31 3 2 3" xfId="13002" xr:uid="{B587EC62-3A8B-4BE8-957F-0FE8CFBFD410}"/>
    <cellStyle name="40% - Accent3 31 3 2 3 2" xfId="13003" xr:uid="{84006501-83C2-4BE9-8485-3B3992601A74}"/>
    <cellStyle name="40% - Accent3 31 3 2 3 2 2" xfId="13004" xr:uid="{6653508D-5A60-4C91-BD4F-863B1519FD9D}"/>
    <cellStyle name="40% - Accent3 31 3 2 3 3" xfId="13005" xr:uid="{69816BAC-BA87-4289-B3F3-B32B0B5C63D0}"/>
    <cellStyle name="40% - Accent3 31 3 2 4" xfId="13006" xr:uid="{57D02DE3-1BF2-4B36-B0CC-00679057AC3D}"/>
    <cellStyle name="40% - Accent3 31 3 2 4 2" xfId="13007" xr:uid="{4FE8E29A-5040-48DF-8CFD-7A4BF67F7092}"/>
    <cellStyle name="40% - Accent3 31 3 2 5" xfId="13008" xr:uid="{660107EB-C092-446A-93E4-1BE0E5E8A582}"/>
    <cellStyle name="40% - Accent3 31 3 3" xfId="13009" xr:uid="{3CF68510-88DE-42D8-95C6-76BAF3F65964}"/>
    <cellStyle name="40% - Accent3 31 3 3 2" xfId="13010" xr:uid="{BC5CEC3F-112F-4151-BCD4-57B55D54CA43}"/>
    <cellStyle name="40% - Accent3 31 3 3 2 2" xfId="13011" xr:uid="{7A5BD316-CD54-453B-8F11-6DB1EE8A2872}"/>
    <cellStyle name="40% - Accent3 31 3 3 3" xfId="13012" xr:uid="{730576DB-855A-4E1E-860F-05928C584D52}"/>
    <cellStyle name="40% - Accent3 31 3 4" xfId="13013" xr:uid="{D1EA06C2-64D1-41C3-9A74-A1CA4FAEDB84}"/>
    <cellStyle name="40% - Accent3 31 3 4 2" xfId="13014" xr:uid="{49445CC3-E82F-4A8E-AF4B-3A0314FEC2B3}"/>
    <cellStyle name="40% - Accent3 31 3 4 2 2" xfId="13015" xr:uid="{5690E84C-3F7D-4FDB-B295-408EBE3D25C4}"/>
    <cellStyle name="40% - Accent3 31 3 4 3" xfId="13016" xr:uid="{485AE423-6F0D-45DB-A544-535482638ADE}"/>
    <cellStyle name="40% - Accent3 31 3 5" xfId="13017" xr:uid="{5A7C231D-42F2-4B74-85AC-8D34D18C9E23}"/>
    <cellStyle name="40% - Accent3 31 3 5 2" xfId="13018" xr:uid="{154E69B7-47E1-4479-81F3-1D5F7BAFD06C}"/>
    <cellStyle name="40% - Accent3 31 3 6" xfId="13019" xr:uid="{9D632D14-A1B6-446B-AD50-E46E0C6929B5}"/>
    <cellStyle name="40% - Accent3 31 4" xfId="13020" xr:uid="{CC2F4057-C21D-4FA5-9BEA-2BACC47ED73C}"/>
    <cellStyle name="40% - Accent3 31 4 2" xfId="13021" xr:uid="{F2025F42-AB2C-4DF4-B9BC-C064BBFE94A1}"/>
    <cellStyle name="40% - Accent3 31 4 2 2" xfId="13022" xr:uid="{3C8D7B96-CA6E-4D59-B896-4243A30020B9}"/>
    <cellStyle name="40% - Accent3 31 4 2 2 2" xfId="13023" xr:uid="{7B78B25D-B6F4-46BA-8A0F-93B9AA29DF8F}"/>
    <cellStyle name="40% - Accent3 31 4 2 2 2 2" xfId="13024" xr:uid="{BF6186F0-B4E1-46B1-BA6F-6E375BD1AAA4}"/>
    <cellStyle name="40% - Accent3 31 4 2 2 3" xfId="13025" xr:uid="{EAB3CA16-4804-47D6-90AD-9CACEDAAC2DF}"/>
    <cellStyle name="40% - Accent3 31 4 2 3" xfId="13026" xr:uid="{6D3FC66F-72BA-44A9-A78E-9E8755B1CC07}"/>
    <cellStyle name="40% - Accent3 31 4 2 3 2" xfId="13027" xr:uid="{A79A96BC-15E5-428F-8831-C28A6F663F21}"/>
    <cellStyle name="40% - Accent3 31 4 2 3 2 2" xfId="13028" xr:uid="{5F1387B0-844A-4D78-8C1B-04CCAAA6A84B}"/>
    <cellStyle name="40% - Accent3 31 4 2 3 3" xfId="13029" xr:uid="{D74002D8-12AE-49F2-A315-64841F3365AB}"/>
    <cellStyle name="40% - Accent3 31 4 2 4" xfId="13030" xr:uid="{E79BB9AF-B369-459B-A1CB-107E42517190}"/>
    <cellStyle name="40% - Accent3 31 4 2 4 2" xfId="13031" xr:uid="{91307B91-4769-49BC-B6CB-F80CAF38C74B}"/>
    <cellStyle name="40% - Accent3 31 4 2 5" xfId="13032" xr:uid="{C5F239B6-2A2C-4D50-AF8B-A559C6AF2B23}"/>
    <cellStyle name="40% - Accent3 31 4 3" xfId="13033" xr:uid="{479FF7E1-055B-4DD3-9F3B-194476ED5B53}"/>
    <cellStyle name="40% - Accent3 31 4 3 2" xfId="13034" xr:uid="{46E498FF-8FB3-40D5-89C1-6C3B78FC4074}"/>
    <cellStyle name="40% - Accent3 31 4 3 2 2" xfId="13035" xr:uid="{FEC12F32-8F3A-471F-AB63-94A4FBFC5743}"/>
    <cellStyle name="40% - Accent3 31 4 3 3" xfId="13036" xr:uid="{B5073764-AC7D-4A27-AB91-DCD8A871FDD6}"/>
    <cellStyle name="40% - Accent3 31 4 4" xfId="13037" xr:uid="{B22D5F1E-FF7A-4700-BABE-FCCD79970B3A}"/>
    <cellStyle name="40% - Accent3 31 4 4 2" xfId="13038" xr:uid="{09751D66-268D-4C12-9DD3-A01A2C3D66DA}"/>
    <cellStyle name="40% - Accent3 31 4 4 2 2" xfId="13039" xr:uid="{B7722F86-D1BA-4581-AEDD-78013C1F8ABF}"/>
    <cellStyle name="40% - Accent3 31 4 4 3" xfId="13040" xr:uid="{589C1D6D-AA0E-4FBA-93AA-35850BD34337}"/>
    <cellStyle name="40% - Accent3 31 4 5" xfId="13041" xr:uid="{32482C53-2153-4086-AB27-AA81ECF5049E}"/>
    <cellStyle name="40% - Accent3 31 4 5 2" xfId="13042" xr:uid="{0FDD9820-5E12-45CD-968C-419E9719030A}"/>
    <cellStyle name="40% - Accent3 31 4 6" xfId="13043" xr:uid="{FB314683-C76C-424B-B36F-1ED011DF5E27}"/>
    <cellStyle name="40% - Accent3 31 5" xfId="13044" xr:uid="{8A341D8D-F5AB-49EA-B73F-AB228A9EFC29}"/>
    <cellStyle name="40% - Accent3 31 5 2" xfId="13045" xr:uid="{FD88D843-6640-4AEC-85D4-D716E602E34E}"/>
    <cellStyle name="40% - Accent3 31 5 2 2" xfId="13046" xr:uid="{2F56B2BF-362B-4EEE-9606-D5A5BA514E30}"/>
    <cellStyle name="40% - Accent3 31 5 2 2 2" xfId="13047" xr:uid="{04697EF2-B12F-4AE4-9B86-EE96CAFDCABD}"/>
    <cellStyle name="40% - Accent3 31 5 2 2 2 2" xfId="13048" xr:uid="{291823AE-C0CD-49EC-98F8-7F10072F97EE}"/>
    <cellStyle name="40% - Accent3 31 5 2 2 3" xfId="13049" xr:uid="{207385C2-C932-41AF-8817-AB397251809B}"/>
    <cellStyle name="40% - Accent3 31 5 2 3" xfId="13050" xr:uid="{18DB5A64-2514-4B5A-898D-C353253B04A9}"/>
    <cellStyle name="40% - Accent3 31 5 2 3 2" xfId="13051" xr:uid="{08B5CB91-797F-4DC4-9D30-93E4868B183A}"/>
    <cellStyle name="40% - Accent3 31 5 2 3 2 2" xfId="13052" xr:uid="{A00461B4-6F61-40C4-BCFC-D1A80FC7FB11}"/>
    <cellStyle name="40% - Accent3 31 5 2 3 3" xfId="13053" xr:uid="{4C3E4A20-DFDB-4D2D-9574-E846BAD05A9F}"/>
    <cellStyle name="40% - Accent3 31 5 2 4" xfId="13054" xr:uid="{2CFC39EE-6631-4EBD-AE4E-C27547DF9A79}"/>
    <cellStyle name="40% - Accent3 31 5 2 4 2" xfId="13055" xr:uid="{FC4621A7-C0E2-4AB2-9315-565863A61433}"/>
    <cellStyle name="40% - Accent3 31 5 2 5" xfId="13056" xr:uid="{EF722DAA-1BB8-4072-88F1-762FC9591C05}"/>
    <cellStyle name="40% - Accent3 31 5 3" xfId="13057" xr:uid="{7DE9B89B-8FDC-40D2-8A74-F1092F1AD8DE}"/>
    <cellStyle name="40% - Accent3 31 5 3 2" xfId="13058" xr:uid="{182362EC-2E03-481D-A41B-BF09CD38E0D7}"/>
    <cellStyle name="40% - Accent3 31 5 3 2 2" xfId="13059" xr:uid="{7B2596D4-0062-4A2C-9C4C-AFFBEEC1E497}"/>
    <cellStyle name="40% - Accent3 31 5 3 3" xfId="13060" xr:uid="{D541A941-1B8E-42B6-829E-48C7C742580E}"/>
    <cellStyle name="40% - Accent3 31 5 4" xfId="13061" xr:uid="{F4A3FF18-FCF3-4030-9BDF-EEFEFD37C1C3}"/>
    <cellStyle name="40% - Accent3 31 5 4 2" xfId="13062" xr:uid="{FDC4E833-159C-474D-8588-A565AEC91366}"/>
    <cellStyle name="40% - Accent3 31 5 4 2 2" xfId="13063" xr:uid="{FE74122B-0E30-4096-887F-114C84A06434}"/>
    <cellStyle name="40% - Accent3 31 5 4 3" xfId="13064" xr:uid="{4074C74C-4A4D-4267-BD83-DCDF3E883C2A}"/>
    <cellStyle name="40% - Accent3 31 5 5" xfId="13065" xr:uid="{02BEC7A1-39DC-425A-8804-AEC4F73A2646}"/>
    <cellStyle name="40% - Accent3 31 5 5 2" xfId="13066" xr:uid="{BA6F5073-AF36-4808-B2F6-59DFCD3FAF67}"/>
    <cellStyle name="40% - Accent3 31 5 6" xfId="13067" xr:uid="{13BA43F0-6365-4422-9940-F29DB1025DD3}"/>
    <cellStyle name="40% - Accent3 31 6" xfId="13068" xr:uid="{EE64D516-0510-42C6-9020-25649BABF75C}"/>
    <cellStyle name="40% - Accent3 31 6 2" xfId="13069" xr:uid="{684D7A0B-18BB-434D-805D-A9606DF2267C}"/>
    <cellStyle name="40% - Accent3 31 6 2 2" xfId="13070" xr:uid="{BA711F54-8701-41FE-AD42-6C94BCD274F3}"/>
    <cellStyle name="40% - Accent3 31 6 2 2 2" xfId="13071" xr:uid="{26C90F94-E4CF-483C-A653-6506DBA64315}"/>
    <cellStyle name="40% - Accent3 31 6 2 2 2 2" xfId="13072" xr:uid="{1D35CDEC-A7EF-4ADE-B57B-D6E9A7BA6DC7}"/>
    <cellStyle name="40% - Accent3 31 6 2 2 3" xfId="13073" xr:uid="{51E49D9B-D1F0-4A67-8420-B74A9739B0AB}"/>
    <cellStyle name="40% - Accent3 31 6 2 3" xfId="13074" xr:uid="{371C7036-646A-4CBE-B239-3F2474F368D2}"/>
    <cellStyle name="40% - Accent3 31 6 2 3 2" xfId="13075" xr:uid="{6137D839-FD0E-46F0-9C48-73BC29C26C39}"/>
    <cellStyle name="40% - Accent3 31 6 2 3 2 2" xfId="13076" xr:uid="{E962066D-9EF7-4807-A8DD-EE7FCDDF2D71}"/>
    <cellStyle name="40% - Accent3 31 6 2 3 3" xfId="13077" xr:uid="{AAC7F246-3995-45CF-AE3A-3341C9F2DCE1}"/>
    <cellStyle name="40% - Accent3 31 6 2 4" xfId="13078" xr:uid="{2EABCEDB-8AEF-4DA7-B9C8-C6C5FD9F9615}"/>
    <cellStyle name="40% - Accent3 31 6 2 4 2" xfId="13079" xr:uid="{271C25DE-241C-4750-9815-EF3D25B32665}"/>
    <cellStyle name="40% - Accent3 31 6 2 5" xfId="13080" xr:uid="{894F9DF1-24D9-45B8-98D5-92FE5ABA7FFD}"/>
    <cellStyle name="40% - Accent3 31 6 3" xfId="13081" xr:uid="{8CD31568-004F-4F7C-9182-81683A9D00D0}"/>
    <cellStyle name="40% - Accent3 31 6 3 2" xfId="13082" xr:uid="{AB1321B9-ED29-4277-92D8-AAF80EC90FD1}"/>
    <cellStyle name="40% - Accent3 31 6 3 2 2" xfId="13083" xr:uid="{884BB005-1DE6-48B6-97EA-7BDF18981F4B}"/>
    <cellStyle name="40% - Accent3 31 6 3 3" xfId="13084" xr:uid="{60559613-2331-4C51-984E-578A32CC236F}"/>
    <cellStyle name="40% - Accent3 31 6 4" xfId="13085" xr:uid="{4E36A6A6-DD82-4BB5-9CBD-D8C2609CEE29}"/>
    <cellStyle name="40% - Accent3 31 6 4 2" xfId="13086" xr:uid="{10A5E939-86AF-440A-B979-E33102DBDED7}"/>
    <cellStyle name="40% - Accent3 31 6 4 2 2" xfId="13087" xr:uid="{981D2A91-44B5-464B-AB4E-3C9030D9C04B}"/>
    <cellStyle name="40% - Accent3 31 6 4 3" xfId="13088" xr:uid="{C9088140-E22C-48AA-AF00-D0ECE33F073D}"/>
    <cellStyle name="40% - Accent3 31 6 5" xfId="13089" xr:uid="{8416DBF7-5107-402E-8D2E-DAC1F77E97B3}"/>
    <cellStyle name="40% - Accent3 31 6 5 2" xfId="13090" xr:uid="{C6468175-7838-4E94-BF01-E0B1E6ABC4B1}"/>
    <cellStyle name="40% - Accent3 31 6 6" xfId="13091" xr:uid="{4724E5CC-AEF6-44B5-A6B2-5310605F9414}"/>
    <cellStyle name="40% - Accent3 31 7" xfId="13092" xr:uid="{82860FA5-E315-47AF-8381-11941F7C75D4}"/>
    <cellStyle name="40% - Accent3 31 7 2" xfId="13093" xr:uid="{78111F19-D86E-444C-B8D9-78FBC5081328}"/>
    <cellStyle name="40% - Accent3 31 7 2 2" xfId="13094" xr:uid="{DB4295B5-3253-4035-9276-CF9CE9948955}"/>
    <cellStyle name="40% - Accent3 31 7 2 2 2" xfId="13095" xr:uid="{BCD1C35E-31B0-4EEC-A904-DF6DF5F22372}"/>
    <cellStyle name="40% - Accent3 31 7 2 2 2 2" xfId="13096" xr:uid="{5D61B609-C61D-4ED1-87F6-BB0F1DEB126A}"/>
    <cellStyle name="40% - Accent3 31 7 2 2 3" xfId="13097" xr:uid="{DCD57EBA-845D-48A8-ACD8-ED777B9746EF}"/>
    <cellStyle name="40% - Accent3 31 7 2 3" xfId="13098" xr:uid="{AD5D8FC6-6CE1-469F-9F1B-D8F45942198A}"/>
    <cellStyle name="40% - Accent3 31 7 2 3 2" xfId="13099" xr:uid="{B6CC075E-F94B-47B0-B43C-CCAC580F9983}"/>
    <cellStyle name="40% - Accent3 31 7 2 3 2 2" xfId="13100" xr:uid="{58477DC4-9CD4-44D3-AF15-6242E0345177}"/>
    <cellStyle name="40% - Accent3 31 7 2 3 3" xfId="13101" xr:uid="{D5FF215B-3A46-4592-8174-323F30F38BA9}"/>
    <cellStyle name="40% - Accent3 31 7 2 4" xfId="13102" xr:uid="{186B10BE-2FE9-4FBF-8894-FBCE4FFCC017}"/>
    <cellStyle name="40% - Accent3 31 7 2 4 2" xfId="13103" xr:uid="{AD857354-A465-48EE-8D69-6E58FE479EEC}"/>
    <cellStyle name="40% - Accent3 31 7 2 5" xfId="13104" xr:uid="{775CE758-AEFA-4A82-A4F0-80BA00C98C81}"/>
    <cellStyle name="40% - Accent3 31 7 3" xfId="13105" xr:uid="{FB0CB465-D5BF-45DB-A854-A875A378BE73}"/>
    <cellStyle name="40% - Accent3 31 7 3 2" xfId="13106" xr:uid="{59EA308C-B083-433E-8134-052072653F7C}"/>
    <cellStyle name="40% - Accent3 31 7 3 2 2" xfId="13107" xr:uid="{59E47323-69A0-433C-90B1-BF6FF68427C2}"/>
    <cellStyle name="40% - Accent3 31 7 3 3" xfId="13108" xr:uid="{6F54B1A1-C1A7-42CE-BE71-1CEFC685426E}"/>
    <cellStyle name="40% - Accent3 31 7 4" xfId="13109" xr:uid="{65D01CBA-43AE-430F-914F-24CB38DD6B6C}"/>
    <cellStyle name="40% - Accent3 31 7 4 2" xfId="13110" xr:uid="{E2B43ED4-6016-4BBD-B69C-2AC23E31ECE0}"/>
    <cellStyle name="40% - Accent3 31 7 4 2 2" xfId="13111" xr:uid="{5857D7A8-3DE4-491B-9EDC-D4C08581107F}"/>
    <cellStyle name="40% - Accent3 31 7 4 3" xfId="13112" xr:uid="{E965F3A9-5BF2-4789-8E3A-74FC42BC5F7E}"/>
    <cellStyle name="40% - Accent3 31 7 5" xfId="13113" xr:uid="{0DFD89B2-5FAE-42A9-B5FD-0602B3C4785E}"/>
    <cellStyle name="40% - Accent3 31 7 5 2" xfId="13114" xr:uid="{5882967E-2260-448E-8B49-04FB7A18E466}"/>
    <cellStyle name="40% - Accent3 31 7 6" xfId="13115" xr:uid="{C7A91D65-0B30-4268-875B-1B53BFE14872}"/>
    <cellStyle name="40% - Accent3 31 8" xfId="13116" xr:uid="{3BCB3291-10AB-42A5-AEE9-8E2C7DEE90A1}"/>
    <cellStyle name="40% - Accent3 31 8 2" xfId="13117" xr:uid="{259FC9F0-7F95-4771-968F-C78876D52890}"/>
    <cellStyle name="40% - Accent3 31 8 2 2" xfId="13118" xr:uid="{F34E0E31-D90F-4611-811D-04CF170FAE78}"/>
    <cellStyle name="40% - Accent3 31 8 2 2 2" xfId="13119" xr:uid="{F64FB083-E7E1-4D38-92E3-9AF18722A5AE}"/>
    <cellStyle name="40% - Accent3 31 8 2 2 2 2" xfId="13120" xr:uid="{91C6F5E7-527A-4BB2-98F3-625BA292D617}"/>
    <cellStyle name="40% - Accent3 31 8 2 2 3" xfId="13121" xr:uid="{2748602C-5059-4D57-9ECE-F524E63E6BA8}"/>
    <cellStyle name="40% - Accent3 31 8 2 3" xfId="13122" xr:uid="{85951C86-94B7-4FC0-B79A-EF0538B43AD2}"/>
    <cellStyle name="40% - Accent3 31 8 2 3 2" xfId="13123" xr:uid="{EDE0B728-087F-40FA-A600-7A06B6DD8CCD}"/>
    <cellStyle name="40% - Accent3 31 8 2 3 2 2" xfId="13124" xr:uid="{491470E3-CAD3-46E6-B827-AC0AD409BFF6}"/>
    <cellStyle name="40% - Accent3 31 8 2 3 3" xfId="13125" xr:uid="{A4CFBB2F-4D4C-4D1A-86FD-2EC7F65400F0}"/>
    <cellStyle name="40% - Accent3 31 8 2 4" xfId="13126" xr:uid="{670F45AB-501A-4A11-8B15-870345C052C8}"/>
    <cellStyle name="40% - Accent3 31 8 2 4 2" xfId="13127" xr:uid="{CA711B6B-BE9C-4A5A-94D6-29137B2264E9}"/>
    <cellStyle name="40% - Accent3 31 8 2 5" xfId="13128" xr:uid="{6E6B1839-A00B-4A00-A2C4-3ACBCD27D642}"/>
    <cellStyle name="40% - Accent3 31 8 3" xfId="13129" xr:uid="{87050FA1-7266-4EAE-BE36-1C1ABDF9BC5D}"/>
    <cellStyle name="40% - Accent3 31 8 3 2" xfId="13130" xr:uid="{06E83F9D-9503-494E-B826-1E60A3573AA8}"/>
    <cellStyle name="40% - Accent3 31 8 3 2 2" xfId="13131" xr:uid="{3467836A-6DAC-4A5A-8CB9-7DE03EFDECBA}"/>
    <cellStyle name="40% - Accent3 31 8 3 3" xfId="13132" xr:uid="{182B2D1F-77C3-420E-97B5-AD026EDC39EC}"/>
    <cellStyle name="40% - Accent3 31 8 4" xfId="13133" xr:uid="{0E368325-2FBA-43FD-8823-81983BC1022D}"/>
    <cellStyle name="40% - Accent3 31 8 4 2" xfId="13134" xr:uid="{4E0DD975-9588-4BF1-88B0-EB50334422FB}"/>
    <cellStyle name="40% - Accent3 31 8 4 2 2" xfId="13135" xr:uid="{6BD0DE2D-6673-440E-AD3C-9706868953DF}"/>
    <cellStyle name="40% - Accent3 31 8 4 3" xfId="13136" xr:uid="{CFA86491-92AA-4188-9569-68E4F5E7F030}"/>
    <cellStyle name="40% - Accent3 31 8 5" xfId="13137" xr:uid="{D335ACEA-6C79-4B38-A9A8-2F23738B3527}"/>
    <cellStyle name="40% - Accent3 31 8 5 2" xfId="13138" xr:uid="{BFDB48EF-CA98-46E3-807F-D3DCC7702E1A}"/>
    <cellStyle name="40% - Accent3 31 8 6" xfId="13139" xr:uid="{3C3B0365-4E14-4895-8AAD-010C39B60967}"/>
    <cellStyle name="40% - Accent3 31 9" xfId="13140" xr:uid="{533B3C44-0F15-41C0-BDF7-3E2F57D8BCEC}"/>
    <cellStyle name="40% - Accent3 31 9 2" xfId="13141" xr:uid="{78D5E30C-C831-4980-99E9-EAE4970084FB}"/>
    <cellStyle name="40% - Accent3 31 9 2 2" xfId="13142" xr:uid="{F9708D54-E894-403D-8DEA-EC1BDB81211B}"/>
    <cellStyle name="40% - Accent3 31 9 2 2 2" xfId="13143" xr:uid="{F4F7BE50-072F-4D15-A91F-1F4958C1FBFD}"/>
    <cellStyle name="40% - Accent3 31 9 2 2 2 2" xfId="13144" xr:uid="{0395DAEC-0C97-4322-9E35-FCEA36EF292D}"/>
    <cellStyle name="40% - Accent3 31 9 2 2 3" xfId="13145" xr:uid="{E456E22B-42DE-4A87-B844-5BA3FBB4A3F6}"/>
    <cellStyle name="40% - Accent3 31 9 2 3" xfId="13146" xr:uid="{F33F0874-7980-407D-B95F-2ED08F3A0A0C}"/>
    <cellStyle name="40% - Accent3 31 9 2 3 2" xfId="13147" xr:uid="{B0681F1E-C1A6-4F85-9D83-7E61AB63F7BF}"/>
    <cellStyle name="40% - Accent3 31 9 2 3 2 2" xfId="13148" xr:uid="{03587C27-7D6D-4409-ABDE-03697907B439}"/>
    <cellStyle name="40% - Accent3 31 9 2 3 3" xfId="13149" xr:uid="{9617751B-2EC4-41EF-A06F-9A7F9129D566}"/>
    <cellStyle name="40% - Accent3 31 9 2 4" xfId="13150" xr:uid="{2B130231-75B5-470A-92B8-BF77DBA96C51}"/>
    <cellStyle name="40% - Accent3 31 9 2 4 2" xfId="13151" xr:uid="{3BF1DD54-780B-49A0-A1C6-58E6523FC51F}"/>
    <cellStyle name="40% - Accent3 31 9 2 5" xfId="13152" xr:uid="{F6B89226-6A14-44B2-8535-8572AA50BC6C}"/>
    <cellStyle name="40% - Accent3 31 9 3" xfId="13153" xr:uid="{95D3EB2F-E2E7-4642-A693-476F513505BC}"/>
    <cellStyle name="40% - Accent3 31 9 3 2" xfId="13154" xr:uid="{46E3431E-D6EE-4BE7-ADAF-44ED9B6ECB59}"/>
    <cellStyle name="40% - Accent3 31 9 3 2 2" xfId="13155" xr:uid="{6D5B3E73-A135-4624-A914-33B179789ADD}"/>
    <cellStyle name="40% - Accent3 31 9 3 3" xfId="13156" xr:uid="{413C1804-9AB2-4CE1-B076-1E9ED1BB2DB2}"/>
    <cellStyle name="40% - Accent3 31 9 4" xfId="13157" xr:uid="{063820DD-0E53-4BD8-BBAE-33F8856FFCAF}"/>
    <cellStyle name="40% - Accent3 31 9 4 2" xfId="13158" xr:uid="{387B6590-1A1C-45B0-8801-8E59CA789EC4}"/>
    <cellStyle name="40% - Accent3 31 9 4 2 2" xfId="13159" xr:uid="{7D172DF4-4C5F-40FE-9ED5-6532DA72E587}"/>
    <cellStyle name="40% - Accent3 31 9 4 3" xfId="13160" xr:uid="{E0D20E68-5F49-4120-B402-0BDD1144EA5F}"/>
    <cellStyle name="40% - Accent3 31 9 5" xfId="13161" xr:uid="{150F15DE-17BF-45BD-8079-FD64BE2D1371}"/>
    <cellStyle name="40% - Accent3 31 9 5 2" xfId="13162" xr:uid="{968344FF-1EF4-46E6-855C-DEBA11F1B61E}"/>
    <cellStyle name="40% - Accent3 31 9 6" xfId="13163" xr:uid="{57904920-2548-4E7B-BBF9-27D5E5850D14}"/>
    <cellStyle name="40% - Accent3 32" xfId="13164" xr:uid="{3664BF88-892E-494C-A9EE-970844B5B406}"/>
    <cellStyle name="40% - Accent3 32 2" xfId="13165" xr:uid="{2B6FD40C-3A9B-4EA0-ADC4-7B8A6B42A9AA}"/>
    <cellStyle name="40% - Accent3 32 2 2" xfId="13166" xr:uid="{8B8C5F26-06E5-4911-8CF3-259DB73F5A8A}"/>
    <cellStyle name="40% - Accent3 32 2 2 2" xfId="13167" xr:uid="{F04E7C39-4810-411B-A1B2-696234C239A2}"/>
    <cellStyle name="40% - Accent3 32 2 2 2 2" xfId="13168" xr:uid="{43ED329E-F147-48D4-8B9B-D4DD26C1E033}"/>
    <cellStyle name="40% - Accent3 32 2 2 3" xfId="13169" xr:uid="{2D9A9102-F4C7-431B-B082-2348A4592327}"/>
    <cellStyle name="40% - Accent3 32 2 3" xfId="13170" xr:uid="{B68F5ACB-B7FA-43BB-B215-B0084816810A}"/>
    <cellStyle name="40% - Accent3 32 2 3 2" xfId="13171" xr:uid="{2B9AF735-B9B8-445D-AEC2-1E8731A89DE9}"/>
    <cellStyle name="40% - Accent3 32 2 3 2 2" xfId="13172" xr:uid="{51BB00EB-7D12-480D-B1EC-DE3E156F3AF0}"/>
    <cellStyle name="40% - Accent3 32 2 3 3" xfId="13173" xr:uid="{022D4DA1-777A-4289-91AF-BA60E88F5679}"/>
    <cellStyle name="40% - Accent3 32 2 4" xfId="13174" xr:uid="{6AA9F8C2-21D1-4E05-8404-D14DF421F020}"/>
    <cellStyle name="40% - Accent3 32 2 4 2" xfId="13175" xr:uid="{6A83FEB6-3359-40B0-AAE0-AF241DBF1285}"/>
    <cellStyle name="40% - Accent3 32 2 5" xfId="13176" xr:uid="{FC21B2C3-BEFA-4185-9FE9-4271ACF4D4DA}"/>
    <cellStyle name="40% - Accent3 32 3" xfId="13177" xr:uid="{DDD9F58A-2103-4E00-9E06-03A920ADB2C6}"/>
    <cellStyle name="40% - Accent3 32 3 2" xfId="13178" xr:uid="{9DC2273C-DA25-4ED9-AD96-380487B3B505}"/>
    <cellStyle name="40% - Accent3 32 3 2 2" xfId="13179" xr:uid="{47E7CB8B-3075-440D-B989-FA5B6875CD20}"/>
    <cellStyle name="40% - Accent3 32 3 3" xfId="13180" xr:uid="{FA9AF127-E133-4CDD-A8F8-7D7FE4751550}"/>
    <cellStyle name="40% - Accent3 32 4" xfId="13181" xr:uid="{C4BE0774-0F80-4CFD-BA27-D5F54D4D04A5}"/>
    <cellStyle name="40% - Accent3 32 4 2" xfId="13182" xr:uid="{367E49D1-1E84-4205-B2D8-0B614A84AB3C}"/>
    <cellStyle name="40% - Accent3 32 4 2 2" xfId="13183" xr:uid="{CF948FB8-CFCC-43BE-B8A2-5277DA91B6C2}"/>
    <cellStyle name="40% - Accent3 32 4 3" xfId="13184" xr:uid="{88AE67CC-AB4A-48C8-BB74-46796918D998}"/>
    <cellStyle name="40% - Accent3 32 5" xfId="13185" xr:uid="{2819B8C4-8219-4295-A1FB-21EF2591F4AD}"/>
    <cellStyle name="40% - Accent3 32 5 2" xfId="13186" xr:uid="{09DA0662-90E3-4172-9A5C-0C85F2B0D807}"/>
    <cellStyle name="40% - Accent3 32 6" xfId="13187" xr:uid="{61658E60-5F9C-4E57-B66C-C9EBC5C71236}"/>
    <cellStyle name="40% - Accent3 32 7" xfId="37152" xr:uid="{A030E7D6-35B8-49C3-B061-5087467635D5}"/>
    <cellStyle name="40% - Accent3 33" xfId="13188" xr:uid="{E8F11F80-D94A-43EF-8A01-126B9B8778C0}"/>
    <cellStyle name="40% - Accent3 33 2" xfId="13189" xr:uid="{55C1137C-5FA6-4AA3-842B-5DCD8A9F2973}"/>
    <cellStyle name="40% - Accent3 33 2 2" xfId="13190" xr:uid="{3F6F8609-E30A-4FED-953F-63484FE2358D}"/>
    <cellStyle name="40% - Accent3 33 2 2 2" xfId="13191" xr:uid="{558D99E4-1151-4783-AFB6-215A98E44CD2}"/>
    <cellStyle name="40% - Accent3 33 2 2 2 2" xfId="13192" xr:uid="{980A02CF-B8E4-4B6D-A47D-A57612488829}"/>
    <cellStyle name="40% - Accent3 33 2 2 3" xfId="13193" xr:uid="{1B3F32D7-6222-49DC-B9AA-04CE16B8CC15}"/>
    <cellStyle name="40% - Accent3 33 2 3" xfId="13194" xr:uid="{A5E17FA1-1282-401C-97D8-09EBF4915A65}"/>
    <cellStyle name="40% - Accent3 33 2 3 2" xfId="13195" xr:uid="{28074AF9-94E9-418A-BE2B-494B90D94277}"/>
    <cellStyle name="40% - Accent3 33 2 3 2 2" xfId="13196" xr:uid="{07290FCE-E1BB-4451-B6B5-BB0EC06ED396}"/>
    <cellStyle name="40% - Accent3 33 2 3 3" xfId="13197" xr:uid="{F3C13445-3F6D-4ECD-B945-5263831BFA40}"/>
    <cellStyle name="40% - Accent3 33 2 4" xfId="13198" xr:uid="{18AAE20F-B566-4450-867B-83AE4B96285D}"/>
    <cellStyle name="40% - Accent3 33 2 4 2" xfId="13199" xr:uid="{33BF274C-3A43-4117-BC9C-1CE710A20DEA}"/>
    <cellStyle name="40% - Accent3 33 2 5" xfId="13200" xr:uid="{A63366AE-6F1F-40C5-9E56-4E3D063745FF}"/>
    <cellStyle name="40% - Accent3 33 3" xfId="13201" xr:uid="{82507B3C-C6C1-49F2-A8ED-EACED9F95F64}"/>
    <cellStyle name="40% - Accent3 33 3 2" xfId="13202" xr:uid="{66C597C8-59A3-4758-8A08-07938279B3DF}"/>
    <cellStyle name="40% - Accent3 33 3 2 2" xfId="13203" xr:uid="{461C3423-4906-4FD7-BB0B-842F76B19C58}"/>
    <cellStyle name="40% - Accent3 33 3 3" xfId="13204" xr:uid="{6972CF3B-B473-452F-9540-9170E0134DB2}"/>
    <cellStyle name="40% - Accent3 33 4" xfId="13205" xr:uid="{DCB07042-C774-4300-8768-6E24A56820A5}"/>
    <cellStyle name="40% - Accent3 33 4 2" xfId="13206" xr:uid="{06308D96-8871-4F41-8A0A-4B7B2FB6690D}"/>
    <cellStyle name="40% - Accent3 33 4 2 2" xfId="13207" xr:uid="{99C30409-9188-49FB-A54D-F2EF63007A04}"/>
    <cellStyle name="40% - Accent3 33 4 3" xfId="13208" xr:uid="{02180913-49AD-48BB-A4BA-7B1156585272}"/>
    <cellStyle name="40% - Accent3 33 5" xfId="13209" xr:uid="{51D87080-9FB2-4ABD-9F7D-1ED2399656FA}"/>
    <cellStyle name="40% - Accent3 33 5 2" xfId="13210" xr:uid="{BCC0B48E-48FE-4194-B9F5-FF362EF9F975}"/>
    <cellStyle name="40% - Accent3 33 6" xfId="37153" xr:uid="{92B329BE-5E87-4EA2-BA0E-0857C92FFCE8}"/>
    <cellStyle name="40% - Accent3 34" xfId="13211" xr:uid="{C188FE8F-DC85-4481-838B-13B07A3EA016}"/>
    <cellStyle name="40% - Accent3 34 2" xfId="13212" xr:uid="{23E0B680-0A6A-427C-A566-C0C486C11CEA}"/>
    <cellStyle name="40% - Accent3 34 2 2" xfId="13213" xr:uid="{CA20A697-CD72-4245-B06A-CD47DFE49993}"/>
    <cellStyle name="40% - Accent3 34 2 2 2" xfId="13214" xr:uid="{959292E9-45EE-4683-8A95-6AEE030052C2}"/>
    <cellStyle name="40% - Accent3 34 2 2 2 2" xfId="13215" xr:uid="{5A95D2E3-B0C4-45CC-9C77-34CF21F4A8E0}"/>
    <cellStyle name="40% - Accent3 34 2 2 3" xfId="13216" xr:uid="{753F7521-EBDB-47DC-9111-44225D322EAF}"/>
    <cellStyle name="40% - Accent3 34 2 3" xfId="13217" xr:uid="{7855C8AB-8221-42B4-A052-FDE96A7326A2}"/>
    <cellStyle name="40% - Accent3 34 2 3 2" xfId="13218" xr:uid="{313A2427-4040-46D2-AEC4-4845656E4751}"/>
    <cellStyle name="40% - Accent3 34 2 3 2 2" xfId="13219" xr:uid="{0DF03E8B-1A22-4704-861C-215D3A4B0DE6}"/>
    <cellStyle name="40% - Accent3 34 2 3 3" xfId="13220" xr:uid="{1B6FC68B-9748-4C42-AFC7-C47E4E73DE46}"/>
    <cellStyle name="40% - Accent3 34 2 4" xfId="13221" xr:uid="{69EACF85-CDA5-47AA-8197-0D0CE49E9324}"/>
    <cellStyle name="40% - Accent3 34 2 4 2" xfId="13222" xr:uid="{780A680C-1CCF-476F-99BB-2BC8719FCEE1}"/>
    <cellStyle name="40% - Accent3 34 2 5" xfId="13223" xr:uid="{E47A5640-4CA1-44CD-977E-DCC3018ADD23}"/>
    <cellStyle name="40% - Accent3 34 3" xfId="13224" xr:uid="{0BE2222F-162C-4C88-B658-255D8FECD7BB}"/>
    <cellStyle name="40% - Accent3 34 3 2" xfId="13225" xr:uid="{3F7EEF5D-F5FE-4022-B23B-8D7D071491EC}"/>
    <cellStyle name="40% - Accent3 34 3 2 2" xfId="13226" xr:uid="{48C01DF9-1464-46F4-AD21-057B9B792F5E}"/>
    <cellStyle name="40% - Accent3 34 3 3" xfId="13227" xr:uid="{E18281A0-123E-4C3B-957C-87F6E94511D0}"/>
    <cellStyle name="40% - Accent3 34 4" xfId="13228" xr:uid="{1A237D91-59E2-4BA9-9A35-3F27BB29FBE0}"/>
    <cellStyle name="40% - Accent3 34 4 2" xfId="13229" xr:uid="{B7C31B27-5D38-4B5B-8627-274CA8C39360}"/>
    <cellStyle name="40% - Accent3 34 4 2 2" xfId="13230" xr:uid="{EA2F8436-7E75-4320-BFE0-9666CFEC830A}"/>
    <cellStyle name="40% - Accent3 34 4 3" xfId="13231" xr:uid="{65730E3C-4AE6-4350-9200-9114C5B09CE7}"/>
    <cellStyle name="40% - Accent3 34 5" xfId="13232" xr:uid="{55061A51-BFD2-444D-AC57-EBFC14457338}"/>
    <cellStyle name="40% - Accent3 34 5 2" xfId="13233" xr:uid="{12E1D6E4-E593-4CD4-B606-B451B80A6A84}"/>
    <cellStyle name="40% - Accent3 34 6" xfId="37154" xr:uid="{1662028D-1758-4AC7-93D8-746D54A4FBF7}"/>
    <cellStyle name="40% - Accent3 35" xfId="13234" xr:uid="{D3A1D490-6249-4062-B856-0546B122A8D4}"/>
    <cellStyle name="40% - Accent3 35 2" xfId="13235" xr:uid="{E14BB34E-9F15-4CE3-9D63-FF21C32D5E78}"/>
    <cellStyle name="40% - Accent3 35 2 2" xfId="13236" xr:uid="{08B36F16-253F-432E-908B-3049F85F7D23}"/>
    <cellStyle name="40% - Accent3 35 2 2 2" xfId="13237" xr:uid="{BA5DDEA5-B6D0-45CA-8999-7B84608E7DE1}"/>
    <cellStyle name="40% - Accent3 35 2 2 2 2" xfId="13238" xr:uid="{3DD1E89D-A737-4EDD-8DE8-A634DEE38235}"/>
    <cellStyle name="40% - Accent3 35 2 2 3" xfId="13239" xr:uid="{68FAD001-3723-4A8D-A941-8EF74C2D7D92}"/>
    <cellStyle name="40% - Accent3 35 2 3" xfId="13240" xr:uid="{B64EDAAD-90D0-4000-97B4-E030AA51F5F7}"/>
    <cellStyle name="40% - Accent3 35 2 3 2" xfId="13241" xr:uid="{58F55818-BB98-4D23-B901-D9AA36B8CEF3}"/>
    <cellStyle name="40% - Accent3 35 2 3 2 2" xfId="13242" xr:uid="{5E5BC8B2-68C2-44BA-A81F-D7D6DC6D525C}"/>
    <cellStyle name="40% - Accent3 35 2 3 3" xfId="13243" xr:uid="{FE15E4A0-F723-458A-AA23-6FA509E286AD}"/>
    <cellStyle name="40% - Accent3 35 2 4" xfId="13244" xr:uid="{734ACE57-4E5A-4B9D-AA91-090AB01E8372}"/>
    <cellStyle name="40% - Accent3 35 2 4 2" xfId="13245" xr:uid="{76135EFD-D89B-4BE7-A952-43B0785E6714}"/>
    <cellStyle name="40% - Accent3 35 2 5" xfId="13246" xr:uid="{6C4AAAF4-D764-4BD7-B89A-0D837D2A1336}"/>
    <cellStyle name="40% - Accent3 35 3" xfId="13247" xr:uid="{84E059E4-F890-4143-9158-CDCC9246E5B7}"/>
    <cellStyle name="40% - Accent3 35 3 2" xfId="13248" xr:uid="{B8AEC490-EDF3-4DFB-A62B-07D27C390F25}"/>
    <cellStyle name="40% - Accent3 35 3 2 2" xfId="13249" xr:uid="{158E9038-17FF-4AFE-8230-3D005991744B}"/>
    <cellStyle name="40% - Accent3 35 3 3" xfId="13250" xr:uid="{36C6E525-8B2E-43AF-A4C9-3C587A2C5EF7}"/>
    <cellStyle name="40% - Accent3 35 4" xfId="13251" xr:uid="{2568D65A-004B-42A8-8E44-136FF75430E4}"/>
    <cellStyle name="40% - Accent3 35 4 2" xfId="13252" xr:uid="{740C2196-F6F8-4DCF-9F7D-C68D91D314B3}"/>
    <cellStyle name="40% - Accent3 35 4 2 2" xfId="13253" xr:uid="{D7A669CC-FD0B-4C4F-A43F-75A59A89E923}"/>
    <cellStyle name="40% - Accent3 35 4 3" xfId="13254" xr:uid="{7BA364B5-70F8-4EB4-BF36-D03B7160F203}"/>
    <cellStyle name="40% - Accent3 35 5" xfId="13255" xr:uid="{AC3EEBE8-DEEE-4693-A3B7-D03FFD57B438}"/>
    <cellStyle name="40% - Accent3 35 5 2" xfId="13256" xr:uid="{CF75D134-0268-46D0-988D-35CA0943B1CF}"/>
    <cellStyle name="40% - Accent3 35 6" xfId="37155" xr:uid="{796D0259-F519-4085-B6D3-959079C63D03}"/>
    <cellStyle name="40% - Accent3 36" xfId="13257" xr:uid="{607E7885-9C3E-4467-97A9-569EDAA2408B}"/>
    <cellStyle name="40% - Accent3 36 2" xfId="13258" xr:uid="{AFA91224-2DEA-4B90-99C1-30A188423C42}"/>
    <cellStyle name="40% - Accent3 36 2 2" xfId="13259" xr:uid="{C12D203D-FA8A-4A0A-B0CE-F948C1D310BE}"/>
    <cellStyle name="40% - Accent3 36 2 2 2" xfId="13260" xr:uid="{1456E302-409F-45E8-9DBA-AE09C71F7E5A}"/>
    <cellStyle name="40% - Accent3 36 2 2 2 2" xfId="13261" xr:uid="{4C836751-FE0B-4CD5-BA7F-CDF89F97B510}"/>
    <cellStyle name="40% - Accent3 36 2 2 3" xfId="13262" xr:uid="{D788A708-3FFB-482B-A702-53106CDCAE3E}"/>
    <cellStyle name="40% - Accent3 36 2 3" xfId="13263" xr:uid="{2F0AA093-C9BD-473C-82B5-A22545D15128}"/>
    <cellStyle name="40% - Accent3 36 2 3 2" xfId="13264" xr:uid="{F23AC04D-4C37-4744-B255-A6DBBF51BCB1}"/>
    <cellStyle name="40% - Accent3 36 2 3 2 2" xfId="13265" xr:uid="{F7A799B9-DFBE-491E-B284-83E1DC38164E}"/>
    <cellStyle name="40% - Accent3 36 2 3 3" xfId="13266" xr:uid="{58529EA9-A513-49AC-B600-E04A7286A3C5}"/>
    <cellStyle name="40% - Accent3 36 2 4" xfId="13267" xr:uid="{F49C6B06-F802-4AEC-8FF0-32A756C3E730}"/>
    <cellStyle name="40% - Accent3 36 2 4 2" xfId="13268" xr:uid="{7A4301DC-9A8B-4F9A-9CEB-C71D706F0B32}"/>
    <cellStyle name="40% - Accent3 36 2 5" xfId="13269" xr:uid="{FC835C14-4EC7-47AA-982D-1361266EAEB4}"/>
    <cellStyle name="40% - Accent3 36 3" xfId="13270" xr:uid="{A366B804-719F-45C2-8C03-0BAA5A0FE0F4}"/>
    <cellStyle name="40% - Accent3 36 3 2" xfId="13271" xr:uid="{2F590405-5CC4-4322-AC3F-556E68D21313}"/>
    <cellStyle name="40% - Accent3 36 3 2 2" xfId="13272" xr:uid="{62BEB586-B2FC-4956-BBF0-250B0B806F9E}"/>
    <cellStyle name="40% - Accent3 36 3 3" xfId="13273" xr:uid="{74D20E8A-177D-479A-92CA-DD6BDC7C699C}"/>
    <cellStyle name="40% - Accent3 36 4" xfId="13274" xr:uid="{10533D3B-0285-40FB-AE13-336B8E144E7E}"/>
    <cellStyle name="40% - Accent3 36 4 2" xfId="13275" xr:uid="{35E5C6A0-522B-4FD7-8EEB-40513B5C2CC2}"/>
    <cellStyle name="40% - Accent3 36 4 2 2" xfId="13276" xr:uid="{95944B8C-34D6-41C3-95DF-C8B36FD8C857}"/>
    <cellStyle name="40% - Accent3 36 4 3" xfId="13277" xr:uid="{E8C51C0A-1B79-45F5-9FD7-782F5DF2E818}"/>
    <cellStyle name="40% - Accent3 36 5" xfId="13278" xr:uid="{B1C03C58-2956-4C35-8A5C-C6FD76B6C444}"/>
    <cellStyle name="40% - Accent3 36 5 2" xfId="13279" xr:uid="{C1F23B9C-F70A-45D7-A45B-AADD10A9D94D}"/>
    <cellStyle name="40% - Accent3 36 6" xfId="37156" xr:uid="{4B252CA7-8CA5-4452-B8EA-A7219B7C9687}"/>
    <cellStyle name="40% - Accent3 37" xfId="13280" xr:uid="{648948A6-822C-496B-9631-2F2CB6820985}"/>
    <cellStyle name="40% - Accent3 37 2" xfId="13281" xr:uid="{C7E8F482-5356-4274-8150-FC3123C657FB}"/>
    <cellStyle name="40% - Accent3 37 2 2" xfId="13282" xr:uid="{7E6A6648-6850-4E3F-AE95-E8836160419F}"/>
    <cellStyle name="40% - Accent3 37 2 2 2" xfId="13283" xr:uid="{3985F185-0DA8-437D-8B1F-CF035AC22C71}"/>
    <cellStyle name="40% - Accent3 37 2 2 2 2" xfId="13284" xr:uid="{BA09AE5F-BF07-405D-BCFE-802696DA7CB4}"/>
    <cellStyle name="40% - Accent3 37 2 2 3" xfId="13285" xr:uid="{70E0269E-F0E6-4175-A065-613F39CD0A7D}"/>
    <cellStyle name="40% - Accent3 37 2 3" xfId="13286" xr:uid="{AA57BC85-CA49-4988-8C50-ACCBC0EE5635}"/>
    <cellStyle name="40% - Accent3 37 2 3 2" xfId="13287" xr:uid="{E8EBD6C4-B10F-49F5-AF1A-26996956694B}"/>
    <cellStyle name="40% - Accent3 37 2 3 2 2" xfId="13288" xr:uid="{C7C254DE-9822-4193-A84E-D164CAF0F652}"/>
    <cellStyle name="40% - Accent3 37 2 3 3" xfId="13289" xr:uid="{109FDFB1-9CCF-4B20-AB7F-20A9E4EE4E5E}"/>
    <cellStyle name="40% - Accent3 37 2 4" xfId="13290" xr:uid="{C49CC3E1-A458-48EB-B41E-70FB3C4E2C30}"/>
    <cellStyle name="40% - Accent3 37 2 4 2" xfId="13291" xr:uid="{E46DAEF3-43DE-42F0-A0BB-AFE46E9BD19D}"/>
    <cellStyle name="40% - Accent3 37 2 5" xfId="13292" xr:uid="{7BC3445E-56C0-475C-9685-8CBE3D05E51C}"/>
    <cellStyle name="40% - Accent3 37 3" xfId="13293" xr:uid="{7B3203CC-A7B9-4548-8EC9-A66909B699F5}"/>
    <cellStyle name="40% - Accent3 37 3 2" xfId="13294" xr:uid="{8AA87E44-EBB1-467D-8ABB-80D860CD9EC1}"/>
    <cellStyle name="40% - Accent3 37 3 2 2" xfId="13295" xr:uid="{A05996BB-8683-4B93-8A09-C981C6E6F58B}"/>
    <cellStyle name="40% - Accent3 37 3 3" xfId="13296" xr:uid="{4E5B200A-C67B-470A-8DEA-FFC35704CC76}"/>
    <cellStyle name="40% - Accent3 37 4" xfId="13297" xr:uid="{5663190F-67A0-4DCB-9FF4-5D024A26CE9C}"/>
    <cellStyle name="40% - Accent3 37 4 2" xfId="13298" xr:uid="{49E51568-46FA-47A3-8E6D-E54F187273BE}"/>
    <cellStyle name="40% - Accent3 37 4 2 2" xfId="13299" xr:uid="{78E71FCB-581B-4599-AE82-A0728503904B}"/>
    <cellStyle name="40% - Accent3 37 4 3" xfId="13300" xr:uid="{7A74C036-A219-4BB1-8B56-C51EE22C7FB7}"/>
    <cellStyle name="40% - Accent3 37 5" xfId="13301" xr:uid="{3042EA37-D485-4374-BF9F-65678BDE047B}"/>
    <cellStyle name="40% - Accent3 37 5 2" xfId="13302" xr:uid="{27DEE8F4-AAAC-42DF-89BB-B1287026B89B}"/>
    <cellStyle name="40% - Accent3 37 6" xfId="37157" xr:uid="{C2A6A9DC-C77C-4E57-8785-D9605C3A5B1C}"/>
    <cellStyle name="40% - Accent3 38" xfId="13303" xr:uid="{EA58E142-BA36-4554-8A8A-BCFA676EEDDA}"/>
    <cellStyle name="40% - Accent3 38 2" xfId="13304" xr:uid="{F684EA7D-4F90-440C-8146-6C7EA1E15F22}"/>
    <cellStyle name="40% - Accent3 38 2 2" xfId="13305" xr:uid="{BF6DED04-C717-49E8-A3C8-EDEA57B9A977}"/>
    <cellStyle name="40% - Accent3 38 2 2 2" xfId="13306" xr:uid="{A7EB2FA8-90A9-472E-BC95-8A09AF1720AE}"/>
    <cellStyle name="40% - Accent3 38 2 2 2 2" xfId="13307" xr:uid="{35F61F1B-5B4D-48F1-AC67-78D5C1A524E2}"/>
    <cellStyle name="40% - Accent3 38 2 2 3" xfId="13308" xr:uid="{5C3855C7-2523-48B2-84BC-BDFDE2CFB9A4}"/>
    <cellStyle name="40% - Accent3 38 2 3" xfId="13309" xr:uid="{BFF64D76-9036-42BC-A07D-B1B9165C2B8B}"/>
    <cellStyle name="40% - Accent3 38 2 3 2" xfId="13310" xr:uid="{531274D6-4AB4-45FD-A6E6-ECF5CC7391B2}"/>
    <cellStyle name="40% - Accent3 38 2 3 2 2" xfId="13311" xr:uid="{C0484983-FAD8-4258-A396-33B64CCC8ADB}"/>
    <cellStyle name="40% - Accent3 38 2 3 3" xfId="13312" xr:uid="{B9626005-5570-4E5C-B78B-12D8F395CED4}"/>
    <cellStyle name="40% - Accent3 38 2 4" xfId="13313" xr:uid="{B110B632-DFCA-491A-BF3F-BDC18830A50A}"/>
    <cellStyle name="40% - Accent3 38 2 4 2" xfId="13314" xr:uid="{CE1B3C83-45E2-4E21-AF5E-43400D8A5617}"/>
    <cellStyle name="40% - Accent3 38 2 5" xfId="13315" xr:uid="{A7DB2AB4-A985-476C-AC9D-9924F56CDEE5}"/>
    <cellStyle name="40% - Accent3 38 3" xfId="13316" xr:uid="{1C68CD96-932B-47A0-B4E6-6303E9F66836}"/>
    <cellStyle name="40% - Accent3 38 3 2" xfId="13317" xr:uid="{7AA045FE-B2F1-4F0C-AC56-7B9F610C5257}"/>
    <cellStyle name="40% - Accent3 38 3 2 2" xfId="13318" xr:uid="{0F019DD6-9419-4BE1-A2F8-EB970BCD46A3}"/>
    <cellStyle name="40% - Accent3 38 3 3" xfId="13319" xr:uid="{C37A6249-D1DF-4C4B-9605-AADE906647ED}"/>
    <cellStyle name="40% - Accent3 38 4" xfId="13320" xr:uid="{A0B4C165-BCCB-4A14-B505-4AB238610064}"/>
    <cellStyle name="40% - Accent3 38 4 2" xfId="13321" xr:uid="{DA42523F-9ACD-4039-802E-3F531FDE1DB9}"/>
    <cellStyle name="40% - Accent3 38 4 2 2" xfId="13322" xr:uid="{A2122FD9-AAB6-4425-9626-B7D83BF6B49F}"/>
    <cellStyle name="40% - Accent3 38 4 3" xfId="13323" xr:uid="{242FEE8B-FFDB-4E0B-90A2-98C29D62EF3A}"/>
    <cellStyle name="40% - Accent3 38 5" xfId="13324" xr:uid="{3CC99EAC-43AB-452C-9457-03EB17868ADE}"/>
    <cellStyle name="40% - Accent3 38 5 2" xfId="13325" xr:uid="{243CAA1F-E602-4353-B768-B53A02A1F561}"/>
    <cellStyle name="40% - Accent3 38 6" xfId="37158" xr:uid="{4982CBBA-4DDE-4929-AC98-87F9D9D1EF31}"/>
    <cellStyle name="40% - Accent3 39" xfId="13326" xr:uid="{E7734968-6491-4557-B72F-A4A19B2CE7B6}"/>
    <cellStyle name="40% - Accent3 39 2" xfId="13327" xr:uid="{432C0D03-4729-48E6-845F-0CE36C72A287}"/>
    <cellStyle name="40% - Accent3 39 2 2" xfId="13328" xr:uid="{084AAAC0-F679-4085-9F01-0810B85C8596}"/>
    <cellStyle name="40% - Accent3 39 2 2 2" xfId="13329" xr:uid="{6B0C5770-FE7F-4AE8-827D-6C921D3B4660}"/>
    <cellStyle name="40% - Accent3 39 2 2 2 2" xfId="13330" xr:uid="{EA99E28A-3DB6-4964-AC69-D9B52BE29ED7}"/>
    <cellStyle name="40% - Accent3 39 2 2 3" xfId="13331" xr:uid="{83622997-B91E-4ACB-B157-838D59118F86}"/>
    <cellStyle name="40% - Accent3 39 2 3" xfId="13332" xr:uid="{D5F70B80-4CA4-425B-A2B3-99F42FDBDF9C}"/>
    <cellStyle name="40% - Accent3 39 2 3 2" xfId="13333" xr:uid="{B7517636-E08F-40B5-B4C5-A0303BE37A1F}"/>
    <cellStyle name="40% - Accent3 39 2 3 2 2" xfId="13334" xr:uid="{CA05CAE9-A865-4D5E-96BC-A3CBBD46BCD9}"/>
    <cellStyle name="40% - Accent3 39 2 3 3" xfId="13335" xr:uid="{0E7DAECA-4011-4997-8D83-4B7CE2388BBF}"/>
    <cellStyle name="40% - Accent3 39 2 4" xfId="13336" xr:uid="{02506DCF-8C5D-48E3-A8A7-824E59484995}"/>
    <cellStyle name="40% - Accent3 39 2 4 2" xfId="13337" xr:uid="{9AEE9A3E-B1CA-4658-A3FA-5B2A5B05454E}"/>
    <cellStyle name="40% - Accent3 39 2 5" xfId="13338" xr:uid="{04365361-7572-4E93-9FB0-22C44AF9D87E}"/>
    <cellStyle name="40% - Accent3 39 3" xfId="13339" xr:uid="{EDACD315-CFC5-4186-9FEF-0135238CDAD7}"/>
    <cellStyle name="40% - Accent3 39 3 2" xfId="13340" xr:uid="{FD412546-E7D7-427E-97BD-F508DDAB1ABF}"/>
    <cellStyle name="40% - Accent3 39 3 2 2" xfId="13341" xr:uid="{ACEBB5BF-7398-49E3-8E0A-CFAB2573F7A8}"/>
    <cellStyle name="40% - Accent3 39 3 3" xfId="13342" xr:uid="{78CB1D04-5EC0-4CEE-A7E4-E7B59DDFD4CE}"/>
    <cellStyle name="40% - Accent3 39 4" xfId="13343" xr:uid="{ADE207D8-12F6-4889-8682-C4B60D79E2DC}"/>
    <cellStyle name="40% - Accent3 39 4 2" xfId="13344" xr:uid="{FFC599B7-C53F-40EE-8E6F-E4EA1D8979C9}"/>
    <cellStyle name="40% - Accent3 39 4 2 2" xfId="13345" xr:uid="{1D5D1FEE-A71A-4E87-A43D-7637AC03AB08}"/>
    <cellStyle name="40% - Accent3 39 4 3" xfId="13346" xr:uid="{CC662E1F-698B-43A1-8C43-A6003190DDD2}"/>
    <cellStyle name="40% - Accent3 39 5" xfId="13347" xr:uid="{5336798D-7F82-4BE3-B05A-6CDDF086FF86}"/>
    <cellStyle name="40% - Accent3 39 5 2" xfId="13348" xr:uid="{4B7E5C0A-CE29-4DA6-8EA2-B0F7A0CC3DE2}"/>
    <cellStyle name="40% - Accent3 39 6" xfId="37159" xr:uid="{B5B9F823-A549-4A9F-9B84-FF3C2BA9F72F}"/>
    <cellStyle name="40% - Accent3 4" xfId="13349" xr:uid="{7C671125-42A6-4BF2-8E4B-932338DF787D}"/>
    <cellStyle name="40% - Accent3 4 2" xfId="13350" xr:uid="{40A74067-71A1-4D3D-8DDF-29389821082D}"/>
    <cellStyle name="40% - Accent3 4 2 2" xfId="13351" xr:uid="{A225D080-C587-48E6-83C4-2D30E67BA01A}"/>
    <cellStyle name="40% - Accent3 4 2 2 2" xfId="37160" xr:uid="{D7AEDFF8-DB78-4CC9-9FE9-EF0728F17C67}"/>
    <cellStyle name="40% - Accent3 4 2 3" xfId="37161" xr:uid="{E96B71C3-80C9-4CA4-AE41-14DED36103F2}"/>
    <cellStyle name="40% - Accent3 4 2 4" xfId="37162" xr:uid="{6ADE631D-CFE1-447D-80C6-6339C9F4026A}"/>
    <cellStyle name="40% - Accent3 4 3" xfId="13352" xr:uid="{C7E606D0-61EA-48AF-963A-D47C0B811C6C}"/>
    <cellStyle name="40% - Accent3 4 3 2" xfId="37163" xr:uid="{80B220B0-C7B8-4152-8939-4C21D7999F3E}"/>
    <cellStyle name="40% - Accent3 4 4" xfId="37164" xr:uid="{4CEB0FA7-4E83-4C1B-812B-4F653452F62B}"/>
    <cellStyle name="40% - Accent3 4 5" xfId="37165" xr:uid="{54F08C11-DD72-4613-9BCA-14AD5640BA46}"/>
    <cellStyle name="40% - Accent3 40" xfId="13353" xr:uid="{7C200A79-39F7-4EE3-A917-B291964DF3B4}"/>
    <cellStyle name="40% - Accent3 40 2" xfId="13354" xr:uid="{33639AD4-058B-4C6A-8C8F-D5E62D0CE979}"/>
    <cellStyle name="40% - Accent3 40 2 2" xfId="13355" xr:uid="{CCC770DE-03FC-4876-BB1D-07D3269FED19}"/>
    <cellStyle name="40% - Accent3 40 2 2 2" xfId="13356" xr:uid="{3AB0B5A7-9A48-4CD9-AB20-7C19535553B3}"/>
    <cellStyle name="40% - Accent3 40 2 2 2 2" xfId="13357" xr:uid="{042130F4-876F-4455-8D77-FB0C78350804}"/>
    <cellStyle name="40% - Accent3 40 2 2 3" xfId="13358" xr:uid="{2BFAE1C9-5885-435D-B75A-17923438B8FD}"/>
    <cellStyle name="40% - Accent3 40 2 3" xfId="13359" xr:uid="{38DF5446-3D58-4774-BE37-13A15198CC0F}"/>
    <cellStyle name="40% - Accent3 40 2 3 2" xfId="13360" xr:uid="{33C15EA2-CCDF-4927-803C-8BFD10066937}"/>
    <cellStyle name="40% - Accent3 40 2 3 2 2" xfId="13361" xr:uid="{0824335C-18B5-4F0E-8461-5E3D132097D9}"/>
    <cellStyle name="40% - Accent3 40 2 3 3" xfId="13362" xr:uid="{D2C67C74-FDE1-4BB7-90AB-FA293C97D0BF}"/>
    <cellStyle name="40% - Accent3 40 2 4" xfId="13363" xr:uid="{31D1362A-F14A-407C-8851-B7093D3F9D1C}"/>
    <cellStyle name="40% - Accent3 40 2 4 2" xfId="13364" xr:uid="{86B67176-C683-4930-9228-8D22DA9B7DD3}"/>
    <cellStyle name="40% - Accent3 40 2 5" xfId="13365" xr:uid="{B95EE068-5A4A-4B78-8DE6-83EC4A23E770}"/>
    <cellStyle name="40% - Accent3 40 3" xfId="13366" xr:uid="{283E4CEE-27E0-40AD-8053-A7C81AB4D551}"/>
    <cellStyle name="40% - Accent3 40 3 2" xfId="13367" xr:uid="{23080F33-E8E7-4A67-8BD0-98B60C5B0547}"/>
    <cellStyle name="40% - Accent3 40 3 2 2" xfId="13368" xr:uid="{3C188D45-9E46-4749-AB60-60689AD604C2}"/>
    <cellStyle name="40% - Accent3 40 3 3" xfId="13369" xr:uid="{84BC5468-F202-47A9-97B1-BA160A1B472D}"/>
    <cellStyle name="40% - Accent3 40 4" xfId="13370" xr:uid="{49875FEF-B488-40B9-B39F-3E1CFC9E7023}"/>
    <cellStyle name="40% - Accent3 40 4 2" xfId="13371" xr:uid="{9AC66FE1-5CD4-4430-B499-7CE3B2FCC531}"/>
    <cellStyle name="40% - Accent3 40 4 2 2" xfId="13372" xr:uid="{4FC3A78A-E3A6-4556-97CB-F55134630058}"/>
    <cellStyle name="40% - Accent3 40 4 3" xfId="13373" xr:uid="{D978240B-A84D-4377-ABB0-DEC8AFD3A5C2}"/>
    <cellStyle name="40% - Accent3 40 5" xfId="13374" xr:uid="{20D6B14A-5624-4096-82AF-2E1D96EB4083}"/>
    <cellStyle name="40% - Accent3 40 5 2" xfId="13375" xr:uid="{86843FBE-DABF-41B6-A949-428A04691846}"/>
    <cellStyle name="40% - Accent3 40 6" xfId="37166" xr:uid="{F0A10D43-DDE7-4FFC-9AD2-47AE1C625031}"/>
    <cellStyle name="40% - Accent3 41" xfId="13376" xr:uid="{2848BC27-4E97-4F98-B935-359C840670C7}"/>
    <cellStyle name="40% - Accent3 41 2" xfId="13377" xr:uid="{AE621829-6E8D-4606-969B-1A5075FB83EC}"/>
    <cellStyle name="40% - Accent3 41 2 2" xfId="13378" xr:uid="{86D21C4B-DFA2-493A-9B96-FA24CC90F914}"/>
    <cellStyle name="40% - Accent3 41 2 2 2" xfId="13379" xr:uid="{0D5F6B2C-A4DA-4613-A46B-DF86DC3E84A8}"/>
    <cellStyle name="40% - Accent3 41 2 2 2 2" xfId="13380" xr:uid="{01848187-AC98-4A39-A033-62EC68AB0964}"/>
    <cellStyle name="40% - Accent3 41 2 2 3" xfId="13381" xr:uid="{B719C75E-1AA0-451D-AC58-ED446AA69B58}"/>
    <cellStyle name="40% - Accent3 41 2 3" xfId="13382" xr:uid="{E9A72C3D-30FC-4D66-BFE4-5D27E6F16FC7}"/>
    <cellStyle name="40% - Accent3 41 2 3 2" xfId="13383" xr:uid="{FE3B150C-B3C4-4C66-8138-4869438A4658}"/>
    <cellStyle name="40% - Accent3 41 2 3 2 2" xfId="13384" xr:uid="{1CBC53A4-7EE5-4A04-AD0E-01B41E16E332}"/>
    <cellStyle name="40% - Accent3 41 2 3 3" xfId="13385" xr:uid="{A72001AA-9368-4FDF-8EEB-5A129F296900}"/>
    <cellStyle name="40% - Accent3 41 2 4" xfId="13386" xr:uid="{E35AD386-7D0D-46A4-BF19-CB041912306E}"/>
    <cellStyle name="40% - Accent3 41 2 4 2" xfId="13387" xr:uid="{765166A2-963A-4BEE-9D33-92493830F6B9}"/>
    <cellStyle name="40% - Accent3 41 2 5" xfId="13388" xr:uid="{A5500F0F-77A2-4D38-8683-28C095476CB4}"/>
    <cellStyle name="40% - Accent3 41 3" xfId="13389" xr:uid="{E00FA649-DD70-47E7-9315-2918C3686BE4}"/>
    <cellStyle name="40% - Accent3 41 3 2" xfId="13390" xr:uid="{E1BCD970-A1A1-4CFC-8FF2-B99E14647958}"/>
    <cellStyle name="40% - Accent3 41 3 2 2" xfId="13391" xr:uid="{BEEEE255-7F7C-48F7-B9BD-56EDBA53A6B4}"/>
    <cellStyle name="40% - Accent3 41 3 3" xfId="13392" xr:uid="{DF415DD8-2024-4602-908D-4A47991B78A1}"/>
    <cellStyle name="40% - Accent3 41 4" xfId="13393" xr:uid="{C4D3D8EF-C0C6-4AB5-A16B-39759B61BA2D}"/>
    <cellStyle name="40% - Accent3 41 4 2" xfId="13394" xr:uid="{D27304A5-C2B5-4BFD-A2EE-715123E3EC25}"/>
    <cellStyle name="40% - Accent3 41 4 2 2" xfId="13395" xr:uid="{A8686123-3372-4134-AF46-CAB66A19E05E}"/>
    <cellStyle name="40% - Accent3 41 4 3" xfId="13396" xr:uid="{0B36D28B-5930-4546-B03B-82384F774B33}"/>
    <cellStyle name="40% - Accent3 41 5" xfId="13397" xr:uid="{62DA1024-4AA5-4D84-8D84-F7AE1F48843F}"/>
    <cellStyle name="40% - Accent3 41 5 2" xfId="13398" xr:uid="{448B3ECE-B36D-4255-8D8A-6066752AFFD3}"/>
    <cellStyle name="40% - Accent3 41 6" xfId="37167" xr:uid="{7F0CFAD4-FF21-4666-B62C-CEA1E833520A}"/>
    <cellStyle name="40% - Accent3 42" xfId="13399" xr:uid="{5626F1B6-3981-4A90-8D84-1A05EA6F182C}"/>
    <cellStyle name="40% - Accent3 42 2" xfId="13400" xr:uid="{E357AF7F-3474-441C-95E2-8B984C78718D}"/>
    <cellStyle name="40% - Accent3 42 2 2" xfId="13401" xr:uid="{C7B7E8B2-3EA1-43B2-A72B-F69A7585186A}"/>
    <cellStyle name="40% - Accent3 42 2 2 2" xfId="13402" xr:uid="{44845864-B4C4-439C-8A98-DD6A39C17992}"/>
    <cellStyle name="40% - Accent3 42 2 2 2 2" xfId="13403" xr:uid="{4488F9D4-29D4-4485-B41A-9F034C1F9C78}"/>
    <cellStyle name="40% - Accent3 42 2 2 3" xfId="13404" xr:uid="{2042FCD5-6B63-4948-BF6E-02B995571A81}"/>
    <cellStyle name="40% - Accent3 42 2 3" xfId="13405" xr:uid="{0D272322-96C7-47AD-95D2-A2FEDBEDB62D}"/>
    <cellStyle name="40% - Accent3 42 2 3 2" xfId="13406" xr:uid="{7A6F1379-AE13-412B-A066-07D4ACE82255}"/>
    <cellStyle name="40% - Accent3 42 2 3 2 2" xfId="13407" xr:uid="{C22CC64D-A2E1-4E35-B970-A30BFBAD1C07}"/>
    <cellStyle name="40% - Accent3 42 2 3 3" xfId="13408" xr:uid="{7AF0BC3A-8575-4030-A3BC-81F45095C1B6}"/>
    <cellStyle name="40% - Accent3 42 2 4" xfId="13409" xr:uid="{2EA7C83A-56CB-4FBF-B94F-64435742BA83}"/>
    <cellStyle name="40% - Accent3 42 2 4 2" xfId="13410" xr:uid="{B28EEEE1-6114-463C-A678-DCC92B37D95B}"/>
    <cellStyle name="40% - Accent3 42 2 5" xfId="13411" xr:uid="{F210B521-34A7-45E4-A55E-43BF0A362498}"/>
    <cellStyle name="40% - Accent3 42 3" xfId="13412" xr:uid="{031C2685-03F3-45C4-BB72-07B8E7A1BA60}"/>
    <cellStyle name="40% - Accent3 42 3 2" xfId="13413" xr:uid="{BB894288-92FE-47D9-8BFF-F7BA35399815}"/>
    <cellStyle name="40% - Accent3 42 3 2 2" xfId="13414" xr:uid="{AC3EFAE4-4C25-4BE3-AD85-44E5A312943F}"/>
    <cellStyle name="40% - Accent3 42 3 3" xfId="13415" xr:uid="{69880395-CE70-4B86-BF86-3155E8B5115F}"/>
    <cellStyle name="40% - Accent3 42 4" xfId="13416" xr:uid="{FC74206F-29EF-481B-B52D-8D1FD9BF536B}"/>
    <cellStyle name="40% - Accent3 42 4 2" xfId="13417" xr:uid="{B3C521D1-5ACA-4580-9853-F43CA17E71BF}"/>
    <cellStyle name="40% - Accent3 42 4 2 2" xfId="13418" xr:uid="{4CFF7096-7E6F-4D4B-9CC9-203AA7D89BE3}"/>
    <cellStyle name="40% - Accent3 42 4 3" xfId="13419" xr:uid="{D064F9CC-58FF-4642-9906-2C82E39E84B8}"/>
    <cellStyle name="40% - Accent3 42 5" xfId="13420" xr:uid="{43FC6190-C4A1-4138-86D7-0A969DF5F04C}"/>
    <cellStyle name="40% - Accent3 42 5 2" xfId="13421" xr:uid="{0C594BE5-01B1-43C4-A859-A42721271BA9}"/>
    <cellStyle name="40% - Accent3 42 6" xfId="37168" xr:uid="{6B81609A-F6DF-494D-A0C5-2B749004E7ED}"/>
    <cellStyle name="40% - Accent3 43" xfId="13422" xr:uid="{3A880C42-0813-4818-B14B-A5C6FEC6C61D}"/>
    <cellStyle name="40% - Accent3 43 2" xfId="13423" xr:uid="{D09CE004-BC49-42A5-B948-80EAAEA44059}"/>
    <cellStyle name="40% - Accent3 43 3" xfId="37169" xr:uid="{1451F02D-9BC7-47BB-BA20-91CED2833A9E}"/>
    <cellStyle name="40% - Accent3 44" xfId="13424" xr:uid="{DEE90897-623A-4469-95F1-8429EB04B791}"/>
    <cellStyle name="40% - Accent3 44 2" xfId="13425" xr:uid="{FC81C1F9-0B12-4342-9C56-BCB8FA9D8233}"/>
    <cellStyle name="40% - Accent3 44 3" xfId="37170" xr:uid="{7D11CE6B-7A52-468C-B662-7950412C32EB}"/>
    <cellStyle name="40% - Accent3 45" xfId="13426" xr:uid="{7382A98A-80AD-4F42-AA66-DB5EAA909ABC}"/>
    <cellStyle name="40% - Accent3 45 2" xfId="13427" xr:uid="{6C09D12D-4B19-4D01-A14E-938085A5BF56}"/>
    <cellStyle name="40% - Accent3 45 3" xfId="37171" xr:uid="{82A2ED5A-4154-4C65-9EB7-9C81836A8766}"/>
    <cellStyle name="40% - Accent3 46" xfId="13428" xr:uid="{93559FBB-77D8-44FF-B908-596640F3328D}"/>
    <cellStyle name="40% - Accent3 46 2" xfId="13429" xr:uid="{3EBFEC88-1790-4586-B427-AB31B48BD51E}"/>
    <cellStyle name="40% - Accent3 46 3" xfId="37172" xr:uid="{84CF366D-79C4-42EB-8B0D-D9A8EC45B388}"/>
    <cellStyle name="40% - Accent3 47" xfId="13430" xr:uid="{F85414AE-B9F0-4216-A3AF-0DFF59D438A1}"/>
    <cellStyle name="40% - Accent3 47 2" xfId="13431" xr:uid="{D6385C4E-C16D-44A8-BD9F-90D7E6FB465E}"/>
    <cellStyle name="40% - Accent3 47 3" xfId="37173" xr:uid="{72ABFDA3-B9EB-47FE-B5F4-11B4BFEC0968}"/>
    <cellStyle name="40% - Accent3 48" xfId="13432" xr:uid="{2DC4CE42-68F8-4A93-8653-673CE0AE5976}"/>
    <cellStyle name="40% - Accent3 48 2" xfId="13433" xr:uid="{208408A0-ADE8-4A52-9B75-F38E2715753B}"/>
    <cellStyle name="40% - Accent3 48 3" xfId="37174" xr:uid="{61A4EF75-E767-4523-A694-DBC07A50140B}"/>
    <cellStyle name="40% - Accent3 49" xfId="13434" xr:uid="{9ACE4DE6-9B2D-4FC2-80F0-795AE98F42F4}"/>
    <cellStyle name="40% - Accent3 49 2" xfId="13435" xr:uid="{C2BB255F-C769-4842-8411-382F6836F45E}"/>
    <cellStyle name="40% - Accent3 49 3" xfId="37175" xr:uid="{F7654038-A702-4E7E-BAFA-6F64D79CD030}"/>
    <cellStyle name="40% - Accent3 5" xfId="13436" xr:uid="{AC718DCF-65F8-4C14-BD21-E6E4C8923750}"/>
    <cellStyle name="40% - Accent3 5 2" xfId="13437" xr:uid="{30AA1008-60A4-491F-808E-FCA0D0962016}"/>
    <cellStyle name="40% - Accent3 5 2 2" xfId="13438" xr:uid="{964FE91C-83C4-41F6-8D57-8688AEFEA31D}"/>
    <cellStyle name="40% - Accent3 5 2 2 2" xfId="37176" xr:uid="{E0B5A30E-A92B-4FC1-9D05-8BF5ED897C42}"/>
    <cellStyle name="40% - Accent3 5 2 3" xfId="37177" xr:uid="{1CD4A9C0-C84E-437D-85ED-239D883DBA15}"/>
    <cellStyle name="40% - Accent3 5 2 4" xfId="37178" xr:uid="{FBB6A069-53D4-494C-B7D2-5A0BE43EB5CA}"/>
    <cellStyle name="40% - Accent3 5 3" xfId="13439" xr:uid="{DAD03AF4-98E7-4CC5-B843-C4586640C73F}"/>
    <cellStyle name="40% - Accent3 5 3 2" xfId="37179" xr:uid="{02A30D62-DE49-4E20-BAE0-F6742FDA0654}"/>
    <cellStyle name="40% - Accent3 5 4" xfId="37180" xr:uid="{10FBE298-C332-4D0C-A850-D02DAFF0D9C8}"/>
    <cellStyle name="40% - Accent3 5 5" xfId="37181" xr:uid="{1B1A5A32-F916-47BB-BB17-32398E2CE10C}"/>
    <cellStyle name="40% - Accent3 50" xfId="13440" xr:uid="{B6354D68-1097-4102-8007-05D03DC1FFED}"/>
    <cellStyle name="40% - Accent3 50 2" xfId="13441" xr:uid="{1281B7F2-FAAB-42B0-958F-EC2FCCA484FA}"/>
    <cellStyle name="40% - Accent3 50 3" xfId="37182" xr:uid="{6B957A0C-EE4E-4FEF-B4CF-AB7C3AB689A7}"/>
    <cellStyle name="40% - Accent3 51" xfId="13442" xr:uid="{4742FBAE-0E42-40C9-9DCB-21F0AD4535B7}"/>
    <cellStyle name="40% - Accent3 51 2" xfId="37183" xr:uid="{31D19D79-3C33-4F05-A5AE-C4FF70D0A72C}"/>
    <cellStyle name="40% - Accent3 52" xfId="13443" xr:uid="{C8817BAA-98F8-49D4-966B-A44DD34F18EA}"/>
    <cellStyle name="40% - Accent3 52 2" xfId="37184" xr:uid="{48B16488-2F4A-4B78-BE5D-B05C62B6CA7F}"/>
    <cellStyle name="40% - Accent3 53" xfId="13444" xr:uid="{FABEDCC8-D724-487F-9EE1-C419F95B3D68}"/>
    <cellStyle name="40% - Accent3 53 2" xfId="37185" xr:uid="{828BAA1B-8434-4D63-A192-43CD66D6F4A5}"/>
    <cellStyle name="40% - Accent3 54" xfId="13445" xr:uid="{E989E877-8963-4E27-AF35-DA71DD1BDFE0}"/>
    <cellStyle name="40% - Accent3 54 2" xfId="37186" xr:uid="{27A1FAB8-F889-4304-9560-3CF4AF1A92AD}"/>
    <cellStyle name="40% - Accent3 55" xfId="13446" xr:uid="{CCB47F2C-FCB0-4B1F-81D5-833CED70DE26}"/>
    <cellStyle name="40% - Accent3 55 2" xfId="37187" xr:uid="{D76A997A-E475-4057-9213-59154169B624}"/>
    <cellStyle name="40% - Accent3 56" xfId="13447" xr:uid="{A66E4B81-9A31-457A-937E-C5E66A09D4F9}"/>
    <cellStyle name="40% - Accent3 56 2" xfId="37188" xr:uid="{D6C3FD51-6F88-424E-8895-1E4DE34CF310}"/>
    <cellStyle name="40% - Accent3 57" xfId="13448" xr:uid="{363423F9-2798-414B-BD93-7A317C7E3084}"/>
    <cellStyle name="40% - Accent3 57 2" xfId="37189" xr:uid="{8942DB57-0170-4EDC-8C22-FE2743A39FC4}"/>
    <cellStyle name="40% - Accent3 58" xfId="13449" xr:uid="{2B0FF214-6573-49B9-A5CB-2DBB85DFE75C}"/>
    <cellStyle name="40% - Accent3 58 2" xfId="37190" xr:uid="{7E05431E-0FAC-498C-B958-28793D388FD1}"/>
    <cellStyle name="40% - Accent3 59" xfId="13450" xr:uid="{CE1F0AF6-D39B-4A9A-ACF8-460551171E6A}"/>
    <cellStyle name="40% - Accent3 59 2" xfId="37191" xr:uid="{9509F05D-D922-4306-BBD4-902D89D55A29}"/>
    <cellStyle name="40% - Accent3 6" xfId="13451" xr:uid="{8065F655-E502-4458-92CB-BACF9EDD727D}"/>
    <cellStyle name="40% - Accent3 6 2" xfId="13452" xr:uid="{0D6DC113-BCD1-4B28-B987-9DBA0D4E7C44}"/>
    <cellStyle name="40% - Accent3 6 2 2" xfId="13453" xr:uid="{614DEEE8-9F92-49E3-A702-480DC043F0D3}"/>
    <cellStyle name="40% - Accent3 6 2 2 2" xfId="37192" xr:uid="{A165DFA5-9013-43AC-863B-EAD00C893F9D}"/>
    <cellStyle name="40% - Accent3 6 2 3" xfId="37193" xr:uid="{EED943DE-9EF8-4219-B4E9-6BC1BAAC5F7E}"/>
    <cellStyle name="40% - Accent3 6 2 4" xfId="37194" xr:uid="{938231BE-3F77-477B-A168-3773FD8D6442}"/>
    <cellStyle name="40% - Accent3 6 3" xfId="13454" xr:uid="{88764EA7-1A3E-4EF8-B1C8-D4321027E194}"/>
    <cellStyle name="40% - Accent3 6 3 2" xfId="37195" xr:uid="{C65B2B46-916D-4FD2-87EB-079CEA46CBAC}"/>
    <cellStyle name="40% - Accent3 6 4" xfId="37196" xr:uid="{1DDD0585-1233-44E6-B3E1-EC2C27CD59D9}"/>
    <cellStyle name="40% - Accent3 6 5" xfId="37197" xr:uid="{3DEF3662-6B84-460C-BC41-2A910337AFDD}"/>
    <cellStyle name="40% - Accent3 60" xfId="13455" xr:uid="{66A71E2E-7ECF-41BC-B80F-B111D6F3DB47}"/>
    <cellStyle name="40% - Accent3 60 2" xfId="37198" xr:uid="{8F32B37E-6A4B-4C88-A3D9-9261756BBE6E}"/>
    <cellStyle name="40% - Accent3 61" xfId="13456" xr:uid="{82DDFA16-23E0-4F9F-BE31-2E84A54078CE}"/>
    <cellStyle name="40% - Accent3 61 2" xfId="37199" xr:uid="{CE538056-8032-4E8C-BC0A-503EE0D022A2}"/>
    <cellStyle name="40% - Accent3 62" xfId="13457" xr:uid="{2F1CAEC2-B2C8-465E-A0CD-AA00AD1F9E20}"/>
    <cellStyle name="40% - Accent3 62 2" xfId="37200" xr:uid="{77F92E14-FCAD-490D-B9D2-FE046363FA6F}"/>
    <cellStyle name="40% - Accent3 63" xfId="13458" xr:uid="{17554581-E3CC-4EAA-896C-0D7806EEF70C}"/>
    <cellStyle name="40% - Accent3 63 2" xfId="37201" xr:uid="{67164B73-BC40-46C3-B1F5-2F123B954E4A}"/>
    <cellStyle name="40% - Accent3 64" xfId="13459" xr:uid="{2DE144D6-9E31-4AD7-A0D4-B776BF61FCDF}"/>
    <cellStyle name="40% - Accent3 64 2" xfId="37202" xr:uid="{03266D5A-E784-47B2-9E5E-7483B731C3AE}"/>
    <cellStyle name="40% - Accent3 65" xfId="13460" xr:uid="{0043FEF1-3998-4740-893D-83BE03EE01FD}"/>
    <cellStyle name="40% - Accent3 65 2" xfId="37203" xr:uid="{DD3892E5-3834-49AE-B600-E1493E33C150}"/>
    <cellStyle name="40% - Accent3 66" xfId="13461" xr:uid="{33F3CF83-A1B8-470F-8646-1E12C6CA167B}"/>
    <cellStyle name="40% - Accent3 66 2" xfId="13462" xr:uid="{AF167D2F-CB30-4211-98C5-786178246600}"/>
    <cellStyle name="40% - Accent3 66 2 2" xfId="13463" xr:uid="{A83FCA44-AB5B-490D-B58D-3109F349D818}"/>
    <cellStyle name="40% - Accent3 66 3" xfId="13464" xr:uid="{B7F2FF18-CB51-42E1-8450-FE324436D93D}"/>
    <cellStyle name="40% - Accent3 66 3 2" xfId="13465" xr:uid="{7A7FA4A0-A3F9-4C2B-85C7-38D9689BEDB6}"/>
    <cellStyle name="40% - Accent3 66 4" xfId="13466" xr:uid="{753F2603-CEE4-445E-879F-7FF276730035}"/>
    <cellStyle name="40% - Accent3 66 5" xfId="37204" xr:uid="{B272157B-6C51-403E-A76A-60F3FBD21494}"/>
    <cellStyle name="40% - Accent3 67" xfId="13467" xr:uid="{48625405-739F-4A98-9B6A-0802DBCD63AE}"/>
    <cellStyle name="40% - Accent3 67 2" xfId="13468" xr:uid="{B230A1F4-055F-46CD-BE2A-AD0A681F3782}"/>
    <cellStyle name="40% - Accent3 67 2 2" xfId="13469" xr:uid="{F7B952AD-91CD-496D-8C7A-916A5613A747}"/>
    <cellStyle name="40% - Accent3 67 3" xfId="13470" xr:uid="{168FA3B1-C5DA-40D3-BB67-837FB7D1B363}"/>
    <cellStyle name="40% - Accent3 67 3 2" xfId="13471" xr:uid="{C69C859C-5E8F-4C97-80BC-8088E18303B3}"/>
    <cellStyle name="40% - Accent3 67 4" xfId="13472" xr:uid="{E37B57AA-CDE4-4CF5-AF62-8986D44C24AA}"/>
    <cellStyle name="40% - Accent3 67 5" xfId="37205" xr:uid="{987A4BA7-F29C-4ACC-A110-D4F82A062843}"/>
    <cellStyle name="40% - Accent3 68" xfId="13473" xr:uid="{8C5FBA5C-8F9D-41B9-8036-04479012577F}"/>
    <cellStyle name="40% - Accent3 68 2" xfId="13474" xr:uid="{68491291-9FF9-4D88-B8CE-5ECEDDBA3EF9}"/>
    <cellStyle name="40% - Accent3 68 2 2" xfId="13475" xr:uid="{1A48339C-16EB-41BD-B9E5-032BC26EE967}"/>
    <cellStyle name="40% - Accent3 68 3" xfId="13476" xr:uid="{56ECBA7C-6C85-487E-AC69-3966191A2610}"/>
    <cellStyle name="40% - Accent3 68 3 2" xfId="13477" xr:uid="{0BAA5BCD-D359-4C12-989E-5DA075F49A55}"/>
    <cellStyle name="40% - Accent3 68 4" xfId="13478" xr:uid="{7DBC2C6E-996B-4134-9FDD-1834C8AB57EF}"/>
    <cellStyle name="40% - Accent3 68 5" xfId="37206" xr:uid="{7058CB70-86F5-4287-8E7A-98BF0A160658}"/>
    <cellStyle name="40% - Accent3 69" xfId="13479" xr:uid="{90BA4CC3-B86A-44AA-B219-51CFBC99AAD5}"/>
    <cellStyle name="40% - Accent3 69 2" xfId="13480" xr:uid="{C204C594-B3C3-4762-818F-D64A221BF9C7}"/>
    <cellStyle name="40% - Accent3 69 2 2" xfId="13481" xr:uid="{4A0F6C38-B52B-48AC-9E39-B4BD7B4ECE30}"/>
    <cellStyle name="40% - Accent3 69 3" xfId="13482" xr:uid="{C042EA7B-FF72-4738-A8AA-976F1BC892C5}"/>
    <cellStyle name="40% - Accent3 69 4" xfId="37207" xr:uid="{3ECE3E7C-858E-43F6-92F9-E5DB66A09D63}"/>
    <cellStyle name="40% - Accent3 7" xfId="13483" xr:uid="{3285EE26-32E1-487B-B289-1354E4FECA0A}"/>
    <cellStyle name="40% - Accent3 7 2" xfId="13484" xr:uid="{0A603262-E7B4-46D1-A317-BB99620A2594}"/>
    <cellStyle name="40% - Accent3 7 2 2" xfId="13485" xr:uid="{2106602F-4529-4866-A820-74611E4C240A}"/>
    <cellStyle name="40% - Accent3 7 2 2 2" xfId="37208" xr:uid="{E9C741EF-EFF3-45CA-B39F-E086111EB6A4}"/>
    <cellStyle name="40% - Accent3 7 2 3" xfId="37209" xr:uid="{8A09CC83-131C-4AC5-845B-FA03E7DB5BA0}"/>
    <cellStyle name="40% - Accent3 7 2 4" xfId="37210" xr:uid="{B553213A-842D-423C-B8A6-0004C981F195}"/>
    <cellStyle name="40% - Accent3 7 3" xfId="13486" xr:uid="{4FA0BCF7-5062-42B7-9939-97E1D4EE8DC5}"/>
    <cellStyle name="40% - Accent3 7 3 2" xfId="37211" xr:uid="{54FB3431-1F92-4C06-91BD-9EF6DCE957DC}"/>
    <cellStyle name="40% - Accent3 7 4" xfId="37212" xr:uid="{5548554C-BA97-468D-BFD8-4E7EC8487F54}"/>
    <cellStyle name="40% - Accent3 7 5" xfId="37213" xr:uid="{3717C2C6-2F4D-4276-B947-A27FE7D08780}"/>
    <cellStyle name="40% - Accent3 70" xfId="13487" xr:uid="{B338814A-5A55-415D-9ED9-DC10AEDAD8EF}"/>
    <cellStyle name="40% - Accent3 70 2" xfId="13488" xr:uid="{02FBD4E3-0B00-46EA-AEF8-FF779E85FB88}"/>
    <cellStyle name="40% - Accent3 70 2 2" xfId="13489" xr:uid="{813DA513-AD41-480B-838D-3F7AC65A63DD}"/>
    <cellStyle name="40% - Accent3 70 3" xfId="13490" xr:uid="{F50C7BBA-40A4-40AB-AF77-D9F72800A9B9}"/>
    <cellStyle name="40% - Accent3 70 4" xfId="37214" xr:uid="{EC9DA478-783D-42DB-8B2E-11D055C9EC51}"/>
    <cellStyle name="40% - Accent3 71" xfId="13491" xr:uid="{A9A0BCE0-A73F-4426-AE7A-AECD86B96566}"/>
    <cellStyle name="40% - Accent3 71 2" xfId="13492" xr:uid="{A178B75C-EB4E-4990-9C9A-3BA4EC4B9749}"/>
    <cellStyle name="40% - Accent3 71 2 2" xfId="13493" xr:uid="{09D231F2-E8FC-424F-BB4C-1DFB5B76019C}"/>
    <cellStyle name="40% - Accent3 71 3" xfId="13494" xr:uid="{880452FF-18E2-4525-ABB8-7CEF520A9D62}"/>
    <cellStyle name="40% - Accent3 71 4" xfId="37215" xr:uid="{40C5DEE8-287A-4BDB-92F8-159578718691}"/>
    <cellStyle name="40% - Accent3 72" xfId="13495" xr:uid="{63CAF86C-3B01-46E5-AF66-CB2C1E20228C}"/>
    <cellStyle name="40% - Accent3 72 2" xfId="13496" xr:uid="{4D70C1FE-0049-4F4F-A384-6010393061FA}"/>
    <cellStyle name="40% - Accent3 72 2 2" xfId="13497" xr:uid="{CEC152F9-0AB5-4A0E-B978-BEE71930D03F}"/>
    <cellStyle name="40% - Accent3 72 3" xfId="13498" xr:uid="{621C96CF-1208-42BD-B390-7671D10653DB}"/>
    <cellStyle name="40% - Accent3 72 4" xfId="37216" xr:uid="{191DD77C-FFBE-4AB2-905E-9ACF43D93BAF}"/>
    <cellStyle name="40% - Accent3 73" xfId="13499" xr:uid="{AFDA2EBF-74BD-458C-9950-AA46C2040228}"/>
    <cellStyle name="40% - Accent3 73 2" xfId="13500" xr:uid="{B9DEE998-0D3E-4A2C-BD4A-0D61233431E9}"/>
    <cellStyle name="40% - Accent3 73 2 2" xfId="13501" xr:uid="{263FA414-218B-4664-AE2D-F663CEAEB870}"/>
    <cellStyle name="40% - Accent3 73 3" xfId="13502" xr:uid="{DE54B685-453F-46EB-8A13-938C8CD43F4B}"/>
    <cellStyle name="40% - Accent3 73 4" xfId="37217" xr:uid="{9834B483-1EC3-4CE0-BDF2-2A700250A3E9}"/>
    <cellStyle name="40% - Accent3 74" xfId="13503" xr:uid="{46479283-F4CA-4553-BC79-BDBB5E44D483}"/>
    <cellStyle name="40% - Accent3 74 2" xfId="13504" xr:uid="{D6C89440-E8C3-4E5D-9098-2874B07CCBC8}"/>
    <cellStyle name="40% - Accent3 74 2 2" xfId="13505" xr:uid="{1FE52B0C-612D-47A3-B75D-CCD17A56F815}"/>
    <cellStyle name="40% - Accent3 74 3" xfId="13506" xr:uid="{9D886148-9F10-4DD0-9CC3-70F7FF0C4461}"/>
    <cellStyle name="40% - Accent3 74 4" xfId="37218" xr:uid="{51195B8E-35D2-473E-BBDD-5304E3BC06B8}"/>
    <cellStyle name="40% - Accent3 75" xfId="13507" xr:uid="{75ECFE00-C8C1-45AF-8181-21E67AC95F0D}"/>
    <cellStyle name="40% - Accent3 75 2" xfId="13508" xr:uid="{846CF252-41A7-453F-B40E-CA02F2427981}"/>
    <cellStyle name="40% - Accent3 75 2 2" xfId="13509" xr:uid="{BAD7D918-F86B-4136-B042-494065498046}"/>
    <cellStyle name="40% - Accent3 75 3" xfId="13510" xr:uid="{DC54E75E-371C-4191-83C4-AE2039E4D443}"/>
    <cellStyle name="40% - Accent3 75 4" xfId="37219" xr:uid="{BEBA5D8A-1983-4741-97C5-B0C644F0E7AC}"/>
    <cellStyle name="40% - Accent3 76" xfId="13511" xr:uid="{A8E85C91-7692-4F2F-BF11-C7C471FE43BA}"/>
    <cellStyle name="40% - Accent3 76 2" xfId="13512" xr:uid="{60BD1001-FFA2-433A-A336-E7CFE24BD24E}"/>
    <cellStyle name="40% - Accent3 76 2 2" xfId="13513" xr:uid="{F7C94049-AC50-49AC-B489-3C9EDC788617}"/>
    <cellStyle name="40% - Accent3 76 3" xfId="13514" xr:uid="{35381FFA-3398-4A8D-BF47-22B2852B3D97}"/>
    <cellStyle name="40% - Accent3 76 4" xfId="37220" xr:uid="{4367AD45-3B94-4379-A9A1-86320E440894}"/>
    <cellStyle name="40% - Accent3 77" xfId="13515" xr:uid="{DA0C1069-FB57-4320-BCAB-D20234A8C5D6}"/>
    <cellStyle name="40% - Accent3 77 2" xfId="13516" xr:uid="{53CB82B8-F21C-48B3-96C6-D43D9A61C6A6}"/>
    <cellStyle name="40% - Accent3 77 2 2" xfId="13517" xr:uid="{5ABC46EC-2CF8-45D6-B963-F2C4FC1BC513}"/>
    <cellStyle name="40% - Accent3 77 3" xfId="13518" xr:uid="{3B9B3A84-715A-4E48-B9B4-3A434E6D53D7}"/>
    <cellStyle name="40% - Accent3 77 4" xfId="37221" xr:uid="{109608FB-1EE0-4BC8-8E47-2C5F2694E79D}"/>
    <cellStyle name="40% - Accent3 78" xfId="13519" xr:uid="{284FD8E6-74F0-45DC-A9EE-065900FAB867}"/>
    <cellStyle name="40% - Accent3 78 2" xfId="13520" xr:uid="{1C8A97B9-5DBD-401F-97A6-087C2E4C80F3}"/>
    <cellStyle name="40% - Accent3 78 2 2" xfId="13521" xr:uid="{5B730336-1C09-47B8-83A0-3B08748D3D9B}"/>
    <cellStyle name="40% - Accent3 78 3" xfId="13522" xr:uid="{F38F049F-3965-4D60-B5E5-7E43CEE804B4}"/>
    <cellStyle name="40% - Accent3 78 4" xfId="37222" xr:uid="{84B93C19-ACA4-4D32-BB18-83097068B1B4}"/>
    <cellStyle name="40% - Accent3 79" xfId="13523" xr:uid="{B8B033B0-9120-4C00-A021-AF99F1FB699E}"/>
    <cellStyle name="40% - Accent3 79 2" xfId="13524" xr:uid="{EF090563-F3EE-4ABC-BA9D-9B1DC62AE37D}"/>
    <cellStyle name="40% - Accent3 79 3" xfId="37223" xr:uid="{7480CE38-88D9-487D-832C-A8D7F2B770E8}"/>
    <cellStyle name="40% - Accent3 8" xfId="13525" xr:uid="{5BABB664-0F63-4561-A465-8C35F92BC678}"/>
    <cellStyle name="40% - Accent3 8 2" xfId="13526" xr:uid="{A8A17459-9942-4560-8518-315BF03A3FBC}"/>
    <cellStyle name="40% - Accent3 8 2 2" xfId="13527" xr:uid="{FA6572ED-FF61-416A-9441-9C9601E9BF84}"/>
    <cellStyle name="40% - Accent3 8 2 2 2" xfId="37224" xr:uid="{382A675F-653D-450B-BEBB-91E04D9C7D5F}"/>
    <cellStyle name="40% - Accent3 8 2 3" xfId="37225" xr:uid="{1FC7EC57-97E2-4C2D-AA04-EDCA5565C845}"/>
    <cellStyle name="40% - Accent3 8 3" xfId="13528" xr:uid="{8A9EA5DC-E9D8-4579-91C6-5C0382F10479}"/>
    <cellStyle name="40% - Accent3 8 3 2" xfId="37226" xr:uid="{BB2A238C-D949-4549-A222-CECD099ED60A}"/>
    <cellStyle name="40% - Accent3 8 4" xfId="37227" xr:uid="{113D0A7F-DA81-497E-A44E-CDD13E112635}"/>
    <cellStyle name="40% - Accent3 8 5" xfId="37228" xr:uid="{855B9E4F-BF3B-4A9B-8145-A989855E8E20}"/>
    <cellStyle name="40% - Accent3 8 6" xfId="37229" xr:uid="{493E4F51-5B99-4EF3-8E92-0DC03D2E8FDD}"/>
    <cellStyle name="40% - Accent3 8 7" xfId="37230" xr:uid="{4CB9F17E-E109-4007-9A1D-AFC94A74C229}"/>
    <cellStyle name="40% - Accent3 80" xfId="13529" xr:uid="{F2C7E690-B5DF-495A-B9CE-BE11A955C814}"/>
    <cellStyle name="40% - Accent3 80 2" xfId="13530" xr:uid="{5EBC6EA0-CCA3-470E-B02B-39E8AB246BE6}"/>
    <cellStyle name="40% - Accent3 80 3" xfId="37231" xr:uid="{842F2CF4-B64A-4073-AD14-1B4FA4651CCC}"/>
    <cellStyle name="40% - Accent3 81" xfId="13531" xr:uid="{2A0C6E0E-1125-49BE-9F0D-C114B90F9237}"/>
    <cellStyle name="40% - Accent3 81 2" xfId="13532" xr:uid="{E1A1B3BD-2506-4CF2-A27C-4B2C13ED922B}"/>
    <cellStyle name="40% - Accent3 81 3" xfId="37232" xr:uid="{F163B437-55F8-49B1-98C4-ADD3088C2450}"/>
    <cellStyle name="40% - Accent3 82" xfId="13533" xr:uid="{C11AFB49-EFE2-4035-94BA-E832533C6289}"/>
    <cellStyle name="40% - Accent3 82 2" xfId="13534" xr:uid="{295861AD-EB4B-44FD-9384-59EE00CC520B}"/>
    <cellStyle name="40% - Accent3 82 3" xfId="37233" xr:uid="{F5BECF18-1E2F-490F-AF15-C003CA551D01}"/>
    <cellStyle name="40% - Accent3 83" xfId="13535" xr:uid="{6599E0CD-B8F1-4FC4-A1E1-8BFD4B4CCDCF}"/>
    <cellStyle name="40% - Accent3 83 2" xfId="13536" xr:uid="{3C00178A-719A-4720-8E63-FAF5D833D975}"/>
    <cellStyle name="40% - Accent3 83 3" xfId="37234" xr:uid="{3873A55D-1647-4BCD-9032-92471C381978}"/>
    <cellStyle name="40% - Accent3 84" xfId="13537" xr:uid="{3999567E-8024-4CEA-B20F-182B8799664C}"/>
    <cellStyle name="40% - Accent3 84 2" xfId="13538" xr:uid="{4997F0AE-B44D-447A-B33A-1EBD97E5653D}"/>
    <cellStyle name="40% - Accent3 84 3" xfId="37235" xr:uid="{BA7E028F-72A5-4FF2-B189-66E3A26A50F3}"/>
    <cellStyle name="40% - Accent3 85" xfId="13539" xr:uid="{90609FDB-48B8-4CEF-958E-9D52DC9F5A00}"/>
    <cellStyle name="40% - Accent3 85 2" xfId="13540" xr:uid="{48D2E900-4608-4650-B5B4-AE11303A66DC}"/>
    <cellStyle name="40% - Accent3 85 3" xfId="37236" xr:uid="{F617EB9D-4B2E-454B-9387-CC1CC9D99402}"/>
    <cellStyle name="40% - Accent3 86" xfId="13541" xr:uid="{2AF8100E-21F3-47D2-A978-3FCE5D85C032}"/>
    <cellStyle name="40% - Accent3 86 2" xfId="13542" xr:uid="{379D6154-CC71-4594-B555-0ADB01F7BEDC}"/>
    <cellStyle name="40% - Accent3 86 3" xfId="37237" xr:uid="{9BB9AF6A-601E-44A3-A4C3-C5BEFBFD57D4}"/>
    <cellStyle name="40% - Accent3 87" xfId="13543" xr:uid="{63EF611B-BD50-40C6-A10C-D221A3610B3D}"/>
    <cellStyle name="40% - Accent3 87 2" xfId="13544" xr:uid="{3831D236-7B4F-441B-B836-E93C765ABD55}"/>
    <cellStyle name="40% - Accent3 87 3" xfId="37238" xr:uid="{90BEFE2F-7961-4686-9670-07DF24F04D04}"/>
    <cellStyle name="40% - Accent3 88" xfId="13545" xr:uid="{F4F1B0AF-DC35-4096-B4B7-EFA8E8449E4F}"/>
    <cellStyle name="40% - Accent3 88 2" xfId="13546" xr:uid="{19B7ABD4-0C61-4E06-9193-BD619D9D1869}"/>
    <cellStyle name="40% - Accent3 88 3" xfId="37239" xr:uid="{ABF97EB6-135E-4D55-BE59-7EA6790F49E6}"/>
    <cellStyle name="40% - Accent3 89" xfId="13547" xr:uid="{81593657-00D5-4687-8142-D69963EA6C53}"/>
    <cellStyle name="40% - Accent3 89 2" xfId="13548" xr:uid="{22CE2145-AFA4-49C7-9511-D1D5AF66CBF1}"/>
    <cellStyle name="40% - Accent3 89 3" xfId="37240" xr:uid="{85163B52-02CF-480D-9E3F-6C99D34A2506}"/>
    <cellStyle name="40% - Accent3 9" xfId="13549" xr:uid="{EB1A0BD8-2A94-4D00-AEA4-F615D3A22E5A}"/>
    <cellStyle name="40% - Accent3 9 2" xfId="13550" xr:uid="{EAD5FA4A-56AB-45AC-B1AC-B6BAA7256B34}"/>
    <cellStyle name="40% - Accent3 9 2 2" xfId="13551" xr:uid="{F3A0E984-57E9-4C38-A143-24884CD27109}"/>
    <cellStyle name="40% - Accent3 9 2 2 2" xfId="37241" xr:uid="{0C449129-DB8E-4B16-9F70-30D2B7C506D7}"/>
    <cellStyle name="40% - Accent3 9 2 3" xfId="37242" xr:uid="{E36C041C-7205-4B94-9337-1C85760001B5}"/>
    <cellStyle name="40% - Accent3 9 3" xfId="13552" xr:uid="{349239BD-94E1-45DF-8EA7-7AF4BC5330C1}"/>
    <cellStyle name="40% - Accent3 9 3 2" xfId="37243" xr:uid="{C11056CD-FFB2-47E7-96B8-FDA8D6C7B7F9}"/>
    <cellStyle name="40% - Accent3 9 4" xfId="37244" xr:uid="{85086381-7B56-4295-A1B4-E4659E3744AF}"/>
    <cellStyle name="40% - Accent3 9 5" xfId="37245" xr:uid="{41F83A02-12A7-4C91-B87F-A913B10AF3D4}"/>
    <cellStyle name="40% - Accent3 9 6" xfId="37246" xr:uid="{47DD4911-F0FF-4B0C-88C4-02514DAFC0B0}"/>
    <cellStyle name="40% - Accent3 90" xfId="13553" xr:uid="{8BF88D9F-45A1-4118-B97A-2664D6C528F1}"/>
    <cellStyle name="40% - Accent3 90 2" xfId="13554" xr:uid="{0281EAAA-F43C-4F6A-914B-A4684A9F98DF}"/>
    <cellStyle name="40% - Accent3 90 3" xfId="37247" xr:uid="{14EE8A25-5524-4CA4-90DD-E51C7702D141}"/>
    <cellStyle name="40% - Accent3 91" xfId="13555" xr:uid="{99B8513E-39EE-4653-B8CC-7DE935698ABE}"/>
    <cellStyle name="40% - Accent3 91 2" xfId="13556" xr:uid="{66A9D3B0-132D-473B-8AA6-849B278C0612}"/>
    <cellStyle name="40% - Accent3 91 3" xfId="37248" xr:uid="{51788573-704E-4176-BED5-E99AD9493A39}"/>
    <cellStyle name="40% - Accent3 92" xfId="13557" xr:uid="{60D0A998-BE5A-4A45-BFD5-46E4617C93B3}"/>
    <cellStyle name="40% - Accent3 92 2" xfId="13558" xr:uid="{50FD7920-C496-4927-AD85-ED1EA3FF109A}"/>
    <cellStyle name="40% - Accent3 92 3" xfId="37249" xr:uid="{B79AC9A3-810C-429F-88EF-6814C67F3317}"/>
    <cellStyle name="40% - Accent3 93" xfId="13559" xr:uid="{92B47C2D-C7B0-4CAF-9094-DC2833B7564F}"/>
    <cellStyle name="40% - Accent3 93 2" xfId="13560" xr:uid="{CA5BCBB0-AB16-43E2-8425-C82093FFC57F}"/>
    <cellStyle name="40% - Accent3 93 3" xfId="37250" xr:uid="{0A0DB576-474C-4724-B0B9-9EFECDA5680A}"/>
    <cellStyle name="40% - Accent3 94" xfId="13561" xr:uid="{F34F9913-4C69-43AE-80CC-2BA1F93A7D49}"/>
    <cellStyle name="40% - Accent3 94 2" xfId="13562" xr:uid="{917CCEF5-5EFA-4033-8FC5-7D9098B232EF}"/>
    <cellStyle name="40% - Accent3 94 3" xfId="37251" xr:uid="{9C31A3BD-E941-43FA-A281-F9A8B756E55E}"/>
    <cellStyle name="40% - Accent3 95" xfId="13563" xr:uid="{01E5416B-C6D0-4779-9149-1CE706428300}"/>
    <cellStyle name="40% - Accent3 95 2" xfId="13564" xr:uid="{3D9C619D-AC6C-43A0-9085-D2BDC969B856}"/>
    <cellStyle name="40% - Accent3 95 3" xfId="37252" xr:uid="{9AE28D60-5864-423F-9DD9-9A98D28C0BC0}"/>
    <cellStyle name="40% - Accent3 96" xfId="13565" xr:uid="{046F6C60-345A-49E6-B6FB-A9FFFB4ED5A9}"/>
    <cellStyle name="40% - Accent3 96 2" xfId="13566" xr:uid="{8FEEE575-73FE-418D-A9AC-6F78F343637B}"/>
    <cellStyle name="40% - Accent3 96 3" xfId="37253" xr:uid="{9AA60EA9-8C95-4A9D-9768-089FE5E8B49C}"/>
    <cellStyle name="40% - Accent3 97" xfId="13567" xr:uid="{66D9E505-BAD3-4C62-B2E9-7729EBC9BD40}"/>
    <cellStyle name="40% - Accent3 97 2" xfId="13568" xr:uid="{13B6A68B-A638-4C88-BC36-694915DC37A3}"/>
    <cellStyle name="40% - Accent3 97 3" xfId="37254" xr:uid="{55E0AE3B-75DF-4708-B080-FE2443733216}"/>
    <cellStyle name="40% - Accent3 98" xfId="13569" xr:uid="{4B966460-D205-4F01-AE67-13F3F3CBE9E5}"/>
    <cellStyle name="40% - Accent3 98 2" xfId="13570" xr:uid="{4ABBCF36-C000-4504-B024-6DD491F76DE1}"/>
    <cellStyle name="40% - Accent3 98 3" xfId="37255" xr:uid="{949755EA-94F5-43DD-A0A8-5345365D4D43}"/>
    <cellStyle name="40% - Accent3 99" xfId="13571" xr:uid="{2F0BAC96-B865-45FC-8486-947E5FDD8C1D}"/>
    <cellStyle name="40% - Accent3 99 2" xfId="13572" xr:uid="{1FD24389-E078-4FD9-AD23-5453FA6D7CF0}"/>
    <cellStyle name="40% - Accent3 99 3" xfId="37256" xr:uid="{E25A6A04-CDCD-46E3-B5A0-058318233B27}"/>
    <cellStyle name="40% - Accent4" xfId="44" builtinId="43" hidden="1"/>
    <cellStyle name="40% - Accent4" xfId="118" builtinId="43" customBuiltin="1"/>
    <cellStyle name="40% - Accent4 10" xfId="13573" xr:uid="{3B40C29A-200A-42EE-A5D0-79B6DEA98E59}"/>
    <cellStyle name="40% - Accent4 10 2" xfId="13574" xr:uid="{9C320D7F-0EE3-4745-8AE9-2298F4EDB470}"/>
    <cellStyle name="40% - Accent4 10 2 2" xfId="13575" xr:uid="{EEA92A7C-55A6-46CA-A267-BBD6789AC979}"/>
    <cellStyle name="40% - Accent4 10 2 2 2" xfId="37257" xr:uid="{8065D9F6-1C39-43CC-B661-448A1CC26D6B}"/>
    <cellStyle name="40% - Accent4 10 2 3" xfId="37258" xr:uid="{3F2A990D-D3E6-450A-9C7A-303727CBBAB7}"/>
    <cellStyle name="40% - Accent4 10 3" xfId="13576" xr:uid="{790FF56D-E438-4C76-B138-D7B96E78CC0F}"/>
    <cellStyle name="40% - Accent4 10 3 2" xfId="37259" xr:uid="{D6D601F7-7168-4B41-B10D-67056DE4A8AB}"/>
    <cellStyle name="40% - Accent4 10 4" xfId="37260" xr:uid="{9F07F1AF-0159-49F5-9E2C-9204D2810980}"/>
    <cellStyle name="40% - Accent4 10 5" xfId="37261" xr:uid="{D88DA4BF-F642-43D8-9321-69790E199594}"/>
    <cellStyle name="40% - Accent4 10 6" xfId="37262" xr:uid="{85EA2C91-BE55-4B67-9BFC-EAF0761CB118}"/>
    <cellStyle name="40% - Accent4 100" xfId="13577" xr:uid="{4DB30A85-C460-4B3D-877B-99B80668D77B}"/>
    <cellStyle name="40% - Accent4 100 2" xfId="13578" xr:uid="{FE1FFF46-E940-4595-86BA-3E73621532E0}"/>
    <cellStyle name="40% - Accent4 100 3" xfId="37263" xr:uid="{B436B2F6-18C4-4601-B3F3-379249778CD2}"/>
    <cellStyle name="40% - Accent4 101" xfId="13579" xr:uid="{9A4AED22-98CC-4FDD-A94A-8670A15BB981}"/>
    <cellStyle name="40% - Accent4 102" xfId="13580" xr:uid="{6B6F5160-6D29-4D60-964C-6410281E8942}"/>
    <cellStyle name="40% - Accent4 103" xfId="13581" xr:uid="{AD164C1A-4B1F-44E4-AD2F-C37E65DC8957}"/>
    <cellStyle name="40% - Accent4 104" xfId="13582" xr:uid="{25626F85-1EA0-433E-8720-A3AC01411E14}"/>
    <cellStyle name="40% - Accent4 105" xfId="13583" xr:uid="{8896155D-9DD6-4EE0-AB0C-610AFCF7DEF5}"/>
    <cellStyle name="40% - Accent4 106" xfId="13584" xr:uid="{60553872-B3DF-4435-86C4-1B04AEDC1EE0}"/>
    <cellStyle name="40% - Accent4 107" xfId="13585" xr:uid="{A2E4DA70-27E3-4756-9441-6D0F57BC2A70}"/>
    <cellStyle name="40% - Accent4 108" xfId="13586" xr:uid="{974383D7-F3EC-4C08-848F-C190E558F240}"/>
    <cellStyle name="40% - Accent4 109" xfId="13587" xr:uid="{CFAA4D1C-CC29-40A8-9824-72091D55515F}"/>
    <cellStyle name="40% - Accent4 11" xfId="13588" xr:uid="{E8FA7AFE-0BAC-4813-BE03-7E1B4C938A64}"/>
    <cellStyle name="40% - Accent4 11 2" xfId="13589" xr:uid="{3F59C81F-7A8C-4736-9C49-0E7BE500E164}"/>
    <cellStyle name="40% - Accent4 11 2 2" xfId="13590" xr:uid="{E79E0D67-1C24-4356-AB08-021244369318}"/>
    <cellStyle name="40% - Accent4 11 2 2 2" xfId="37264" xr:uid="{7B82F049-2593-4F2E-8C5D-818CD8855808}"/>
    <cellStyle name="40% - Accent4 11 2 3" xfId="37265" xr:uid="{BF249D6A-9EC0-4ED6-ABC5-7B3B044CF154}"/>
    <cellStyle name="40% - Accent4 11 3" xfId="13591" xr:uid="{D54C13F7-E78F-4BA1-B6CF-34208F78F796}"/>
    <cellStyle name="40% - Accent4 11 3 2" xfId="37266" xr:uid="{9FC5D070-A1DC-4A6E-A6A2-46950D118821}"/>
    <cellStyle name="40% - Accent4 11 4" xfId="37267" xr:uid="{903EF0D6-CCE0-432E-A5B0-345EB0D6DB49}"/>
    <cellStyle name="40% - Accent4 11 5" xfId="37268" xr:uid="{67C56118-2D14-4AE4-8399-E2582A8EE41F}"/>
    <cellStyle name="40% - Accent4 11 6" xfId="37269" xr:uid="{5B559DD5-9CC1-4286-9494-64CB4F33B538}"/>
    <cellStyle name="40% - Accent4 110" xfId="13592" xr:uid="{50844E2C-DECE-4822-BC10-C083CECE6914}"/>
    <cellStyle name="40% - Accent4 111" xfId="13593" xr:uid="{84781E89-FDF2-454D-A91B-58E6A1B1C2C0}"/>
    <cellStyle name="40% - Accent4 112" xfId="13594" xr:uid="{00AE5C99-7DB3-4BE0-A45F-67AD37542EE1}"/>
    <cellStyle name="40% - Accent4 113" xfId="13595" xr:uid="{3C584649-C33E-4E06-9B25-352058C3099E}"/>
    <cellStyle name="40% - Accent4 114" xfId="13596" xr:uid="{3BF3312F-0DC9-4959-8992-AE1F67979DFF}"/>
    <cellStyle name="40% - Accent4 115" xfId="13597" xr:uid="{32BEE757-2613-48F9-A005-C17B60958D2A}"/>
    <cellStyle name="40% - Accent4 116" xfId="13598" xr:uid="{E478FAD2-01CF-4C4B-94AF-E08325D169AF}"/>
    <cellStyle name="40% - Accent4 117" xfId="13599" xr:uid="{D39A8838-7F8C-4C8B-8995-B7BA63E7CD80}"/>
    <cellStyle name="40% - Accent4 118" xfId="13600" xr:uid="{6A494732-C975-4937-8F58-BB1875211804}"/>
    <cellStyle name="40% - Accent4 119" xfId="13601" xr:uid="{6CCC1B2E-7262-4317-BC79-31BB5C9CF59F}"/>
    <cellStyle name="40% - Accent4 12" xfId="13602" xr:uid="{C282F81A-E3E4-44A3-8F41-A13563A2C783}"/>
    <cellStyle name="40% - Accent4 12 2" xfId="13603" xr:uid="{8843570D-1989-4C8A-8EC8-AEEFC6FED89F}"/>
    <cellStyle name="40% - Accent4 12 2 2" xfId="13604" xr:uid="{F425421B-D1B9-48D9-A9F2-21B1DA2E727A}"/>
    <cellStyle name="40% - Accent4 12 2 2 2" xfId="37270" xr:uid="{E2189C0E-B2AE-4DD7-A351-39B5CD95F61B}"/>
    <cellStyle name="40% - Accent4 12 2 3" xfId="37271" xr:uid="{A4DC8CE5-F0EF-4FBA-8598-4EF7216C958A}"/>
    <cellStyle name="40% - Accent4 12 3" xfId="13605" xr:uid="{14CC4073-2397-44E8-B134-40D4F53DC8EC}"/>
    <cellStyle name="40% - Accent4 12 3 2" xfId="37272" xr:uid="{C0BAC60C-3BA5-41C1-9D80-FA566D79837B}"/>
    <cellStyle name="40% - Accent4 12 4" xfId="37273" xr:uid="{AEFB23BD-8896-4495-BC9D-AFB245FFA882}"/>
    <cellStyle name="40% - Accent4 12 5" xfId="37274" xr:uid="{A19DD4AB-999D-437E-8443-DE3322BEF509}"/>
    <cellStyle name="40% - Accent4 12 6" xfId="37275" xr:uid="{69404168-B0C0-4679-B93D-AA685D61038F}"/>
    <cellStyle name="40% - Accent4 120" xfId="13606" xr:uid="{4E6BD3DE-E510-408D-8B9B-70DB464302B3}"/>
    <cellStyle name="40% - Accent4 121" xfId="13607" xr:uid="{08465758-6F39-4764-A486-6697778EF3EE}"/>
    <cellStyle name="40% - Accent4 122" xfId="13608" xr:uid="{03CA957E-2F8F-4AEE-B9B6-535FA420055A}"/>
    <cellStyle name="40% - Accent4 123" xfId="13609" xr:uid="{B2541231-F530-4E1D-B0D2-C4370E33599F}"/>
    <cellStyle name="40% - Accent4 124" xfId="13610" xr:uid="{D3022C6D-E539-4CDD-906B-8E11D85E743F}"/>
    <cellStyle name="40% - Accent4 125" xfId="13611" xr:uid="{F3438FDB-360C-4679-9F9B-B627CDAE5EAC}"/>
    <cellStyle name="40% - Accent4 126" xfId="13612" xr:uid="{5EE2E05D-5FB8-4A5A-9D19-D35186455FFF}"/>
    <cellStyle name="40% - Accent4 127" xfId="13613" xr:uid="{F303746F-6F05-437E-9453-24F6A4C951B7}"/>
    <cellStyle name="40% - Accent4 128" xfId="13614" xr:uid="{BD77594B-AA5E-4160-9863-029CA0CEC5C5}"/>
    <cellStyle name="40% - Accent4 129" xfId="13615" xr:uid="{193C2F5C-2FA5-4510-A8D4-D56FA1CBFC36}"/>
    <cellStyle name="40% - Accent4 13" xfId="13616" xr:uid="{4CC87389-C75E-4299-8860-F482EFEDB0B5}"/>
    <cellStyle name="40% - Accent4 13 2" xfId="13617" xr:uid="{A96FE159-1685-4A98-952D-E22EB304FBDF}"/>
    <cellStyle name="40% - Accent4 13 2 2" xfId="13618" xr:uid="{1910D447-59DD-4B5E-AC1F-727EE5F2AEF8}"/>
    <cellStyle name="40% - Accent4 13 2 2 2" xfId="37276" xr:uid="{0EC4A5BE-72FD-400F-908B-CB044A9D5F59}"/>
    <cellStyle name="40% - Accent4 13 2 3" xfId="37277" xr:uid="{42EBB636-B8C1-496A-861B-0BCCEE4285AD}"/>
    <cellStyle name="40% - Accent4 13 3" xfId="13619" xr:uid="{3FF552D6-953C-44BF-B311-24068ACF2D03}"/>
    <cellStyle name="40% - Accent4 13 3 2" xfId="37278" xr:uid="{1DFE2B0C-B554-4058-9185-EC8B1B109D29}"/>
    <cellStyle name="40% - Accent4 13 4" xfId="37279" xr:uid="{89D479C5-6D1F-443B-AD57-C53AC3C7349A}"/>
    <cellStyle name="40% - Accent4 13 5" xfId="37280" xr:uid="{79E63EAF-A508-4FAF-941F-392174A455BB}"/>
    <cellStyle name="40% - Accent4 13 6" xfId="37281" xr:uid="{C6AC71DF-D7B6-44AD-AAAC-5AC8E487F36A}"/>
    <cellStyle name="40% - Accent4 130" xfId="13620" xr:uid="{B64FB7B1-87F6-4B5B-84F0-7844306750BE}"/>
    <cellStyle name="40% - Accent4 131" xfId="13621" xr:uid="{0B66A2ED-D8EC-45EF-A7E5-943F0608F187}"/>
    <cellStyle name="40% - Accent4 132" xfId="13622" xr:uid="{625570EC-1EAE-45EF-81C4-FCF90F6233BF}"/>
    <cellStyle name="40% - Accent4 133" xfId="13623" xr:uid="{E43B7A26-FBAB-402F-B3C2-C4FEBB8B9348}"/>
    <cellStyle name="40% - Accent4 134" xfId="13624" xr:uid="{7D97361A-5C38-486A-A8FB-B6216E3DDF68}"/>
    <cellStyle name="40% - Accent4 135" xfId="13625" xr:uid="{807109CE-4D88-4420-A01A-500218EDB8CB}"/>
    <cellStyle name="40% - Accent4 136" xfId="13626" xr:uid="{DEB338C1-40FF-450A-8DF9-450F0DD5A85B}"/>
    <cellStyle name="40% - Accent4 137" xfId="13627" xr:uid="{5E2FCBA2-DE32-4C0D-8DE5-3D976E9A7324}"/>
    <cellStyle name="40% - Accent4 138" xfId="13628" xr:uid="{720F1A32-5685-46B7-A54B-3B51061F262B}"/>
    <cellStyle name="40% - Accent4 139" xfId="13629" xr:uid="{1885D70D-A209-4B0A-B862-5649BC7CAC0A}"/>
    <cellStyle name="40% - Accent4 14" xfId="13630" xr:uid="{0CFA9E79-A238-42A1-85CF-AD6FB99F316F}"/>
    <cellStyle name="40% - Accent4 14 2" xfId="13631" xr:uid="{AC900133-2C9B-451E-A9E9-56D2F6C73541}"/>
    <cellStyle name="40% - Accent4 14 2 2" xfId="13632" xr:uid="{ADEEC3D8-D5DC-40E4-A418-C844FC303E67}"/>
    <cellStyle name="40% - Accent4 14 2 2 2" xfId="37282" xr:uid="{DE2D0786-EC2D-41E0-9FCB-F7D47A847613}"/>
    <cellStyle name="40% - Accent4 14 2 3" xfId="37283" xr:uid="{5B622D61-9C1D-4734-A022-A418531A864C}"/>
    <cellStyle name="40% - Accent4 14 3" xfId="13633" xr:uid="{06C41AE8-8211-4E76-8792-BC5DB1957ABC}"/>
    <cellStyle name="40% - Accent4 14 3 2" xfId="37284" xr:uid="{21C8B689-BD80-455F-B0E9-81C96155725C}"/>
    <cellStyle name="40% - Accent4 14 4" xfId="37285" xr:uid="{4764F516-69B4-4E0E-9644-44422639C6EB}"/>
    <cellStyle name="40% - Accent4 14 5" xfId="37286" xr:uid="{1F49F9A6-FDB3-44B9-8D36-0BCFD65C61E1}"/>
    <cellStyle name="40% - Accent4 14 6" xfId="37287" xr:uid="{735BD9FC-B98D-4A1D-B688-9DF02BD2DEEF}"/>
    <cellStyle name="40% - Accent4 140" xfId="13634" xr:uid="{32F1950A-68D8-4BE4-829C-858A043260F8}"/>
    <cellStyle name="40% - Accent4 141" xfId="13635" xr:uid="{FCF5962A-D695-4FDB-BA80-9B64BD2A19BA}"/>
    <cellStyle name="40% - Accent4 142" xfId="13636" xr:uid="{45840836-1BF6-4617-AD1B-63947870883F}"/>
    <cellStyle name="40% - Accent4 143" xfId="13637" xr:uid="{7B3B257A-D186-4D85-BD05-14E5B3001503}"/>
    <cellStyle name="40% - Accent4 144" xfId="13638" xr:uid="{4E28C9D1-7CD7-47B4-8517-05BCC469E78C}"/>
    <cellStyle name="40% - Accent4 145" xfId="13639" xr:uid="{6C733C62-22B9-4B45-8860-C0B3FCC80B12}"/>
    <cellStyle name="40% - Accent4 146" xfId="13640" xr:uid="{D3A06B64-96B6-447F-9E78-F4B84986090B}"/>
    <cellStyle name="40% - Accent4 147" xfId="13641" xr:uid="{EA8D84A3-0A56-40FD-96CB-7C0514B66226}"/>
    <cellStyle name="40% - Accent4 148" xfId="13642" xr:uid="{50913B43-A98F-4A62-9BC9-EF4B0291DE65}"/>
    <cellStyle name="40% - Accent4 149" xfId="13643" xr:uid="{D106F5B3-73A8-408A-BBFF-90A6570686E8}"/>
    <cellStyle name="40% - Accent4 15" xfId="13644" xr:uid="{93544057-9FFC-43ED-9DE1-9C15952EF296}"/>
    <cellStyle name="40% - Accent4 15 2" xfId="13645" xr:uid="{654A3D3C-8143-4F5F-85B9-09443559D7E9}"/>
    <cellStyle name="40% - Accent4 15 2 2" xfId="13646" xr:uid="{10A38F8E-43C1-4FF4-A5ED-BAB6E2C63ED6}"/>
    <cellStyle name="40% - Accent4 15 2 2 2" xfId="37288" xr:uid="{CB2D9D79-21D5-4274-9CD3-EF16E50F3D45}"/>
    <cellStyle name="40% - Accent4 15 2 3" xfId="37289" xr:uid="{D6816D31-5732-41EA-95A8-17BE583BB286}"/>
    <cellStyle name="40% - Accent4 15 3" xfId="13647" xr:uid="{0149AB48-6241-46F2-8F92-4141F2A19279}"/>
    <cellStyle name="40% - Accent4 15 3 2" xfId="37290" xr:uid="{5BEE7F10-11F4-4AD2-9661-3E9D9A7EE976}"/>
    <cellStyle name="40% - Accent4 15 4" xfId="37291" xr:uid="{169EC69E-5D73-49C5-8DAE-16DA65DF94CA}"/>
    <cellStyle name="40% - Accent4 15 5" xfId="37292" xr:uid="{10CE1BD3-0E31-4BBC-A8D9-D71C59A7727D}"/>
    <cellStyle name="40% - Accent4 15 6" xfId="37293" xr:uid="{891FBBF5-5AFC-42B8-9DAB-715059028B79}"/>
    <cellStyle name="40% - Accent4 150" xfId="13648" xr:uid="{E945EC58-F1CE-463A-AA2E-E6A4E40BF1C8}"/>
    <cellStyle name="40% - Accent4 151" xfId="13649" xr:uid="{1549C6B9-F67E-46B2-8031-2BE4998B0FCF}"/>
    <cellStyle name="40% - Accent4 152" xfId="13650" xr:uid="{55E363E6-4FBD-4ACD-8F85-832A41B8A05D}"/>
    <cellStyle name="40% - Accent4 153" xfId="13651" xr:uid="{06929164-23D8-42FF-8274-102162756349}"/>
    <cellStyle name="40% - Accent4 154" xfId="13652" xr:uid="{628A2F65-5B60-4AB7-A0C4-BC1D76FC8180}"/>
    <cellStyle name="40% - Accent4 155" xfId="13653" xr:uid="{37B7BDD3-BA63-4F02-87BC-61BF22ECA77C}"/>
    <cellStyle name="40% - Accent4 156" xfId="13654" xr:uid="{D023E102-722F-4DF7-B407-0ECAA3088652}"/>
    <cellStyle name="40% - Accent4 157" xfId="13655" xr:uid="{BB8080A8-DA7E-464E-82C7-619323821F40}"/>
    <cellStyle name="40% - Accent4 158" xfId="13656" xr:uid="{EFD79839-6A25-404D-B1EE-4C15405ED873}"/>
    <cellStyle name="40% - Accent4 159" xfId="13657" xr:uid="{8B514F7C-7AD7-45CA-9968-FFA2888BE437}"/>
    <cellStyle name="40% - Accent4 16" xfId="13658" xr:uid="{53F5C575-15E4-4951-A2EB-C63BD85F5C30}"/>
    <cellStyle name="40% - Accent4 16 2" xfId="13659" xr:uid="{5C7BFA71-9DE0-4CBD-B045-096FF9A73BB1}"/>
    <cellStyle name="40% - Accent4 16 2 2" xfId="13660" xr:uid="{2F364E92-AEBB-42AB-928B-C775F5BCCFE8}"/>
    <cellStyle name="40% - Accent4 16 2 2 2" xfId="37294" xr:uid="{5B43B58A-9712-4688-9B2B-E8FD2E5BBFBE}"/>
    <cellStyle name="40% - Accent4 16 2 3" xfId="37295" xr:uid="{5F96A347-E6AA-4A98-B5D6-33294CBC7AE8}"/>
    <cellStyle name="40% - Accent4 16 3" xfId="13661" xr:uid="{76798880-23B7-4ED4-A99E-AA1AE5618191}"/>
    <cellStyle name="40% - Accent4 16 3 2" xfId="37296" xr:uid="{06CF29BD-BC57-421B-838C-971852447719}"/>
    <cellStyle name="40% - Accent4 16 4" xfId="37297" xr:uid="{0064AF22-1935-415E-BE8A-B4CC56431D47}"/>
    <cellStyle name="40% - Accent4 16 5" xfId="37298" xr:uid="{0967ABC0-D81D-4F67-AE83-52E67446DE23}"/>
    <cellStyle name="40% - Accent4 16 6" xfId="37299" xr:uid="{0518BAEF-D637-40B1-9D99-79ABEAF58B9D}"/>
    <cellStyle name="40% - Accent4 160" xfId="13662" xr:uid="{587F4F44-A90B-4968-8130-380471C5E1BE}"/>
    <cellStyle name="40% - Accent4 17" xfId="13663" xr:uid="{BF0D0D93-2FB9-4F01-BD92-723B3C1042C7}"/>
    <cellStyle name="40% - Accent4 17 2" xfId="13664" xr:uid="{677FDDBB-AF62-47A7-8951-61D870CA61F1}"/>
    <cellStyle name="40% - Accent4 17 2 2" xfId="13665" xr:uid="{E57D28D9-9D65-4108-ABE2-231DE6886566}"/>
    <cellStyle name="40% - Accent4 17 2 2 2" xfId="37300" xr:uid="{C4998BE0-2F14-4BC2-A1FA-594EE1A20305}"/>
    <cellStyle name="40% - Accent4 17 2 3" xfId="37301" xr:uid="{BBED8AB2-11C1-46EB-B1D6-2CDD0914F418}"/>
    <cellStyle name="40% - Accent4 17 3" xfId="13666" xr:uid="{BB545131-ECB6-4B57-B694-12CDBDC84BFC}"/>
    <cellStyle name="40% - Accent4 17 3 2" xfId="37302" xr:uid="{F09F1EAB-E963-48D8-93A9-B930F4B7BF96}"/>
    <cellStyle name="40% - Accent4 17 4" xfId="37303" xr:uid="{0E677961-CF47-419B-A57A-F87E2932E597}"/>
    <cellStyle name="40% - Accent4 17 5" xfId="37304" xr:uid="{2C307C7A-BD57-4C61-9CEB-6E00D5A4A220}"/>
    <cellStyle name="40% - Accent4 17 6" xfId="37305" xr:uid="{5231CF2D-A29F-432D-93AE-BA01F90F3650}"/>
    <cellStyle name="40% - Accent4 18" xfId="13667" xr:uid="{3F316113-0D71-4DFD-8339-2C3881C8A105}"/>
    <cellStyle name="40% - Accent4 18 2" xfId="13668" xr:uid="{12305E13-FDBD-4984-B1B5-60B7276BC1BC}"/>
    <cellStyle name="40% - Accent4 18 2 2" xfId="13669" xr:uid="{78989E8A-1B0D-4B6E-BCA8-8827B98CCC00}"/>
    <cellStyle name="40% - Accent4 18 2 2 2" xfId="37306" xr:uid="{E8DB1A88-72DE-49E3-8AF8-BED6A6353660}"/>
    <cellStyle name="40% - Accent4 18 2 3" xfId="37307" xr:uid="{011F024D-EF81-4145-8E94-E84150E4ABB3}"/>
    <cellStyle name="40% - Accent4 18 3" xfId="13670" xr:uid="{7726E420-8313-4B0D-BF81-39CD9AA00CC8}"/>
    <cellStyle name="40% - Accent4 18 3 2" xfId="37308" xr:uid="{933601FC-7902-476A-938E-4CEEB2950C1B}"/>
    <cellStyle name="40% - Accent4 18 4" xfId="37309" xr:uid="{A24A8777-0586-49C5-8C92-FE5B6CFB55D8}"/>
    <cellStyle name="40% - Accent4 18 5" xfId="37310" xr:uid="{5D0B5244-6CC7-409E-8266-CD3D7403AFC9}"/>
    <cellStyle name="40% - Accent4 18 6" xfId="37311" xr:uid="{56BD518B-F7D2-4313-B757-070C48456BA4}"/>
    <cellStyle name="40% - Accent4 19" xfId="13671" xr:uid="{00A38B83-BF7E-4A74-8110-3C959E720F0E}"/>
    <cellStyle name="40% - Accent4 19 2" xfId="13672" xr:uid="{469E58EC-9DBC-4ADC-BCB1-CFBDBD756758}"/>
    <cellStyle name="40% - Accent4 19 2 2" xfId="37312" xr:uid="{54C79F40-C66F-4EDD-8349-19AB3D834F18}"/>
    <cellStyle name="40% - Accent4 19 3" xfId="37313" xr:uid="{C2540056-3AA6-4283-ADDA-CE369FE6817A}"/>
    <cellStyle name="40% - Accent4 19 4" xfId="37314" xr:uid="{FCF2DE95-C01B-4B47-9E1C-445AEAD568F4}"/>
    <cellStyle name="40% - Accent4 19 5" xfId="37315" xr:uid="{634E7D7C-E398-4399-BA3B-DB70CFD1661E}"/>
    <cellStyle name="40% - Accent4 2" xfId="13673" xr:uid="{DC7B5755-DD55-4FB9-81DF-3DD770E81B5C}"/>
    <cellStyle name="40% - Accent4 2 2" xfId="13674" xr:uid="{4A17E613-0F6C-4264-86D3-B08E1E7F51A7}"/>
    <cellStyle name="40% - Accent4 2 2 2" xfId="13675" xr:uid="{B7D3E9AE-2FD5-4EB5-BFB8-F8A989DFB756}"/>
    <cellStyle name="40% - Accent4 2 2 2 2" xfId="37316" xr:uid="{04FC1290-63F1-4E0C-9F3D-78D4B39F5067}"/>
    <cellStyle name="40% - Accent4 2 2 3" xfId="37317" xr:uid="{41F9BA0D-3A6D-4491-9542-1FCFB726C685}"/>
    <cellStyle name="40% - Accent4 2 2 4" xfId="37318" xr:uid="{05DF241D-CB66-4926-8CF8-8FBAC2175758}"/>
    <cellStyle name="40% - Accent4 2 3" xfId="13676" xr:uid="{8E99DCDC-184F-4446-8813-8A1DC2AA9F39}"/>
    <cellStyle name="40% - Accent4 2 3 2" xfId="37319" xr:uid="{CC031E4C-DEB5-4F43-8830-6FCF69D7CD59}"/>
    <cellStyle name="40% - Accent4 2 3 3" xfId="37320" xr:uid="{73A850BA-C90C-4638-AB16-EB5038050B14}"/>
    <cellStyle name="40% - Accent4 2 3 4" xfId="37321" xr:uid="{EAD49B1C-0021-4898-BD13-7DA7D00B2DEA}"/>
    <cellStyle name="40% - Accent4 2 4" xfId="13677" xr:uid="{19870271-7EF3-4A13-AD67-C223C257C7CF}"/>
    <cellStyle name="40% - Accent4 2 4 2" xfId="37322" xr:uid="{4CD45C56-1376-4388-9BB9-393FFF108B2D}"/>
    <cellStyle name="40% - Accent4 2 5" xfId="37323" xr:uid="{02B4FCD7-ADB7-4C36-96D3-D7F7F10D2F75}"/>
    <cellStyle name="40% - Accent4 2 6" xfId="37324" xr:uid="{A1A91CF4-082D-4D5C-BE39-22619EB18C6C}"/>
    <cellStyle name="40% - Accent4 2_Jun 11 details" xfId="13678" xr:uid="{0621F92C-4AD1-4118-AD58-38EB5E915950}"/>
    <cellStyle name="40% - Accent4 20" xfId="13679" xr:uid="{1E6D8181-D19E-4FF9-9069-EE893EECD34B}"/>
    <cellStyle name="40% - Accent4 20 2" xfId="37325" xr:uid="{8143FEFA-A720-407B-90C5-CB1A55861787}"/>
    <cellStyle name="40% - Accent4 20 3" xfId="37326" xr:uid="{18F80971-3480-4D83-A7EA-A81A7BC2329C}"/>
    <cellStyle name="40% - Accent4 20 4" xfId="37327" xr:uid="{53EDDB88-9E99-4DE1-B3BA-5BEDA4718364}"/>
    <cellStyle name="40% - Accent4 21" xfId="13680" xr:uid="{FBD272D8-42C5-4BB3-B5F5-D0AE9DE90D7F}"/>
    <cellStyle name="40% - Accent4 21 2" xfId="37328" xr:uid="{DB50D932-3AF8-45B4-A06E-77D68ADD53DC}"/>
    <cellStyle name="40% - Accent4 21 3" xfId="37329" xr:uid="{C1297FBE-4309-4A29-AB72-CC33D5C00E12}"/>
    <cellStyle name="40% - Accent4 22" xfId="13681" xr:uid="{151112A7-995B-4C82-B977-BD0166338432}"/>
    <cellStyle name="40% - Accent4 22 2" xfId="37330" xr:uid="{2400E8F5-6433-41E4-9628-D901242D93DF}"/>
    <cellStyle name="40% - Accent4 22 3" xfId="37331" xr:uid="{86A27AC3-5132-488F-8435-F10CCC358C66}"/>
    <cellStyle name="40% - Accent4 23" xfId="13682" xr:uid="{446FA2D8-AE26-4D3D-A332-CFB5A2903E97}"/>
    <cellStyle name="40% - Accent4 23 2" xfId="37332" xr:uid="{2D8A0916-36D7-42D0-B81B-54757802F0BA}"/>
    <cellStyle name="40% - Accent4 24" xfId="13683" xr:uid="{72105E6A-3ED6-46CD-8703-8945B6B69C41}"/>
    <cellStyle name="40% - Accent4 24 2" xfId="37333" xr:uid="{C2475C86-D802-41C8-81B6-7B5269B629C3}"/>
    <cellStyle name="40% - Accent4 25" xfId="13684" xr:uid="{F6251728-57A8-4A2A-9C61-7CCC45B34B71}"/>
    <cellStyle name="40% - Accent4 25 2" xfId="37334" xr:uid="{827064AE-87EE-43C5-91F6-F07BBDBAF053}"/>
    <cellStyle name="40% - Accent4 26" xfId="13685" xr:uid="{9B5D4904-5C88-4868-B3FD-6064DECCACAA}"/>
    <cellStyle name="40% - Accent4 26 2" xfId="37335" xr:uid="{C00BCA09-CF7E-428A-9B6A-4959CC8CFCAF}"/>
    <cellStyle name="40% - Accent4 27" xfId="13686" xr:uid="{BF39718F-6BA9-456C-9116-772C4168FE65}"/>
    <cellStyle name="40% - Accent4 27 2" xfId="37336" xr:uid="{82557882-FFE2-47F3-825A-8DDCC6BA2547}"/>
    <cellStyle name="40% - Accent4 28" xfId="13687" xr:uid="{AFF8B4A8-D2B3-4544-A8B9-2CC1CE49174F}"/>
    <cellStyle name="40% - Accent4 28 10" xfId="13688" xr:uid="{C11F7B10-9E5F-40BF-8626-541AD29CD76B}"/>
    <cellStyle name="40% - Accent4 28 10 2" xfId="13689" xr:uid="{335493DC-A2F2-4C6C-AE2E-F170E77EDE64}"/>
    <cellStyle name="40% - Accent4 28 10 2 2" xfId="13690" xr:uid="{F0AE988A-7F11-4FEB-86E3-4A3C2538C02A}"/>
    <cellStyle name="40% - Accent4 28 10 2 2 2" xfId="13691" xr:uid="{D846EE7E-76C0-4B21-AB86-BF8FDB0BF48B}"/>
    <cellStyle name="40% - Accent4 28 10 2 2 2 2" xfId="13692" xr:uid="{60CA69A9-0D91-4AC4-9DFA-AD8011F0F6FB}"/>
    <cellStyle name="40% - Accent4 28 10 2 2 3" xfId="13693" xr:uid="{F8934B4E-D335-489E-A4D7-E9F1E664E86F}"/>
    <cellStyle name="40% - Accent4 28 10 2 3" xfId="13694" xr:uid="{E81B1228-A3F2-4E76-9136-E700575BF8E0}"/>
    <cellStyle name="40% - Accent4 28 10 2 3 2" xfId="13695" xr:uid="{E2C493E4-FDFD-4204-95DA-EACC276F5419}"/>
    <cellStyle name="40% - Accent4 28 10 2 3 2 2" xfId="13696" xr:uid="{D30DA812-9F26-4817-9181-851C45B611BE}"/>
    <cellStyle name="40% - Accent4 28 10 2 3 3" xfId="13697" xr:uid="{DB0F578D-6245-42BA-86A4-77DEB89198E5}"/>
    <cellStyle name="40% - Accent4 28 10 2 4" xfId="13698" xr:uid="{53CD6ACE-D02F-4D75-B034-6C7521B83A2F}"/>
    <cellStyle name="40% - Accent4 28 10 2 4 2" xfId="13699" xr:uid="{16CD7B5E-EC61-4905-AD98-FAB2AF952D8E}"/>
    <cellStyle name="40% - Accent4 28 10 2 5" xfId="13700" xr:uid="{D63280C9-E232-4674-887F-8165C1031376}"/>
    <cellStyle name="40% - Accent4 28 10 3" xfId="13701" xr:uid="{C1EB3064-D026-4407-BEC0-8BA476A54196}"/>
    <cellStyle name="40% - Accent4 28 10 3 2" xfId="13702" xr:uid="{81F1CB06-ACBA-4B78-A167-DC76C81BFEDE}"/>
    <cellStyle name="40% - Accent4 28 10 3 2 2" xfId="13703" xr:uid="{BE332728-03B0-4799-A85B-233FEB55AE89}"/>
    <cellStyle name="40% - Accent4 28 10 3 3" xfId="13704" xr:uid="{7A3CB776-B416-4D9E-B30D-B01BAA0D03EB}"/>
    <cellStyle name="40% - Accent4 28 10 4" xfId="13705" xr:uid="{F3AA2781-1416-4BA9-9AC6-F6E1DB3DE294}"/>
    <cellStyle name="40% - Accent4 28 10 4 2" xfId="13706" xr:uid="{2BA13229-CA55-4992-9A2E-568EEF3E9BEC}"/>
    <cellStyle name="40% - Accent4 28 10 4 2 2" xfId="13707" xr:uid="{A9C4D264-0D55-47E5-A05B-EB4A4EAD2A51}"/>
    <cellStyle name="40% - Accent4 28 10 4 3" xfId="13708" xr:uid="{308E554A-DB75-4506-B608-8978D85D03E5}"/>
    <cellStyle name="40% - Accent4 28 10 5" xfId="13709" xr:uid="{F767217D-5FB5-415F-9B7D-36DAA2665C9C}"/>
    <cellStyle name="40% - Accent4 28 10 5 2" xfId="13710" xr:uid="{AC92DD97-D35B-48DC-BBEA-737AA5555A60}"/>
    <cellStyle name="40% - Accent4 28 10 6" xfId="13711" xr:uid="{D80406B4-3CF5-4644-9685-ABFE28143E98}"/>
    <cellStyle name="40% - Accent4 28 11" xfId="13712" xr:uid="{78029BD0-5B10-4493-B5DF-E4FB553F78EA}"/>
    <cellStyle name="40% - Accent4 28 11 2" xfId="13713" xr:uid="{875C24CF-56C5-43AB-B092-6AD6E260359F}"/>
    <cellStyle name="40% - Accent4 28 11 2 2" xfId="13714" xr:uid="{92AB4DF8-356E-45A7-9403-2D3FB5F2758A}"/>
    <cellStyle name="40% - Accent4 28 11 2 2 2" xfId="13715" xr:uid="{805B2089-4632-42C5-9E31-0C0EDDAF1023}"/>
    <cellStyle name="40% - Accent4 28 11 2 3" xfId="13716" xr:uid="{F17CEB3D-481D-41FD-8700-57241F6DCBB6}"/>
    <cellStyle name="40% - Accent4 28 11 3" xfId="13717" xr:uid="{502CA63F-96BD-4F02-89E3-879028B8701A}"/>
    <cellStyle name="40% - Accent4 28 11 3 2" xfId="13718" xr:uid="{44737483-E880-4EB7-A35F-1552E42FC806}"/>
    <cellStyle name="40% - Accent4 28 11 3 2 2" xfId="13719" xr:uid="{B8E5524C-C242-413B-8091-1613841388BB}"/>
    <cellStyle name="40% - Accent4 28 11 3 3" xfId="13720" xr:uid="{B15E32C2-DFAF-4D8F-AFEB-28325D6A8080}"/>
    <cellStyle name="40% - Accent4 28 11 4" xfId="13721" xr:uid="{B8CAF000-84B0-450A-A9DB-6B5985C125B4}"/>
    <cellStyle name="40% - Accent4 28 11 4 2" xfId="13722" xr:uid="{F68B7C94-60FB-434B-B5A9-E043094A3238}"/>
    <cellStyle name="40% - Accent4 28 11 5" xfId="13723" xr:uid="{249CBE4E-4079-4D9E-A682-A9A5224F4DAD}"/>
    <cellStyle name="40% - Accent4 28 12" xfId="13724" xr:uid="{27539513-FDA1-4B84-90BD-570DD93CAF33}"/>
    <cellStyle name="40% - Accent4 28 12 2" xfId="13725" xr:uid="{5AE20C72-950C-4BEA-B512-FBC8CC66DDB9}"/>
    <cellStyle name="40% - Accent4 28 12 2 2" xfId="13726" xr:uid="{EA05251F-BA37-4A75-B38B-C38C6762530C}"/>
    <cellStyle name="40% - Accent4 28 12 3" xfId="13727" xr:uid="{52874589-56E7-4AE6-B774-017C16E2171A}"/>
    <cellStyle name="40% - Accent4 28 13" xfId="13728" xr:uid="{8B7BCC35-C883-495D-AB2C-6D71F2EF27EC}"/>
    <cellStyle name="40% - Accent4 28 13 2" xfId="13729" xr:uid="{225F465D-FD56-4425-9C6F-A0E32BE32FF9}"/>
    <cellStyle name="40% - Accent4 28 13 2 2" xfId="13730" xr:uid="{8493EBAF-57B3-4ABA-9E63-32C0AF04E22E}"/>
    <cellStyle name="40% - Accent4 28 13 3" xfId="13731" xr:uid="{2CDFB59C-7944-46B8-90DE-08A3E2B07E8D}"/>
    <cellStyle name="40% - Accent4 28 14" xfId="13732" xr:uid="{67576863-3247-4415-AEA8-7E5CB93EE53D}"/>
    <cellStyle name="40% - Accent4 28 14 2" xfId="13733" xr:uid="{A413108D-787F-44B3-9B2F-0D439F2CEB55}"/>
    <cellStyle name="40% - Accent4 28 15" xfId="13734" xr:uid="{92AE7BE7-0D98-4485-B7AC-5B4408A69A1A}"/>
    <cellStyle name="40% - Accent4 28 16" xfId="37337" xr:uid="{DFDD7E60-72DA-457A-AA43-9B8A583D8BAC}"/>
    <cellStyle name="40% - Accent4 28 2" xfId="13735" xr:uid="{5D6A7084-03AD-4E55-A8D8-D9B541BC27F8}"/>
    <cellStyle name="40% - Accent4 28 2 2" xfId="13736" xr:uid="{3BE9878F-2CF9-4630-956D-A701F7253E31}"/>
    <cellStyle name="40% - Accent4 28 2 2 2" xfId="13737" xr:uid="{16EAC688-D642-4C27-A65A-0F54001ED106}"/>
    <cellStyle name="40% - Accent4 28 2 2 2 2" xfId="13738" xr:uid="{9FC0470B-C54B-4A8F-BFC5-4AD5AAF76389}"/>
    <cellStyle name="40% - Accent4 28 2 2 2 2 2" xfId="13739" xr:uid="{C2C2D0BD-C272-4FB5-B4BB-D8582844491D}"/>
    <cellStyle name="40% - Accent4 28 2 2 2 3" xfId="13740" xr:uid="{E82B4428-E7A1-4FB8-9B81-CA382B0B3B9D}"/>
    <cellStyle name="40% - Accent4 28 2 2 3" xfId="13741" xr:uid="{51ECD3EC-D93E-4F4D-A497-4024D7825E7C}"/>
    <cellStyle name="40% - Accent4 28 2 2 3 2" xfId="13742" xr:uid="{ECD200E0-2F1B-4AFD-83C4-475FDCC3D635}"/>
    <cellStyle name="40% - Accent4 28 2 2 3 2 2" xfId="13743" xr:uid="{0D6E3BCA-C121-458C-B038-18A4A7F740C6}"/>
    <cellStyle name="40% - Accent4 28 2 2 3 3" xfId="13744" xr:uid="{8F2B7DC0-129D-4E71-B309-4EA34DC2920B}"/>
    <cellStyle name="40% - Accent4 28 2 2 4" xfId="13745" xr:uid="{593467C0-BAFA-46A9-9E26-007F5CA57B7B}"/>
    <cellStyle name="40% - Accent4 28 2 2 4 2" xfId="13746" xr:uid="{8378726C-2A8E-4137-A749-282A5A9087D8}"/>
    <cellStyle name="40% - Accent4 28 2 2 5" xfId="13747" xr:uid="{291224AF-05DA-4821-A5E8-8A4B0D7E2513}"/>
    <cellStyle name="40% - Accent4 28 2 3" xfId="13748" xr:uid="{671831D8-7C0C-4805-AF91-79E2A2722D8C}"/>
    <cellStyle name="40% - Accent4 28 2 3 2" xfId="13749" xr:uid="{1FEBB965-48E1-4A0C-8C5A-7336531E9527}"/>
    <cellStyle name="40% - Accent4 28 2 3 2 2" xfId="13750" xr:uid="{FFABE15A-DE6C-4680-BFAA-9251567AEBF1}"/>
    <cellStyle name="40% - Accent4 28 2 3 3" xfId="13751" xr:uid="{55B32D25-FD2C-4498-9177-AF7539FF8A1D}"/>
    <cellStyle name="40% - Accent4 28 2 4" xfId="13752" xr:uid="{D5B58AF8-F872-49DE-81E6-D8F7A7D972D0}"/>
    <cellStyle name="40% - Accent4 28 2 4 2" xfId="13753" xr:uid="{2EAD1C33-0208-4136-B077-01DB10C2261A}"/>
    <cellStyle name="40% - Accent4 28 2 4 2 2" xfId="13754" xr:uid="{65DCD6EB-EA95-4F36-994F-BE6610D75BD3}"/>
    <cellStyle name="40% - Accent4 28 2 4 3" xfId="13755" xr:uid="{7761C49A-36BA-4AE7-9A50-F33B4DFC2F53}"/>
    <cellStyle name="40% - Accent4 28 2 5" xfId="13756" xr:uid="{ED59EF77-90D7-4ECD-9573-6FB4E7075779}"/>
    <cellStyle name="40% - Accent4 28 2 5 2" xfId="13757" xr:uid="{45358F15-7796-48B7-B793-F76E1231A2F0}"/>
    <cellStyle name="40% - Accent4 28 2 6" xfId="13758" xr:uid="{4966B6BC-6218-4F75-9F04-15068841B7D6}"/>
    <cellStyle name="40% - Accent4 28 3" xfId="13759" xr:uid="{499B58B9-78C3-4A61-9B84-5C4BC26B406E}"/>
    <cellStyle name="40% - Accent4 28 3 2" xfId="13760" xr:uid="{FE0475C6-D6E2-4EB2-BFCF-D9630DB3DC11}"/>
    <cellStyle name="40% - Accent4 28 3 2 2" xfId="13761" xr:uid="{8D11A23E-AD31-4467-B02F-C8C13D021618}"/>
    <cellStyle name="40% - Accent4 28 3 2 2 2" xfId="13762" xr:uid="{0720B98A-5631-4AC2-A23D-927D15908C49}"/>
    <cellStyle name="40% - Accent4 28 3 2 2 2 2" xfId="13763" xr:uid="{E2D70F8C-5E53-439C-AD54-068DB616CCCC}"/>
    <cellStyle name="40% - Accent4 28 3 2 2 3" xfId="13764" xr:uid="{CC7CAA60-83D9-4890-AEF1-C53FB358F489}"/>
    <cellStyle name="40% - Accent4 28 3 2 3" xfId="13765" xr:uid="{A3832928-8A4D-4F89-935F-5ADFBF864756}"/>
    <cellStyle name="40% - Accent4 28 3 2 3 2" xfId="13766" xr:uid="{AB8F2E17-51AB-49C5-8F02-2190F0CD89DF}"/>
    <cellStyle name="40% - Accent4 28 3 2 3 2 2" xfId="13767" xr:uid="{2904208A-1C9C-436C-BEB6-2E02F9149AA4}"/>
    <cellStyle name="40% - Accent4 28 3 2 3 3" xfId="13768" xr:uid="{79C0E65D-D9B1-4EE3-ADB3-E57AF07054B6}"/>
    <cellStyle name="40% - Accent4 28 3 2 4" xfId="13769" xr:uid="{4009B990-23F3-4B3C-A64A-DD79E8CEEACE}"/>
    <cellStyle name="40% - Accent4 28 3 2 4 2" xfId="13770" xr:uid="{5ADFBB42-1D9B-40B4-9E82-AEBD6F474282}"/>
    <cellStyle name="40% - Accent4 28 3 2 5" xfId="13771" xr:uid="{EB42B168-F4D0-46AF-845C-5139CA77787B}"/>
    <cellStyle name="40% - Accent4 28 3 3" xfId="13772" xr:uid="{B1F3D582-EC36-4C03-97DB-38A1D9F11E51}"/>
    <cellStyle name="40% - Accent4 28 3 3 2" xfId="13773" xr:uid="{EFA62072-1CA0-434F-8A1A-C3EA5F7FC410}"/>
    <cellStyle name="40% - Accent4 28 3 3 2 2" xfId="13774" xr:uid="{DA360A95-3667-4500-9F3F-FF952F222067}"/>
    <cellStyle name="40% - Accent4 28 3 3 3" xfId="13775" xr:uid="{54733545-0DD4-4C48-B50C-F009DA13D98A}"/>
    <cellStyle name="40% - Accent4 28 3 4" xfId="13776" xr:uid="{2A35B66F-0E97-4C4C-A120-5676C5E428D3}"/>
    <cellStyle name="40% - Accent4 28 3 4 2" xfId="13777" xr:uid="{F1C660DC-5562-42D3-B999-4ECC75BED49A}"/>
    <cellStyle name="40% - Accent4 28 3 4 2 2" xfId="13778" xr:uid="{5B7049BD-7133-4D14-9893-0A445557ECF2}"/>
    <cellStyle name="40% - Accent4 28 3 4 3" xfId="13779" xr:uid="{13426EED-401B-4458-89AE-66CBAD0AF0EE}"/>
    <cellStyle name="40% - Accent4 28 3 5" xfId="13780" xr:uid="{0ABDBC29-5EDB-4A48-9E79-9A3EF376E413}"/>
    <cellStyle name="40% - Accent4 28 3 5 2" xfId="13781" xr:uid="{9769B139-8E03-46F9-BA4C-8C3E249673D3}"/>
    <cellStyle name="40% - Accent4 28 3 6" xfId="13782" xr:uid="{DE6BBF5D-4659-4996-B460-8C54CB545CCF}"/>
    <cellStyle name="40% - Accent4 28 4" xfId="13783" xr:uid="{85F813F5-AF62-47E4-BAB6-79E4082A00A7}"/>
    <cellStyle name="40% - Accent4 28 4 2" xfId="13784" xr:uid="{AF37D06A-BD72-4AF9-9B3E-401C04621491}"/>
    <cellStyle name="40% - Accent4 28 4 2 2" xfId="13785" xr:uid="{278477B7-178A-4092-B66F-2F7B6053B621}"/>
    <cellStyle name="40% - Accent4 28 4 2 2 2" xfId="13786" xr:uid="{9F6CE5D5-458B-426A-822A-6E171A0CF264}"/>
    <cellStyle name="40% - Accent4 28 4 2 2 2 2" xfId="13787" xr:uid="{1B05C987-FBBE-4532-A765-124EC3A5AE44}"/>
    <cellStyle name="40% - Accent4 28 4 2 2 3" xfId="13788" xr:uid="{E7F27643-1B69-45B5-A7F1-CE0BB510256D}"/>
    <cellStyle name="40% - Accent4 28 4 2 3" xfId="13789" xr:uid="{306BC801-36BB-4A1B-8ECE-CE2D2200497E}"/>
    <cellStyle name="40% - Accent4 28 4 2 3 2" xfId="13790" xr:uid="{B1B314C4-7E1E-44FC-93FF-4220D31B9C18}"/>
    <cellStyle name="40% - Accent4 28 4 2 3 2 2" xfId="13791" xr:uid="{6C7573BB-A5A9-40B1-A8E9-27EF951838BC}"/>
    <cellStyle name="40% - Accent4 28 4 2 3 3" xfId="13792" xr:uid="{689E4F2F-19AB-4DDB-B2D4-67D0207B0492}"/>
    <cellStyle name="40% - Accent4 28 4 2 4" xfId="13793" xr:uid="{927EC681-BA70-4E64-9000-44D3E5E721B1}"/>
    <cellStyle name="40% - Accent4 28 4 2 4 2" xfId="13794" xr:uid="{5E7D0C54-50AF-49BC-83C8-12240AC6338E}"/>
    <cellStyle name="40% - Accent4 28 4 2 5" xfId="13795" xr:uid="{12235682-ADD7-45CB-9751-A29A084B3473}"/>
    <cellStyle name="40% - Accent4 28 4 3" xfId="13796" xr:uid="{09FAB938-3B8D-4BF6-87D5-C35A04EC71A3}"/>
    <cellStyle name="40% - Accent4 28 4 3 2" xfId="13797" xr:uid="{DE45088E-374B-4A8F-AC84-BA977B825B5A}"/>
    <cellStyle name="40% - Accent4 28 4 3 2 2" xfId="13798" xr:uid="{D17DD77B-0C5A-413B-A9FD-04BF563BAB5E}"/>
    <cellStyle name="40% - Accent4 28 4 3 3" xfId="13799" xr:uid="{26737E69-3C4E-4BB3-A48D-77661AE07326}"/>
    <cellStyle name="40% - Accent4 28 4 4" xfId="13800" xr:uid="{872C76F0-EACB-4FFF-8535-A2EEABDAF4C4}"/>
    <cellStyle name="40% - Accent4 28 4 4 2" xfId="13801" xr:uid="{6E44341C-A238-4D05-A620-6E24EEAC9DD3}"/>
    <cellStyle name="40% - Accent4 28 4 4 2 2" xfId="13802" xr:uid="{B24E8AA4-7799-41EE-94DD-4D86A89CA7C2}"/>
    <cellStyle name="40% - Accent4 28 4 4 3" xfId="13803" xr:uid="{68467D4F-02F6-412C-89BD-B90C7277F4C6}"/>
    <cellStyle name="40% - Accent4 28 4 5" xfId="13804" xr:uid="{988DFB0D-F9F4-4065-9290-6B37BACA834F}"/>
    <cellStyle name="40% - Accent4 28 4 5 2" xfId="13805" xr:uid="{501E03DE-F33F-41CB-9217-9ED5F4A56F8E}"/>
    <cellStyle name="40% - Accent4 28 4 6" xfId="13806" xr:uid="{1C11D93F-852D-4A94-8F05-77A9BBB1070D}"/>
    <cellStyle name="40% - Accent4 28 5" xfId="13807" xr:uid="{54753948-FF71-45E6-9567-4D91108AB10D}"/>
    <cellStyle name="40% - Accent4 28 5 2" xfId="13808" xr:uid="{68EE47CA-F97B-4EE7-A3A9-D5DF0ADBB57D}"/>
    <cellStyle name="40% - Accent4 28 5 2 2" xfId="13809" xr:uid="{EE87B151-130C-445C-88CD-EAEF0DBC7470}"/>
    <cellStyle name="40% - Accent4 28 5 2 2 2" xfId="13810" xr:uid="{3808E588-DEE3-4EA5-9A78-79609859EA99}"/>
    <cellStyle name="40% - Accent4 28 5 2 2 2 2" xfId="13811" xr:uid="{BBE73EAA-7AE2-4296-A0F3-3C4F85B85C42}"/>
    <cellStyle name="40% - Accent4 28 5 2 2 3" xfId="13812" xr:uid="{8ACCFCE5-C8AE-4ABC-9577-68763CF4D6DB}"/>
    <cellStyle name="40% - Accent4 28 5 2 3" xfId="13813" xr:uid="{AE3A9D88-80C6-4943-B604-91CBE6EA9745}"/>
    <cellStyle name="40% - Accent4 28 5 2 3 2" xfId="13814" xr:uid="{14D0D165-D608-4215-BBD1-5641F131081F}"/>
    <cellStyle name="40% - Accent4 28 5 2 3 2 2" xfId="13815" xr:uid="{D81000FD-1D50-4D64-9933-DE594F869FAD}"/>
    <cellStyle name="40% - Accent4 28 5 2 3 3" xfId="13816" xr:uid="{71335EB8-99B9-4B14-ACEA-3599AD483017}"/>
    <cellStyle name="40% - Accent4 28 5 2 4" xfId="13817" xr:uid="{C19AAD28-3F92-45FD-B95A-749FBA8B8196}"/>
    <cellStyle name="40% - Accent4 28 5 2 4 2" xfId="13818" xr:uid="{81518974-7B1B-4539-B46A-6AEF9F717BB5}"/>
    <cellStyle name="40% - Accent4 28 5 2 5" xfId="13819" xr:uid="{F3A9BA3A-6B9A-441F-B612-063B9D71BCD0}"/>
    <cellStyle name="40% - Accent4 28 5 3" xfId="13820" xr:uid="{1F5832BF-92D4-4C34-B444-5AC5A61ED7DD}"/>
    <cellStyle name="40% - Accent4 28 5 3 2" xfId="13821" xr:uid="{DA65A927-8DBC-4209-99FC-BCB65DB84406}"/>
    <cellStyle name="40% - Accent4 28 5 3 2 2" xfId="13822" xr:uid="{BE194FB3-4E61-42AD-9FC5-AD608140E95C}"/>
    <cellStyle name="40% - Accent4 28 5 3 3" xfId="13823" xr:uid="{9BF8A67D-2D59-4D1A-BA3A-2BF0104114B1}"/>
    <cellStyle name="40% - Accent4 28 5 4" xfId="13824" xr:uid="{23C87B59-5D64-4A59-87B3-C3F52E525192}"/>
    <cellStyle name="40% - Accent4 28 5 4 2" xfId="13825" xr:uid="{CF4F3D26-CD12-4E5A-8D30-1355A82C497A}"/>
    <cellStyle name="40% - Accent4 28 5 4 2 2" xfId="13826" xr:uid="{34DE7D92-0DDB-4427-9501-2367C7E56675}"/>
    <cellStyle name="40% - Accent4 28 5 4 3" xfId="13827" xr:uid="{05751A61-BFA8-4BB4-BB8C-044FBBA556C5}"/>
    <cellStyle name="40% - Accent4 28 5 5" xfId="13828" xr:uid="{B4A40C88-6C0C-4A61-8F9E-D6F7551F94AC}"/>
    <cellStyle name="40% - Accent4 28 5 5 2" xfId="13829" xr:uid="{FD06EF07-B041-4657-8735-AB640E3A9B70}"/>
    <cellStyle name="40% - Accent4 28 5 6" xfId="13830" xr:uid="{0006D0C0-C6D3-4D32-AD91-F6C6CAEB851D}"/>
    <cellStyle name="40% - Accent4 28 6" xfId="13831" xr:uid="{BC713DC4-DBAF-4E60-BB36-084A89C12496}"/>
    <cellStyle name="40% - Accent4 28 6 2" xfId="13832" xr:uid="{497D8FF9-E856-47C3-BAE8-90B0B63D65E7}"/>
    <cellStyle name="40% - Accent4 28 6 2 2" xfId="13833" xr:uid="{FFA60D44-1FBA-4287-B7E4-8C37F3467529}"/>
    <cellStyle name="40% - Accent4 28 6 2 2 2" xfId="13834" xr:uid="{0C19C3CE-4311-4D17-8A3C-F8D1A76F6F33}"/>
    <cellStyle name="40% - Accent4 28 6 2 2 2 2" xfId="13835" xr:uid="{B72DF8F8-638D-45AC-B295-4BBD8F0AAAAD}"/>
    <cellStyle name="40% - Accent4 28 6 2 2 3" xfId="13836" xr:uid="{6D6F542D-9460-4774-BE1C-F8AE516445AD}"/>
    <cellStyle name="40% - Accent4 28 6 2 3" xfId="13837" xr:uid="{856AEFD7-30B2-4ED5-A4A1-06F119AAED44}"/>
    <cellStyle name="40% - Accent4 28 6 2 3 2" xfId="13838" xr:uid="{3BECDC7F-E1D1-49A9-9879-C96C3E804BC3}"/>
    <cellStyle name="40% - Accent4 28 6 2 3 2 2" xfId="13839" xr:uid="{1606D627-0675-48D4-B436-C492DF304C04}"/>
    <cellStyle name="40% - Accent4 28 6 2 3 3" xfId="13840" xr:uid="{F2D0ACE4-412A-4FA3-BDB2-8866E299F010}"/>
    <cellStyle name="40% - Accent4 28 6 2 4" xfId="13841" xr:uid="{1D22C462-7438-48C5-B036-489143EE97D5}"/>
    <cellStyle name="40% - Accent4 28 6 2 4 2" xfId="13842" xr:uid="{72CA34BB-AA81-475B-A357-4DB9ADE581AB}"/>
    <cellStyle name="40% - Accent4 28 6 2 5" xfId="13843" xr:uid="{C7ACB2BD-49FD-4ABC-A9EC-D7B1C359AE38}"/>
    <cellStyle name="40% - Accent4 28 6 3" xfId="13844" xr:uid="{001D5B70-212B-417C-B21E-7DA9DCB01D14}"/>
    <cellStyle name="40% - Accent4 28 6 3 2" xfId="13845" xr:uid="{0584E0BA-0340-4423-A679-10ECCC22835D}"/>
    <cellStyle name="40% - Accent4 28 6 3 2 2" xfId="13846" xr:uid="{EFC8705F-7A55-474E-A666-BE80E483C2A0}"/>
    <cellStyle name="40% - Accent4 28 6 3 3" xfId="13847" xr:uid="{C016B134-225D-41D8-8CDE-37519FF083B6}"/>
    <cellStyle name="40% - Accent4 28 6 4" xfId="13848" xr:uid="{14EA60C4-6297-48ED-BBEC-7B8757675D0E}"/>
    <cellStyle name="40% - Accent4 28 6 4 2" xfId="13849" xr:uid="{3F2829BC-8A18-454A-B457-D9247CD00B38}"/>
    <cellStyle name="40% - Accent4 28 6 4 2 2" xfId="13850" xr:uid="{57B15964-FAC3-4EBC-B23E-9D93B52E77DD}"/>
    <cellStyle name="40% - Accent4 28 6 4 3" xfId="13851" xr:uid="{CF7DE8A5-C962-4404-A01F-C495C16CAA32}"/>
    <cellStyle name="40% - Accent4 28 6 5" xfId="13852" xr:uid="{513FC5F9-B324-468F-BE52-DA52DD15D2BB}"/>
    <cellStyle name="40% - Accent4 28 6 5 2" xfId="13853" xr:uid="{3A2314AC-D797-46B4-8B89-F07CA447F54B}"/>
    <cellStyle name="40% - Accent4 28 6 6" xfId="13854" xr:uid="{24B0A892-6FD3-4985-9F76-03ECFBD8ACA8}"/>
    <cellStyle name="40% - Accent4 28 7" xfId="13855" xr:uid="{4DF316E6-DCA8-4E17-AC2E-A02A1EF5AA77}"/>
    <cellStyle name="40% - Accent4 28 7 2" xfId="13856" xr:uid="{7DA8B220-8AB3-437C-9909-357AF2C6FF1C}"/>
    <cellStyle name="40% - Accent4 28 7 2 2" xfId="13857" xr:uid="{E84AB490-3BB0-4E98-BC54-A2ACEDB65B6B}"/>
    <cellStyle name="40% - Accent4 28 7 2 2 2" xfId="13858" xr:uid="{AD01EA99-7C0D-4522-BE08-8CA8068046FE}"/>
    <cellStyle name="40% - Accent4 28 7 2 2 2 2" xfId="13859" xr:uid="{7F8100F9-4A96-4086-8D3C-8B00C1C7B9E7}"/>
    <cellStyle name="40% - Accent4 28 7 2 2 3" xfId="13860" xr:uid="{AAD7FC6F-F42C-4027-919F-89F09E42E0B5}"/>
    <cellStyle name="40% - Accent4 28 7 2 3" xfId="13861" xr:uid="{1BDDD5DA-5164-49C1-85F2-A9C008EF26EE}"/>
    <cellStyle name="40% - Accent4 28 7 2 3 2" xfId="13862" xr:uid="{14E0EA3E-A9FB-48A7-9697-245A68210140}"/>
    <cellStyle name="40% - Accent4 28 7 2 3 2 2" xfId="13863" xr:uid="{21811847-C3C8-4A1C-BA5D-9AB078734BEE}"/>
    <cellStyle name="40% - Accent4 28 7 2 3 3" xfId="13864" xr:uid="{AA0DCEA5-A625-4443-A0D0-DB4B522051E1}"/>
    <cellStyle name="40% - Accent4 28 7 2 4" xfId="13865" xr:uid="{290FFAF7-F09C-4381-814E-FDE5BB6EAD50}"/>
    <cellStyle name="40% - Accent4 28 7 2 4 2" xfId="13866" xr:uid="{4EDEDB12-8044-4567-8A19-748FEAC9E571}"/>
    <cellStyle name="40% - Accent4 28 7 2 5" xfId="13867" xr:uid="{4E71FD7D-9444-436E-BE75-E24A8B9A8B41}"/>
    <cellStyle name="40% - Accent4 28 7 3" xfId="13868" xr:uid="{0A03CDFD-F53B-40AF-A4B4-8F42D70BAA12}"/>
    <cellStyle name="40% - Accent4 28 7 3 2" xfId="13869" xr:uid="{B4DD13A1-356F-4940-A0CB-7077EEDBA678}"/>
    <cellStyle name="40% - Accent4 28 7 3 2 2" xfId="13870" xr:uid="{73E25122-EA24-4076-B94F-BDCAA9BEE29B}"/>
    <cellStyle name="40% - Accent4 28 7 3 3" xfId="13871" xr:uid="{DD506BC8-5707-4131-8EC2-D7B318F1AEA1}"/>
    <cellStyle name="40% - Accent4 28 7 4" xfId="13872" xr:uid="{2A690120-3889-4223-BDE2-511587697054}"/>
    <cellStyle name="40% - Accent4 28 7 4 2" xfId="13873" xr:uid="{A85C29E5-E772-45C3-8B18-FA75A634FA8B}"/>
    <cellStyle name="40% - Accent4 28 7 4 2 2" xfId="13874" xr:uid="{16F09102-7E62-46FB-8646-0DF2E6B97FB1}"/>
    <cellStyle name="40% - Accent4 28 7 4 3" xfId="13875" xr:uid="{DB7D242D-00F0-4C9C-AF02-CF6FAA0E4872}"/>
    <cellStyle name="40% - Accent4 28 7 5" xfId="13876" xr:uid="{E89B1434-C330-4884-A1A5-DD99C3BB8D40}"/>
    <cellStyle name="40% - Accent4 28 7 5 2" xfId="13877" xr:uid="{5588F301-7C0F-4321-93B1-4BBBD72A2234}"/>
    <cellStyle name="40% - Accent4 28 7 6" xfId="13878" xr:uid="{D31A9A9D-E7B5-4450-B6C3-C823DFE912BA}"/>
    <cellStyle name="40% - Accent4 28 8" xfId="13879" xr:uid="{4F973FD7-F766-422A-82A4-753D36809F33}"/>
    <cellStyle name="40% - Accent4 28 8 2" xfId="13880" xr:uid="{92B7560E-11E9-4C90-8120-983756BBEB0B}"/>
    <cellStyle name="40% - Accent4 28 8 2 2" xfId="13881" xr:uid="{9AB83C7D-EED4-485A-BA63-5F1C882A5E57}"/>
    <cellStyle name="40% - Accent4 28 8 2 2 2" xfId="13882" xr:uid="{43A10E52-DC8D-4E91-BE30-B18564A95F69}"/>
    <cellStyle name="40% - Accent4 28 8 2 2 2 2" xfId="13883" xr:uid="{DE580542-112E-498C-BFBD-48DBBAA5F9BF}"/>
    <cellStyle name="40% - Accent4 28 8 2 2 3" xfId="13884" xr:uid="{CAB033DD-DDE1-47C1-B154-F5D49F1D66B6}"/>
    <cellStyle name="40% - Accent4 28 8 2 3" xfId="13885" xr:uid="{3076F080-0B6B-44BB-A921-A7BC15C33FE9}"/>
    <cellStyle name="40% - Accent4 28 8 2 3 2" xfId="13886" xr:uid="{98C618CB-9335-42D3-9071-5CE55D4557F4}"/>
    <cellStyle name="40% - Accent4 28 8 2 3 2 2" xfId="13887" xr:uid="{7B0FE5D1-7963-4D37-B723-FE628206EED7}"/>
    <cellStyle name="40% - Accent4 28 8 2 3 3" xfId="13888" xr:uid="{BA1373C1-1965-46CA-9997-C3181391502E}"/>
    <cellStyle name="40% - Accent4 28 8 2 4" xfId="13889" xr:uid="{CEF7EC25-24FD-4ACF-9209-ADFACB8EA6DA}"/>
    <cellStyle name="40% - Accent4 28 8 2 4 2" xfId="13890" xr:uid="{2AD9C8D3-0000-45A7-8698-F7817F51F25C}"/>
    <cellStyle name="40% - Accent4 28 8 2 5" xfId="13891" xr:uid="{EDB680A8-C747-43F6-B39E-ACA3EA376F38}"/>
    <cellStyle name="40% - Accent4 28 8 3" xfId="13892" xr:uid="{9BD9EA50-CDAE-491F-AAF3-AB9C82CA738C}"/>
    <cellStyle name="40% - Accent4 28 8 3 2" xfId="13893" xr:uid="{00C450E5-9655-441D-A941-2B473B38A64B}"/>
    <cellStyle name="40% - Accent4 28 8 3 2 2" xfId="13894" xr:uid="{CAB06318-8A29-4E74-87A7-660A26FC4CB4}"/>
    <cellStyle name="40% - Accent4 28 8 3 3" xfId="13895" xr:uid="{EE0CE4BC-B257-4FB8-9C95-928273D6C575}"/>
    <cellStyle name="40% - Accent4 28 8 4" xfId="13896" xr:uid="{81479363-B160-421C-B3F3-3DC11F5155BF}"/>
    <cellStyle name="40% - Accent4 28 8 4 2" xfId="13897" xr:uid="{6F217C49-303E-4E19-9711-2C8B3665DF3B}"/>
    <cellStyle name="40% - Accent4 28 8 4 2 2" xfId="13898" xr:uid="{5B7FDCFF-B458-4FF6-B7B9-09490DBCFAFD}"/>
    <cellStyle name="40% - Accent4 28 8 4 3" xfId="13899" xr:uid="{008979FA-4F79-486F-ACCB-897B46C2C728}"/>
    <cellStyle name="40% - Accent4 28 8 5" xfId="13900" xr:uid="{A7719C82-B684-4D4F-BB47-89459BDDF4A8}"/>
    <cellStyle name="40% - Accent4 28 8 5 2" xfId="13901" xr:uid="{1C0D42B9-993A-4AF3-8A80-D8515369F956}"/>
    <cellStyle name="40% - Accent4 28 8 6" xfId="13902" xr:uid="{3C1E8F78-A86F-487B-8F16-66A7EC5DA161}"/>
    <cellStyle name="40% - Accent4 28 9" xfId="13903" xr:uid="{133ED7CE-6700-4105-8745-72F3568251C9}"/>
    <cellStyle name="40% - Accent4 28 9 2" xfId="13904" xr:uid="{79E49145-E7BB-4515-849D-EA90CA0A8673}"/>
    <cellStyle name="40% - Accent4 28 9 2 2" xfId="13905" xr:uid="{61FCB532-34A8-4CEA-B6FE-B513E507DAF6}"/>
    <cellStyle name="40% - Accent4 28 9 2 2 2" xfId="13906" xr:uid="{A70C0D70-3EE0-4302-915B-ED7C8C4E3C78}"/>
    <cellStyle name="40% - Accent4 28 9 2 2 2 2" xfId="13907" xr:uid="{AF77B6B0-7FAD-41EE-805C-7498DA2AF6EF}"/>
    <cellStyle name="40% - Accent4 28 9 2 2 3" xfId="13908" xr:uid="{5A752803-56F0-46EF-9F99-69FC71CF0A5D}"/>
    <cellStyle name="40% - Accent4 28 9 2 3" xfId="13909" xr:uid="{6BCA9EE4-A13B-4CE6-A36F-B842F954CD87}"/>
    <cellStyle name="40% - Accent4 28 9 2 3 2" xfId="13910" xr:uid="{D2B60AB1-C7A1-438F-891A-952C291D0EC9}"/>
    <cellStyle name="40% - Accent4 28 9 2 3 2 2" xfId="13911" xr:uid="{E30CFFB4-52B3-4769-A770-53DBB8FF3713}"/>
    <cellStyle name="40% - Accent4 28 9 2 3 3" xfId="13912" xr:uid="{E15E2804-4C70-42F1-9BF3-21C780C12700}"/>
    <cellStyle name="40% - Accent4 28 9 2 4" xfId="13913" xr:uid="{212A1EC3-8BB6-42ED-8F24-5D5A5DBB368B}"/>
    <cellStyle name="40% - Accent4 28 9 2 4 2" xfId="13914" xr:uid="{DCFFDEF4-C06C-44CC-AFA8-F15AF30D2F51}"/>
    <cellStyle name="40% - Accent4 28 9 2 5" xfId="13915" xr:uid="{505EF517-C94D-4055-A0CF-29A1DEA1859C}"/>
    <cellStyle name="40% - Accent4 28 9 3" xfId="13916" xr:uid="{0EF6F561-893B-4C5C-8904-13CD251680F7}"/>
    <cellStyle name="40% - Accent4 28 9 3 2" xfId="13917" xr:uid="{3B360A30-EC5D-424D-8E13-1B2B30955B00}"/>
    <cellStyle name="40% - Accent4 28 9 3 2 2" xfId="13918" xr:uid="{32F3BEAC-07E7-461B-98F1-02F31ADD0BB0}"/>
    <cellStyle name="40% - Accent4 28 9 3 3" xfId="13919" xr:uid="{D82805EB-E53C-4096-ADAF-D66B9584591F}"/>
    <cellStyle name="40% - Accent4 28 9 4" xfId="13920" xr:uid="{65E265B5-E57A-49FF-AB85-6338FBB51505}"/>
    <cellStyle name="40% - Accent4 28 9 4 2" xfId="13921" xr:uid="{E4068230-78E0-43F9-9164-B9EE586FDF1B}"/>
    <cellStyle name="40% - Accent4 28 9 4 2 2" xfId="13922" xr:uid="{FAE26831-E28B-44F4-B250-EFB9F75C0A46}"/>
    <cellStyle name="40% - Accent4 28 9 4 3" xfId="13923" xr:uid="{FD929B51-2DFD-40A8-AFA9-C447765821A0}"/>
    <cellStyle name="40% - Accent4 28 9 5" xfId="13924" xr:uid="{8B4AD364-2964-4531-886C-958B8ABEDA83}"/>
    <cellStyle name="40% - Accent4 28 9 5 2" xfId="13925" xr:uid="{C7DF239D-B0F7-4DB7-8F8F-8B10B69F03F4}"/>
    <cellStyle name="40% - Accent4 28 9 6" xfId="13926" xr:uid="{C399F38B-5E62-4B32-8C69-99D1ECD2A8C2}"/>
    <cellStyle name="40% - Accent4 29" xfId="13927" xr:uid="{47DA98A8-1F22-4FCE-BE56-EDCFF781971B}"/>
    <cellStyle name="40% - Accent4 29 10" xfId="13928" xr:uid="{B738D990-E1A4-429B-B879-EC007477C5DC}"/>
    <cellStyle name="40% - Accent4 29 10 2" xfId="13929" xr:uid="{4E7F7BA7-1314-490F-B553-A9DB2E415A67}"/>
    <cellStyle name="40% - Accent4 29 10 2 2" xfId="13930" xr:uid="{AEA556EF-0EEC-4FE0-B071-29DCFF2E4BCA}"/>
    <cellStyle name="40% - Accent4 29 10 2 2 2" xfId="13931" xr:uid="{FA429107-C4BA-4A42-A521-5EB871B121F5}"/>
    <cellStyle name="40% - Accent4 29 10 2 2 2 2" xfId="13932" xr:uid="{791BC4C0-35B3-4496-B956-043653D35237}"/>
    <cellStyle name="40% - Accent4 29 10 2 2 3" xfId="13933" xr:uid="{278023DA-A924-4252-B360-7A9699657B74}"/>
    <cellStyle name="40% - Accent4 29 10 2 3" xfId="13934" xr:uid="{E50D4CB9-727E-4F20-94A2-8ABB7E30A2AC}"/>
    <cellStyle name="40% - Accent4 29 10 2 3 2" xfId="13935" xr:uid="{8C85D9CC-EF23-4D38-8017-BA5B79D6D491}"/>
    <cellStyle name="40% - Accent4 29 10 2 3 2 2" xfId="13936" xr:uid="{7D96796B-6CE1-433E-BBF0-9478525E0E36}"/>
    <cellStyle name="40% - Accent4 29 10 2 3 3" xfId="13937" xr:uid="{33F85FE9-703B-4088-84B1-DEDBEED30504}"/>
    <cellStyle name="40% - Accent4 29 10 2 4" xfId="13938" xr:uid="{CA3250ED-58D6-4856-A626-D356F3521A8D}"/>
    <cellStyle name="40% - Accent4 29 10 2 4 2" xfId="13939" xr:uid="{04D857A7-B167-46D3-8E5D-EBA0B7B8C9E6}"/>
    <cellStyle name="40% - Accent4 29 10 2 5" xfId="13940" xr:uid="{83E2A87C-D68B-453D-967A-A692692A29FF}"/>
    <cellStyle name="40% - Accent4 29 10 3" xfId="13941" xr:uid="{C5D00DA7-E07F-451B-A185-9C6D0FE4949E}"/>
    <cellStyle name="40% - Accent4 29 10 3 2" xfId="13942" xr:uid="{C14D31D3-AD48-475E-B11C-4DC9F78A4354}"/>
    <cellStyle name="40% - Accent4 29 10 3 2 2" xfId="13943" xr:uid="{DF42CB54-3F9A-4A3F-83AB-560462789C18}"/>
    <cellStyle name="40% - Accent4 29 10 3 3" xfId="13944" xr:uid="{92DAEAF8-4E83-4199-8894-C6B33D7318FC}"/>
    <cellStyle name="40% - Accent4 29 10 4" xfId="13945" xr:uid="{30EDE308-5046-4152-B199-5AE6644A4512}"/>
    <cellStyle name="40% - Accent4 29 10 4 2" xfId="13946" xr:uid="{CF0A3866-DE05-49B6-B7A5-5B99AC81701D}"/>
    <cellStyle name="40% - Accent4 29 10 4 2 2" xfId="13947" xr:uid="{5F029039-9525-4ED2-A6A5-5864DA0B6BE8}"/>
    <cellStyle name="40% - Accent4 29 10 4 3" xfId="13948" xr:uid="{FF6E933F-BAE6-4A12-8317-239EE74E56D9}"/>
    <cellStyle name="40% - Accent4 29 10 5" xfId="13949" xr:uid="{B4567D4D-4E48-4E28-9B26-B30FEDC149B9}"/>
    <cellStyle name="40% - Accent4 29 10 5 2" xfId="13950" xr:uid="{6EB92573-5479-463D-8153-D774B495ADFB}"/>
    <cellStyle name="40% - Accent4 29 10 6" xfId="13951" xr:uid="{39093191-9746-40EE-8120-3F9AE2E53FF5}"/>
    <cellStyle name="40% - Accent4 29 11" xfId="13952" xr:uid="{1A46E501-BA74-44CC-BB7C-404F28867E58}"/>
    <cellStyle name="40% - Accent4 29 11 2" xfId="13953" xr:uid="{FEF32A93-5B44-48C9-9DA4-DAE7ACE6E3C5}"/>
    <cellStyle name="40% - Accent4 29 11 2 2" xfId="13954" xr:uid="{9B4CB236-2AE7-4D5F-9DA9-4F4A3580A919}"/>
    <cellStyle name="40% - Accent4 29 11 2 2 2" xfId="13955" xr:uid="{3A4385B7-299B-426B-9D71-173D7E0DC9B7}"/>
    <cellStyle name="40% - Accent4 29 11 2 3" xfId="13956" xr:uid="{A8A5E050-9ADF-434D-9052-46A8FC27E8F4}"/>
    <cellStyle name="40% - Accent4 29 11 3" xfId="13957" xr:uid="{EA9C09FD-A44E-483D-8F61-999B27547CA1}"/>
    <cellStyle name="40% - Accent4 29 11 3 2" xfId="13958" xr:uid="{034A9B99-C529-4BB3-90DE-9C7708241A5E}"/>
    <cellStyle name="40% - Accent4 29 11 3 2 2" xfId="13959" xr:uid="{0F492997-1E9E-4731-9FCD-0ADCD177B328}"/>
    <cellStyle name="40% - Accent4 29 11 3 3" xfId="13960" xr:uid="{1D29E143-E51B-4D47-AF71-A75D3BF525CF}"/>
    <cellStyle name="40% - Accent4 29 11 4" xfId="13961" xr:uid="{9B78892A-9527-4836-951C-FC3C026ED371}"/>
    <cellStyle name="40% - Accent4 29 11 4 2" xfId="13962" xr:uid="{A56335CD-564D-40F0-A5CA-F831A33B938E}"/>
    <cellStyle name="40% - Accent4 29 11 5" xfId="13963" xr:uid="{354724C2-DC83-4130-9A15-33395C2D584F}"/>
    <cellStyle name="40% - Accent4 29 12" xfId="13964" xr:uid="{059D79D3-ED67-4327-A554-209398D1F77F}"/>
    <cellStyle name="40% - Accent4 29 12 2" xfId="13965" xr:uid="{741722B4-9477-4B41-ADB9-7C46C0E9C476}"/>
    <cellStyle name="40% - Accent4 29 12 2 2" xfId="13966" xr:uid="{DB3B28DE-0B72-4642-B0D6-62E57A52B8D5}"/>
    <cellStyle name="40% - Accent4 29 12 3" xfId="13967" xr:uid="{4D978863-D214-4474-8DB7-1CA176FF0C5C}"/>
    <cellStyle name="40% - Accent4 29 13" xfId="13968" xr:uid="{C8BCEFB3-B585-4F78-BAD1-72E60834E084}"/>
    <cellStyle name="40% - Accent4 29 13 2" xfId="13969" xr:uid="{8929E1A2-CB07-4902-91CF-3CBF827C8E69}"/>
    <cellStyle name="40% - Accent4 29 13 2 2" xfId="13970" xr:uid="{2813C7DF-82A3-4450-9A49-547087D5AA27}"/>
    <cellStyle name="40% - Accent4 29 13 3" xfId="13971" xr:uid="{B99029A9-6C8F-41C5-86E5-4F13E3BB9AC4}"/>
    <cellStyle name="40% - Accent4 29 14" xfId="13972" xr:uid="{79ECB6FC-3CFC-4C9D-82EE-6593D24FBBDD}"/>
    <cellStyle name="40% - Accent4 29 14 2" xfId="13973" xr:uid="{D95F04C4-80AA-4099-A1FA-D1CC4A03682A}"/>
    <cellStyle name="40% - Accent4 29 15" xfId="13974" xr:uid="{3EB51D1A-6B4B-41AC-9C13-18A2FDE8E531}"/>
    <cellStyle name="40% - Accent4 29 16" xfId="37338" xr:uid="{5675B05E-EAFC-49A2-916B-BC40976827DA}"/>
    <cellStyle name="40% - Accent4 29 2" xfId="13975" xr:uid="{6DB9E6EB-6BEE-4C8C-B9B9-3BEF3DAFAA01}"/>
    <cellStyle name="40% - Accent4 29 2 2" xfId="13976" xr:uid="{85FE1FCC-0485-4EBD-ADF5-0432E9E38A85}"/>
    <cellStyle name="40% - Accent4 29 2 2 2" xfId="13977" xr:uid="{CE4F682A-51DC-450A-A50D-DF348B922929}"/>
    <cellStyle name="40% - Accent4 29 2 2 2 2" xfId="13978" xr:uid="{9F8BB191-19D3-430F-AC2F-1C425D9899C8}"/>
    <cellStyle name="40% - Accent4 29 2 2 2 2 2" xfId="13979" xr:uid="{2DAF9946-BC10-45E2-A7AB-44BCFAD1923F}"/>
    <cellStyle name="40% - Accent4 29 2 2 2 3" xfId="13980" xr:uid="{17D302D6-6009-4C71-8CD2-5352BF681656}"/>
    <cellStyle name="40% - Accent4 29 2 2 3" xfId="13981" xr:uid="{1A4650C7-A04B-4E3A-B6E1-A9D54364AD59}"/>
    <cellStyle name="40% - Accent4 29 2 2 3 2" xfId="13982" xr:uid="{C1FCC741-FFA3-4CC1-904C-FD8B2028D733}"/>
    <cellStyle name="40% - Accent4 29 2 2 3 2 2" xfId="13983" xr:uid="{6CEC57A3-CCFC-449F-8ABA-68D9ED877819}"/>
    <cellStyle name="40% - Accent4 29 2 2 3 3" xfId="13984" xr:uid="{E77A01DC-1B5C-4C37-BEA9-0A98D46D139E}"/>
    <cellStyle name="40% - Accent4 29 2 2 4" xfId="13985" xr:uid="{4B6782F9-3383-48DC-A505-99933C079117}"/>
    <cellStyle name="40% - Accent4 29 2 2 4 2" xfId="13986" xr:uid="{757382DD-B54C-49F6-97DD-8404C260E08D}"/>
    <cellStyle name="40% - Accent4 29 2 2 5" xfId="13987" xr:uid="{F6779341-3D8A-44F7-B846-7E94EA032C8C}"/>
    <cellStyle name="40% - Accent4 29 2 3" xfId="13988" xr:uid="{D569643C-4D6B-412B-ABC7-A2FE445419AE}"/>
    <cellStyle name="40% - Accent4 29 2 3 2" xfId="13989" xr:uid="{0410A228-7519-4B1B-B854-E663381D151A}"/>
    <cellStyle name="40% - Accent4 29 2 3 2 2" xfId="13990" xr:uid="{78DC985C-342E-4CAA-B9C5-60A83D6056CE}"/>
    <cellStyle name="40% - Accent4 29 2 3 3" xfId="13991" xr:uid="{D22E72B0-93CC-4D35-B347-394380B73548}"/>
    <cellStyle name="40% - Accent4 29 2 4" xfId="13992" xr:uid="{B41BA3B4-ED3B-4D40-895F-B03BB62A0B33}"/>
    <cellStyle name="40% - Accent4 29 2 4 2" xfId="13993" xr:uid="{FBD1A8F5-79F3-4575-843C-F7BE504C3E0A}"/>
    <cellStyle name="40% - Accent4 29 2 4 2 2" xfId="13994" xr:uid="{F48C3186-8B53-4309-BE13-CC4DC4C011AE}"/>
    <cellStyle name="40% - Accent4 29 2 4 3" xfId="13995" xr:uid="{A415026B-DBC6-49C0-B5A1-3D4A68727558}"/>
    <cellStyle name="40% - Accent4 29 2 5" xfId="13996" xr:uid="{8B46823A-FC93-487D-B3F7-26D4AAE3C726}"/>
    <cellStyle name="40% - Accent4 29 2 5 2" xfId="13997" xr:uid="{E3A3DC25-2C93-4B2A-96A3-E046EEBD260C}"/>
    <cellStyle name="40% - Accent4 29 2 6" xfId="13998" xr:uid="{03AAC116-C72C-4F59-8D0D-19F88E577F6F}"/>
    <cellStyle name="40% - Accent4 29 3" xfId="13999" xr:uid="{77863861-42B3-4F2D-9ECF-14BC5E07C89D}"/>
    <cellStyle name="40% - Accent4 29 3 2" xfId="14000" xr:uid="{AB257168-A511-41FC-B703-2A3CF10B6AF8}"/>
    <cellStyle name="40% - Accent4 29 3 2 2" xfId="14001" xr:uid="{6F7EE9D5-599F-45CB-AA85-898C28472201}"/>
    <cellStyle name="40% - Accent4 29 3 2 2 2" xfId="14002" xr:uid="{942513E5-BECC-424E-917E-F1B315BF89B8}"/>
    <cellStyle name="40% - Accent4 29 3 2 2 2 2" xfId="14003" xr:uid="{941E582C-91ED-42EB-BBCB-AC66259DB355}"/>
    <cellStyle name="40% - Accent4 29 3 2 2 3" xfId="14004" xr:uid="{94602962-D57D-44E2-A613-331B1126D085}"/>
    <cellStyle name="40% - Accent4 29 3 2 3" xfId="14005" xr:uid="{4F1E6822-84B9-4932-B09B-E5DABF395DCF}"/>
    <cellStyle name="40% - Accent4 29 3 2 3 2" xfId="14006" xr:uid="{1F9F7AF4-94F3-4F52-B096-713297C9A444}"/>
    <cellStyle name="40% - Accent4 29 3 2 3 2 2" xfId="14007" xr:uid="{1881E336-6DAF-439E-AB29-6614736368E2}"/>
    <cellStyle name="40% - Accent4 29 3 2 3 3" xfId="14008" xr:uid="{F206E853-45D5-4204-8839-CAD6CD96667B}"/>
    <cellStyle name="40% - Accent4 29 3 2 4" xfId="14009" xr:uid="{CD6D4E4B-773A-43CD-8FB5-46C5CF899B8D}"/>
    <cellStyle name="40% - Accent4 29 3 2 4 2" xfId="14010" xr:uid="{7377A82B-6A24-44E9-AED2-305514BE66C4}"/>
    <cellStyle name="40% - Accent4 29 3 2 5" xfId="14011" xr:uid="{4E8120E4-A258-4FB8-9021-9E018710C26F}"/>
    <cellStyle name="40% - Accent4 29 3 3" xfId="14012" xr:uid="{53F0E074-7E68-435E-A0F5-DBA28698A2D2}"/>
    <cellStyle name="40% - Accent4 29 3 3 2" xfId="14013" xr:uid="{FF34CD27-2F41-4839-BB6F-4774851ECCE2}"/>
    <cellStyle name="40% - Accent4 29 3 3 2 2" xfId="14014" xr:uid="{0580DC33-E0EE-4248-8123-AE28D74AB617}"/>
    <cellStyle name="40% - Accent4 29 3 3 3" xfId="14015" xr:uid="{691C6020-E518-4D27-97D3-2C281AC52986}"/>
    <cellStyle name="40% - Accent4 29 3 4" xfId="14016" xr:uid="{2D6B547C-87B7-4942-A0ED-4E2604C0F364}"/>
    <cellStyle name="40% - Accent4 29 3 4 2" xfId="14017" xr:uid="{441F177D-4519-40B8-988E-931E1F2055BE}"/>
    <cellStyle name="40% - Accent4 29 3 4 2 2" xfId="14018" xr:uid="{9B6DF6B7-83DE-4C65-8DB2-29949887B157}"/>
    <cellStyle name="40% - Accent4 29 3 4 3" xfId="14019" xr:uid="{E16AAEC7-8404-4115-BB8B-44E658BD04EE}"/>
    <cellStyle name="40% - Accent4 29 3 5" xfId="14020" xr:uid="{2E689D41-2D4F-452D-AE6B-FB08A1140590}"/>
    <cellStyle name="40% - Accent4 29 3 5 2" xfId="14021" xr:uid="{69F5D1E2-9053-4543-9D3B-C8D8D7E1C6D2}"/>
    <cellStyle name="40% - Accent4 29 3 6" xfId="14022" xr:uid="{3D65DA99-B90E-4C01-B38E-8CF3EBD110E5}"/>
    <cellStyle name="40% - Accent4 29 4" xfId="14023" xr:uid="{D597D5E4-C618-415A-B540-BA449DFAA9CA}"/>
    <cellStyle name="40% - Accent4 29 4 2" xfId="14024" xr:uid="{B869F565-9225-4745-8506-A9F0B04E0EA9}"/>
    <cellStyle name="40% - Accent4 29 4 2 2" xfId="14025" xr:uid="{2E23A58E-1484-4E96-A640-43344AEEDFF4}"/>
    <cellStyle name="40% - Accent4 29 4 2 2 2" xfId="14026" xr:uid="{BF6350EC-2852-4176-A7DF-B8055B5066A7}"/>
    <cellStyle name="40% - Accent4 29 4 2 2 2 2" xfId="14027" xr:uid="{1C63BC1D-5641-4700-A9C3-0E80327F929B}"/>
    <cellStyle name="40% - Accent4 29 4 2 2 3" xfId="14028" xr:uid="{FDA25EB5-7114-4CC4-A457-776E64A006D3}"/>
    <cellStyle name="40% - Accent4 29 4 2 3" xfId="14029" xr:uid="{581AAF79-40BD-479A-A363-99B7BEC80C3B}"/>
    <cellStyle name="40% - Accent4 29 4 2 3 2" xfId="14030" xr:uid="{A784C437-385B-479F-95FC-D2B39383F5B4}"/>
    <cellStyle name="40% - Accent4 29 4 2 3 2 2" xfId="14031" xr:uid="{A491C5F7-8D8F-41CB-9DBB-75EC83AC7DEC}"/>
    <cellStyle name="40% - Accent4 29 4 2 3 3" xfId="14032" xr:uid="{C93701B5-35E7-409C-A9F0-C934B6AEC96E}"/>
    <cellStyle name="40% - Accent4 29 4 2 4" xfId="14033" xr:uid="{FBCD6504-5908-43B4-9A0E-6058119C0389}"/>
    <cellStyle name="40% - Accent4 29 4 2 4 2" xfId="14034" xr:uid="{66E74F75-7079-48C3-86DD-2B3732ABFF23}"/>
    <cellStyle name="40% - Accent4 29 4 2 5" xfId="14035" xr:uid="{A6C61931-1650-4503-B0CC-C7B4190E9105}"/>
    <cellStyle name="40% - Accent4 29 4 3" xfId="14036" xr:uid="{4F7350AC-31C6-4CDA-9A5D-D305E2A9E2A1}"/>
    <cellStyle name="40% - Accent4 29 4 3 2" xfId="14037" xr:uid="{0073D278-471F-45A3-AD81-21601D60C601}"/>
    <cellStyle name="40% - Accent4 29 4 3 2 2" xfId="14038" xr:uid="{03B96952-65DC-4575-A079-D10042900E63}"/>
    <cellStyle name="40% - Accent4 29 4 3 3" xfId="14039" xr:uid="{CFA8C951-A2D1-4C8B-BDEA-8B82DF68E03C}"/>
    <cellStyle name="40% - Accent4 29 4 4" xfId="14040" xr:uid="{F83AC2B6-3F8F-45EF-B765-0FEA25089163}"/>
    <cellStyle name="40% - Accent4 29 4 4 2" xfId="14041" xr:uid="{1C3E8DBD-B7DA-4E10-928C-41A41FF40827}"/>
    <cellStyle name="40% - Accent4 29 4 4 2 2" xfId="14042" xr:uid="{47A0896E-6ECA-4CB0-A592-FA924A98A11B}"/>
    <cellStyle name="40% - Accent4 29 4 4 3" xfId="14043" xr:uid="{9DF66AE1-3865-4C82-8E4F-D6BE1F6E226D}"/>
    <cellStyle name="40% - Accent4 29 4 5" xfId="14044" xr:uid="{5FDBADDF-E597-4B3B-A064-CC282D7BCC79}"/>
    <cellStyle name="40% - Accent4 29 4 5 2" xfId="14045" xr:uid="{47450D45-516B-4E0B-891B-823B9102A352}"/>
    <cellStyle name="40% - Accent4 29 4 6" xfId="14046" xr:uid="{5B7528B7-FC37-4A9C-862D-2C75349BD9A6}"/>
    <cellStyle name="40% - Accent4 29 5" xfId="14047" xr:uid="{711D09C2-A591-470A-B4A9-862EAEC0661C}"/>
    <cellStyle name="40% - Accent4 29 5 2" xfId="14048" xr:uid="{8E9AC84F-DFA1-4CA8-AB41-2E832501EA17}"/>
    <cellStyle name="40% - Accent4 29 5 2 2" xfId="14049" xr:uid="{CEC1DEE6-1DEF-48CA-9758-E79D0F53FB16}"/>
    <cellStyle name="40% - Accent4 29 5 2 2 2" xfId="14050" xr:uid="{D1E62D8C-7B2F-494C-8540-1137DF2BCF46}"/>
    <cellStyle name="40% - Accent4 29 5 2 2 2 2" xfId="14051" xr:uid="{7286CF62-C4F2-41A7-9AC4-94E522E502B2}"/>
    <cellStyle name="40% - Accent4 29 5 2 2 3" xfId="14052" xr:uid="{09EB70CE-E1D0-4A5A-A67A-26CAA7A542F4}"/>
    <cellStyle name="40% - Accent4 29 5 2 3" xfId="14053" xr:uid="{7F0EA273-FDA9-4608-B7FF-032D2D267685}"/>
    <cellStyle name="40% - Accent4 29 5 2 3 2" xfId="14054" xr:uid="{DD872E40-A539-440E-9971-A5EE58046707}"/>
    <cellStyle name="40% - Accent4 29 5 2 3 2 2" xfId="14055" xr:uid="{E57F06E1-874E-409E-A769-E33F2A02A156}"/>
    <cellStyle name="40% - Accent4 29 5 2 3 3" xfId="14056" xr:uid="{5A5D9833-B43B-4F12-A567-642ECC5AF408}"/>
    <cellStyle name="40% - Accent4 29 5 2 4" xfId="14057" xr:uid="{FDB9A960-8D86-4CE5-86D2-0C8227C017FB}"/>
    <cellStyle name="40% - Accent4 29 5 2 4 2" xfId="14058" xr:uid="{C1CC2EFD-0ACA-404F-BA54-A4F1B839B721}"/>
    <cellStyle name="40% - Accent4 29 5 2 5" xfId="14059" xr:uid="{9E904B1C-C4DA-4323-AAC2-A94502DED28F}"/>
    <cellStyle name="40% - Accent4 29 5 3" xfId="14060" xr:uid="{76E29E5C-B649-4D4F-816E-DB06B225060A}"/>
    <cellStyle name="40% - Accent4 29 5 3 2" xfId="14061" xr:uid="{5ED3265D-E3BC-407E-9EDA-7D22AE8F0343}"/>
    <cellStyle name="40% - Accent4 29 5 3 2 2" xfId="14062" xr:uid="{EA62420C-08F0-4774-9F2D-85555F741058}"/>
    <cellStyle name="40% - Accent4 29 5 3 3" xfId="14063" xr:uid="{284CC0A0-659C-45CD-BDE3-AD4AB3B6F205}"/>
    <cellStyle name="40% - Accent4 29 5 4" xfId="14064" xr:uid="{9E882C70-01B6-45B9-B9C2-7F252B0AF517}"/>
    <cellStyle name="40% - Accent4 29 5 4 2" xfId="14065" xr:uid="{27C5DDCA-0F34-4614-9C38-DE9254AD5228}"/>
    <cellStyle name="40% - Accent4 29 5 4 2 2" xfId="14066" xr:uid="{7235251D-FCA2-442C-B4DC-3671F6DB0FAB}"/>
    <cellStyle name="40% - Accent4 29 5 4 3" xfId="14067" xr:uid="{AA2794F3-A722-4D30-B7E9-9171DED6803F}"/>
    <cellStyle name="40% - Accent4 29 5 5" xfId="14068" xr:uid="{BD62703E-005F-4859-A268-EE3AE72EC194}"/>
    <cellStyle name="40% - Accent4 29 5 5 2" xfId="14069" xr:uid="{39E81C1C-50AF-4A24-86C7-F9FB7F157F42}"/>
    <cellStyle name="40% - Accent4 29 5 6" xfId="14070" xr:uid="{8A0D8D20-D32C-4F07-BD65-B82B5C5F811A}"/>
    <cellStyle name="40% - Accent4 29 6" xfId="14071" xr:uid="{795DDC6F-8080-4042-A578-774BA5968640}"/>
    <cellStyle name="40% - Accent4 29 6 2" xfId="14072" xr:uid="{83ADEE18-83CA-48B5-9329-E6964EE18FED}"/>
    <cellStyle name="40% - Accent4 29 6 2 2" xfId="14073" xr:uid="{07D2F069-AF3E-4D56-A255-60C46212A29F}"/>
    <cellStyle name="40% - Accent4 29 6 2 2 2" xfId="14074" xr:uid="{9D2CB4A2-8680-4087-9D4A-0172D76668EE}"/>
    <cellStyle name="40% - Accent4 29 6 2 2 2 2" xfId="14075" xr:uid="{DDA3E25F-ADF7-4287-806F-AF5668590EDD}"/>
    <cellStyle name="40% - Accent4 29 6 2 2 3" xfId="14076" xr:uid="{D21EA38B-7D1E-40E2-925C-0C702F37F896}"/>
    <cellStyle name="40% - Accent4 29 6 2 3" xfId="14077" xr:uid="{513F1380-30E0-4AE3-B012-3BD5CF58D80A}"/>
    <cellStyle name="40% - Accent4 29 6 2 3 2" xfId="14078" xr:uid="{214307DE-C397-4244-AAAF-953A9EE39097}"/>
    <cellStyle name="40% - Accent4 29 6 2 3 2 2" xfId="14079" xr:uid="{3A1BDD8E-A2F0-4413-8B65-43ABF914A030}"/>
    <cellStyle name="40% - Accent4 29 6 2 3 3" xfId="14080" xr:uid="{87568EB6-FF2D-430D-914D-E17A110286F3}"/>
    <cellStyle name="40% - Accent4 29 6 2 4" xfId="14081" xr:uid="{F94E12C4-7975-40A6-85D3-059045B84D77}"/>
    <cellStyle name="40% - Accent4 29 6 2 4 2" xfId="14082" xr:uid="{2A72508E-5F56-45C3-B244-E2B3B00892B3}"/>
    <cellStyle name="40% - Accent4 29 6 2 5" xfId="14083" xr:uid="{B3DD10B8-9F69-4B0F-BF48-25403D65118B}"/>
    <cellStyle name="40% - Accent4 29 6 3" xfId="14084" xr:uid="{E902024C-A39B-4A99-8761-F5904BD7A4BA}"/>
    <cellStyle name="40% - Accent4 29 6 3 2" xfId="14085" xr:uid="{98BA993B-6AEA-4521-9DF6-6426499DEC1F}"/>
    <cellStyle name="40% - Accent4 29 6 3 2 2" xfId="14086" xr:uid="{A11F9AE4-8764-4707-BB32-17B989F96345}"/>
    <cellStyle name="40% - Accent4 29 6 3 3" xfId="14087" xr:uid="{A32777EB-C4CE-464D-BBEF-A81F21DB7A4C}"/>
    <cellStyle name="40% - Accent4 29 6 4" xfId="14088" xr:uid="{02FC6037-C019-49AA-B35A-9200C2921961}"/>
    <cellStyle name="40% - Accent4 29 6 4 2" xfId="14089" xr:uid="{00DB21C8-A5A1-4CFD-8B9F-93A5BA7DBE9B}"/>
    <cellStyle name="40% - Accent4 29 6 4 2 2" xfId="14090" xr:uid="{B4D52714-D0FD-43F0-9181-FC8C318712B3}"/>
    <cellStyle name="40% - Accent4 29 6 4 3" xfId="14091" xr:uid="{801D6BF0-499D-4D91-B26A-0FC6684480B8}"/>
    <cellStyle name="40% - Accent4 29 6 5" xfId="14092" xr:uid="{5106BA4A-1481-4EEC-B1F1-6E2FB68BB389}"/>
    <cellStyle name="40% - Accent4 29 6 5 2" xfId="14093" xr:uid="{FB824F45-F7BE-435E-83E7-A86806214B64}"/>
    <cellStyle name="40% - Accent4 29 6 6" xfId="14094" xr:uid="{A60730CD-64A3-4530-9785-31DE7222009D}"/>
    <cellStyle name="40% - Accent4 29 7" xfId="14095" xr:uid="{45DFA172-B468-4395-8C56-B26CC7E5D794}"/>
    <cellStyle name="40% - Accent4 29 7 2" xfId="14096" xr:uid="{092A3E14-6D73-42CF-A092-DFA142B3B6AC}"/>
    <cellStyle name="40% - Accent4 29 7 2 2" xfId="14097" xr:uid="{7B652FFA-9F11-466D-9E39-7107D235E4DE}"/>
    <cellStyle name="40% - Accent4 29 7 2 2 2" xfId="14098" xr:uid="{C35105F6-5F76-49D7-865F-510BA9D348C7}"/>
    <cellStyle name="40% - Accent4 29 7 2 2 2 2" xfId="14099" xr:uid="{8E593FA1-E599-4AEE-8377-FEB33AAB6241}"/>
    <cellStyle name="40% - Accent4 29 7 2 2 3" xfId="14100" xr:uid="{8738EA01-6895-4C05-B4FC-4AFDFBFE91BB}"/>
    <cellStyle name="40% - Accent4 29 7 2 3" xfId="14101" xr:uid="{43A47F9E-0880-4E18-BF7F-D0F09E0C838D}"/>
    <cellStyle name="40% - Accent4 29 7 2 3 2" xfId="14102" xr:uid="{685C8FFB-220F-48C5-8CD2-578A8583160D}"/>
    <cellStyle name="40% - Accent4 29 7 2 3 2 2" xfId="14103" xr:uid="{D95683CE-A0DF-4AB8-8697-6CBCEBBF2CD4}"/>
    <cellStyle name="40% - Accent4 29 7 2 3 3" xfId="14104" xr:uid="{0C385A0B-F6B4-4874-82AA-5372A4EBAC18}"/>
    <cellStyle name="40% - Accent4 29 7 2 4" xfId="14105" xr:uid="{A295C3C1-8F1D-4DC1-A3A6-6C8A2DCD7EF7}"/>
    <cellStyle name="40% - Accent4 29 7 2 4 2" xfId="14106" xr:uid="{14AFF2A2-0244-4B09-B444-7914F3B67DEF}"/>
    <cellStyle name="40% - Accent4 29 7 2 5" xfId="14107" xr:uid="{7B7103C8-55D9-4F6C-93F1-E28927E49176}"/>
    <cellStyle name="40% - Accent4 29 7 3" xfId="14108" xr:uid="{43E54EAC-E491-43E2-A117-248810C470AA}"/>
    <cellStyle name="40% - Accent4 29 7 3 2" xfId="14109" xr:uid="{BDC62373-F9F3-4C60-8F31-729300CBE6CE}"/>
    <cellStyle name="40% - Accent4 29 7 3 2 2" xfId="14110" xr:uid="{24C3188B-32FB-45A3-9728-5C11E4D1E9EE}"/>
    <cellStyle name="40% - Accent4 29 7 3 3" xfId="14111" xr:uid="{28705D44-34A8-41FB-9470-D1FB911795BA}"/>
    <cellStyle name="40% - Accent4 29 7 4" xfId="14112" xr:uid="{5C7E0F30-1856-4FAC-8F42-046A5FB27EC6}"/>
    <cellStyle name="40% - Accent4 29 7 4 2" xfId="14113" xr:uid="{FA0B237D-EE60-43D1-9777-9D9CEF6DC31B}"/>
    <cellStyle name="40% - Accent4 29 7 4 2 2" xfId="14114" xr:uid="{3E1F94BA-7908-4C88-B0DB-FF83994DB4D1}"/>
    <cellStyle name="40% - Accent4 29 7 4 3" xfId="14115" xr:uid="{327FBB35-0496-4B5B-A7E4-166198C1CD78}"/>
    <cellStyle name="40% - Accent4 29 7 5" xfId="14116" xr:uid="{607E1282-AED6-49BE-998F-D39F3F0CE6E4}"/>
    <cellStyle name="40% - Accent4 29 7 5 2" xfId="14117" xr:uid="{5C7EA74D-4791-4876-878B-18ED07AC598D}"/>
    <cellStyle name="40% - Accent4 29 7 6" xfId="14118" xr:uid="{86C7174D-7BF1-46C6-B552-AB8F0ACD6460}"/>
    <cellStyle name="40% - Accent4 29 8" xfId="14119" xr:uid="{74D30270-F1D7-4ACE-B2DB-8560A968C872}"/>
    <cellStyle name="40% - Accent4 29 8 2" xfId="14120" xr:uid="{BCCD742C-27B6-4C11-B369-089E9E17D79E}"/>
    <cellStyle name="40% - Accent4 29 8 2 2" xfId="14121" xr:uid="{F19D38B7-B98A-46C1-A25D-8D298BBE780A}"/>
    <cellStyle name="40% - Accent4 29 8 2 2 2" xfId="14122" xr:uid="{DC011BDE-A711-428C-8F29-05739B5BFE8F}"/>
    <cellStyle name="40% - Accent4 29 8 2 2 2 2" xfId="14123" xr:uid="{1740F157-D73D-44CD-BFD4-A3871CF3F8C1}"/>
    <cellStyle name="40% - Accent4 29 8 2 2 3" xfId="14124" xr:uid="{CC4DDF64-9D75-4BF9-9DC3-6CB389B25D92}"/>
    <cellStyle name="40% - Accent4 29 8 2 3" xfId="14125" xr:uid="{DA4317B9-4864-4EBC-A577-6DD2990757D5}"/>
    <cellStyle name="40% - Accent4 29 8 2 3 2" xfId="14126" xr:uid="{6B56F481-C718-4709-B592-9C5650559B32}"/>
    <cellStyle name="40% - Accent4 29 8 2 3 2 2" xfId="14127" xr:uid="{99692A57-2A10-44CB-8104-2EACAE88D325}"/>
    <cellStyle name="40% - Accent4 29 8 2 3 3" xfId="14128" xr:uid="{8FF8272B-0130-4BA2-916D-3C340E1F4EB5}"/>
    <cellStyle name="40% - Accent4 29 8 2 4" xfId="14129" xr:uid="{56637F43-9CCC-4606-8AAD-E0E9EFB9FC8D}"/>
    <cellStyle name="40% - Accent4 29 8 2 4 2" xfId="14130" xr:uid="{7DB5BF17-1D0E-4392-B769-E3A5259F559D}"/>
    <cellStyle name="40% - Accent4 29 8 2 5" xfId="14131" xr:uid="{1A4D82A9-A4EA-47A1-AA51-4C9BC3812AB3}"/>
    <cellStyle name="40% - Accent4 29 8 3" xfId="14132" xr:uid="{32241A0F-CBBE-4484-8765-83C3F75372A1}"/>
    <cellStyle name="40% - Accent4 29 8 3 2" xfId="14133" xr:uid="{3A4FBD8F-BABB-483F-8BF6-27770481E306}"/>
    <cellStyle name="40% - Accent4 29 8 3 2 2" xfId="14134" xr:uid="{5E13E8EE-0BAF-43D1-8D7F-0EF933F1D39B}"/>
    <cellStyle name="40% - Accent4 29 8 3 3" xfId="14135" xr:uid="{0E14E309-D3F6-4266-84C9-012426D608C8}"/>
    <cellStyle name="40% - Accent4 29 8 4" xfId="14136" xr:uid="{F7404866-BC96-42A7-8414-11D5E18072BB}"/>
    <cellStyle name="40% - Accent4 29 8 4 2" xfId="14137" xr:uid="{94D53488-E6BB-44E4-ADC2-A9376846CC7F}"/>
    <cellStyle name="40% - Accent4 29 8 4 2 2" xfId="14138" xr:uid="{6798F917-5A09-4E38-8AAC-725A42A4F56C}"/>
    <cellStyle name="40% - Accent4 29 8 4 3" xfId="14139" xr:uid="{61182C95-1BDA-4094-843C-07E07499ADFF}"/>
    <cellStyle name="40% - Accent4 29 8 5" xfId="14140" xr:uid="{18F1C759-0800-4C2C-8566-256378D5D527}"/>
    <cellStyle name="40% - Accent4 29 8 5 2" xfId="14141" xr:uid="{A644492F-788C-43E5-8260-99450B2FE798}"/>
    <cellStyle name="40% - Accent4 29 8 6" xfId="14142" xr:uid="{639433A8-32A8-4FC0-9E46-8B52CE53C5A2}"/>
    <cellStyle name="40% - Accent4 29 9" xfId="14143" xr:uid="{E5226385-D0E6-4186-8776-F72927E8C643}"/>
    <cellStyle name="40% - Accent4 29 9 2" xfId="14144" xr:uid="{46D807A0-7326-47B3-8BF2-D0F9C6DABF5A}"/>
    <cellStyle name="40% - Accent4 29 9 2 2" xfId="14145" xr:uid="{2069F458-1C67-4719-993A-38C4C328F494}"/>
    <cellStyle name="40% - Accent4 29 9 2 2 2" xfId="14146" xr:uid="{5D0ACA39-3497-4997-BE2C-029A6F1B40A9}"/>
    <cellStyle name="40% - Accent4 29 9 2 2 2 2" xfId="14147" xr:uid="{8AC47660-8DF2-4EA2-A6D9-29BC0893CEF7}"/>
    <cellStyle name="40% - Accent4 29 9 2 2 3" xfId="14148" xr:uid="{0158A591-D715-4337-8289-C8C572BB94AE}"/>
    <cellStyle name="40% - Accent4 29 9 2 3" xfId="14149" xr:uid="{E1EC85F6-B27C-494C-A5BE-89B33939E346}"/>
    <cellStyle name="40% - Accent4 29 9 2 3 2" xfId="14150" xr:uid="{4F21BB04-ADCF-4021-AA59-B7BD5FE32CAC}"/>
    <cellStyle name="40% - Accent4 29 9 2 3 2 2" xfId="14151" xr:uid="{A7DD35CD-AE88-4B08-B82D-1DBEBCDC2A3E}"/>
    <cellStyle name="40% - Accent4 29 9 2 3 3" xfId="14152" xr:uid="{486A238F-0067-473F-99ED-29BD52BEAAAA}"/>
    <cellStyle name="40% - Accent4 29 9 2 4" xfId="14153" xr:uid="{14A171C0-9FEF-41E0-96B5-3E6F43C9F725}"/>
    <cellStyle name="40% - Accent4 29 9 2 4 2" xfId="14154" xr:uid="{51F4CF31-D6E7-465E-A614-3521BA6D1581}"/>
    <cellStyle name="40% - Accent4 29 9 2 5" xfId="14155" xr:uid="{C1A6CA45-4639-49B7-A67C-69CEF8A38AD3}"/>
    <cellStyle name="40% - Accent4 29 9 3" xfId="14156" xr:uid="{F82CDD19-D72B-41E1-AC45-74A1B110D166}"/>
    <cellStyle name="40% - Accent4 29 9 3 2" xfId="14157" xr:uid="{B24BC9F9-9E72-4BA5-84B7-51001EEEB613}"/>
    <cellStyle name="40% - Accent4 29 9 3 2 2" xfId="14158" xr:uid="{690D5C68-229C-476C-85B8-150917C119E4}"/>
    <cellStyle name="40% - Accent4 29 9 3 3" xfId="14159" xr:uid="{5B57B58D-FD81-40FD-8A05-0E6F038AC61D}"/>
    <cellStyle name="40% - Accent4 29 9 4" xfId="14160" xr:uid="{8ED9DA64-26A5-44A6-A05E-B8D81D07338D}"/>
    <cellStyle name="40% - Accent4 29 9 4 2" xfId="14161" xr:uid="{8262DD10-4CA3-4B75-A323-49AABEC9E2DB}"/>
    <cellStyle name="40% - Accent4 29 9 4 2 2" xfId="14162" xr:uid="{E09EECDF-711E-41B8-A4C4-E58BBD1A7F10}"/>
    <cellStyle name="40% - Accent4 29 9 4 3" xfId="14163" xr:uid="{C8C3A313-253E-4AF3-BDAB-2BEA84CDA63E}"/>
    <cellStyle name="40% - Accent4 29 9 5" xfId="14164" xr:uid="{60756B25-CBA8-430E-A6B2-391954655D0A}"/>
    <cellStyle name="40% - Accent4 29 9 5 2" xfId="14165" xr:uid="{F8835E44-C6C8-4A36-AA24-8D11EABEBA96}"/>
    <cellStyle name="40% - Accent4 29 9 6" xfId="14166" xr:uid="{AF09ACCF-C544-4250-9F37-4CDAF49AC285}"/>
    <cellStyle name="40% - Accent4 3" xfId="14167" xr:uid="{EDD685BD-2906-4B91-AD07-17AF7718CA26}"/>
    <cellStyle name="40% - Accent4 3 2" xfId="14168" xr:uid="{7EBE396D-2B4A-49E9-ABCF-1FD0F648C189}"/>
    <cellStyle name="40% - Accent4 3 2 2" xfId="14169" xr:uid="{B70266B7-9055-4B75-B47E-630810E95045}"/>
    <cellStyle name="40% - Accent4 3 2 2 2" xfId="37339" xr:uid="{022C17E0-A951-4F40-99FE-EA0CA419A43F}"/>
    <cellStyle name="40% - Accent4 3 2 3" xfId="37340" xr:uid="{8F050DD6-2A24-4F48-A4FE-F6DDFEA777D5}"/>
    <cellStyle name="40% - Accent4 3 2 4" xfId="37341" xr:uid="{F7934699-9B62-4D89-8BC3-C7B47502FDE8}"/>
    <cellStyle name="40% - Accent4 3 3" xfId="14170" xr:uid="{FA08B3B0-4F52-4FC0-A0E1-16DAB01D9B5D}"/>
    <cellStyle name="40% - Accent4 3 3 2" xfId="37342" xr:uid="{E64F119A-7513-4A9A-A441-D949490B91F0}"/>
    <cellStyle name="40% - Accent4 3 4" xfId="37343" xr:uid="{384E23B9-2BE4-4FC8-8895-A0BC6626EA4D}"/>
    <cellStyle name="40% - Accent4 3 5" xfId="37344" xr:uid="{0B0D2686-D740-4AB7-983A-48CDAFFB3CB9}"/>
    <cellStyle name="40% - Accent4 3 6" xfId="37345" xr:uid="{2F7A501A-0CFF-4234-9D5C-C9CFABEE2A73}"/>
    <cellStyle name="40% - Accent4 30" xfId="14171" xr:uid="{03A9C3D2-E2A7-4ACF-921A-169B2976670F}"/>
    <cellStyle name="40% - Accent4 30 10" xfId="14172" xr:uid="{9159EDA0-30F3-465A-ADF7-6730D487A577}"/>
    <cellStyle name="40% - Accent4 30 10 2" xfId="14173" xr:uid="{7FA3D993-719B-411D-B1E1-E2FB5E5C4C62}"/>
    <cellStyle name="40% - Accent4 30 10 2 2" xfId="14174" xr:uid="{256654DF-2D80-4FE4-9A03-270EB177882D}"/>
    <cellStyle name="40% - Accent4 30 10 2 2 2" xfId="14175" xr:uid="{9F63A217-6D1F-468C-9A7A-3C3E3BA2458F}"/>
    <cellStyle name="40% - Accent4 30 10 2 2 2 2" xfId="14176" xr:uid="{A23A5A09-5EF3-4E25-937E-59E74053C226}"/>
    <cellStyle name="40% - Accent4 30 10 2 2 3" xfId="14177" xr:uid="{A20097D0-6F84-4401-A7B3-BE21FCBC8E49}"/>
    <cellStyle name="40% - Accent4 30 10 2 3" xfId="14178" xr:uid="{C8C0B861-9258-4822-A1ED-F3A4C97234EA}"/>
    <cellStyle name="40% - Accent4 30 10 2 3 2" xfId="14179" xr:uid="{03A38971-4D38-44DC-AF59-B8B5651A4B1E}"/>
    <cellStyle name="40% - Accent4 30 10 2 3 2 2" xfId="14180" xr:uid="{60643054-FB16-4175-8987-52938C740066}"/>
    <cellStyle name="40% - Accent4 30 10 2 3 3" xfId="14181" xr:uid="{9F2A33AB-830A-4040-8E7A-C98C5FC2B068}"/>
    <cellStyle name="40% - Accent4 30 10 2 4" xfId="14182" xr:uid="{6DA90593-46C1-413E-856D-5BA79E0E5598}"/>
    <cellStyle name="40% - Accent4 30 10 2 4 2" xfId="14183" xr:uid="{CC866A68-3C57-49CD-A360-614A2D253F03}"/>
    <cellStyle name="40% - Accent4 30 10 2 5" xfId="14184" xr:uid="{FC89B647-B5B5-49A4-B6FB-6D4DAD1D3CF9}"/>
    <cellStyle name="40% - Accent4 30 10 3" xfId="14185" xr:uid="{DDAF75AD-1882-4073-AC34-9947FE4C9A13}"/>
    <cellStyle name="40% - Accent4 30 10 3 2" xfId="14186" xr:uid="{DEF4D787-060A-430A-8A43-112B56438FD1}"/>
    <cellStyle name="40% - Accent4 30 10 3 2 2" xfId="14187" xr:uid="{025D7E6D-C66C-46EA-91CB-32AB5CF44FF7}"/>
    <cellStyle name="40% - Accent4 30 10 3 3" xfId="14188" xr:uid="{6E3A7087-FE9D-4AFB-B7DC-775544616ACB}"/>
    <cellStyle name="40% - Accent4 30 10 4" xfId="14189" xr:uid="{BBBB30FA-41BF-46A7-AA15-D04855DD2562}"/>
    <cellStyle name="40% - Accent4 30 10 4 2" xfId="14190" xr:uid="{D52DF75E-32CC-4941-BB00-ADAA2039E094}"/>
    <cellStyle name="40% - Accent4 30 10 4 2 2" xfId="14191" xr:uid="{A45C31CD-9B1A-437E-AD60-3416823B74E8}"/>
    <cellStyle name="40% - Accent4 30 10 4 3" xfId="14192" xr:uid="{0688987F-1616-493B-A437-1979AA13A822}"/>
    <cellStyle name="40% - Accent4 30 10 5" xfId="14193" xr:uid="{3666B31B-C7E1-4F98-BD36-F2FEA9B62021}"/>
    <cellStyle name="40% - Accent4 30 10 5 2" xfId="14194" xr:uid="{47FA80D9-C66D-437F-8C7B-8DFB4A5B859C}"/>
    <cellStyle name="40% - Accent4 30 10 6" xfId="14195" xr:uid="{74C2672D-319E-4164-BC6C-7BB7C5EA8628}"/>
    <cellStyle name="40% - Accent4 30 11" xfId="14196" xr:uid="{4D4BD7CB-7DE8-49E4-AA78-6A78156F8732}"/>
    <cellStyle name="40% - Accent4 30 11 2" xfId="14197" xr:uid="{B2C8646D-261E-46B6-A631-EC036FE7243E}"/>
    <cellStyle name="40% - Accent4 30 11 2 2" xfId="14198" xr:uid="{6065C91E-EB18-42EE-8858-97EF59DEB37C}"/>
    <cellStyle name="40% - Accent4 30 11 2 2 2" xfId="14199" xr:uid="{C5DE3B2E-00D3-49EB-83BF-6CA33D3F885E}"/>
    <cellStyle name="40% - Accent4 30 11 2 3" xfId="14200" xr:uid="{27052D75-413C-443B-A0F1-89B0F7E4732E}"/>
    <cellStyle name="40% - Accent4 30 11 3" xfId="14201" xr:uid="{219C1450-2DBD-44DB-836F-7F94129A0BAE}"/>
    <cellStyle name="40% - Accent4 30 11 3 2" xfId="14202" xr:uid="{FD2DF7F9-0C35-40BD-9831-69AB7817A6E2}"/>
    <cellStyle name="40% - Accent4 30 11 3 2 2" xfId="14203" xr:uid="{B0A9C7B1-6BCE-4358-B529-AA70F973A003}"/>
    <cellStyle name="40% - Accent4 30 11 3 3" xfId="14204" xr:uid="{CE82E806-7C01-49F9-8368-6505B900AF34}"/>
    <cellStyle name="40% - Accent4 30 11 4" xfId="14205" xr:uid="{0AB02F9C-59F9-4F28-B2B3-71F3C189B487}"/>
    <cellStyle name="40% - Accent4 30 11 4 2" xfId="14206" xr:uid="{DB1BEA41-408E-4C49-8129-E45F3C01EC79}"/>
    <cellStyle name="40% - Accent4 30 11 5" xfId="14207" xr:uid="{24E9E852-F786-42CE-BADA-0B6B9FCC7570}"/>
    <cellStyle name="40% - Accent4 30 12" xfId="14208" xr:uid="{9A511A5D-096C-4639-A57B-F0DB739B93E2}"/>
    <cellStyle name="40% - Accent4 30 12 2" xfId="14209" xr:uid="{4ECADCAD-EA7B-456F-B077-328AA4F03186}"/>
    <cellStyle name="40% - Accent4 30 12 2 2" xfId="14210" xr:uid="{24F63FE9-FBB9-45A5-B163-AFF498DBD623}"/>
    <cellStyle name="40% - Accent4 30 12 3" xfId="14211" xr:uid="{4CADD09E-1A59-4535-910B-5192D2C5A811}"/>
    <cellStyle name="40% - Accent4 30 13" xfId="14212" xr:uid="{F5BC2A6C-E279-4870-B69B-73C0856E4E3A}"/>
    <cellStyle name="40% - Accent4 30 13 2" xfId="14213" xr:uid="{93783A4F-D7E8-4259-98BE-5871EAC50F3C}"/>
    <cellStyle name="40% - Accent4 30 13 2 2" xfId="14214" xr:uid="{D8897C34-F019-4269-B167-758745EFD5BF}"/>
    <cellStyle name="40% - Accent4 30 13 3" xfId="14215" xr:uid="{D8DCF30B-E66B-4E96-A90D-372FFD35DBED}"/>
    <cellStyle name="40% - Accent4 30 14" xfId="14216" xr:uid="{07956E53-36AD-45DA-AA9C-EA6288ABC533}"/>
    <cellStyle name="40% - Accent4 30 14 2" xfId="14217" xr:uid="{E488FCA8-B7F9-4239-80E1-1E6E6B59A5CF}"/>
    <cellStyle name="40% - Accent4 30 15" xfId="14218" xr:uid="{C10821AC-E120-45F4-A57F-BF86B907B79D}"/>
    <cellStyle name="40% - Accent4 30 16" xfId="37346" xr:uid="{5819BB4D-39AA-46A0-9406-08C1746EDC69}"/>
    <cellStyle name="40% - Accent4 30 2" xfId="14219" xr:uid="{D3531850-9D3D-47DF-A725-C85C04A58D89}"/>
    <cellStyle name="40% - Accent4 30 2 2" xfId="14220" xr:uid="{7E199AAE-21B0-49F5-BCA8-9880F041914A}"/>
    <cellStyle name="40% - Accent4 30 2 2 2" xfId="14221" xr:uid="{87A0DE67-9353-4FA3-A526-D12B66C22B4D}"/>
    <cellStyle name="40% - Accent4 30 2 2 2 2" xfId="14222" xr:uid="{D9C3B65D-38DE-4A0D-883B-F215753C20CE}"/>
    <cellStyle name="40% - Accent4 30 2 2 2 2 2" xfId="14223" xr:uid="{AA6E641A-8341-4840-AFF9-354817F44B04}"/>
    <cellStyle name="40% - Accent4 30 2 2 2 3" xfId="14224" xr:uid="{4BA6ECA7-02E6-47B3-86B1-3DD9920C04BE}"/>
    <cellStyle name="40% - Accent4 30 2 2 3" xfId="14225" xr:uid="{67586BA9-4238-44A2-AC75-D3FF879EDBCB}"/>
    <cellStyle name="40% - Accent4 30 2 2 3 2" xfId="14226" xr:uid="{A1263BF5-4876-4280-AC38-91C842B0B576}"/>
    <cellStyle name="40% - Accent4 30 2 2 3 2 2" xfId="14227" xr:uid="{A792CDE2-259D-4223-92F1-2215ECF189C2}"/>
    <cellStyle name="40% - Accent4 30 2 2 3 3" xfId="14228" xr:uid="{953DC158-C0D3-44A8-BDCD-74EFC4C68DA3}"/>
    <cellStyle name="40% - Accent4 30 2 2 4" xfId="14229" xr:uid="{195594DF-6A22-46A4-8C23-E24963BD22B5}"/>
    <cellStyle name="40% - Accent4 30 2 2 4 2" xfId="14230" xr:uid="{90B614B8-B55D-4244-B389-E16C66C7B974}"/>
    <cellStyle name="40% - Accent4 30 2 2 5" xfId="14231" xr:uid="{28F19DF4-7379-4100-94D8-BDDD3BA64975}"/>
    <cellStyle name="40% - Accent4 30 2 3" xfId="14232" xr:uid="{55B6967E-0971-4130-AB0A-9F2A8A000FA3}"/>
    <cellStyle name="40% - Accent4 30 2 3 2" xfId="14233" xr:uid="{27AF3914-5E5B-4171-829E-1BBE29E74C7B}"/>
    <cellStyle name="40% - Accent4 30 2 3 2 2" xfId="14234" xr:uid="{B682102C-2E2A-4B0A-B835-C9EDE9721EA1}"/>
    <cellStyle name="40% - Accent4 30 2 3 3" xfId="14235" xr:uid="{EB9205C3-C998-417E-B4F7-9A23327A7BC9}"/>
    <cellStyle name="40% - Accent4 30 2 4" xfId="14236" xr:uid="{20CC1EB2-ED74-4234-A3D0-F1B2DD5D1FAB}"/>
    <cellStyle name="40% - Accent4 30 2 4 2" xfId="14237" xr:uid="{D2629B25-65E4-4DF4-BC96-CBFE64782494}"/>
    <cellStyle name="40% - Accent4 30 2 4 2 2" xfId="14238" xr:uid="{B1D4E7B3-347F-4286-BC5C-B4AF0C321516}"/>
    <cellStyle name="40% - Accent4 30 2 4 3" xfId="14239" xr:uid="{0C79FA3E-DF2E-421A-AB6B-4327DD2CD5CE}"/>
    <cellStyle name="40% - Accent4 30 2 5" xfId="14240" xr:uid="{C3C60C31-0BF7-406A-8FEE-26B882F44330}"/>
    <cellStyle name="40% - Accent4 30 2 5 2" xfId="14241" xr:uid="{5C4B1599-3D89-4B1D-B20E-92DAE79625ED}"/>
    <cellStyle name="40% - Accent4 30 2 6" xfId="14242" xr:uid="{17529579-0605-4544-93C5-96A24F465CDA}"/>
    <cellStyle name="40% - Accent4 30 3" xfId="14243" xr:uid="{B6C7D169-BFCE-4151-B311-1CD314B32DBF}"/>
    <cellStyle name="40% - Accent4 30 3 2" xfId="14244" xr:uid="{44350DD2-80DB-4E5A-87DD-AACCB7CBF84A}"/>
    <cellStyle name="40% - Accent4 30 3 2 2" xfId="14245" xr:uid="{4EBDF6F1-1B7E-452D-AC86-0A5504D464FA}"/>
    <cellStyle name="40% - Accent4 30 3 2 2 2" xfId="14246" xr:uid="{6557A1E5-AC70-42A0-9A73-0B33D091E460}"/>
    <cellStyle name="40% - Accent4 30 3 2 2 2 2" xfId="14247" xr:uid="{72B14D38-F3BF-4FEF-B07E-F39B68FFDD71}"/>
    <cellStyle name="40% - Accent4 30 3 2 2 3" xfId="14248" xr:uid="{A6690558-E5E1-495B-B509-2E01EF2493A8}"/>
    <cellStyle name="40% - Accent4 30 3 2 3" xfId="14249" xr:uid="{319B4A87-92DF-4E76-8708-93AE516F98BC}"/>
    <cellStyle name="40% - Accent4 30 3 2 3 2" xfId="14250" xr:uid="{7B7B2354-E8FE-47D3-8A4F-D9254340A436}"/>
    <cellStyle name="40% - Accent4 30 3 2 3 2 2" xfId="14251" xr:uid="{74FBA03D-8D3F-4160-B2CB-DBD424CDF13C}"/>
    <cellStyle name="40% - Accent4 30 3 2 3 3" xfId="14252" xr:uid="{FAC90DC0-C32E-4365-A371-DCC1E3FBF450}"/>
    <cellStyle name="40% - Accent4 30 3 2 4" xfId="14253" xr:uid="{C0E89DD5-AF9B-41AB-A6F5-19326B3011ED}"/>
    <cellStyle name="40% - Accent4 30 3 2 4 2" xfId="14254" xr:uid="{58C1CFF2-30D9-46C0-8B48-99C9C572F597}"/>
    <cellStyle name="40% - Accent4 30 3 2 5" xfId="14255" xr:uid="{08EDF948-2511-4C03-AB4E-586A156C3422}"/>
    <cellStyle name="40% - Accent4 30 3 3" xfId="14256" xr:uid="{09C3D927-B17B-42F5-99B3-A9ED64E20249}"/>
    <cellStyle name="40% - Accent4 30 3 3 2" xfId="14257" xr:uid="{5458A221-6F63-4A7D-AF16-9D7F2D970713}"/>
    <cellStyle name="40% - Accent4 30 3 3 2 2" xfId="14258" xr:uid="{3FD8FB21-A390-4618-BF1D-714A75A60151}"/>
    <cellStyle name="40% - Accent4 30 3 3 3" xfId="14259" xr:uid="{E33CBA5F-A65C-4081-949D-AA05E284BDE3}"/>
    <cellStyle name="40% - Accent4 30 3 4" xfId="14260" xr:uid="{C2B94C18-E247-406F-B574-0A0B44C5FDD1}"/>
    <cellStyle name="40% - Accent4 30 3 4 2" xfId="14261" xr:uid="{A52C9352-0339-44B7-ADC6-1D88C72DBBC5}"/>
    <cellStyle name="40% - Accent4 30 3 4 2 2" xfId="14262" xr:uid="{10D41954-506A-495C-83B0-CBEF129FE1B8}"/>
    <cellStyle name="40% - Accent4 30 3 4 3" xfId="14263" xr:uid="{D7BFD682-FB75-4142-A4CD-3534CFD75C54}"/>
    <cellStyle name="40% - Accent4 30 3 5" xfId="14264" xr:uid="{AFA2F0EB-2B21-484D-8CD6-3E2B299215C4}"/>
    <cellStyle name="40% - Accent4 30 3 5 2" xfId="14265" xr:uid="{E6FD411D-C134-498B-AB76-6865EAE37472}"/>
    <cellStyle name="40% - Accent4 30 3 6" xfId="14266" xr:uid="{75D63EC7-EF9E-407A-83AE-5D0092BA4416}"/>
    <cellStyle name="40% - Accent4 30 4" xfId="14267" xr:uid="{199EDEF2-7059-4E64-B0D7-D564564C138F}"/>
    <cellStyle name="40% - Accent4 30 4 2" xfId="14268" xr:uid="{8BFC30FB-502A-4852-82C2-BEA531493580}"/>
    <cellStyle name="40% - Accent4 30 4 2 2" xfId="14269" xr:uid="{5C6903BF-28FB-47FF-911D-A4FD425E8A5C}"/>
    <cellStyle name="40% - Accent4 30 4 2 2 2" xfId="14270" xr:uid="{4F2573AB-730B-43B0-88CE-20FE0683C319}"/>
    <cellStyle name="40% - Accent4 30 4 2 2 2 2" xfId="14271" xr:uid="{A7539957-653C-4FC2-B943-D7B2524CCEEA}"/>
    <cellStyle name="40% - Accent4 30 4 2 2 3" xfId="14272" xr:uid="{57B7BF8C-984B-4D35-BFE5-B509F7969AA1}"/>
    <cellStyle name="40% - Accent4 30 4 2 3" xfId="14273" xr:uid="{B894404A-6DED-4FAF-9CD9-0D9F999BB08F}"/>
    <cellStyle name="40% - Accent4 30 4 2 3 2" xfId="14274" xr:uid="{9D9C2781-CA1E-42E9-A81C-5BD59F0D71F3}"/>
    <cellStyle name="40% - Accent4 30 4 2 3 2 2" xfId="14275" xr:uid="{943C2BEE-8520-4386-AE15-CFBF77D3242C}"/>
    <cellStyle name="40% - Accent4 30 4 2 3 3" xfId="14276" xr:uid="{E6B38EB8-7050-4521-928E-9A8C65DF8CDC}"/>
    <cellStyle name="40% - Accent4 30 4 2 4" xfId="14277" xr:uid="{EF79B5C5-0B26-4B24-B39F-F1DE174A39C0}"/>
    <cellStyle name="40% - Accent4 30 4 2 4 2" xfId="14278" xr:uid="{6B15D9CB-C253-4AA3-A99A-96440BAAD5F4}"/>
    <cellStyle name="40% - Accent4 30 4 2 5" xfId="14279" xr:uid="{A07575EE-C951-447B-8DBC-FEA70F8B3510}"/>
    <cellStyle name="40% - Accent4 30 4 3" xfId="14280" xr:uid="{9364DF81-0B93-415D-84D2-74A7F5C95441}"/>
    <cellStyle name="40% - Accent4 30 4 3 2" xfId="14281" xr:uid="{9AF39FAB-D6DC-4236-BBDA-007532C93713}"/>
    <cellStyle name="40% - Accent4 30 4 3 2 2" xfId="14282" xr:uid="{4707F7C2-B81D-4968-B703-8E8DF121939F}"/>
    <cellStyle name="40% - Accent4 30 4 3 3" xfId="14283" xr:uid="{A08A7589-7A7A-4CA2-8257-44613770744D}"/>
    <cellStyle name="40% - Accent4 30 4 4" xfId="14284" xr:uid="{E6F5769F-C805-469A-8ABC-3F223D79D158}"/>
    <cellStyle name="40% - Accent4 30 4 4 2" xfId="14285" xr:uid="{CE885B62-553D-4E42-9A4B-27662CE1D2A1}"/>
    <cellStyle name="40% - Accent4 30 4 4 2 2" xfId="14286" xr:uid="{E85905D4-3C5C-40F8-BFA9-C169F56A1743}"/>
    <cellStyle name="40% - Accent4 30 4 4 3" xfId="14287" xr:uid="{A527C395-1914-419F-BF04-F7006D0C88E8}"/>
    <cellStyle name="40% - Accent4 30 4 5" xfId="14288" xr:uid="{E69CC77B-B0E6-4F7A-A015-E816072572FB}"/>
    <cellStyle name="40% - Accent4 30 4 5 2" xfId="14289" xr:uid="{C3260D32-27CD-4BF9-AB99-D1172656C950}"/>
    <cellStyle name="40% - Accent4 30 4 6" xfId="14290" xr:uid="{ED2107BC-2AA3-459F-BB37-DB064AF5E6C7}"/>
    <cellStyle name="40% - Accent4 30 5" xfId="14291" xr:uid="{2C033D6A-C9C9-475A-A967-F74938535C45}"/>
    <cellStyle name="40% - Accent4 30 5 2" xfId="14292" xr:uid="{656E0DEF-8427-47E2-A442-BD9A9D159B2C}"/>
    <cellStyle name="40% - Accent4 30 5 2 2" xfId="14293" xr:uid="{1B6085B1-BAC6-45B4-BB96-F90DFAD692E5}"/>
    <cellStyle name="40% - Accent4 30 5 2 2 2" xfId="14294" xr:uid="{84A28F23-4ABC-496E-BBBC-2498BA4E58F6}"/>
    <cellStyle name="40% - Accent4 30 5 2 2 2 2" xfId="14295" xr:uid="{41230F73-AD86-496B-9B73-48CAF4B4949E}"/>
    <cellStyle name="40% - Accent4 30 5 2 2 3" xfId="14296" xr:uid="{C3D7BBC7-EECE-445C-BE8D-4C127AC58E57}"/>
    <cellStyle name="40% - Accent4 30 5 2 3" xfId="14297" xr:uid="{859C9C16-5000-4DDB-8AB3-9F90F05E9970}"/>
    <cellStyle name="40% - Accent4 30 5 2 3 2" xfId="14298" xr:uid="{F9D1E1E3-FB88-4BA3-AED9-839D54CAF2AD}"/>
    <cellStyle name="40% - Accent4 30 5 2 3 2 2" xfId="14299" xr:uid="{D63CCE43-C710-4884-BEC2-DC87C62AA5E8}"/>
    <cellStyle name="40% - Accent4 30 5 2 3 3" xfId="14300" xr:uid="{0A6BC2CC-179F-437D-B980-8FE15EDFD48D}"/>
    <cellStyle name="40% - Accent4 30 5 2 4" xfId="14301" xr:uid="{08D62C58-5166-4829-AAF8-8DCF1CDF4EC4}"/>
    <cellStyle name="40% - Accent4 30 5 2 4 2" xfId="14302" xr:uid="{234D97C6-8E50-4445-9734-BB0631BA79FB}"/>
    <cellStyle name="40% - Accent4 30 5 2 5" xfId="14303" xr:uid="{AC8EC561-917C-43D0-856A-BED4C4457CC3}"/>
    <cellStyle name="40% - Accent4 30 5 3" xfId="14304" xr:uid="{FD6049A7-923D-4783-B90E-6A480CEF6E7B}"/>
    <cellStyle name="40% - Accent4 30 5 3 2" xfId="14305" xr:uid="{3EE83A7F-9020-48A6-BE0F-28D18C191C4D}"/>
    <cellStyle name="40% - Accent4 30 5 3 2 2" xfId="14306" xr:uid="{80632875-2B4D-4463-B7F0-828062EE60DE}"/>
    <cellStyle name="40% - Accent4 30 5 3 3" xfId="14307" xr:uid="{5FF32586-21AD-4E6B-B3DB-9C0FC95BAB01}"/>
    <cellStyle name="40% - Accent4 30 5 4" xfId="14308" xr:uid="{8AC7343D-C432-4017-8160-3B3863C8E45B}"/>
    <cellStyle name="40% - Accent4 30 5 4 2" xfId="14309" xr:uid="{44B21992-1117-4777-BEDD-8E436C6F60D9}"/>
    <cellStyle name="40% - Accent4 30 5 4 2 2" xfId="14310" xr:uid="{BD3CBF2B-3E42-45C0-AE72-BA2E20017DA2}"/>
    <cellStyle name="40% - Accent4 30 5 4 3" xfId="14311" xr:uid="{8E874247-9313-4B3A-9E85-A3CEBE6E04AF}"/>
    <cellStyle name="40% - Accent4 30 5 5" xfId="14312" xr:uid="{DD4D6EF4-0A3E-489A-914C-A982F2C9B7EB}"/>
    <cellStyle name="40% - Accent4 30 5 5 2" xfId="14313" xr:uid="{E7ADA52D-129A-4251-8F55-A1B317C3BF47}"/>
    <cellStyle name="40% - Accent4 30 5 6" xfId="14314" xr:uid="{78538BBB-C4FA-4CDE-A488-E5F2323976A0}"/>
    <cellStyle name="40% - Accent4 30 6" xfId="14315" xr:uid="{78314147-12CA-47F2-96B7-FF0A7B6F7F2E}"/>
    <cellStyle name="40% - Accent4 30 6 2" xfId="14316" xr:uid="{21E79D04-0CCB-4300-A377-CBD441EDB24B}"/>
    <cellStyle name="40% - Accent4 30 6 2 2" xfId="14317" xr:uid="{43FE17F5-FB71-4BFF-9F43-42D4B4A8453C}"/>
    <cellStyle name="40% - Accent4 30 6 2 2 2" xfId="14318" xr:uid="{446BB46F-1505-441F-911C-ADBDAA6990BF}"/>
    <cellStyle name="40% - Accent4 30 6 2 2 2 2" xfId="14319" xr:uid="{76670864-AAF7-49DD-9C68-9F6DEDD50C11}"/>
    <cellStyle name="40% - Accent4 30 6 2 2 3" xfId="14320" xr:uid="{74C2A347-C253-4771-971E-F89E65148765}"/>
    <cellStyle name="40% - Accent4 30 6 2 3" xfId="14321" xr:uid="{72D9CE47-11A9-45CC-A638-07E2761B1ACE}"/>
    <cellStyle name="40% - Accent4 30 6 2 3 2" xfId="14322" xr:uid="{D17B85E2-444B-49E0-820F-BA29464D97D2}"/>
    <cellStyle name="40% - Accent4 30 6 2 3 2 2" xfId="14323" xr:uid="{6CCD43ED-37BA-4630-ACD7-03A14EC7E869}"/>
    <cellStyle name="40% - Accent4 30 6 2 3 3" xfId="14324" xr:uid="{0876CE93-526A-481C-AA97-E953E2DB5C84}"/>
    <cellStyle name="40% - Accent4 30 6 2 4" xfId="14325" xr:uid="{C23C3D97-29ED-4725-9651-B2979C8D5D94}"/>
    <cellStyle name="40% - Accent4 30 6 2 4 2" xfId="14326" xr:uid="{6D939362-C9CE-4B82-AC6B-69FAAF962E6A}"/>
    <cellStyle name="40% - Accent4 30 6 2 5" xfId="14327" xr:uid="{A68D1F95-6D7D-4D81-9606-9E72DF1AED71}"/>
    <cellStyle name="40% - Accent4 30 6 3" xfId="14328" xr:uid="{8E70516C-4029-4B33-AB86-654CA60A98D8}"/>
    <cellStyle name="40% - Accent4 30 6 3 2" xfId="14329" xr:uid="{5EE2EF9E-82B3-420C-9BF1-DBD67B6E5FCE}"/>
    <cellStyle name="40% - Accent4 30 6 3 2 2" xfId="14330" xr:uid="{B7C6F80B-A1C9-4AFB-942F-09FA71095E37}"/>
    <cellStyle name="40% - Accent4 30 6 3 3" xfId="14331" xr:uid="{D0845CCA-24D8-43CA-AAD5-CDD2E2593F6B}"/>
    <cellStyle name="40% - Accent4 30 6 4" xfId="14332" xr:uid="{EB336B4C-DF74-48E7-9988-FF19F7208F0E}"/>
    <cellStyle name="40% - Accent4 30 6 4 2" xfId="14333" xr:uid="{382DE571-AA2F-430C-8EAB-5F2F715ED678}"/>
    <cellStyle name="40% - Accent4 30 6 4 2 2" xfId="14334" xr:uid="{D4AF64C3-88DC-47D5-8681-63A1A7D9C456}"/>
    <cellStyle name="40% - Accent4 30 6 4 3" xfId="14335" xr:uid="{39C63857-E524-4B9C-AC9A-07A471A26425}"/>
    <cellStyle name="40% - Accent4 30 6 5" xfId="14336" xr:uid="{BB939BB4-89D4-4CD1-9210-C98562E2FBAB}"/>
    <cellStyle name="40% - Accent4 30 6 5 2" xfId="14337" xr:uid="{F7C59BB1-2139-410A-BCAD-9975E00ED546}"/>
    <cellStyle name="40% - Accent4 30 6 6" xfId="14338" xr:uid="{CCDCE6E3-D0AF-4770-98B6-937DE4CFC762}"/>
    <cellStyle name="40% - Accent4 30 7" xfId="14339" xr:uid="{E5D7394F-6DF6-4017-ACFE-92D6E724F79A}"/>
    <cellStyle name="40% - Accent4 30 7 2" xfId="14340" xr:uid="{E4675F03-E162-4262-A726-75CAEAC035B1}"/>
    <cellStyle name="40% - Accent4 30 7 2 2" xfId="14341" xr:uid="{B444D116-7D53-496D-B006-ECA17EC64FF1}"/>
    <cellStyle name="40% - Accent4 30 7 2 2 2" xfId="14342" xr:uid="{EC1FA037-F537-4363-BEBD-D6A7CCA6947B}"/>
    <cellStyle name="40% - Accent4 30 7 2 2 2 2" xfId="14343" xr:uid="{8841B1E1-DC77-4CBC-81F0-D7C39BE4B7D4}"/>
    <cellStyle name="40% - Accent4 30 7 2 2 3" xfId="14344" xr:uid="{487A8F4A-403A-4C9C-B205-FD5CF0BA3C76}"/>
    <cellStyle name="40% - Accent4 30 7 2 3" xfId="14345" xr:uid="{90796325-1A98-40B1-A6D7-F255CCF0F236}"/>
    <cellStyle name="40% - Accent4 30 7 2 3 2" xfId="14346" xr:uid="{62236E1D-163F-4089-B439-77E53245CD89}"/>
    <cellStyle name="40% - Accent4 30 7 2 3 2 2" xfId="14347" xr:uid="{55E12B3B-2CAE-44FD-9AFF-2EFC99900A90}"/>
    <cellStyle name="40% - Accent4 30 7 2 3 3" xfId="14348" xr:uid="{86129AB1-99A0-4FE4-8E00-1F9225A5371F}"/>
    <cellStyle name="40% - Accent4 30 7 2 4" xfId="14349" xr:uid="{A79567F7-AC61-4A40-84F0-A1B2AFB15C7F}"/>
    <cellStyle name="40% - Accent4 30 7 2 4 2" xfId="14350" xr:uid="{0B8F8734-4798-4B96-B27D-19C177985E15}"/>
    <cellStyle name="40% - Accent4 30 7 2 5" xfId="14351" xr:uid="{08713FAD-3A25-4C1B-B07F-55BE92EBD303}"/>
    <cellStyle name="40% - Accent4 30 7 3" xfId="14352" xr:uid="{D016BA95-0E0B-48B7-861C-C7F1F52668A6}"/>
    <cellStyle name="40% - Accent4 30 7 3 2" xfId="14353" xr:uid="{D2E4360D-0B49-4B96-97FD-D59B95197678}"/>
    <cellStyle name="40% - Accent4 30 7 3 2 2" xfId="14354" xr:uid="{1AEDD5E4-3C6F-417A-9C33-BD1E6B00DCCA}"/>
    <cellStyle name="40% - Accent4 30 7 3 3" xfId="14355" xr:uid="{6B26F39E-9D8F-496B-89F0-1A4910A88514}"/>
    <cellStyle name="40% - Accent4 30 7 4" xfId="14356" xr:uid="{EF0E282E-2B39-47DE-A869-8287BE4125C3}"/>
    <cellStyle name="40% - Accent4 30 7 4 2" xfId="14357" xr:uid="{3E8526CA-F4C9-4902-9E0E-E9377403DD39}"/>
    <cellStyle name="40% - Accent4 30 7 4 2 2" xfId="14358" xr:uid="{A3302E6B-98A2-41B6-B385-69F196832083}"/>
    <cellStyle name="40% - Accent4 30 7 4 3" xfId="14359" xr:uid="{5B11835D-2B13-4BED-8264-038C992C9EDC}"/>
    <cellStyle name="40% - Accent4 30 7 5" xfId="14360" xr:uid="{1EDD625E-039A-42BD-AA3B-82785BA9F7E4}"/>
    <cellStyle name="40% - Accent4 30 7 5 2" xfId="14361" xr:uid="{C7EB3E54-2F90-4360-9BC0-F5D7228C9DD1}"/>
    <cellStyle name="40% - Accent4 30 7 6" xfId="14362" xr:uid="{626F295B-6B75-491F-9C56-59EC4128BB82}"/>
    <cellStyle name="40% - Accent4 30 8" xfId="14363" xr:uid="{0127D520-9684-49FB-A6F3-205405B0FFF7}"/>
    <cellStyle name="40% - Accent4 30 8 2" xfId="14364" xr:uid="{FF4E2E02-D136-4A7B-B012-B6DB1B3F9E8F}"/>
    <cellStyle name="40% - Accent4 30 8 2 2" xfId="14365" xr:uid="{F828DE48-D65C-46BF-92F3-B5677AB86CC4}"/>
    <cellStyle name="40% - Accent4 30 8 2 2 2" xfId="14366" xr:uid="{76EF60DB-E880-42E9-8925-858E006593D1}"/>
    <cellStyle name="40% - Accent4 30 8 2 2 2 2" xfId="14367" xr:uid="{8BA8194C-9506-4ECE-AFD4-14356C4A9990}"/>
    <cellStyle name="40% - Accent4 30 8 2 2 3" xfId="14368" xr:uid="{BC05872C-CA1A-45F3-85EF-32FFAE671981}"/>
    <cellStyle name="40% - Accent4 30 8 2 3" xfId="14369" xr:uid="{72917DB7-D39B-4496-BC20-C35DDD60BD0A}"/>
    <cellStyle name="40% - Accent4 30 8 2 3 2" xfId="14370" xr:uid="{816B9B38-6544-4464-A5E2-090FC4336422}"/>
    <cellStyle name="40% - Accent4 30 8 2 3 2 2" xfId="14371" xr:uid="{E2E67F98-1914-4057-873E-A49B0DBB00BB}"/>
    <cellStyle name="40% - Accent4 30 8 2 3 3" xfId="14372" xr:uid="{01324ADF-2257-4681-B8F3-61F51F710F7F}"/>
    <cellStyle name="40% - Accent4 30 8 2 4" xfId="14373" xr:uid="{598858F4-9746-4763-A9C6-000678CED28C}"/>
    <cellStyle name="40% - Accent4 30 8 2 4 2" xfId="14374" xr:uid="{6E40C2D2-E86E-4130-A071-8DAC988D43F7}"/>
    <cellStyle name="40% - Accent4 30 8 2 5" xfId="14375" xr:uid="{28BFD377-005E-4790-A1AC-B2346EA872AB}"/>
    <cellStyle name="40% - Accent4 30 8 3" xfId="14376" xr:uid="{254EAF13-FEF5-45F2-A213-06B0A4D37B69}"/>
    <cellStyle name="40% - Accent4 30 8 3 2" xfId="14377" xr:uid="{2D818433-2D69-4AA7-9464-E58206928554}"/>
    <cellStyle name="40% - Accent4 30 8 3 2 2" xfId="14378" xr:uid="{B23CDE90-1860-4959-99D2-19FC7DDC7ED9}"/>
    <cellStyle name="40% - Accent4 30 8 3 3" xfId="14379" xr:uid="{55A206A0-BF27-45D5-9D2B-2385A3760D40}"/>
    <cellStyle name="40% - Accent4 30 8 4" xfId="14380" xr:uid="{93BE52EA-1436-48F6-BDF9-E2C643165020}"/>
    <cellStyle name="40% - Accent4 30 8 4 2" xfId="14381" xr:uid="{138C2EB1-B4FD-4647-9578-457FB9ECA0C6}"/>
    <cellStyle name="40% - Accent4 30 8 4 2 2" xfId="14382" xr:uid="{8815FF5C-F22D-4688-894F-D52676001407}"/>
    <cellStyle name="40% - Accent4 30 8 4 3" xfId="14383" xr:uid="{662E967C-01F8-48B9-AEAD-AA19D00F5AD6}"/>
    <cellStyle name="40% - Accent4 30 8 5" xfId="14384" xr:uid="{FA641790-4EB4-4604-B1A0-181C31A6A54E}"/>
    <cellStyle name="40% - Accent4 30 8 5 2" xfId="14385" xr:uid="{6339AC41-DDAE-4E62-9F44-2FDC8CC74EAD}"/>
    <cellStyle name="40% - Accent4 30 8 6" xfId="14386" xr:uid="{15C8E877-CEDD-41BE-A580-FC2E00BF4EDD}"/>
    <cellStyle name="40% - Accent4 30 9" xfId="14387" xr:uid="{11F1BA76-9894-4816-B7CF-0CC48209E0B4}"/>
    <cellStyle name="40% - Accent4 30 9 2" xfId="14388" xr:uid="{F554F79B-20F4-4062-9549-C2FE258CAC23}"/>
    <cellStyle name="40% - Accent4 30 9 2 2" xfId="14389" xr:uid="{7BF1AD94-2E00-4D72-A00E-4185F084E0EF}"/>
    <cellStyle name="40% - Accent4 30 9 2 2 2" xfId="14390" xr:uid="{147D500D-91FD-4072-AAA2-C1893A86FA64}"/>
    <cellStyle name="40% - Accent4 30 9 2 2 2 2" xfId="14391" xr:uid="{F16F5948-0E99-4AEC-BF4D-2A01BBC25E60}"/>
    <cellStyle name="40% - Accent4 30 9 2 2 3" xfId="14392" xr:uid="{61A67079-9458-41E4-B554-725371F31DC7}"/>
    <cellStyle name="40% - Accent4 30 9 2 3" xfId="14393" xr:uid="{3B189EC4-BA32-474D-A993-74123E654326}"/>
    <cellStyle name="40% - Accent4 30 9 2 3 2" xfId="14394" xr:uid="{211C19DA-528F-4095-B586-F8B182E047F4}"/>
    <cellStyle name="40% - Accent4 30 9 2 3 2 2" xfId="14395" xr:uid="{6AE0F68D-4361-4773-90EC-FEA6E4AD3E7D}"/>
    <cellStyle name="40% - Accent4 30 9 2 3 3" xfId="14396" xr:uid="{42FD0632-588F-4AF6-BC9B-8A44B353FB0F}"/>
    <cellStyle name="40% - Accent4 30 9 2 4" xfId="14397" xr:uid="{3C6B6956-F765-40CF-9479-ACB2667BE1D9}"/>
    <cellStyle name="40% - Accent4 30 9 2 4 2" xfId="14398" xr:uid="{CC15104A-A3D9-4815-960C-AE84C08E07F1}"/>
    <cellStyle name="40% - Accent4 30 9 2 5" xfId="14399" xr:uid="{D21C58FF-A0E6-4912-8C0F-B19F8C4A7D7D}"/>
    <cellStyle name="40% - Accent4 30 9 3" xfId="14400" xr:uid="{7A16C994-076B-48EC-BA71-BF35D74DFEE9}"/>
    <cellStyle name="40% - Accent4 30 9 3 2" xfId="14401" xr:uid="{BEB84E66-0DC0-47B3-BB02-AA525D39B384}"/>
    <cellStyle name="40% - Accent4 30 9 3 2 2" xfId="14402" xr:uid="{34ED49EB-726C-477B-B10F-8F5B165C2B8F}"/>
    <cellStyle name="40% - Accent4 30 9 3 3" xfId="14403" xr:uid="{26BDFA5E-1772-4627-8D49-64909DCE5BC2}"/>
    <cellStyle name="40% - Accent4 30 9 4" xfId="14404" xr:uid="{C2A58EC3-47AA-440F-8CB0-D7D6928DA272}"/>
    <cellStyle name="40% - Accent4 30 9 4 2" xfId="14405" xr:uid="{6A899FED-72CB-4E54-A1C8-AFFD1D7EE091}"/>
    <cellStyle name="40% - Accent4 30 9 4 2 2" xfId="14406" xr:uid="{4CFA77A0-19E8-4C27-A8F1-C0D5F653C5EA}"/>
    <cellStyle name="40% - Accent4 30 9 4 3" xfId="14407" xr:uid="{6146885F-8B45-4F03-8D9B-19D7BA189D0B}"/>
    <cellStyle name="40% - Accent4 30 9 5" xfId="14408" xr:uid="{CDBD97B5-6BE5-43E8-98BF-9CD8598273AB}"/>
    <cellStyle name="40% - Accent4 30 9 5 2" xfId="14409" xr:uid="{FDF16153-977A-4391-A726-E6717EBCEA31}"/>
    <cellStyle name="40% - Accent4 30 9 6" xfId="14410" xr:uid="{006E9EB8-0BC3-4DC0-A503-F354C34815E9}"/>
    <cellStyle name="40% - Accent4 31" xfId="14411" xr:uid="{6A141EB3-6BF4-44F9-AFA7-61273FC853B7}"/>
    <cellStyle name="40% - Accent4 31 10" xfId="14412" xr:uid="{75A4821A-C4E9-4EE4-B4D0-1767B598D714}"/>
    <cellStyle name="40% - Accent4 31 10 2" xfId="14413" xr:uid="{070F673E-994C-489E-B9E8-6C81F34DB792}"/>
    <cellStyle name="40% - Accent4 31 10 2 2" xfId="14414" xr:uid="{244B5734-F858-46AA-8082-6396CEC86658}"/>
    <cellStyle name="40% - Accent4 31 10 2 2 2" xfId="14415" xr:uid="{75E5245C-DC41-4119-9451-BF483E02BE19}"/>
    <cellStyle name="40% - Accent4 31 10 2 2 2 2" xfId="14416" xr:uid="{AAA2E262-52D7-4DF5-B11F-E6E417844F2D}"/>
    <cellStyle name="40% - Accent4 31 10 2 2 3" xfId="14417" xr:uid="{FB02E959-AC36-4CBE-9424-7E587F2A2793}"/>
    <cellStyle name="40% - Accent4 31 10 2 3" xfId="14418" xr:uid="{D46C4E08-4927-4997-9098-F81772A96188}"/>
    <cellStyle name="40% - Accent4 31 10 2 3 2" xfId="14419" xr:uid="{4B3A2C4F-573D-4E9A-9E8C-FFD01FCF2ED0}"/>
    <cellStyle name="40% - Accent4 31 10 2 3 2 2" xfId="14420" xr:uid="{ED01B926-0AFA-498E-B7C6-37272DE8382D}"/>
    <cellStyle name="40% - Accent4 31 10 2 3 3" xfId="14421" xr:uid="{CBE5C18F-B2B4-4EF1-B557-9A882643A97C}"/>
    <cellStyle name="40% - Accent4 31 10 2 4" xfId="14422" xr:uid="{F3DA2146-FE37-40D4-BAAB-C2B3A292F9DF}"/>
    <cellStyle name="40% - Accent4 31 10 2 4 2" xfId="14423" xr:uid="{AAF0BC73-8E9F-4C04-A611-1BDDE559130B}"/>
    <cellStyle name="40% - Accent4 31 10 2 5" xfId="14424" xr:uid="{45CBCB1F-21B5-45A5-BD1E-2B4E908E0F23}"/>
    <cellStyle name="40% - Accent4 31 10 3" xfId="14425" xr:uid="{FC67059B-DC53-4E59-B3E1-F1C4CC77624C}"/>
    <cellStyle name="40% - Accent4 31 10 3 2" xfId="14426" xr:uid="{353E4EF6-F21F-4C53-A778-D60D134C118A}"/>
    <cellStyle name="40% - Accent4 31 10 3 2 2" xfId="14427" xr:uid="{1679A906-11C7-4C5E-85AF-DEB5752A06E1}"/>
    <cellStyle name="40% - Accent4 31 10 3 3" xfId="14428" xr:uid="{1B3CF283-07C4-4911-B709-4DD60A8CF216}"/>
    <cellStyle name="40% - Accent4 31 10 4" xfId="14429" xr:uid="{C77269EA-2FE9-4224-9BCD-EC729C596AA1}"/>
    <cellStyle name="40% - Accent4 31 10 4 2" xfId="14430" xr:uid="{6EE49F4C-5D80-4D97-A6A2-B640766F8C48}"/>
    <cellStyle name="40% - Accent4 31 10 4 2 2" xfId="14431" xr:uid="{56CB3816-83E1-4E2F-81F7-2598FA3B3D52}"/>
    <cellStyle name="40% - Accent4 31 10 4 3" xfId="14432" xr:uid="{2868C699-A646-4912-9E9D-FDC6470668B6}"/>
    <cellStyle name="40% - Accent4 31 10 5" xfId="14433" xr:uid="{D0976FF2-2E26-4B8A-9DAF-497DC195B8C2}"/>
    <cellStyle name="40% - Accent4 31 10 5 2" xfId="14434" xr:uid="{A33BE98E-5EBF-43C0-B400-0B23D4FBFA4A}"/>
    <cellStyle name="40% - Accent4 31 10 6" xfId="14435" xr:uid="{E7BE719B-A670-4356-B3BE-AD6ECFE47576}"/>
    <cellStyle name="40% - Accent4 31 11" xfId="14436" xr:uid="{F6AE4257-1390-41D1-B2B8-A23E98D9300D}"/>
    <cellStyle name="40% - Accent4 31 11 2" xfId="14437" xr:uid="{309D440A-D8E9-4BAD-BFAD-95E5AF608787}"/>
    <cellStyle name="40% - Accent4 31 11 2 2" xfId="14438" xr:uid="{E1B98297-8FE0-4391-A138-75067ECA03B4}"/>
    <cellStyle name="40% - Accent4 31 11 2 2 2" xfId="14439" xr:uid="{171ECADB-C79B-4512-B70B-402B3AECDD40}"/>
    <cellStyle name="40% - Accent4 31 11 2 3" xfId="14440" xr:uid="{7333BE54-4F45-4423-8CE2-D51479662C20}"/>
    <cellStyle name="40% - Accent4 31 11 3" xfId="14441" xr:uid="{0B05DD73-95F1-4D3C-ADDC-42FC78AC22F1}"/>
    <cellStyle name="40% - Accent4 31 11 3 2" xfId="14442" xr:uid="{EDD96DF8-F249-4D75-A82E-0BB76A835B72}"/>
    <cellStyle name="40% - Accent4 31 11 3 2 2" xfId="14443" xr:uid="{0C4B2DA9-6A13-42A8-BE20-F3A1CFD92BDB}"/>
    <cellStyle name="40% - Accent4 31 11 3 3" xfId="14444" xr:uid="{0AF5ED91-A126-45A6-9F91-84F362264247}"/>
    <cellStyle name="40% - Accent4 31 11 4" xfId="14445" xr:uid="{0C0F77DE-ECC1-4D57-B330-14912A75F018}"/>
    <cellStyle name="40% - Accent4 31 11 4 2" xfId="14446" xr:uid="{16057712-E79D-4D32-8C01-DD452831ABE5}"/>
    <cellStyle name="40% - Accent4 31 11 5" xfId="14447" xr:uid="{B790268A-10A1-4539-A8DC-6068FDE97A1F}"/>
    <cellStyle name="40% - Accent4 31 12" xfId="14448" xr:uid="{B334AB81-12C6-4425-9730-44867094845F}"/>
    <cellStyle name="40% - Accent4 31 12 2" xfId="14449" xr:uid="{7D077805-4C1D-4052-BF8B-1965452B77D3}"/>
    <cellStyle name="40% - Accent4 31 12 2 2" xfId="14450" xr:uid="{5A68A14E-5AA2-42C7-89F4-20E68E039AB2}"/>
    <cellStyle name="40% - Accent4 31 12 3" xfId="14451" xr:uid="{4F458F53-F150-4892-8C94-1453393019AD}"/>
    <cellStyle name="40% - Accent4 31 13" xfId="14452" xr:uid="{B8296A3E-598B-4720-9C6E-45509AB2A4FA}"/>
    <cellStyle name="40% - Accent4 31 13 2" xfId="14453" xr:uid="{E1AF88FC-9F65-4889-962B-D5E4AECE9D18}"/>
    <cellStyle name="40% - Accent4 31 13 2 2" xfId="14454" xr:uid="{74E2A7B0-A253-4BEA-A5CA-EA94E12707FA}"/>
    <cellStyle name="40% - Accent4 31 13 3" xfId="14455" xr:uid="{81A39470-52AB-4550-8915-45601CBB007C}"/>
    <cellStyle name="40% - Accent4 31 14" xfId="14456" xr:uid="{26C0AB02-4808-4050-ABE2-81AE048FB43D}"/>
    <cellStyle name="40% - Accent4 31 14 2" xfId="14457" xr:uid="{BC44F9C4-DE85-4C19-8A8A-591789AD5160}"/>
    <cellStyle name="40% - Accent4 31 15" xfId="14458" xr:uid="{863A9F81-C05F-426D-9976-53E67DFBFC60}"/>
    <cellStyle name="40% - Accent4 31 16" xfId="37347" xr:uid="{EE753C8F-D19C-4386-9F22-FCFE246C8198}"/>
    <cellStyle name="40% - Accent4 31 2" xfId="14459" xr:uid="{8DB2DE3A-DF5D-463F-B2FB-51C59D806557}"/>
    <cellStyle name="40% - Accent4 31 2 2" xfId="14460" xr:uid="{F2A3ABA6-A9A8-4F7E-B810-7E82CB15F05D}"/>
    <cellStyle name="40% - Accent4 31 2 2 2" xfId="14461" xr:uid="{A408A62B-FEA9-4F19-8DF8-6E7CE596A82D}"/>
    <cellStyle name="40% - Accent4 31 2 2 2 2" xfId="14462" xr:uid="{C246AA75-5933-4C4C-9EA8-1214BB5B8251}"/>
    <cellStyle name="40% - Accent4 31 2 2 2 2 2" xfId="14463" xr:uid="{4F50469F-4D97-4754-AC50-2571A5BEAB28}"/>
    <cellStyle name="40% - Accent4 31 2 2 2 3" xfId="14464" xr:uid="{667D790E-0D06-496A-A0FD-4DAD04EA1FA0}"/>
    <cellStyle name="40% - Accent4 31 2 2 3" xfId="14465" xr:uid="{FE7B0E83-FCDC-48CF-9FC2-D979119E8EB9}"/>
    <cellStyle name="40% - Accent4 31 2 2 3 2" xfId="14466" xr:uid="{60475407-814E-4681-BD6F-62CAF4272D29}"/>
    <cellStyle name="40% - Accent4 31 2 2 3 2 2" xfId="14467" xr:uid="{411CE32B-28DA-48B4-B4DC-7D0ECC768ADB}"/>
    <cellStyle name="40% - Accent4 31 2 2 3 3" xfId="14468" xr:uid="{8BA1A8CD-6CCD-4E4E-A7BD-5112EF824030}"/>
    <cellStyle name="40% - Accent4 31 2 2 4" xfId="14469" xr:uid="{E3CA725F-82B1-4A37-A94C-86D1AB6D4EF3}"/>
    <cellStyle name="40% - Accent4 31 2 2 4 2" xfId="14470" xr:uid="{5401789B-B7EA-42B3-81B6-B7F0C9EF67E3}"/>
    <cellStyle name="40% - Accent4 31 2 2 5" xfId="14471" xr:uid="{396DB7CB-0A4E-4BBB-90C8-97CC53EB8986}"/>
    <cellStyle name="40% - Accent4 31 2 3" xfId="14472" xr:uid="{B00FAED2-480F-44CF-9025-B1A2D8E71B8D}"/>
    <cellStyle name="40% - Accent4 31 2 3 2" xfId="14473" xr:uid="{1443D928-D505-4E9B-B3EA-A4F1A69290BE}"/>
    <cellStyle name="40% - Accent4 31 2 3 2 2" xfId="14474" xr:uid="{F9BD00E2-D8A1-4EBF-ADEA-42D061B4EEDF}"/>
    <cellStyle name="40% - Accent4 31 2 3 3" xfId="14475" xr:uid="{DCCD07E9-BCE5-46FE-BDD6-858B980DE9FE}"/>
    <cellStyle name="40% - Accent4 31 2 4" xfId="14476" xr:uid="{AEF5D8C4-C667-4C4C-8CAA-231D9FE561D0}"/>
    <cellStyle name="40% - Accent4 31 2 4 2" xfId="14477" xr:uid="{35FBF9C3-F75A-4525-A928-35721C5C50E2}"/>
    <cellStyle name="40% - Accent4 31 2 4 2 2" xfId="14478" xr:uid="{6C4E5D44-882E-4040-95DD-DA850882B412}"/>
    <cellStyle name="40% - Accent4 31 2 4 3" xfId="14479" xr:uid="{3A7947F0-55E8-4896-9480-960C123EBA3B}"/>
    <cellStyle name="40% - Accent4 31 2 5" xfId="14480" xr:uid="{23B57F3F-2B0F-4E3C-AAD2-246FDA9C7A08}"/>
    <cellStyle name="40% - Accent4 31 2 5 2" xfId="14481" xr:uid="{6B75C566-A0E6-4AD9-8AB6-7E0A5E9D7A84}"/>
    <cellStyle name="40% - Accent4 31 2 6" xfId="14482" xr:uid="{C1CDB057-58AB-41C2-B9E1-6573FF3BC75F}"/>
    <cellStyle name="40% - Accent4 31 3" xfId="14483" xr:uid="{E9D0D790-6D08-4EEF-8051-2561E9765E02}"/>
    <cellStyle name="40% - Accent4 31 3 2" xfId="14484" xr:uid="{B1976B4F-D097-4650-A1DF-A4CF83DC6AE1}"/>
    <cellStyle name="40% - Accent4 31 3 2 2" xfId="14485" xr:uid="{4F35C557-0D64-4A02-AF65-630F4B20F0AF}"/>
    <cellStyle name="40% - Accent4 31 3 2 2 2" xfId="14486" xr:uid="{994BDDFB-4D4F-41DB-B545-B35DC7AF8D1B}"/>
    <cellStyle name="40% - Accent4 31 3 2 2 2 2" xfId="14487" xr:uid="{0FC95B2B-F81E-449C-B64C-EF44CFD22785}"/>
    <cellStyle name="40% - Accent4 31 3 2 2 3" xfId="14488" xr:uid="{3F9DD17B-3FA9-45C8-AA06-F9A196F3217C}"/>
    <cellStyle name="40% - Accent4 31 3 2 3" xfId="14489" xr:uid="{936E6F62-5AA1-4BE6-9D7B-107A41CA5656}"/>
    <cellStyle name="40% - Accent4 31 3 2 3 2" xfId="14490" xr:uid="{ABBBB074-5866-4621-A624-7E7033D4D762}"/>
    <cellStyle name="40% - Accent4 31 3 2 3 2 2" xfId="14491" xr:uid="{B95DEF7F-CDB1-4AAB-9DE4-513723314C15}"/>
    <cellStyle name="40% - Accent4 31 3 2 3 3" xfId="14492" xr:uid="{F6C7A0E2-5DE4-4BDC-BC27-EDE959BE8535}"/>
    <cellStyle name="40% - Accent4 31 3 2 4" xfId="14493" xr:uid="{DCD96100-E186-4434-B346-D3847E455981}"/>
    <cellStyle name="40% - Accent4 31 3 2 4 2" xfId="14494" xr:uid="{94FC4AC2-54B1-4BB0-AA35-5E3C50E12CD2}"/>
    <cellStyle name="40% - Accent4 31 3 2 5" xfId="14495" xr:uid="{91426F1D-4903-4467-A3F4-893DCABDA835}"/>
    <cellStyle name="40% - Accent4 31 3 3" xfId="14496" xr:uid="{BD34D289-251A-4107-B09E-1C9F2AA7A9F1}"/>
    <cellStyle name="40% - Accent4 31 3 3 2" xfId="14497" xr:uid="{AEC41AA1-067D-4E44-9BA7-F7A0A83469D2}"/>
    <cellStyle name="40% - Accent4 31 3 3 2 2" xfId="14498" xr:uid="{B6A4A834-E4EE-4094-8096-4291E4EEECAB}"/>
    <cellStyle name="40% - Accent4 31 3 3 3" xfId="14499" xr:uid="{383C9D25-1171-4C45-AEC3-ED04124E3B07}"/>
    <cellStyle name="40% - Accent4 31 3 4" xfId="14500" xr:uid="{1AAFF2FA-725F-4F2E-A6D5-32E3F26EE73F}"/>
    <cellStyle name="40% - Accent4 31 3 4 2" xfId="14501" xr:uid="{5660A4CC-B826-4E5D-AE67-336AF5FEEA83}"/>
    <cellStyle name="40% - Accent4 31 3 4 2 2" xfId="14502" xr:uid="{7C106A6D-21D3-4251-A4E1-86E717630E76}"/>
    <cellStyle name="40% - Accent4 31 3 4 3" xfId="14503" xr:uid="{A91C11FE-B825-4C8D-A0A2-8C5F0AD2EADB}"/>
    <cellStyle name="40% - Accent4 31 3 5" xfId="14504" xr:uid="{3CED4713-B7E3-444C-9255-451232352347}"/>
    <cellStyle name="40% - Accent4 31 3 5 2" xfId="14505" xr:uid="{FD6DC37E-F06D-4E1E-9AA9-0231726899E9}"/>
    <cellStyle name="40% - Accent4 31 3 6" xfId="14506" xr:uid="{603D4170-DFE5-4629-B9EB-0AEDC2EE75DC}"/>
    <cellStyle name="40% - Accent4 31 4" xfId="14507" xr:uid="{D4D96F06-FEED-47CB-8773-3D51A8E9A9F8}"/>
    <cellStyle name="40% - Accent4 31 4 2" xfId="14508" xr:uid="{FC8B6DA4-0578-4E2C-8BE0-6036C4190CEA}"/>
    <cellStyle name="40% - Accent4 31 4 2 2" xfId="14509" xr:uid="{3A9A8BBD-01C4-45D9-8D28-91665D4038D2}"/>
    <cellStyle name="40% - Accent4 31 4 2 2 2" xfId="14510" xr:uid="{6B37E314-C7AC-4195-821D-08182E218B89}"/>
    <cellStyle name="40% - Accent4 31 4 2 2 2 2" xfId="14511" xr:uid="{8D6C4A64-603B-4E00-A61E-4FAE5E669EE1}"/>
    <cellStyle name="40% - Accent4 31 4 2 2 3" xfId="14512" xr:uid="{3B89EA65-6379-4803-AAFF-5A8B73E750D9}"/>
    <cellStyle name="40% - Accent4 31 4 2 3" xfId="14513" xr:uid="{A609255E-FFF7-4CEE-8853-F96D8F0FF1AD}"/>
    <cellStyle name="40% - Accent4 31 4 2 3 2" xfId="14514" xr:uid="{7AF09ACE-EE20-4CDC-A682-B13A3613E8EC}"/>
    <cellStyle name="40% - Accent4 31 4 2 3 2 2" xfId="14515" xr:uid="{713FE018-577E-4052-9C9A-EE57625FCA47}"/>
    <cellStyle name="40% - Accent4 31 4 2 3 3" xfId="14516" xr:uid="{53B24D65-F158-468F-8E1A-8F3B01211925}"/>
    <cellStyle name="40% - Accent4 31 4 2 4" xfId="14517" xr:uid="{94F28BDF-78E7-4802-BDFA-2B726CFD50E1}"/>
    <cellStyle name="40% - Accent4 31 4 2 4 2" xfId="14518" xr:uid="{5B09102B-02EC-4E19-9646-B67948B28539}"/>
    <cellStyle name="40% - Accent4 31 4 2 5" xfId="14519" xr:uid="{98772D78-8BF6-406D-9FD1-D1BA9BACDC7E}"/>
    <cellStyle name="40% - Accent4 31 4 3" xfId="14520" xr:uid="{67AEB8A1-6863-4658-B5B5-D77F23D074CC}"/>
    <cellStyle name="40% - Accent4 31 4 3 2" xfId="14521" xr:uid="{467B0D76-95B3-45BB-B1E7-7A961192FB5E}"/>
    <cellStyle name="40% - Accent4 31 4 3 2 2" xfId="14522" xr:uid="{43FECC67-D4F0-46B2-89E5-FD4C3AD9B003}"/>
    <cellStyle name="40% - Accent4 31 4 3 3" xfId="14523" xr:uid="{5B4240A4-F86E-4A87-B3D1-387F0F682BE4}"/>
    <cellStyle name="40% - Accent4 31 4 4" xfId="14524" xr:uid="{89C83257-8751-4D58-85AA-E5E1748114EF}"/>
    <cellStyle name="40% - Accent4 31 4 4 2" xfId="14525" xr:uid="{08EE59AB-277A-4991-83E0-F6A796DFB907}"/>
    <cellStyle name="40% - Accent4 31 4 4 2 2" xfId="14526" xr:uid="{55657E50-4B60-49DA-88A7-2CFEECA8A57F}"/>
    <cellStyle name="40% - Accent4 31 4 4 3" xfId="14527" xr:uid="{2453571D-4BEF-4A15-9916-1BF9A07DD768}"/>
    <cellStyle name="40% - Accent4 31 4 5" xfId="14528" xr:uid="{4F880518-65F9-4602-B47C-46D711C96591}"/>
    <cellStyle name="40% - Accent4 31 4 5 2" xfId="14529" xr:uid="{1478250F-E272-4307-B954-39B1BE72746E}"/>
    <cellStyle name="40% - Accent4 31 4 6" xfId="14530" xr:uid="{7E42658B-1797-489D-A1B0-F3AFDB16304D}"/>
    <cellStyle name="40% - Accent4 31 5" xfId="14531" xr:uid="{C73F5C6C-0806-41B9-93F1-B5623AA6142F}"/>
    <cellStyle name="40% - Accent4 31 5 2" xfId="14532" xr:uid="{25857586-247E-42F1-93E1-73A719112BEB}"/>
    <cellStyle name="40% - Accent4 31 5 2 2" xfId="14533" xr:uid="{22FA3214-3259-48A8-912B-34AAFE8D8DC9}"/>
    <cellStyle name="40% - Accent4 31 5 2 2 2" xfId="14534" xr:uid="{4EF2247F-A7A9-4D5C-8A4A-62BC291B442C}"/>
    <cellStyle name="40% - Accent4 31 5 2 2 2 2" xfId="14535" xr:uid="{B05054CE-A099-40E1-AB94-F148198A9900}"/>
    <cellStyle name="40% - Accent4 31 5 2 2 3" xfId="14536" xr:uid="{0042F141-8A31-4593-9380-285DD6B783C9}"/>
    <cellStyle name="40% - Accent4 31 5 2 3" xfId="14537" xr:uid="{49549125-4132-40CE-9370-98ADC7018BFF}"/>
    <cellStyle name="40% - Accent4 31 5 2 3 2" xfId="14538" xr:uid="{550139A0-BE9E-4A6B-BA5D-34DD043C5D6C}"/>
    <cellStyle name="40% - Accent4 31 5 2 3 2 2" xfId="14539" xr:uid="{4A183290-CDEA-43F7-8488-DD6E6954B732}"/>
    <cellStyle name="40% - Accent4 31 5 2 3 3" xfId="14540" xr:uid="{D82F44A9-0275-4D4C-8178-3B452B895E8D}"/>
    <cellStyle name="40% - Accent4 31 5 2 4" xfId="14541" xr:uid="{9EBB0962-83FD-4242-8BD1-CD5035D8B0DC}"/>
    <cellStyle name="40% - Accent4 31 5 2 4 2" xfId="14542" xr:uid="{509226E3-7290-4C8D-99E4-802A02E36A51}"/>
    <cellStyle name="40% - Accent4 31 5 2 5" xfId="14543" xr:uid="{69AD58FF-4CA1-4829-A32F-495A3A58FE81}"/>
    <cellStyle name="40% - Accent4 31 5 3" xfId="14544" xr:uid="{EE89AD43-A7CF-48A1-B830-AD08A61A363B}"/>
    <cellStyle name="40% - Accent4 31 5 3 2" xfId="14545" xr:uid="{D7EE8DA0-4B6D-44B8-81A2-B818B2785F8E}"/>
    <cellStyle name="40% - Accent4 31 5 3 2 2" xfId="14546" xr:uid="{923D8EF8-666C-4994-BAC6-84A8A105FC61}"/>
    <cellStyle name="40% - Accent4 31 5 3 3" xfId="14547" xr:uid="{D2AA629B-7B99-4929-B616-FCD4B3CA19F6}"/>
    <cellStyle name="40% - Accent4 31 5 4" xfId="14548" xr:uid="{10B5B7EC-B896-46C3-831D-2F4AA7A17C7F}"/>
    <cellStyle name="40% - Accent4 31 5 4 2" xfId="14549" xr:uid="{5D6D71EB-2D1D-4DA4-B866-FA8A2A1F5FA3}"/>
    <cellStyle name="40% - Accent4 31 5 4 2 2" xfId="14550" xr:uid="{127D47D7-B098-48C6-9601-5B253B1A6A0A}"/>
    <cellStyle name="40% - Accent4 31 5 4 3" xfId="14551" xr:uid="{FECE6F3F-1BEB-49B1-8545-F565B47E3663}"/>
    <cellStyle name="40% - Accent4 31 5 5" xfId="14552" xr:uid="{602E7E01-D0EB-4821-9843-22BB80FAD397}"/>
    <cellStyle name="40% - Accent4 31 5 5 2" xfId="14553" xr:uid="{7862F8DE-6258-44FA-8C9C-567565DAC5EE}"/>
    <cellStyle name="40% - Accent4 31 5 6" xfId="14554" xr:uid="{DFD30E16-8455-4D93-81A1-EB4F39D3F135}"/>
    <cellStyle name="40% - Accent4 31 6" xfId="14555" xr:uid="{5D8B10FD-A04D-4EDC-BC87-0E360DE4E91B}"/>
    <cellStyle name="40% - Accent4 31 6 2" xfId="14556" xr:uid="{E5C8D2C6-706A-474D-9404-824B2E824A92}"/>
    <cellStyle name="40% - Accent4 31 6 2 2" xfId="14557" xr:uid="{7B658874-16C3-435F-8BF4-435EF99EC910}"/>
    <cellStyle name="40% - Accent4 31 6 2 2 2" xfId="14558" xr:uid="{2A4237FA-8F1C-4C56-AD6A-5524D7E24DDD}"/>
    <cellStyle name="40% - Accent4 31 6 2 2 2 2" xfId="14559" xr:uid="{C99C6A37-95C4-436E-8898-419DA6F3353B}"/>
    <cellStyle name="40% - Accent4 31 6 2 2 3" xfId="14560" xr:uid="{E0E53C6B-985B-4BD2-ADF0-B9BEF845E5F5}"/>
    <cellStyle name="40% - Accent4 31 6 2 3" xfId="14561" xr:uid="{FEFB4545-5FE5-4D22-BEFE-61A842CE8433}"/>
    <cellStyle name="40% - Accent4 31 6 2 3 2" xfId="14562" xr:uid="{BDF91C19-5E56-416A-A05C-3410BDFE844D}"/>
    <cellStyle name="40% - Accent4 31 6 2 3 2 2" xfId="14563" xr:uid="{C5CBAD9A-095B-45FD-8421-43328EA481F2}"/>
    <cellStyle name="40% - Accent4 31 6 2 3 3" xfId="14564" xr:uid="{01E1A33E-2172-4FA9-BD65-E0A1AE9B7098}"/>
    <cellStyle name="40% - Accent4 31 6 2 4" xfId="14565" xr:uid="{F2E1E192-7CBE-46DA-B459-80D730A042DD}"/>
    <cellStyle name="40% - Accent4 31 6 2 4 2" xfId="14566" xr:uid="{66D69A7D-A90E-4F82-AFC0-05E40089FBFF}"/>
    <cellStyle name="40% - Accent4 31 6 2 5" xfId="14567" xr:uid="{6378C35F-B8B3-4D4F-AA35-9BE5CE5C2AF0}"/>
    <cellStyle name="40% - Accent4 31 6 3" xfId="14568" xr:uid="{96B35DB0-22F8-49DB-A656-49FB074AFC3D}"/>
    <cellStyle name="40% - Accent4 31 6 3 2" xfId="14569" xr:uid="{102A62B0-7FB0-46F8-AFFB-670384E75400}"/>
    <cellStyle name="40% - Accent4 31 6 3 2 2" xfId="14570" xr:uid="{7D61FBC1-BC04-48F9-8BD4-CFDCE212EF4C}"/>
    <cellStyle name="40% - Accent4 31 6 3 3" xfId="14571" xr:uid="{7A1BF894-3635-4CB9-80CF-5FE01E025313}"/>
    <cellStyle name="40% - Accent4 31 6 4" xfId="14572" xr:uid="{E165AA2A-9BA3-4608-9989-A6855984B7E3}"/>
    <cellStyle name="40% - Accent4 31 6 4 2" xfId="14573" xr:uid="{13DC2A08-E509-4C05-AB22-E0127F2D9ECB}"/>
    <cellStyle name="40% - Accent4 31 6 4 2 2" xfId="14574" xr:uid="{39F08522-6258-4F2E-B4EB-0D8784FD5292}"/>
    <cellStyle name="40% - Accent4 31 6 4 3" xfId="14575" xr:uid="{21BD50DD-5287-44D1-A171-7EEF73D6FD30}"/>
    <cellStyle name="40% - Accent4 31 6 5" xfId="14576" xr:uid="{24E88DB6-9E6B-4123-AD25-49A523D02194}"/>
    <cellStyle name="40% - Accent4 31 6 5 2" xfId="14577" xr:uid="{87B5D598-C61E-4C1D-A760-391080F67E10}"/>
    <cellStyle name="40% - Accent4 31 6 6" xfId="14578" xr:uid="{B3A89C1E-EDF6-4089-9FBD-E10750C7145F}"/>
    <cellStyle name="40% - Accent4 31 7" xfId="14579" xr:uid="{B4202316-3169-4EC0-BEB8-A50D93891F06}"/>
    <cellStyle name="40% - Accent4 31 7 2" xfId="14580" xr:uid="{73B434E0-7537-4B5A-BF6F-AE1D57229288}"/>
    <cellStyle name="40% - Accent4 31 7 2 2" xfId="14581" xr:uid="{5C8F7EF5-C8E7-4FFD-8869-357D4A0707C4}"/>
    <cellStyle name="40% - Accent4 31 7 2 2 2" xfId="14582" xr:uid="{F293309D-66CE-4244-8F2D-0274C206E747}"/>
    <cellStyle name="40% - Accent4 31 7 2 2 2 2" xfId="14583" xr:uid="{758E536C-FF9D-4BD2-87A2-0EB926054368}"/>
    <cellStyle name="40% - Accent4 31 7 2 2 3" xfId="14584" xr:uid="{E4B8864F-B3FE-48FD-8BD2-5D281144505D}"/>
    <cellStyle name="40% - Accent4 31 7 2 3" xfId="14585" xr:uid="{6EF9959B-7DA0-4A8E-B576-A63D5D858901}"/>
    <cellStyle name="40% - Accent4 31 7 2 3 2" xfId="14586" xr:uid="{2BA823A4-C050-4B99-A033-634B00DB32AC}"/>
    <cellStyle name="40% - Accent4 31 7 2 3 2 2" xfId="14587" xr:uid="{90AADCB1-041E-4F5A-82CF-362410402842}"/>
    <cellStyle name="40% - Accent4 31 7 2 3 3" xfId="14588" xr:uid="{276544B6-F8EF-4232-AEA5-E95B7EF949A9}"/>
    <cellStyle name="40% - Accent4 31 7 2 4" xfId="14589" xr:uid="{D652F4F3-6E01-4C52-89FA-6F53139BF482}"/>
    <cellStyle name="40% - Accent4 31 7 2 4 2" xfId="14590" xr:uid="{F457AFB0-F7CD-41DD-8760-20A3DC1B1E4A}"/>
    <cellStyle name="40% - Accent4 31 7 2 5" xfId="14591" xr:uid="{0E779094-29F8-494B-905B-C45E45A16372}"/>
    <cellStyle name="40% - Accent4 31 7 3" xfId="14592" xr:uid="{CDAA2B87-0D5E-49EE-83EB-127FBD5C3EB8}"/>
    <cellStyle name="40% - Accent4 31 7 3 2" xfId="14593" xr:uid="{4D2444F3-1FFA-44E9-BD64-7C0C6C04D020}"/>
    <cellStyle name="40% - Accent4 31 7 3 2 2" xfId="14594" xr:uid="{ECEC5B45-E09D-44F7-83BC-71CCBA249943}"/>
    <cellStyle name="40% - Accent4 31 7 3 3" xfId="14595" xr:uid="{45671DF9-F6A5-4D51-9CC1-AD195CA8D41E}"/>
    <cellStyle name="40% - Accent4 31 7 4" xfId="14596" xr:uid="{F14C2E7A-CFFB-45D4-A882-9BA1095CB765}"/>
    <cellStyle name="40% - Accent4 31 7 4 2" xfId="14597" xr:uid="{42049E67-F17C-46C6-ADB1-859E8AD912C4}"/>
    <cellStyle name="40% - Accent4 31 7 4 2 2" xfId="14598" xr:uid="{8945FCBC-DB76-499A-B8B9-DFAA2EF235E9}"/>
    <cellStyle name="40% - Accent4 31 7 4 3" xfId="14599" xr:uid="{A419004B-B972-4421-BD44-40F934856C0C}"/>
    <cellStyle name="40% - Accent4 31 7 5" xfId="14600" xr:uid="{4111E374-CB22-4362-A1AC-1417F0DBFCB9}"/>
    <cellStyle name="40% - Accent4 31 7 5 2" xfId="14601" xr:uid="{A63A0532-A510-4242-A36A-684214FE3C6E}"/>
    <cellStyle name="40% - Accent4 31 7 6" xfId="14602" xr:uid="{59373113-130C-420E-8F2F-8533AD9F339A}"/>
    <cellStyle name="40% - Accent4 31 8" xfId="14603" xr:uid="{73C0DF12-CB26-49D1-8015-899965F7E55B}"/>
    <cellStyle name="40% - Accent4 31 8 2" xfId="14604" xr:uid="{985DFADE-EF06-4828-9588-3BCD6EFA7195}"/>
    <cellStyle name="40% - Accent4 31 8 2 2" xfId="14605" xr:uid="{DA4FEE06-8FC6-4702-B61D-9392E0EDC03F}"/>
    <cellStyle name="40% - Accent4 31 8 2 2 2" xfId="14606" xr:uid="{8DF91CB6-56A4-449D-B8DB-D0466265386E}"/>
    <cellStyle name="40% - Accent4 31 8 2 2 2 2" xfId="14607" xr:uid="{ABA4A9C5-2AEB-4755-96A9-BD23FE4A621D}"/>
    <cellStyle name="40% - Accent4 31 8 2 2 3" xfId="14608" xr:uid="{50D5E5C9-07EF-4468-B5B0-BA244BA9C080}"/>
    <cellStyle name="40% - Accent4 31 8 2 3" xfId="14609" xr:uid="{78DADE0E-2136-463F-BC81-989E0D3A7C6B}"/>
    <cellStyle name="40% - Accent4 31 8 2 3 2" xfId="14610" xr:uid="{7CB11C8C-2BFB-4C5F-8B2F-5A3BB5117753}"/>
    <cellStyle name="40% - Accent4 31 8 2 3 2 2" xfId="14611" xr:uid="{D4EE18BA-7542-415A-A73E-49EA15786558}"/>
    <cellStyle name="40% - Accent4 31 8 2 3 3" xfId="14612" xr:uid="{78EC2435-8138-463B-B2ED-6D6DD67DE934}"/>
    <cellStyle name="40% - Accent4 31 8 2 4" xfId="14613" xr:uid="{140FD487-E837-4300-BF29-EBD6CF1C64AD}"/>
    <cellStyle name="40% - Accent4 31 8 2 4 2" xfId="14614" xr:uid="{67C6350A-5F1A-4306-AAFF-FA19E120A0D2}"/>
    <cellStyle name="40% - Accent4 31 8 2 5" xfId="14615" xr:uid="{85A65EA3-E87D-4B5B-90AD-9ED854E0C3F8}"/>
    <cellStyle name="40% - Accent4 31 8 3" xfId="14616" xr:uid="{32268FC1-E4AC-4244-8680-D9430A0C7BFD}"/>
    <cellStyle name="40% - Accent4 31 8 3 2" xfId="14617" xr:uid="{7D49E1B9-1FAB-43EC-89A1-10989004EEC1}"/>
    <cellStyle name="40% - Accent4 31 8 3 2 2" xfId="14618" xr:uid="{5B37D666-C96E-428A-BF14-8EB024AF30F2}"/>
    <cellStyle name="40% - Accent4 31 8 3 3" xfId="14619" xr:uid="{56B2CB5C-815C-46FA-A603-31B89BBDC0F1}"/>
    <cellStyle name="40% - Accent4 31 8 4" xfId="14620" xr:uid="{E9171F8F-492A-4AAA-B6CA-759B2210AB9F}"/>
    <cellStyle name="40% - Accent4 31 8 4 2" xfId="14621" xr:uid="{FD8AC9B0-8BA3-466D-B118-4E01D0F9D3B8}"/>
    <cellStyle name="40% - Accent4 31 8 4 2 2" xfId="14622" xr:uid="{FF12345D-51EB-4E8E-9149-D0D033AC168F}"/>
    <cellStyle name="40% - Accent4 31 8 4 3" xfId="14623" xr:uid="{E273E27E-61E6-4D3B-8A07-7513D84A68EC}"/>
    <cellStyle name="40% - Accent4 31 8 5" xfId="14624" xr:uid="{DFC0F27E-BA3C-453A-8386-7B108889F215}"/>
    <cellStyle name="40% - Accent4 31 8 5 2" xfId="14625" xr:uid="{3AD977E9-EDDA-4275-8668-749130BC4C54}"/>
    <cellStyle name="40% - Accent4 31 8 6" xfId="14626" xr:uid="{4DDA832C-C266-4E77-9E46-1F654DB17A9A}"/>
    <cellStyle name="40% - Accent4 31 9" xfId="14627" xr:uid="{0004A337-057D-4E5A-8F39-7B123211C0BE}"/>
    <cellStyle name="40% - Accent4 31 9 2" xfId="14628" xr:uid="{1329B079-1F02-4A87-9EA4-A22A09490ADB}"/>
    <cellStyle name="40% - Accent4 31 9 2 2" xfId="14629" xr:uid="{1B3A9E52-2154-4053-803A-47A10EF98514}"/>
    <cellStyle name="40% - Accent4 31 9 2 2 2" xfId="14630" xr:uid="{51178AFA-2829-49F1-9638-3BDF852EC723}"/>
    <cellStyle name="40% - Accent4 31 9 2 2 2 2" xfId="14631" xr:uid="{A03B3E3F-D981-4F1E-A606-9AE1AB7C3141}"/>
    <cellStyle name="40% - Accent4 31 9 2 2 3" xfId="14632" xr:uid="{A44E69B3-D51A-4067-BA9F-1C562A7E3D3B}"/>
    <cellStyle name="40% - Accent4 31 9 2 3" xfId="14633" xr:uid="{3806B69E-A8EC-40BE-981C-005914C04A9C}"/>
    <cellStyle name="40% - Accent4 31 9 2 3 2" xfId="14634" xr:uid="{7EA9B16F-0B81-452D-828D-3FB83E244B01}"/>
    <cellStyle name="40% - Accent4 31 9 2 3 2 2" xfId="14635" xr:uid="{20478349-3679-4E73-8AA3-7C224F4F31A3}"/>
    <cellStyle name="40% - Accent4 31 9 2 3 3" xfId="14636" xr:uid="{4F774C85-D415-429F-AE81-112320F21300}"/>
    <cellStyle name="40% - Accent4 31 9 2 4" xfId="14637" xr:uid="{25C48053-ECF4-4315-A17A-8EBE3CFC0E19}"/>
    <cellStyle name="40% - Accent4 31 9 2 4 2" xfId="14638" xr:uid="{CFB66F04-9233-41B4-A211-8613C812B689}"/>
    <cellStyle name="40% - Accent4 31 9 2 5" xfId="14639" xr:uid="{C8C22273-A71B-4108-B746-3949F9195E09}"/>
    <cellStyle name="40% - Accent4 31 9 3" xfId="14640" xr:uid="{3ACB3618-62AB-4B38-9363-F3FE8D670F3E}"/>
    <cellStyle name="40% - Accent4 31 9 3 2" xfId="14641" xr:uid="{89461B8A-AB00-447C-AB82-ECD96E70036A}"/>
    <cellStyle name="40% - Accent4 31 9 3 2 2" xfId="14642" xr:uid="{9D836189-A76D-4A45-B93E-A855076D0EB5}"/>
    <cellStyle name="40% - Accent4 31 9 3 3" xfId="14643" xr:uid="{C8E5B6FE-3563-49CF-A4C9-9AC6EEAC6909}"/>
    <cellStyle name="40% - Accent4 31 9 4" xfId="14644" xr:uid="{0B806626-9302-46AD-A377-2C416BBC33FB}"/>
    <cellStyle name="40% - Accent4 31 9 4 2" xfId="14645" xr:uid="{71D2D2C9-4BCB-4A19-8B4B-58151E578C64}"/>
    <cellStyle name="40% - Accent4 31 9 4 2 2" xfId="14646" xr:uid="{92531BDA-4F1F-45C7-A20E-0B707D390357}"/>
    <cellStyle name="40% - Accent4 31 9 4 3" xfId="14647" xr:uid="{876738E9-AB6E-41F9-953F-32CE3395FEE8}"/>
    <cellStyle name="40% - Accent4 31 9 5" xfId="14648" xr:uid="{6260C67A-679E-4E36-8740-47C1D65BB072}"/>
    <cellStyle name="40% - Accent4 31 9 5 2" xfId="14649" xr:uid="{857B0B66-4841-49AC-AD06-CC553140F753}"/>
    <cellStyle name="40% - Accent4 31 9 6" xfId="14650" xr:uid="{EA8B1C37-E013-4EAE-AFD7-87898E6B700C}"/>
    <cellStyle name="40% - Accent4 32" xfId="14651" xr:uid="{B8F1F2C8-F506-42EF-981F-743DB1273C6A}"/>
    <cellStyle name="40% - Accent4 32 2" xfId="14652" xr:uid="{CF86E174-7D8F-4926-871B-77F64D64A3DC}"/>
    <cellStyle name="40% - Accent4 32 2 2" xfId="14653" xr:uid="{0C957FB9-2B31-4D1B-B5C1-39B6BCB11A40}"/>
    <cellStyle name="40% - Accent4 32 2 2 2" xfId="14654" xr:uid="{367F45C2-F37C-4FA1-A1E7-DC23658BB888}"/>
    <cellStyle name="40% - Accent4 32 2 2 2 2" xfId="14655" xr:uid="{39014A19-E8F7-4B3A-8B49-7F053E13F121}"/>
    <cellStyle name="40% - Accent4 32 2 2 3" xfId="14656" xr:uid="{05BCCB86-9FB0-464C-9310-060EAA217AB0}"/>
    <cellStyle name="40% - Accent4 32 2 3" xfId="14657" xr:uid="{A7F8E4C6-3CE8-4359-9613-57EF4B93359D}"/>
    <cellStyle name="40% - Accent4 32 2 3 2" xfId="14658" xr:uid="{5A70D8D2-D9D6-4ACE-8914-6CBF3929A737}"/>
    <cellStyle name="40% - Accent4 32 2 3 2 2" xfId="14659" xr:uid="{5FBDA048-38FF-4A0C-B727-A2DBAFE40E8D}"/>
    <cellStyle name="40% - Accent4 32 2 3 3" xfId="14660" xr:uid="{ACE8BAD5-E899-4A12-9B76-B6D6DDD96EF3}"/>
    <cellStyle name="40% - Accent4 32 2 4" xfId="14661" xr:uid="{588AA59F-AFEB-48C2-BEDB-969DFC4CDCB8}"/>
    <cellStyle name="40% - Accent4 32 2 4 2" xfId="14662" xr:uid="{6D1E9CBD-06A3-475E-842D-B6B37539346B}"/>
    <cellStyle name="40% - Accent4 32 2 5" xfId="14663" xr:uid="{B4E2B180-2FA4-49D9-9CFE-89722453F342}"/>
    <cellStyle name="40% - Accent4 32 3" xfId="14664" xr:uid="{3425DCE0-40FA-45B7-A943-1202D94BA22D}"/>
    <cellStyle name="40% - Accent4 32 3 2" xfId="14665" xr:uid="{AED81512-44EF-4EE7-8F7B-2EE579CEB607}"/>
    <cellStyle name="40% - Accent4 32 3 2 2" xfId="14666" xr:uid="{6B2594E8-B03D-4F51-A6BA-3C342EC27106}"/>
    <cellStyle name="40% - Accent4 32 3 3" xfId="14667" xr:uid="{C18B54E4-4C6F-4E28-96F5-8A024444778F}"/>
    <cellStyle name="40% - Accent4 32 4" xfId="14668" xr:uid="{3587228E-DB1F-4E35-ACBC-9E491F271DA5}"/>
    <cellStyle name="40% - Accent4 32 4 2" xfId="14669" xr:uid="{FC5E636A-8007-4603-A1F4-0673254033AF}"/>
    <cellStyle name="40% - Accent4 32 4 2 2" xfId="14670" xr:uid="{9C33878D-6AAA-46C6-A5B5-AC2E3D307EBE}"/>
    <cellStyle name="40% - Accent4 32 4 3" xfId="14671" xr:uid="{EFB7F649-6CEC-422A-8C02-823C9D9D249A}"/>
    <cellStyle name="40% - Accent4 32 5" xfId="14672" xr:uid="{7395A1D6-C939-4588-B95B-ED93F834316F}"/>
    <cellStyle name="40% - Accent4 32 5 2" xfId="14673" xr:uid="{0514A2BA-ABA4-44F6-AB3D-A6A4CEA9D1B6}"/>
    <cellStyle name="40% - Accent4 32 6" xfId="14674" xr:uid="{C00ED8F6-C825-4E55-B87A-F05C036B3A31}"/>
    <cellStyle name="40% - Accent4 32 7" xfId="37348" xr:uid="{C73C29EB-B040-4EB0-B3E8-45111DD6888A}"/>
    <cellStyle name="40% - Accent4 33" xfId="14675" xr:uid="{3BD570AB-2FAB-442D-8417-D150ECA2DCE9}"/>
    <cellStyle name="40% - Accent4 33 2" xfId="14676" xr:uid="{5958DDA4-8399-4A3B-8855-C8D39FB5C202}"/>
    <cellStyle name="40% - Accent4 33 2 2" xfId="14677" xr:uid="{B24844ED-4BF6-4050-8D0E-BC0B5FF10802}"/>
    <cellStyle name="40% - Accent4 33 2 2 2" xfId="14678" xr:uid="{E47D8F48-FBC7-42F2-8362-0D8D99864FB2}"/>
    <cellStyle name="40% - Accent4 33 2 2 2 2" xfId="14679" xr:uid="{0AB50DC5-3427-42DC-84D7-B40292771743}"/>
    <cellStyle name="40% - Accent4 33 2 2 3" xfId="14680" xr:uid="{D8B3ED0C-AFCF-4249-8B22-66AF1D7CBF5D}"/>
    <cellStyle name="40% - Accent4 33 2 3" xfId="14681" xr:uid="{F54D5A1D-CD46-4D86-9078-99F13D901648}"/>
    <cellStyle name="40% - Accent4 33 2 3 2" xfId="14682" xr:uid="{9A08F4C5-5D51-46D0-AE12-829FC1AF3BED}"/>
    <cellStyle name="40% - Accent4 33 2 3 2 2" xfId="14683" xr:uid="{1461D4F4-7D8E-4852-AB5C-C9BF36A77FFF}"/>
    <cellStyle name="40% - Accent4 33 2 3 3" xfId="14684" xr:uid="{A3F59646-C666-42FB-A2B4-B5041482656F}"/>
    <cellStyle name="40% - Accent4 33 2 4" xfId="14685" xr:uid="{A4B3608C-CD40-4ED9-B1DE-D8158BA181B6}"/>
    <cellStyle name="40% - Accent4 33 2 4 2" xfId="14686" xr:uid="{7852B415-84E6-41AF-9014-7AC376A622B3}"/>
    <cellStyle name="40% - Accent4 33 2 5" xfId="14687" xr:uid="{7F8E77A8-7A42-4AF1-8EE6-707C5806D492}"/>
    <cellStyle name="40% - Accent4 33 3" xfId="14688" xr:uid="{87441680-5E63-4975-BE4F-FAB04F6B0D70}"/>
    <cellStyle name="40% - Accent4 33 3 2" xfId="14689" xr:uid="{F68275B3-C23F-4A2A-9C35-1234BDEAC03A}"/>
    <cellStyle name="40% - Accent4 33 3 2 2" xfId="14690" xr:uid="{FEAEB69F-CF0B-49A9-AAB0-4AA2958261D2}"/>
    <cellStyle name="40% - Accent4 33 3 3" xfId="14691" xr:uid="{8175C976-56DB-464C-A089-B52A350B25E5}"/>
    <cellStyle name="40% - Accent4 33 4" xfId="14692" xr:uid="{2D428C0A-9AB7-4006-BB19-C355C2A3A324}"/>
    <cellStyle name="40% - Accent4 33 4 2" xfId="14693" xr:uid="{2A2FE34E-0F4F-476C-9113-475FD834CB5F}"/>
    <cellStyle name="40% - Accent4 33 4 2 2" xfId="14694" xr:uid="{33FECA0E-A9BA-47D8-80C5-AB54AC7E1416}"/>
    <cellStyle name="40% - Accent4 33 4 3" xfId="14695" xr:uid="{4D2FD248-26EA-494A-8DA5-51018A6EA8C2}"/>
    <cellStyle name="40% - Accent4 33 5" xfId="14696" xr:uid="{965B4D49-F7BA-4273-A621-9B5617C6AA3A}"/>
    <cellStyle name="40% - Accent4 33 5 2" xfId="14697" xr:uid="{597084EE-F00E-40C1-9411-76B36C3137C8}"/>
    <cellStyle name="40% - Accent4 33 6" xfId="37349" xr:uid="{A694AD76-8F98-40C1-B1D0-53815D8BBA96}"/>
    <cellStyle name="40% - Accent4 34" xfId="14698" xr:uid="{8BEB2B7A-4BD1-4ABF-90EF-325103E4B09A}"/>
    <cellStyle name="40% - Accent4 34 2" xfId="14699" xr:uid="{28EB2BE1-7649-4961-B560-1C7D1F99FD0B}"/>
    <cellStyle name="40% - Accent4 34 2 2" xfId="14700" xr:uid="{73DE73BB-E112-4617-A537-056C8514D022}"/>
    <cellStyle name="40% - Accent4 34 2 2 2" xfId="14701" xr:uid="{7E38C148-E528-437C-93EC-56FA6D844847}"/>
    <cellStyle name="40% - Accent4 34 2 2 2 2" xfId="14702" xr:uid="{0E47EA27-1BB4-4985-A175-51DD0F2DCD1B}"/>
    <cellStyle name="40% - Accent4 34 2 2 3" xfId="14703" xr:uid="{EFCC9D46-E542-4C9E-AC89-D706155BAF2D}"/>
    <cellStyle name="40% - Accent4 34 2 3" xfId="14704" xr:uid="{F3DA99F8-9907-4146-93E2-05C8DA1B0E9B}"/>
    <cellStyle name="40% - Accent4 34 2 3 2" xfId="14705" xr:uid="{3791AD4E-46C1-4DE1-BC8F-B326B6CA60C0}"/>
    <cellStyle name="40% - Accent4 34 2 3 2 2" xfId="14706" xr:uid="{053F4195-2EBF-4DBC-87EA-F3A0E0A23F52}"/>
    <cellStyle name="40% - Accent4 34 2 3 3" xfId="14707" xr:uid="{E0CFCAAF-BA8C-4275-858F-0EE1452AFB8E}"/>
    <cellStyle name="40% - Accent4 34 2 4" xfId="14708" xr:uid="{D79F7A55-A0A0-40BD-97A0-DEC2C05075E0}"/>
    <cellStyle name="40% - Accent4 34 2 4 2" xfId="14709" xr:uid="{CD2554B7-1929-44C9-A4F6-FA4EF039B225}"/>
    <cellStyle name="40% - Accent4 34 2 5" xfId="14710" xr:uid="{4F461810-40EB-4F3E-B21B-D9678E03703E}"/>
    <cellStyle name="40% - Accent4 34 3" xfId="14711" xr:uid="{BD7FD005-C24B-4555-B6B1-CB6A04263584}"/>
    <cellStyle name="40% - Accent4 34 3 2" xfId="14712" xr:uid="{414BDE28-503B-4259-B7D7-77CD2EC5A4B4}"/>
    <cellStyle name="40% - Accent4 34 3 2 2" xfId="14713" xr:uid="{A3D288E0-0FE2-4A88-B79A-C585FDCF632B}"/>
    <cellStyle name="40% - Accent4 34 3 3" xfId="14714" xr:uid="{6A0131E7-890E-4B48-A1EB-F7624ADF2FBC}"/>
    <cellStyle name="40% - Accent4 34 4" xfId="14715" xr:uid="{253D427A-A339-4F59-8A85-39485EFACFBA}"/>
    <cellStyle name="40% - Accent4 34 4 2" xfId="14716" xr:uid="{AC8D608E-3CC2-41DE-B57C-CF51785555AE}"/>
    <cellStyle name="40% - Accent4 34 4 2 2" xfId="14717" xr:uid="{F093951D-3538-4D51-BA30-57B5A6D3CAC3}"/>
    <cellStyle name="40% - Accent4 34 4 3" xfId="14718" xr:uid="{32F89501-95D1-4494-AA32-33C177B80257}"/>
    <cellStyle name="40% - Accent4 34 5" xfId="14719" xr:uid="{96141471-E736-4888-9F2D-2F1F515E612D}"/>
    <cellStyle name="40% - Accent4 34 5 2" xfId="14720" xr:uid="{BCEB89D0-CC78-47D2-9CAD-A449A0936C80}"/>
    <cellStyle name="40% - Accent4 34 6" xfId="37350" xr:uid="{730C2021-6BBC-48E0-9188-77999052B18F}"/>
    <cellStyle name="40% - Accent4 35" xfId="14721" xr:uid="{B14340CD-D635-435A-A16D-6DC964820E39}"/>
    <cellStyle name="40% - Accent4 35 2" xfId="14722" xr:uid="{5A912BB9-6DF6-44ED-9E83-8E1D7E205A8E}"/>
    <cellStyle name="40% - Accent4 35 2 2" xfId="14723" xr:uid="{0A5E3275-DFCA-432F-88B3-B124B2317402}"/>
    <cellStyle name="40% - Accent4 35 2 2 2" xfId="14724" xr:uid="{6FE4106E-81FB-4BAC-A056-B7900D20A130}"/>
    <cellStyle name="40% - Accent4 35 2 2 2 2" xfId="14725" xr:uid="{F787C10D-1A77-493D-B1BD-5DF8E242B07F}"/>
    <cellStyle name="40% - Accent4 35 2 2 3" xfId="14726" xr:uid="{09076914-37CA-4886-9857-7BCEE446A944}"/>
    <cellStyle name="40% - Accent4 35 2 3" xfId="14727" xr:uid="{6DEC889C-D00C-40D1-B37D-E76A6E522D9D}"/>
    <cellStyle name="40% - Accent4 35 2 3 2" xfId="14728" xr:uid="{9BCEDB2F-397E-4AD7-BA1C-1026D41DDE07}"/>
    <cellStyle name="40% - Accent4 35 2 3 2 2" xfId="14729" xr:uid="{886FDBC7-7B41-42B5-AAE4-2FDF7F62516C}"/>
    <cellStyle name="40% - Accent4 35 2 3 3" xfId="14730" xr:uid="{9BCED5E6-B1F0-48D3-AE8C-DB09A95D72EC}"/>
    <cellStyle name="40% - Accent4 35 2 4" xfId="14731" xr:uid="{DA9955EA-393E-4771-BB4F-F0F2DBEF2D15}"/>
    <cellStyle name="40% - Accent4 35 2 4 2" xfId="14732" xr:uid="{C95E40AE-D4C3-4B82-8681-B7230F0ADBCA}"/>
    <cellStyle name="40% - Accent4 35 2 5" xfId="14733" xr:uid="{822E8E6D-D5BC-4E82-BB1E-F336B0D5AD81}"/>
    <cellStyle name="40% - Accent4 35 3" xfId="14734" xr:uid="{A07CE3F6-858B-42FA-A987-5A72C8B1D4F0}"/>
    <cellStyle name="40% - Accent4 35 3 2" xfId="14735" xr:uid="{B0F95D46-7E22-4B98-BE04-6B88FD9BADAB}"/>
    <cellStyle name="40% - Accent4 35 3 2 2" xfId="14736" xr:uid="{86751BEE-0C7A-4948-93CD-A64EE4FEE0A2}"/>
    <cellStyle name="40% - Accent4 35 3 3" xfId="14737" xr:uid="{60490DF2-F86A-4A30-BA69-718BCE1683AF}"/>
    <cellStyle name="40% - Accent4 35 4" xfId="14738" xr:uid="{223B7589-99B4-49A2-9F33-2D6728DE5B00}"/>
    <cellStyle name="40% - Accent4 35 4 2" xfId="14739" xr:uid="{383765A6-9006-4993-BFBD-431A3C3704F2}"/>
    <cellStyle name="40% - Accent4 35 4 2 2" xfId="14740" xr:uid="{5815D7F4-FDC2-42C4-AA67-775E0D207FB7}"/>
    <cellStyle name="40% - Accent4 35 4 3" xfId="14741" xr:uid="{3B4F69CF-E827-4A26-A51C-580ABCFDD043}"/>
    <cellStyle name="40% - Accent4 35 5" xfId="14742" xr:uid="{2CFC0960-008E-4543-A425-9497932FAD97}"/>
    <cellStyle name="40% - Accent4 35 5 2" xfId="14743" xr:uid="{12009A55-0B2C-4F2D-9E59-D2F7E24FF472}"/>
    <cellStyle name="40% - Accent4 35 6" xfId="37351" xr:uid="{C0804B83-BE80-4184-9679-8B6D5F2ED02A}"/>
    <cellStyle name="40% - Accent4 36" xfId="14744" xr:uid="{47C4770A-71B4-4D96-BB78-0E40D1DCF26E}"/>
    <cellStyle name="40% - Accent4 36 2" xfId="14745" xr:uid="{EFCF9E05-6EE0-4CDF-BC40-E06D978116FE}"/>
    <cellStyle name="40% - Accent4 36 2 2" xfId="14746" xr:uid="{A5E94E06-98FA-4570-8060-8CEF47002A59}"/>
    <cellStyle name="40% - Accent4 36 2 2 2" xfId="14747" xr:uid="{732C2A47-9BC0-4BC3-AC10-3E0C8F8B8938}"/>
    <cellStyle name="40% - Accent4 36 2 2 2 2" xfId="14748" xr:uid="{C34641A0-128E-490D-8258-46E2DD6FB177}"/>
    <cellStyle name="40% - Accent4 36 2 2 3" xfId="14749" xr:uid="{1B7D7653-4CAD-4BCE-87D3-068DB1A7DC07}"/>
    <cellStyle name="40% - Accent4 36 2 3" xfId="14750" xr:uid="{21316F77-133B-4610-9DEB-2632DDA6A325}"/>
    <cellStyle name="40% - Accent4 36 2 3 2" xfId="14751" xr:uid="{77817CFF-C839-4149-B30B-1550F8112807}"/>
    <cellStyle name="40% - Accent4 36 2 3 2 2" xfId="14752" xr:uid="{8C05B255-3916-433D-B54B-4BEB27DBE9CA}"/>
    <cellStyle name="40% - Accent4 36 2 3 3" xfId="14753" xr:uid="{A7FCFE94-05C3-4EBF-A5AB-55B9D868C326}"/>
    <cellStyle name="40% - Accent4 36 2 4" xfId="14754" xr:uid="{4B335A5D-745D-4F6D-BE50-EAB75A3C019C}"/>
    <cellStyle name="40% - Accent4 36 2 4 2" xfId="14755" xr:uid="{CB3E898B-FB74-4CBC-9F0E-6DB983A37CF2}"/>
    <cellStyle name="40% - Accent4 36 2 5" xfId="14756" xr:uid="{859E7D05-F1A7-4D6B-BFEA-5B53EEA052ED}"/>
    <cellStyle name="40% - Accent4 36 3" xfId="14757" xr:uid="{5893F91D-9557-4092-9C5F-F73FDEE59239}"/>
    <cellStyle name="40% - Accent4 36 3 2" xfId="14758" xr:uid="{D71DD60D-4C6E-4D63-AFA5-30C175514DCB}"/>
    <cellStyle name="40% - Accent4 36 3 2 2" xfId="14759" xr:uid="{34CEC054-08D9-4D2B-BACD-E10FF699B32E}"/>
    <cellStyle name="40% - Accent4 36 3 3" xfId="14760" xr:uid="{99306000-57C8-479A-8B99-C7ABBCDE0362}"/>
    <cellStyle name="40% - Accent4 36 4" xfId="14761" xr:uid="{50F09C1D-1199-4F73-B3F9-4AF786CCFC97}"/>
    <cellStyle name="40% - Accent4 36 4 2" xfId="14762" xr:uid="{71393EF5-33E1-4CC0-B596-D5294B8891CA}"/>
    <cellStyle name="40% - Accent4 36 4 2 2" xfId="14763" xr:uid="{42E8975D-3985-4427-B1ED-72EAD19EFF90}"/>
    <cellStyle name="40% - Accent4 36 4 3" xfId="14764" xr:uid="{9A949F1F-BF6F-4188-AB86-81ACD9D15BF8}"/>
    <cellStyle name="40% - Accent4 36 5" xfId="14765" xr:uid="{25CBC27D-587C-464E-BB17-1ADDE84FC935}"/>
    <cellStyle name="40% - Accent4 36 5 2" xfId="14766" xr:uid="{497A94E6-F51A-4D4A-B849-B33489C5C567}"/>
    <cellStyle name="40% - Accent4 36 6" xfId="37352" xr:uid="{458F06DA-97E8-4906-9D62-70DB762268F3}"/>
    <cellStyle name="40% - Accent4 37" xfId="14767" xr:uid="{1A6B22EF-BBB0-4CDC-A2A5-296CC1524C88}"/>
    <cellStyle name="40% - Accent4 37 2" xfId="14768" xr:uid="{2BB1E7B1-9524-4190-9352-574AA7765001}"/>
    <cellStyle name="40% - Accent4 37 2 2" xfId="14769" xr:uid="{F7E81EE4-49BD-482F-883C-481823E5106A}"/>
    <cellStyle name="40% - Accent4 37 2 2 2" xfId="14770" xr:uid="{6B722B71-A92E-4F11-BC8D-17CB5B754BDF}"/>
    <cellStyle name="40% - Accent4 37 2 2 2 2" xfId="14771" xr:uid="{0540FA33-B47C-4F60-AE8D-24DA06AE7C96}"/>
    <cellStyle name="40% - Accent4 37 2 2 3" xfId="14772" xr:uid="{AAE88177-FC6C-4A7D-92FE-EEFDAFBAE32B}"/>
    <cellStyle name="40% - Accent4 37 2 3" xfId="14773" xr:uid="{BA069A61-3997-47BF-B02E-CC923575C175}"/>
    <cellStyle name="40% - Accent4 37 2 3 2" xfId="14774" xr:uid="{6E08DB42-A749-4453-828D-F3CE987C93A6}"/>
    <cellStyle name="40% - Accent4 37 2 3 2 2" xfId="14775" xr:uid="{FD49720C-A19B-49EE-99F5-94B88CACEDFA}"/>
    <cellStyle name="40% - Accent4 37 2 3 3" xfId="14776" xr:uid="{CA9DEF70-63AC-4458-A102-388631F43144}"/>
    <cellStyle name="40% - Accent4 37 2 4" xfId="14777" xr:uid="{7B11879C-E15F-4BBD-8BC5-75B3E92ABEA7}"/>
    <cellStyle name="40% - Accent4 37 2 4 2" xfId="14778" xr:uid="{9411FAD8-CC70-404E-9506-5C948A6AF1DE}"/>
    <cellStyle name="40% - Accent4 37 2 5" xfId="14779" xr:uid="{BD6918D5-02AB-4B73-A010-D267C613C61D}"/>
    <cellStyle name="40% - Accent4 37 3" xfId="14780" xr:uid="{2C8D6A36-E158-4294-A05A-1BA1488761C7}"/>
    <cellStyle name="40% - Accent4 37 3 2" xfId="14781" xr:uid="{4C0C78B0-4A4D-4A75-B86B-31389301122D}"/>
    <cellStyle name="40% - Accent4 37 3 2 2" xfId="14782" xr:uid="{EFDF58EF-41D4-4D13-AAE3-5F04A8D81CD6}"/>
    <cellStyle name="40% - Accent4 37 3 3" xfId="14783" xr:uid="{533E9BD7-D94C-4123-810E-D18418757287}"/>
    <cellStyle name="40% - Accent4 37 4" xfId="14784" xr:uid="{4C39FEF8-D674-4A71-8D53-8207A9A73522}"/>
    <cellStyle name="40% - Accent4 37 4 2" xfId="14785" xr:uid="{7080DB30-5929-4954-8EB1-3315AE31EDAF}"/>
    <cellStyle name="40% - Accent4 37 4 2 2" xfId="14786" xr:uid="{20DBF047-D2CB-4FD3-895A-E6748CF85C43}"/>
    <cellStyle name="40% - Accent4 37 4 3" xfId="14787" xr:uid="{F1965D1D-955B-42A0-B020-015135137B3F}"/>
    <cellStyle name="40% - Accent4 37 5" xfId="14788" xr:uid="{8C4A29FE-023B-450A-885E-607234DF7DB8}"/>
    <cellStyle name="40% - Accent4 37 5 2" xfId="14789" xr:uid="{88B30CAE-1881-4443-9733-66338BEC1881}"/>
    <cellStyle name="40% - Accent4 37 6" xfId="37353" xr:uid="{E72080E7-F385-450D-9D08-CC0B79AC7B8C}"/>
    <cellStyle name="40% - Accent4 38" xfId="14790" xr:uid="{9E0BAE47-CF5D-472C-B85C-EA1CA0F6A9A2}"/>
    <cellStyle name="40% - Accent4 38 2" xfId="14791" xr:uid="{5DF8AA98-088F-40D8-AD7E-40CD454723AA}"/>
    <cellStyle name="40% - Accent4 38 2 2" xfId="14792" xr:uid="{8E61108F-C0C3-416D-BEE3-D39E41375ABF}"/>
    <cellStyle name="40% - Accent4 38 2 2 2" xfId="14793" xr:uid="{30396695-3FA6-4B56-B5FE-BC63DF14842A}"/>
    <cellStyle name="40% - Accent4 38 2 2 2 2" xfId="14794" xr:uid="{FE3D4F5D-0ADE-4842-8064-6991F5D8476D}"/>
    <cellStyle name="40% - Accent4 38 2 2 3" xfId="14795" xr:uid="{BC374AB5-7262-4395-A1DC-C1F4F4B2F58B}"/>
    <cellStyle name="40% - Accent4 38 2 3" xfId="14796" xr:uid="{26F78934-7288-4528-989F-A1965EA6D9E4}"/>
    <cellStyle name="40% - Accent4 38 2 3 2" xfId="14797" xr:uid="{D3D3A8D1-E61D-44E9-A7C1-7038E9C3F273}"/>
    <cellStyle name="40% - Accent4 38 2 3 2 2" xfId="14798" xr:uid="{36F11A39-8A6F-428F-86EF-7F4DD5139132}"/>
    <cellStyle name="40% - Accent4 38 2 3 3" xfId="14799" xr:uid="{904CB7B2-ECE6-4263-8F68-B565E1E3235A}"/>
    <cellStyle name="40% - Accent4 38 2 4" xfId="14800" xr:uid="{471C4863-8111-4CFD-90A9-5E55952A8165}"/>
    <cellStyle name="40% - Accent4 38 2 4 2" xfId="14801" xr:uid="{4765EFD2-CDCD-4034-A73B-D5B6BEDBD8E5}"/>
    <cellStyle name="40% - Accent4 38 2 5" xfId="14802" xr:uid="{8E54C743-22C4-4604-88D5-8873CC1E65E9}"/>
    <cellStyle name="40% - Accent4 38 3" xfId="14803" xr:uid="{C5E4139F-9A19-4BF3-A1A6-008579E4E754}"/>
    <cellStyle name="40% - Accent4 38 3 2" xfId="14804" xr:uid="{BFCC71E3-42FB-4894-8C37-86486C1C39CC}"/>
    <cellStyle name="40% - Accent4 38 3 2 2" xfId="14805" xr:uid="{58B3C2FD-7F84-428C-AB6B-623A6E0CCB42}"/>
    <cellStyle name="40% - Accent4 38 3 3" xfId="14806" xr:uid="{44B00DBC-454E-4680-8A64-5C01AF69532D}"/>
    <cellStyle name="40% - Accent4 38 4" xfId="14807" xr:uid="{C4C7FC81-FF08-4F0D-B90C-11AEC6F7D120}"/>
    <cellStyle name="40% - Accent4 38 4 2" xfId="14808" xr:uid="{619C22E1-7DCB-4898-B3CF-B4F46E8AFDC7}"/>
    <cellStyle name="40% - Accent4 38 4 2 2" xfId="14809" xr:uid="{74E01CB1-7715-4156-B89F-34606D6D3A00}"/>
    <cellStyle name="40% - Accent4 38 4 3" xfId="14810" xr:uid="{F5ACBADB-4688-4AC9-BD7C-3992E1C9A43F}"/>
    <cellStyle name="40% - Accent4 38 5" xfId="14811" xr:uid="{3C7F0938-65A9-45F1-A0D0-D386932A1771}"/>
    <cellStyle name="40% - Accent4 38 5 2" xfId="14812" xr:uid="{37FE867B-1481-4C50-B150-C0BBD9242CAB}"/>
    <cellStyle name="40% - Accent4 38 6" xfId="37354" xr:uid="{182FA927-A927-4472-A26F-A99C932FBDCC}"/>
    <cellStyle name="40% - Accent4 39" xfId="14813" xr:uid="{3F926A83-D28D-4842-ADB2-EE27716B6480}"/>
    <cellStyle name="40% - Accent4 39 2" xfId="14814" xr:uid="{0DF138E4-4C75-4FCA-A9E5-9375A0D4D50D}"/>
    <cellStyle name="40% - Accent4 39 2 2" xfId="14815" xr:uid="{D7249B32-FCE9-496D-AD57-DCE4F44D1CD8}"/>
    <cellStyle name="40% - Accent4 39 2 2 2" xfId="14816" xr:uid="{908FF098-B0FF-4428-AD8C-2E7C2F6A2A88}"/>
    <cellStyle name="40% - Accent4 39 2 2 2 2" xfId="14817" xr:uid="{8D4387A9-E624-4119-A24B-891E991CFE99}"/>
    <cellStyle name="40% - Accent4 39 2 2 3" xfId="14818" xr:uid="{317AAA51-5027-4924-B64B-FB5B2C5E89FA}"/>
    <cellStyle name="40% - Accent4 39 2 3" xfId="14819" xr:uid="{6F6FC565-5FBF-4395-9C0F-4A837666FD84}"/>
    <cellStyle name="40% - Accent4 39 2 3 2" xfId="14820" xr:uid="{108E80C3-D7D9-4E82-BB5B-6F842AAC9840}"/>
    <cellStyle name="40% - Accent4 39 2 3 2 2" xfId="14821" xr:uid="{2A128C7A-B181-4D31-87A9-BC593C0E9BEA}"/>
    <cellStyle name="40% - Accent4 39 2 3 3" xfId="14822" xr:uid="{141AD1AC-9424-4008-A406-A15E896AC5AA}"/>
    <cellStyle name="40% - Accent4 39 2 4" xfId="14823" xr:uid="{DFC0DE4E-A973-4756-81C6-0EAD9FE3A0D7}"/>
    <cellStyle name="40% - Accent4 39 2 4 2" xfId="14824" xr:uid="{E5CCDC34-EBB5-4C17-80E4-7E50B7410664}"/>
    <cellStyle name="40% - Accent4 39 2 5" xfId="14825" xr:uid="{268A3623-69A4-4413-B36B-1AD0EF32ABD2}"/>
    <cellStyle name="40% - Accent4 39 3" xfId="14826" xr:uid="{72A2DD7A-D3D2-4B88-AB5C-7C55659FEEC9}"/>
    <cellStyle name="40% - Accent4 39 3 2" xfId="14827" xr:uid="{D13B700C-D354-4AA7-B03D-FA34F4BA22A0}"/>
    <cellStyle name="40% - Accent4 39 3 2 2" xfId="14828" xr:uid="{D8DAB575-3FF7-48CB-81E5-7FCA5EAF4CFA}"/>
    <cellStyle name="40% - Accent4 39 3 3" xfId="14829" xr:uid="{CB794E1F-03C6-4508-9B95-B4F9F71C91EC}"/>
    <cellStyle name="40% - Accent4 39 4" xfId="14830" xr:uid="{3969E4BA-1C74-4086-90EB-54F54F79CA01}"/>
    <cellStyle name="40% - Accent4 39 4 2" xfId="14831" xr:uid="{7186ADD7-1462-431A-B582-B019660360AB}"/>
    <cellStyle name="40% - Accent4 39 4 2 2" xfId="14832" xr:uid="{0B769C1E-DD39-4BD8-96E2-1BF7478760F8}"/>
    <cellStyle name="40% - Accent4 39 4 3" xfId="14833" xr:uid="{7059A7ED-7E6F-4265-9644-948124DAB7B9}"/>
    <cellStyle name="40% - Accent4 39 5" xfId="14834" xr:uid="{6F9E18AD-792A-487E-A21A-DFBB0145676F}"/>
    <cellStyle name="40% - Accent4 39 5 2" xfId="14835" xr:uid="{B9BD74D3-4917-48B5-938D-1CE4F1D87584}"/>
    <cellStyle name="40% - Accent4 39 6" xfId="37355" xr:uid="{719FD8FC-D802-4B60-B747-992DDD8E27F8}"/>
    <cellStyle name="40% - Accent4 4" xfId="14836" xr:uid="{FF6FC2DB-ACD1-4B4C-9A0D-27C2A256E865}"/>
    <cellStyle name="40% - Accent4 4 2" xfId="14837" xr:uid="{C363FBD4-585E-46F0-8A75-4FA8C6F766A9}"/>
    <cellStyle name="40% - Accent4 4 2 2" xfId="14838" xr:uid="{B4A000FC-BBFF-4421-93F5-69F2DF227E93}"/>
    <cellStyle name="40% - Accent4 4 2 2 2" xfId="37356" xr:uid="{3EE1AFD4-7B5E-499A-98EB-ACDBCADB5C3F}"/>
    <cellStyle name="40% - Accent4 4 2 3" xfId="37357" xr:uid="{839D9589-4D70-4FE8-A667-D19A0AA2E661}"/>
    <cellStyle name="40% - Accent4 4 2 4" xfId="37358" xr:uid="{FC8A4698-0455-4DE5-A418-DC2259AC358E}"/>
    <cellStyle name="40% - Accent4 4 3" xfId="14839" xr:uid="{9B2A89A1-46ED-4CC5-87BC-67CCD6E72FF9}"/>
    <cellStyle name="40% - Accent4 4 3 2" xfId="37359" xr:uid="{32ACF77B-6352-41A5-8F58-2EADCD7717AD}"/>
    <cellStyle name="40% - Accent4 4 4" xfId="37360" xr:uid="{B2BF5565-A6F7-4629-B204-8A5EB2525F7A}"/>
    <cellStyle name="40% - Accent4 4 5" xfId="37361" xr:uid="{EEC53B87-19E7-42A0-B99C-0AA55A0CBA42}"/>
    <cellStyle name="40% - Accent4 40" xfId="14840" xr:uid="{ABAFF870-1DCE-459E-B28A-1803E7EBDB36}"/>
    <cellStyle name="40% - Accent4 40 2" xfId="14841" xr:uid="{69A58310-11EC-414A-9235-D8969FC597AA}"/>
    <cellStyle name="40% - Accent4 40 2 2" xfId="14842" xr:uid="{ABD1419B-2C15-4DD9-A411-5E4952364843}"/>
    <cellStyle name="40% - Accent4 40 2 2 2" xfId="14843" xr:uid="{92290311-C540-4683-8172-2D901A5534A8}"/>
    <cellStyle name="40% - Accent4 40 2 2 2 2" xfId="14844" xr:uid="{56368624-9E31-40AF-8D19-FEADE99BA2EC}"/>
    <cellStyle name="40% - Accent4 40 2 2 3" xfId="14845" xr:uid="{5AE1B59E-E0E8-454F-A729-C6E49C8974FC}"/>
    <cellStyle name="40% - Accent4 40 2 3" xfId="14846" xr:uid="{A0933BDA-C29D-434F-AF30-AE623D18F8E9}"/>
    <cellStyle name="40% - Accent4 40 2 3 2" xfId="14847" xr:uid="{11BA5A46-546E-4991-B225-3AC7846BB0D1}"/>
    <cellStyle name="40% - Accent4 40 2 3 2 2" xfId="14848" xr:uid="{079A8944-86D7-45EC-8F53-FBC9682263F4}"/>
    <cellStyle name="40% - Accent4 40 2 3 3" xfId="14849" xr:uid="{39F02A28-8AE8-4134-B3E6-08BAA29BBE6D}"/>
    <cellStyle name="40% - Accent4 40 2 4" xfId="14850" xr:uid="{BD403807-2F92-411D-8CB2-8BAA83E6BFC5}"/>
    <cellStyle name="40% - Accent4 40 2 4 2" xfId="14851" xr:uid="{14A08006-F157-43A5-B4D9-1F640D3323F6}"/>
    <cellStyle name="40% - Accent4 40 2 5" xfId="14852" xr:uid="{61E3AC5D-B095-4E3E-8C9E-DB02F2DF4CE5}"/>
    <cellStyle name="40% - Accent4 40 3" xfId="14853" xr:uid="{3DB9D630-E52B-4C92-984F-14348F346592}"/>
    <cellStyle name="40% - Accent4 40 3 2" xfId="14854" xr:uid="{2F6364CC-2EC4-4BC0-95A1-4D87A339D2C0}"/>
    <cellStyle name="40% - Accent4 40 3 2 2" xfId="14855" xr:uid="{F4D676ED-1D4F-4D58-AEA6-682B6CB27B0C}"/>
    <cellStyle name="40% - Accent4 40 3 3" xfId="14856" xr:uid="{080AA7AC-9A7C-4699-80F7-3515D92B7B13}"/>
    <cellStyle name="40% - Accent4 40 4" xfId="14857" xr:uid="{C28D4D5F-2DF8-4505-8B68-5D1CA7929DDD}"/>
    <cellStyle name="40% - Accent4 40 4 2" xfId="14858" xr:uid="{CABC4FC0-CCB0-491D-B6F3-30CCE5979061}"/>
    <cellStyle name="40% - Accent4 40 4 2 2" xfId="14859" xr:uid="{03A5740C-E90A-4ECE-92FD-76813D1828F2}"/>
    <cellStyle name="40% - Accent4 40 4 3" xfId="14860" xr:uid="{4B8F3688-7CBE-46B8-B435-59760CC7DCC3}"/>
    <cellStyle name="40% - Accent4 40 5" xfId="14861" xr:uid="{D2075058-82BD-456F-97E7-D1A2F22ED0AF}"/>
    <cellStyle name="40% - Accent4 40 5 2" xfId="14862" xr:uid="{983C18E4-C2B2-4FFB-A74C-7801927A51AB}"/>
    <cellStyle name="40% - Accent4 40 6" xfId="37362" xr:uid="{C4E63C2F-EF49-4CFA-A575-CD20C077C83B}"/>
    <cellStyle name="40% - Accent4 41" xfId="14863" xr:uid="{8C3AE48D-6578-49A2-A78D-8EE53E4D8E31}"/>
    <cellStyle name="40% - Accent4 41 2" xfId="14864" xr:uid="{103E3E90-6032-4605-9BBC-CB01C109A805}"/>
    <cellStyle name="40% - Accent4 41 2 2" xfId="14865" xr:uid="{537742DD-0C51-4CA2-819C-021896A3A89D}"/>
    <cellStyle name="40% - Accent4 41 2 2 2" xfId="14866" xr:uid="{7A32D9A5-0FB9-4CA5-B138-ED88CF2BBF14}"/>
    <cellStyle name="40% - Accent4 41 2 2 2 2" xfId="14867" xr:uid="{6CE29580-6CAE-4B3F-B890-9D62CD239A09}"/>
    <cellStyle name="40% - Accent4 41 2 2 3" xfId="14868" xr:uid="{A61945E8-9BE9-47DF-977B-48B983521377}"/>
    <cellStyle name="40% - Accent4 41 2 3" xfId="14869" xr:uid="{5D86CD76-E529-414A-90F1-E755896768BB}"/>
    <cellStyle name="40% - Accent4 41 2 3 2" xfId="14870" xr:uid="{1E652501-23B2-4E52-B3E0-805AA63CB2BA}"/>
    <cellStyle name="40% - Accent4 41 2 3 2 2" xfId="14871" xr:uid="{53B72F0F-80C7-4AE3-93A7-C934310B9D14}"/>
    <cellStyle name="40% - Accent4 41 2 3 3" xfId="14872" xr:uid="{074B12EE-6039-474E-BB92-C0D1A1CC8D62}"/>
    <cellStyle name="40% - Accent4 41 2 4" xfId="14873" xr:uid="{5C75ABD7-F732-4EBF-8175-013D2B35E167}"/>
    <cellStyle name="40% - Accent4 41 2 4 2" xfId="14874" xr:uid="{B3842116-3D9A-416E-BA35-794EDD59925F}"/>
    <cellStyle name="40% - Accent4 41 2 5" xfId="14875" xr:uid="{071CD86D-1B5C-4401-9B92-99A3282BF347}"/>
    <cellStyle name="40% - Accent4 41 3" xfId="14876" xr:uid="{2FDE8626-87B3-4FE6-9253-8BE5166A62C3}"/>
    <cellStyle name="40% - Accent4 41 3 2" xfId="14877" xr:uid="{68FFAEB6-DEA7-4A22-9345-94A1C39D1452}"/>
    <cellStyle name="40% - Accent4 41 3 2 2" xfId="14878" xr:uid="{A6972033-C3D7-47F5-9223-ED71A040736A}"/>
    <cellStyle name="40% - Accent4 41 3 3" xfId="14879" xr:uid="{7D7C8DE6-99EF-48CF-A267-A008ACB27B58}"/>
    <cellStyle name="40% - Accent4 41 4" xfId="14880" xr:uid="{5BF938F1-E3C9-427C-83AD-002201E05BE3}"/>
    <cellStyle name="40% - Accent4 41 4 2" xfId="14881" xr:uid="{C765D469-07DA-46F2-97D5-22DEA1BCF975}"/>
    <cellStyle name="40% - Accent4 41 4 2 2" xfId="14882" xr:uid="{5E1D8120-9CB2-4878-9E7E-3C21C949EB3C}"/>
    <cellStyle name="40% - Accent4 41 4 3" xfId="14883" xr:uid="{F3FE6051-CC31-45CC-AE46-0E5441F6869E}"/>
    <cellStyle name="40% - Accent4 41 5" xfId="14884" xr:uid="{21A048B5-DBFB-45FF-90D2-EC0DC94B65B3}"/>
    <cellStyle name="40% - Accent4 41 5 2" xfId="14885" xr:uid="{17D625DC-AEE1-426D-AB14-0A7049CC8CC8}"/>
    <cellStyle name="40% - Accent4 41 6" xfId="37363" xr:uid="{C197185A-CF64-4C09-B8D8-C235531DF7E6}"/>
    <cellStyle name="40% - Accent4 42" xfId="14886" xr:uid="{9A360DCE-3984-402F-94EA-D629EE76A515}"/>
    <cellStyle name="40% - Accent4 42 2" xfId="14887" xr:uid="{6DBEC4A1-2241-4D3A-BE1C-20F913CEEC96}"/>
    <cellStyle name="40% - Accent4 42 2 2" xfId="14888" xr:uid="{8E908A8D-23EF-403A-A351-FCEF2CADF57E}"/>
    <cellStyle name="40% - Accent4 42 2 2 2" xfId="14889" xr:uid="{7C0F07E1-9292-4A30-95C1-FF10AECF342D}"/>
    <cellStyle name="40% - Accent4 42 2 2 2 2" xfId="14890" xr:uid="{F86D14AE-CC3B-43D3-85D3-1A5CE874A691}"/>
    <cellStyle name="40% - Accent4 42 2 2 3" xfId="14891" xr:uid="{9DD81011-22B3-45F9-80F7-DC3718AA3C99}"/>
    <cellStyle name="40% - Accent4 42 2 3" xfId="14892" xr:uid="{329BF2E2-5B07-470F-8628-2475EAF84278}"/>
    <cellStyle name="40% - Accent4 42 2 3 2" xfId="14893" xr:uid="{A8B73EA2-C839-4674-9A3B-5519533F5F3C}"/>
    <cellStyle name="40% - Accent4 42 2 3 2 2" xfId="14894" xr:uid="{60110661-74DF-4538-8D08-BB5562F03D2F}"/>
    <cellStyle name="40% - Accent4 42 2 3 3" xfId="14895" xr:uid="{F92B4B3F-E3CD-4417-A50A-FA4D6DAC4DF6}"/>
    <cellStyle name="40% - Accent4 42 2 4" xfId="14896" xr:uid="{51400969-947A-4586-8F2E-4BF48B2D1723}"/>
    <cellStyle name="40% - Accent4 42 2 4 2" xfId="14897" xr:uid="{C0323029-CB56-44C5-A0EB-B210B7C68CEA}"/>
    <cellStyle name="40% - Accent4 42 2 5" xfId="14898" xr:uid="{8794CEDA-C0EE-4C67-B234-ED20AA3DE3CB}"/>
    <cellStyle name="40% - Accent4 42 3" xfId="14899" xr:uid="{844FFBD4-892E-4DDF-974F-6E07B92938B1}"/>
    <cellStyle name="40% - Accent4 42 3 2" xfId="14900" xr:uid="{33C44791-D063-40CC-ADBE-855E1E70129F}"/>
    <cellStyle name="40% - Accent4 42 3 2 2" xfId="14901" xr:uid="{0E8F0B0C-A2B5-4158-84F6-9BA8DFC0CAB2}"/>
    <cellStyle name="40% - Accent4 42 3 3" xfId="14902" xr:uid="{26EE0BD4-843F-4871-9554-D6792E12A4C0}"/>
    <cellStyle name="40% - Accent4 42 4" xfId="14903" xr:uid="{E0A8161F-6684-4593-A2DB-613FB9D518C2}"/>
    <cellStyle name="40% - Accent4 42 4 2" xfId="14904" xr:uid="{564EBB25-8E68-4268-8D26-1F4915C00E99}"/>
    <cellStyle name="40% - Accent4 42 4 2 2" xfId="14905" xr:uid="{3D4CAC11-1F4B-48FB-B6F4-F4FE8A4AD2B5}"/>
    <cellStyle name="40% - Accent4 42 4 3" xfId="14906" xr:uid="{AF9B669E-FF79-449F-B9C9-23ECD71B8281}"/>
    <cellStyle name="40% - Accent4 42 5" xfId="14907" xr:uid="{37AD4E42-DC78-4477-98A7-ACFB73FDFDD8}"/>
    <cellStyle name="40% - Accent4 42 5 2" xfId="14908" xr:uid="{C0A9313E-30CC-45F5-B5CE-71813FB2FF0E}"/>
    <cellStyle name="40% - Accent4 42 6" xfId="37364" xr:uid="{3B94C15E-40E1-4530-A3BD-4126512908B1}"/>
    <cellStyle name="40% - Accent4 43" xfId="14909" xr:uid="{24D12E83-00CB-41C7-BC4C-BA31CE89F272}"/>
    <cellStyle name="40% - Accent4 43 2" xfId="14910" xr:uid="{D429FA08-3834-4890-A49C-AF6AA884E9E4}"/>
    <cellStyle name="40% - Accent4 43 3" xfId="37365" xr:uid="{DFBF045B-CD7F-49C0-BBF6-86C5E36EAF77}"/>
    <cellStyle name="40% - Accent4 44" xfId="14911" xr:uid="{A117B124-9D45-45D6-B161-BF425B774B2E}"/>
    <cellStyle name="40% - Accent4 44 2" xfId="14912" xr:uid="{76A8EDD2-9838-4729-B186-1398DACB314C}"/>
    <cellStyle name="40% - Accent4 44 3" xfId="37366" xr:uid="{599D8079-549E-4EBE-AFFE-BE042CEA242C}"/>
    <cellStyle name="40% - Accent4 45" xfId="14913" xr:uid="{B471B84E-3E6B-4D94-A79E-95C8BF25B49E}"/>
    <cellStyle name="40% - Accent4 45 2" xfId="14914" xr:uid="{5249476E-1AED-4494-BE5D-1376861F2BF1}"/>
    <cellStyle name="40% - Accent4 45 3" xfId="37367" xr:uid="{6349C89F-E4C2-4287-9768-6F1C82711042}"/>
    <cellStyle name="40% - Accent4 46" xfId="14915" xr:uid="{645515BC-77DC-4445-B545-D41EEA2AFF95}"/>
    <cellStyle name="40% - Accent4 46 2" xfId="14916" xr:uid="{58B35D80-B2E7-48E0-A6D7-7368A6585225}"/>
    <cellStyle name="40% - Accent4 46 3" xfId="37368" xr:uid="{D223B73D-3071-424D-8AA1-0FA149DF1C8A}"/>
    <cellStyle name="40% - Accent4 47" xfId="14917" xr:uid="{4452FCA4-E7F5-41ED-B82C-C2CE59A18355}"/>
    <cellStyle name="40% - Accent4 47 2" xfId="14918" xr:uid="{9C409E64-7453-4B6A-94D1-104520944657}"/>
    <cellStyle name="40% - Accent4 47 3" xfId="37369" xr:uid="{330A96C1-E3D5-4B67-B3FF-854C6D3428D4}"/>
    <cellStyle name="40% - Accent4 48" xfId="14919" xr:uid="{79DAEC48-8F24-4E95-BF4D-0702E45479E4}"/>
    <cellStyle name="40% - Accent4 48 2" xfId="14920" xr:uid="{023A779B-E4E6-49C3-A910-B99B98B8F4B3}"/>
    <cellStyle name="40% - Accent4 48 3" xfId="37370" xr:uid="{1899F44E-A491-49EA-9EF3-C157F401FD1E}"/>
    <cellStyle name="40% - Accent4 49" xfId="14921" xr:uid="{97BD669C-415E-4DA5-A47A-EE19589C5527}"/>
    <cellStyle name="40% - Accent4 49 2" xfId="14922" xr:uid="{17370E00-9ADD-44CD-9D8D-F006DF550F01}"/>
    <cellStyle name="40% - Accent4 49 3" xfId="37371" xr:uid="{6B62804B-98FD-485C-931C-8FB7A98013A9}"/>
    <cellStyle name="40% - Accent4 5" xfId="14923" xr:uid="{034F02C4-7A38-4624-94F7-5A0EB9A8C3C2}"/>
    <cellStyle name="40% - Accent4 5 2" xfId="14924" xr:uid="{5EB3490E-EABC-44F5-8463-6E0F4A2539CF}"/>
    <cellStyle name="40% - Accent4 5 2 2" xfId="14925" xr:uid="{6423F54E-C2EC-4BE3-B94E-CBAA739A372B}"/>
    <cellStyle name="40% - Accent4 5 2 2 2" xfId="37372" xr:uid="{1C5F6E14-E38B-4BF5-8348-D3850E2B3663}"/>
    <cellStyle name="40% - Accent4 5 2 3" xfId="37373" xr:uid="{20E27D58-A78C-432F-8AAF-BF1C375D280B}"/>
    <cellStyle name="40% - Accent4 5 2 4" xfId="37374" xr:uid="{5AFD05E1-6096-4CCC-BE06-6820EB319B26}"/>
    <cellStyle name="40% - Accent4 5 3" xfId="14926" xr:uid="{8C8CF2D4-C064-4761-AC61-46C0A3B84301}"/>
    <cellStyle name="40% - Accent4 5 3 2" xfId="37375" xr:uid="{7DC5680D-9887-42F9-AA57-39DBAF81C4CE}"/>
    <cellStyle name="40% - Accent4 5 4" xfId="37376" xr:uid="{7C7A9EBD-F897-4849-A182-3E84461C3FA5}"/>
    <cellStyle name="40% - Accent4 5 5" xfId="37377" xr:uid="{EE014A62-3555-449A-93DE-2F4FCB871786}"/>
    <cellStyle name="40% - Accent4 50" xfId="14927" xr:uid="{03A2737A-7C3E-4B04-9138-90E42DDCDE65}"/>
    <cellStyle name="40% - Accent4 50 2" xfId="14928" xr:uid="{B13E56BD-2A42-47BE-917B-5F5F40CE9DAD}"/>
    <cellStyle name="40% - Accent4 50 3" xfId="37378" xr:uid="{676C42AC-1B6D-4A65-87EE-46475426CAFA}"/>
    <cellStyle name="40% - Accent4 51" xfId="14929" xr:uid="{B80872FE-085B-41DD-B433-EDE08499EFE2}"/>
    <cellStyle name="40% - Accent4 51 2" xfId="37379" xr:uid="{CA187E4A-9B29-4812-A419-E1119E2BC364}"/>
    <cellStyle name="40% - Accent4 52" xfId="14930" xr:uid="{40F18C2A-6D91-48A2-8A3B-D61F8DE61D3E}"/>
    <cellStyle name="40% - Accent4 52 2" xfId="37380" xr:uid="{28073A33-8B0E-43E2-891D-5C47EC712771}"/>
    <cellStyle name="40% - Accent4 53" xfId="14931" xr:uid="{7335F37B-3DAA-440F-8F54-06F21CC5E8B6}"/>
    <cellStyle name="40% - Accent4 53 2" xfId="37381" xr:uid="{A58092E1-22F8-4607-9605-3A9106384F1C}"/>
    <cellStyle name="40% - Accent4 54" xfId="14932" xr:uid="{95E640FB-A6C6-479C-AF12-0C1824153260}"/>
    <cellStyle name="40% - Accent4 54 2" xfId="37382" xr:uid="{8ACC823D-3598-4F82-95DB-F613F4315D64}"/>
    <cellStyle name="40% - Accent4 55" xfId="14933" xr:uid="{4DFC1F00-8217-498B-BE57-646F5CCED444}"/>
    <cellStyle name="40% - Accent4 55 2" xfId="37383" xr:uid="{169CA8CD-5939-4034-BCFB-FCCE7121E2F9}"/>
    <cellStyle name="40% - Accent4 56" xfId="14934" xr:uid="{D5EB2BD9-329D-4F55-917D-CAB68F916405}"/>
    <cellStyle name="40% - Accent4 56 2" xfId="37384" xr:uid="{7F8A8F86-A02E-4E8B-938E-7EA681198475}"/>
    <cellStyle name="40% - Accent4 57" xfId="14935" xr:uid="{5D4A17CB-3B37-4B7F-A4A1-E3F3FE69CC3A}"/>
    <cellStyle name="40% - Accent4 57 2" xfId="37385" xr:uid="{537FFEC7-2620-461C-BCDF-44B702A88E13}"/>
    <cellStyle name="40% - Accent4 58" xfId="14936" xr:uid="{F2CA89F7-30D7-48C6-B2FD-3002BDE3B8CF}"/>
    <cellStyle name="40% - Accent4 58 2" xfId="37386" xr:uid="{6AADDEDB-5C2D-42F2-B806-37DABB0D6CB8}"/>
    <cellStyle name="40% - Accent4 59" xfId="14937" xr:uid="{5375CD49-3FCD-4760-B47D-81CF2A7D6779}"/>
    <cellStyle name="40% - Accent4 59 2" xfId="37387" xr:uid="{B03FC785-0AE3-45A2-8D4D-A1F2E764A686}"/>
    <cellStyle name="40% - Accent4 6" xfId="14938" xr:uid="{C8C63822-E4B7-4D0E-B47B-92C51186991B}"/>
    <cellStyle name="40% - Accent4 6 2" xfId="14939" xr:uid="{D48929F7-4F46-410D-A1BB-1BB1128F5E41}"/>
    <cellStyle name="40% - Accent4 6 2 2" xfId="14940" xr:uid="{47E447CF-2881-486A-B1FC-691336692CAA}"/>
    <cellStyle name="40% - Accent4 6 2 2 2" xfId="37388" xr:uid="{011BB5F6-85F2-423E-9A52-5B8D6ECA3CF2}"/>
    <cellStyle name="40% - Accent4 6 2 3" xfId="37389" xr:uid="{A1C75BCC-4089-4EB9-909F-87445286EA76}"/>
    <cellStyle name="40% - Accent4 6 2 4" xfId="37390" xr:uid="{40B532E0-40E3-43C6-830B-60B325E28F01}"/>
    <cellStyle name="40% - Accent4 6 3" xfId="14941" xr:uid="{65B146F6-42E1-412E-AB50-E6F3A5B010BD}"/>
    <cellStyle name="40% - Accent4 6 3 2" xfId="37391" xr:uid="{3254CBBD-7731-4709-A1F3-7CC402F96317}"/>
    <cellStyle name="40% - Accent4 6 4" xfId="37392" xr:uid="{11528710-1868-4266-8A13-5B0358896199}"/>
    <cellStyle name="40% - Accent4 6 5" xfId="37393" xr:uid="{975B55DC-7E4B-4AD9-964C-7013D8F69445}"/>
    <cellStyle name="40% - Accent4 60" xfId="14942" xr:uid="{C09EA09D-A0FF-451D-9096-527F5B7DFAB4}"/>
    <cellStyle name="40% - Accent4 60 2" xfId="37394" xr:uid="{B59C6665-697F-4DAB-A061-A25CF5B72731}"/>
    <cellStyle name="40% - Accent4 61" xfId="14943" xr:uid="{7DDEA339-D0A4-49DA-B216-3752D979CA10}"/>
    <cellStyle name="40% - Accent4 61 2" xfId="37395" xr:uid="{709ED11D-958E-4106-8733-1615036ABC96}"/>
    <cellStyle name="40% - Accent4 62" xfId="14944" xr:uid="{9AB26EC5-77CA-4CCC-865D-3B3719D9D280}"/>
    <cellStyle name="40% - Accent4 62 2" xfId="37396" xr:uid="{E0AA2EE9-3EAA-4EC1-BDC6-59F208587343}"/>
    <cellStyle name="40% - Accent4 63" xfId="14945" xr:uid="{2E7CFF9E-757E-4B5F-B5B4-CB1576643C0C}"/>
    <cellStyle name="40% - Accent4 63 2" xfId="37397" xr:uid="{A81EAF2A-7B6C-4CAB-BD67-3DF2A99F6F1D}"/>
    <cellStyle name="40% - Accent4 64" xfId="14946" xr:uid="{0517188D-74D7-491E-9624-D93D001982FB}"/>
    <cellStyle name="40% - Accent4 64 2" xfId="37398" xr:uid="{E722A5CE-FD4F-4F0D-9478-E58F59A2726E}"/>
    <cellStyle name="40% - Accent4 65" xfId="14947" xr:uid="{864F8A76-A933-4470-B569-5CA36D184F44}"/>
    <cellStyle name="40% - Accent4 65 2" xfId="37399" xr:uid="{C1336D3D-EF83-4DDC-A2BB-DABE6D07F9B7}"/>
    <cellStyle name="40% - Accent4 66" xfId="14948" xr:uid="{CE76F2EE-C3E6-4464-89F0-EA930D4E1159}"/>
    <cellStyle name="40% - Accent4 66 2" xfId="14949" xr:uid="{B0E8CAA7-768E-4425-BA86-7593BCEA7C25}"/>
    <cellStyle name="40% - Accent4 66 2 2" xfId="14950" xr:uid="{F5F4266D-A548-47F9-A12B-BC8AC818FE2C}"/>
    <cellStyle name="40% - Accent4 66 3" xfId="14951" xr:uid="{3179A580-EF1B-4127-B0D4-0B6B520D706F}"/>
    <cellStyle name="40% - Accent4 66 3 2" xfId="14952" xr:uid="{3AFA0CE5-E38F-41AC-AB5A-52575004EC44}"/>
    <cellStyle name="40% - Accent4 66 4" xfId="14953" xr:uid="{A4531FB2-6368-4533-AED2-0792181E1C79}"/>
    <cellStyle name="40% - Accent4 66 5" xfId="37400" xr:uid="{25EB6E7F-8DE7-4804-8C06-52097AFB3B6B}"/>
    <cellStyle name="40% - Accent4 67" xfId="14954" xr:uid="{E7F47935-D71C-4D5C-B45D-AA9782E04298}"/>
    <cellStyle name="40% - Accent4 67 2" xfId="14955" xr:uid="{D467028F-2741-447F-82B8-BEE06F4D20F2}"/>
    <cellStyle name="40% - Accent4 67 2 2" xfId="14956" xr:uid="{4A634CA9-4586-49F6-8537-3C19CAC27B5B}"/>
    <cellStyle name="40% - Accent4 67 3" xfId="14957" xr:uid="{AE77C8DB-9AF3-4F7D-BDDE-706BF366C1D4}"/>
    <cellStyle name="40% - Accent4 67 3 2" xfId="14958" xr:uid="{EF09E3EF-8F7A-47DF-BC37-3CDDC326A49F}"/>
    <cellStyle name="40% - Accent4 67 4" xfId="14959" xr:uid="{1549971A-BFF8-4A3F-BA94-C144989DD506}"/>
    <cellStyle name="40% - Accent4 67 5" xfId="37401" xr:uid="{2986859A-5D1D-4DA8-9255-6E5006A758F2}"/>
    <cellStyle name="40% - Accent4 68" xfId="14960" xr:uid="{D09BAA85-012E-4F34-80CC-1764AF09CDC1}"/>
    <cellStyle name="40% - Accent4 68 2" xfId="14961" xr:uid="{F94B16DC-CDB8-485E-90E8-90BAF856CA68}"/>
    <cellStyle name="40% - Accent4 68 2 2" xfId="14962" xr:uid="{67AE849B-EA80-44F3-9D83-8251786A6317}"/>
    <cellStyle name="40% - Accent4 68 3" xfId="14963" xr:uid="{5973FB7D-4D22-4F5C-91B3-B7EECC91F7E0}"/>
    <cellStyle name="40% - Accent4 68 3 2" xfId="14964" xr:uid="{34A3F070-0645-4FDA-BD80-29A06A54C7A3}"/>
    <cellStyle name="40% - Accent4 68 4" xfId="14965" xr:uid="{EAE33D7A-83FB-45B9-BFA2-2B771AFC3410}"/>
    <cellStyle name="40% - Accent4 68 5" xfId="37402" xr:uid="{D5D3491B-2C52-4C1F-8530-C46DF7B955EF}"/>
    <cellStyle name="40% - Accent4 69" xfId="14966" xr:uid="{17D2A02A-14AC-4188-A53B-F32C33FCAEF6}"/>
    <cellStyle name="40% - Accent4 69 2" xfId="14967" xr:uid="{6BFDA688-252A-442D-B0E0-E240E80987A5}"/>
    <cellStyle name="40% - Accent4 69 2 2" xfId="14968" xr:uid="{4C77A24F-A281-45B9-8447-DA84ED2DC32A}"/>
    <cellStyle name="40% - Accent4 69 3" xfId="14969" xr:uid="{BC2D1776-C8C8-4A19-A23A-97451B142A42}"/>
    <cellStyle name="40% - Accent4 69 4" xfId="37403" xr:uid="{1E862C5E-4AE4-4C02-82C3-B04D7DCECD80}"/>
    <cellStyle name="40% - Accent4 7" xfId="14970" xr:uid="{44C3022B-9DF8-4E64-B203-738A7AB56999}"/>
    <cellStyle name="40% - Accent4 7 2" xfId="14971" xr:uid="{0C138FD8-8811-4349-8473-1A53A31B27B8}"/>
    <cellStyle name="40% - Accent4 7 2 2" xfId="14972" xr:uid="{3AF53A4A-7116-4033-A051-AD3CB972B6F3}"/>
    <cellStyle name="40% - Accent4 7 2 2 2" xfId="37404" xr:uid="{60F344D5-596B-4DFC-9C8A-F50C72951BBC}"/>
    <cellStyle name="40% - Accent4 7 2 3" xfId="37405" xr:uid="{2CD8658B-C7D1-4333-A593-E1B80D404A5A}"/>
    <cellStyle name="40% - Accent4 7 2 4" xfId="37406" xr:uid="{66DEDC01-A07F-4847-AE74-B266639F296E}"/>
    <cellStyle name="40% - Accent4 7 3" xfId="14973" xr:uid="{3F5F2203-195F-4AA5-AA06-E6C166B3434B}"/>
    <cellStyle name="40% - Accent4 7 3 2" xfId="37407" xr:uid="{779EBF6C-68E2-47B0-B35E-2A0D4A859F24}"/>
    <cellStyle name="40% - Accent4 7 4" xfId="37408" xr:uid="{68FEE227-6CE2-44EF-89B6-E447E885180C}"/>
    <cellStyle name="40% - Accent4 7 5" xfId="37409" xr:uid="{9E492F67-DB64-45CA-A27F-A26A59AE15C5}"/>
    <cellStyle name="40% - Accent4 70" xfId="14974" xr:uid="{2C5485EE-5D76-4EDE-ACC8-0CF998A56B5B}"/>
    <cellStyle name="40% - Accent4 70 2" xfId="14975" xr:uid="{FF70D568-3DF9-4898-8F6C-CC427E006DA5}"/>
    <cellStyle name="40% - Accent4 70 2 2" xfId="14976" xr:uid="{AE69B993-F793-47DE-814E-38B393B355C2}"/>
    <cellStyle name="40% - Accent4 70 3" xfId="14977" xr:uid="{20A3F2AD-D3FD-43AA-B7DA-50592A0B0DD5}"/>
    <cellStyle name="40% - Accent4 70 4" xfId="37410" xr:uid="{936F110F-7700-4906-A3FE-3A7A7B97C3D2}"/>
    <cellStyle name="40% - Accent4 71" xfId="14978" xr:uid="{B0ECAE05-7D2A-425B-8D8C-6D47C3DDED06}"/>
    <cellStyle name="40% - Accent4 71 2" xfId="14979" xr:uid="{B7767A95-6854-4290-8633-9E0033B255CF}"/>
    <cellStyle name="40% - Accent4 71 2 2" xfId="14980" xr:uid="{5E2B5621-A607-4F41-9367-FBC4B4069CDF}"/>
    <cellStyle name="40% - Accent4 71 3" xfId="14981" xr:uid="{CD4F3370-817F-4671-A882-E1995783FEE4}"/>
    <cellStyle name="40% - Accent4 71 4" xfId="37411" xr:uid="{A08D4B9B-95E6-48E6-BBF7-2F1379379716}"/>
    <cellStyle name="40% - Accent4 72" xfId="14982" xr:uid="{CDF1DB3C-881B-4DD5-87BC-F5BB487CEE75}"/>
    <cellStyle name="40% - Accent4 72 2" xfId="14983" xr:uid="{938C01F2-97C6-4A28-8E23-038634FC9104}"/>
    <cellStyle name="40% - Accent4 72 2 2" xfId="14984" xr:uid="{3F7C14B7-3A42-40BA-9D69-F0702DE7F9B2}"/>
    <cellStyle name="40% - Accent4 72 3" xfId="14985" xr:uid="{041FE79C-C5BE-4DDB-965E-D93980D29341}"/>
    <cellStyle name="40% - Accent4 72 4" xfId="37412" xr:uid="{DD63E9EA-F406-4EDD-9E1B-94A15157E7D8}"/>
    <cellStyle name="40% - Accent4 73" xfId="14986" xr:uid="{6F91560A-BEA8-4E35-905B-C37CD363E1A6}"/>
    <cellStyle name="40% - Accent4 73 2" xfId="14987" xr:uid="{873F3C45-9862-4EAF-9D30-14A6049528F2}"/>
    <cellStyle name="40% - Accent4 73 2 2" xfId="14988" xr:uid="{9C8FE86A-0E53-4600-918B-5E55E6A03AC0}"/>
    <cellStyle name="40% - Accent4 73 3" xfId="14989" xr:uid="{AE43F336-AE28-4012-824B-AAEA8B3D269C}"/>
    <cellStyle name="40% - Accent4 73 4" xfId="37413" xr:uid="{9575FCB4-A309-444B-81E4-18044F4AF881}"/>
    <cellStyle name="40% - Accent4 74" xfId="14990" xr:uid="{7C4C387B-EF19-4729-8E06-044B6F0003D5}"/>
    <cellStyle name="40% - Accent4 74 2" xfId="14991" xr:uid="{CC3399B3-3586-4879-A6D0-09A71171BF50}"/>
    <cellStyle name="40% - Accent4 74 2 2" xfId="14992" xr:uid="{5C9FE638-6E22-4CEA-9254-DAA843704797}"/>
    <cellStyle name="40% - Accent4 74 3" xfId="14993" xr:uid="{77D1F549-B61C-442C-AC63-0D8B48FD4616}"/>
    <cellStyle name="40% - Accent4 74 4" xfId="37414" xr:uid="{AC54DCE3-2CF2-4EF8-AF20-0B88351A9F13}"/>
    <cellStyle name="40% - Accent4 75" xfId="14994" xr:uid="{3EE7B080-98C1-4610-AC04-BA4853A7D2E9}"/>
    <cellStyle name="40% - Accent4 75 2" xfId="14995" xr:uid="{C41F5858-B9ED-4503-87B1-4D92B4C89364}"/>
    <cellStyle name="40% - Accent4 75 2 2" xfId="14996" xr:uid="{DF70B19F-3894-4DC3-BA65-8A6A2AB9B03C}"/>
    <cellStyle name="40% - Accent4 75 3" xfId="14997" xr:uid="{34F25B0D-3F32-46DE-A62C-159EECBBF17B}"/>
    <cellStyle name="40% - Accent4 75 4" xfId="37415" xr:uid="{BE91B116-0DFE-4049-B3EB-DDFCC033E0B6}"/>
    <cellStyle name="40% - Accent4 76" xfId="14998" xr:uid="{7FA36F5B-6D32-474E-B46D-357D7AB3CC43}"/>
    <cellStyle name="40% - Accent4 76 2" xfId="14999" xr:uid="{2600087E-DC55-4856-A0C2-F3C9AC3B9649}"/>
    <cellStyle name="40% - Accent4 76 2 2" xfId="15000" xr:uid="{B5505CB0-95CB-4620-8126-869D60FBFD7D}"/>
    <cellStyle name="40% - Accent4 76 3" xfId="15001" xr:uid="{97D6C2D5-B5D5-4273-8E6C-65B8F2906AF9}"/>
    <cellStyle name="40% - Accent4 76 4" xfId="37416" xr:uid="{9E6E185E-94D8-4AC2-859F-2DA0C36BE8A4}"/>
    <cellStyle name="40% - Accent4 77" xfId="15002" xr:uid="{D8F41AF0-2697-4CC5-80CC-2E67DDC0810B}"/>
    <cellStyle name="40% - Accent4 77 2" xfId="15003" xr:uid="{E4EEEA85-9D43-4E1C-9D95-B2BF32624D24}"/>
    <cellStyle name="40% - Accent4 77 2 2" xfId="15004" xr:uid="{C4929F56-879D-488F-A10D-420C55876C87}"/>
    <cellStyle name="40% - Accent4 77 3" xfId="15005" xr:uid="{6A47CE88-6B86-4C53-816B-53F4FB0043CE}"/>
    <cellStyle name="40% - Accent4 77 4" xfId="37417" xr:uid="{AB2BB5A7-6AED-404A-95AC-F568FBBFDB0D}"/>
    <cellStyle name="40% - Accent4 78" xfId="15006" xr:uid="{ADA49F73-F873-4836-A85A-C1FB5BF85E68}"/>
    <cellStyle name="40% - Accent4 78 2" xfId="15007" xr:uid="{1FA01CC0-F208-4286-8B08-C197EC331A8F}"/>
    <cellStyle name="40% - Accent4 78 2 2" xfId="15008" xr:uid="{40BA6290-AC11-4590-B68A-EA0F8D5FD828}"/>
    <cellStyle name="40% - Accent4 78 3" xfId="15009" xr:uid="{A4E91FC6-AD71-485D-9798-F2BE179F3C61}"/>
    <cellStyle name="40% - Accent4 78 4" xfId="37418" xr:uid="{A1976A24-8E77-4C3F-A195-B113975E4A5B}"/>
    <cellStyle name="40% - Accent4 79" xfId="15010" xr:uid="{F0FCF31C-2425-4FD2-9348-D524DA7F4DAC}"/>
    <cellStyle name="40% - Accent4 79 2" xfId="15011" xr:uid="{6FB12580-936B-4612-AB17-AB4A769A1D0F}"/>
    <cellStyle name="40% - Accent4 79 3" xfId="37419" xr:uid="{402550CA-71CF-4BB2-8AE7-ED1C72910649}"/>
    <cellStyle name="40% - Accent4 8" xfId="15012" xr:uid="{A59E53E3-D805-4331-AF6C-43EA3D6F78F1}"/>
    <cellStyle name="40% - Accent4 8 2" xfId="15013" xr:uid="{A48C69AA-101C-4F8C-9834-4488B37E6652}"/>
    <cellStyle name="40% - Accent4 8 2 2" xfId="15014" xr:uid="{27E58439-6CEB-4EDF-9A4E-F10DD58CAE7A}"/>
    <cellStyle name="40% - Accent4 8 2 2 2" xfId="37420" xr:uid="{9CEC2839-E452-48CB-BC38-9EC76FF0C970}"/>
    <cellStyle name="40% - Accent4 8 2 3" xfId="37421" xr:uid="{E0517A2E-418B-4725-8BD9-AA4596EF312D}"/>
    <cellStyle name="40% - Accent4 8 3" xfId="15015" xr:uid="{884B87BF-DF33-4DC8-AFA3-E63600C3C987}"/>
    <cellStyle name="40% - Accent4 8 3 2" xfId="37422" xr:uid="{D6EB0DB3-C33D-447B-A6F7-16814ACA757B}"/>
    <cellStyle name="40% - Accent4 8 4" xfId="37423" xr:uid="{48BC28A3-8628-4877-8150-7BFBC598B941}"/>
    <cellStyle name="40% - Accent4 8 5" xfId="37424" xr:uid="{BCAC5FCE-AD9A-405D-8F29-E0E40899FE36}"/>
    <cellStyle name="40% - Accent4 8 6" xfId="37425" xr:uid="{61D9B234-4FCE-41A7-BB46-C9CC4E948133}"/>
    <cellStyle name="40% - Accent4 8 7" xfId="37426" xr:uid="{793456F0-9AF4-4740-9C76-83E0B4057DB7}"/>
    <cellStyle name="40% - Accent4 80" xfId="15016" xr:uid="{DB0D36E6-1F35-4F8C-BD9B-858D334A72A1}"/>
    <cellStyle name="40% - Accent4 80 2" xfId="15017" xr:uid="{8D7EFDBA-A605-4FF4-90E0-DBDC9AB51203}"/>
    <cellStyle name="40% - Accent4 80 3" xfId="37427" xr:uid="{5F768D81-597D-4D39-B5BE-8384AF48707A}"/>
    <cellStyle name="40% - Accent4 81" xfId="15018" xr:uid="{2B3DD38C-40EA-4B1A-8AFF-AECA29945E81}"/>
    <cellStyle name="40% - Accent4 81 2" xfId="15019" xr:uid="{24E4BF90-8565-43FD-86E7-9C91E5BE5EBE}"/>
    <cellStyle name="40% - Accent4 81 3" xfId="37428" xr:uid="{339DDA71-703D-4153-AE95-0377001195A5}"/>
    <cellStyle name="40% - Accent4 82" xfId="15020" xr:uid="{6FDE69F6-23AE-4CDD-A1EB-F403B9764D4D}"/>
    <cellStyle name="40% - Accent4 82 2" xfId="15021" xr:uid="{441FE1E9-630F-43CD-91BF-0DA290A1FD38}"/>
    <cellStyle name="40% - Accent4 82 3" xfId="37429" xr:uid="{AB17A27E-A52A-4B73-A68E-3026C6C9DF14}"/>
    <cellStyle name="40% - Accent4 83" xfId="15022" xr:uid="{F002A563-B6AB-4536-909E-56715F05961A}"/>
    <cellStyle name="40% - Accent4 83 2" xfId="15023" xr:uid="{CDC0F229-8890-4995-8109-F5AAF9A885ED}"/>
    <cellStyle name="40% - Accent4 83 3" xfId="37430" xr:uid="{07F52F64-7B7D-4D87-B3D9-84EDE23097B0}"/>
    <cellStyle name="40% - Accent4 84" xfId="15024" xr:uid="{030FF461-3106-4017-B55F-991D38DDB677}"/>
    <cellStyle name="40% - Accent4 84 2" xfId="15025" xr:uid="{582CDE45-A3A6-46B2-BCB7-B2388D5AA0CD}"/>
    <cellStyle name="40% - Accent4 84 3" xfId="37431" xr:uid="{BDAFF740-6904-42D5-93BB-0F0BB96F2F58}"/>
    <cellStyle name="40% - Accent4 85" xfId="15026" xr:uid="{B1819979-92A1-49E2-A2CA-6B4236C7F5F9}"/>
    <cellStyle name="40% - Accent4 85 2" xfId="15027" xr:uid="{B3AA2EC2-DAE4-44D8-9CC9-457F4288E009}"/>
    <cellStyle name="40% - Accent4 85 3" xfId="37432" xr:uid="{57D647C3-DA7B-43D6-8F7E-9E734CD200C6}"/>
    <cellStyle name="40% - Accent4 86" xfId="15028" xr:uid="{B4FF814E-86E8-4E7D-8421-C7B2F359BE6D}"/>
    <cellStyle name="40% - Accent4 86 2" xfId="15029" xr:uid="{37E03606-AE37-4FC5-9C89-A5255B7060C3}"/>
    <cellStyle name="40% - Accent4 86 3" xfId="37433" xr:uid="{D3FE09F8-5C80-4C0B-858F-ECBA886D0C45}"/>
    <cellStyle name="40% - Accent4 87" xfId="15030" xr:uid="{57130E5E-2402-49BF-9DAD-6998AB670CBB}"/>
    <cellStyle name="40% - Accent4 87 2" xfId="15031" xr:uid="{25BD7612-E4BE-4423-8FEF-8DE948DE9BB3}"/>
    <cellStyle name="40% - Accent4 87 3" xfId="37434" xr:uid="{323AD262-2653-4FAD-B16B-3E87F5E62125}"/>
    <cellStyle name="40% - Accent4 88" xfId="15032" xr:uid="{EC2C97F4-7A91-46F9-84A4-028B7B618109}"/>
    <cellStyle name="40% - Accent4 88 2" xfId="15033" xr:uid="{F3714E75-7B68-428A-A5C6-926B7CBECA02}"/>
    <cellStyle name="40% - Accent4 88 3" xfId="37435" xr:uid="{AC70EAE7-2DF0-49F3-99D0-A462FDE93D8A}"/>
    <cellStyle name="40% - Accent4 89" xfId="15034" xr:uid="{A03E1463-0977-4826-A98B-988776757A33}"/>
    <cellStyle name="40% - Accent4 89 2" xfId="15035" xr:uid="{631F34E0-B98F-4D6E-9542-CC96B3D9301E}"/>
    <cellStyle name="40% - Accent4 89 3" xfId="37436" xr:uid="{B91449CC-2054-40AB-AE02-E08147F7CE9A}"/>
    <cellStyle name="40% - Accent4 9" xfId="15036" xr:uid="{C3B174FA-2E74-4C60-B1FC-64A851B0FE4E}"/>
    <cellStyle name="40% - Accent4 9 2" xfId="15037" xr:uid="{C2EFB5A4-CAE9-4A10-B168-734B7C6CAC4F}"/>
    <cellStyle name="40% - Accent4 9 2 2" xfId="15038" xr:uid="{49E26FFB-AC24-4572-9B46-C7F54B840DC2}"/>
    <cellStyle name="40% - Accent4 9 2 2 2" xfId="37437" xr:uid="{59717449-D0EE-48E0-904D-6BCC13713959}"/>
    <cellStyle name="40% - Accent4 9 2 3" xfId="37438" xr:uid="{5F8A8076-1921-4B38-8543-0DB6525A6536}"/>
    <cellStyle name="40% - Accent4 9 3" xfId="15039" xr:uid="{941554C2-87C1-4A48-AD18-DCC117626651}"/>
    <cellStyle name="40% - Accent4 9 3 2" xfId="37439" xr:uid="{6002EBE6-F28C-4719-B70D-507C51B9B9C0}"/>
    <cellStyle name="40% - Accent4 9 4" xfId="37440" xr:uid="{080AF4CC-BC53-451A-91EE-3064DBC6A15C}"/>
    <cellStyle name="40% - Accent4 9 5" xfId="37441" xr:uid="{5DB745DA-F1C1-46E5-993E-47E4F5E21D84}"/>
    <cellStyle name="40% - Accent4 9 6" xfId="37442" xr:uid="{5C3D885C-5861-4AA8-B384-4D3950B1F059}"/>
    <cellStyle name="40% - Accent4 90" xfId="15040" xr:uid="{B1776328-2088-4E25-8A39-51530F5E6B4E}"/>
    <cellStyle name="40% - Accent4 90 2" xfId="15041" xr:uid="{B1D761A0-B03E-4F9A-A5D1-A7621CFB8306}"/>
    <cellStyle name="40% - Accent4 90 3" xfId="37443" xr:uid="{4F1C4F94-8474-4CEF-B05E-C74DA8D42D07}"/>
    <cellStyle name="40% - Accent4 91" xfId="15042" xr:uid="{4E2259B6-BC6A-4455-8888-4B4F9FA44412}"/>
    <cellStyle name="40% - Accent4 91 2" xfId="15043" xr:uid="{98D75F3E-964C-4156-96F5-606EC36D4496}"/>
    <cellStyle name="40% - Accent4 91 3" xfId="37444" xr:uid="{5BA4F5A8-C976-4A57-99A5-2B3B6B6910BC}"/>
    <cellStyle name="40% - Accent4 92" xfId="15044" xr:uid="{85F52369-D3B7-40FA-A010-C79A323C3C77}"/>
    <cellStyle name="40% - Accent4 92 2" xfId="15045" xr:uid="{CCD1EBDD-C050-4927-B4E2-EC6C630457BB}"/>
    <cellStyle name="40% - Accent4 92 3" xfId="37445" xr:uid="{DE1732E4-34D6-4A79-BC4E-2815F0534170}"/>
    <cellStyle name="40% - Accent4 93" xfId="15046" xr:uid="{43659040-1B82-4259-85FC-0ECF82ABD8E1}"/>
    <cellStyle name="40% - Accent4 93 2" xfId="15047" xr:uid="{32FD859D-9B4D-44F8-982E-A4F21AA3A9D8}"/>
    <cellStyle name="40% - Accent4 93 3" xfId="37446" xr:uid="{20C3D713-4CD3-4F51-AA01-8F41FF3C6A7A}"/>
    <cellStyle name="40% - Accent4 94" xfId="15048" xr:uid="{EB06C739-6F16-4BDE-809B-5F8EC15AEAE7}"/>
    <cellStyle name="40% - Accent4 94 2" xfId="15049" xr:uid="{08E92AB9-9606-44E3-AAF0-D224E0B68A68}"/>
    <cellStyle name="40% - Accent4 94 3" xfId="37447" xr:uid="{55C3C9AB-B945-4DA2-B38D-26F1FDDACC10}"/>
    <cellStyle name="40% - Accent4 95" xfId="15050" xr:uid="{F0975479-3B1F-4FCB-BE58-421E49D96957}"/>
    <cellStyle name="40% - Accent4 95 2" xfId="15051" xr:uid="{47C49D62-63FE-45AE-A96C-55682E5F3333}"/>
    <cellStyle name="40% - Accent4 95 3" xfId="37448" xr:uid="{E101A881-C020-4337-B9FF-657A789F0E81}"/>
    <cellStyle name="40% - Accent4 96" xfId="15052" xr:uid="{4954B76C-72F4-4545-B3DB-81C55199A2E7}"/>
    <cellStyle name="40% - Accent4 96 2" xfId="15053" xr:uid="{31BEFABA-4B0F-4ABF-8BB0-AA5B1D8A0450}"/>
    <cellStyle name="40% - Accent4 96 3" xfId="37449" xr:uid="{EB5C41EB-7110-475A-9CFF-FF19FEAD488D}"/>
    <cellStyle name="40% - Accent4 97" xfId="15054" xr:uid="{8D0FC7E3-2A2E-40D5-B861-5832515C8A83}"/>
    <cellStyle name="40% - Accent4 97 2" xfId="15055" xr:uid="{23C3FC3D-EFA0-4CA0-8FB1-EB2C4ABD9C6C}"/>
    <cellStyle name="40% - Accent4 97 3" xfId="37450" xr:uid="{64F65CF2-F33D-43CB-9BCE-B5FFC352E28D}"/>
    <cellStyle name="40% - Accent4 98" xfId="15056" xr:uid="{14DAC286-8DCA-4B13-BBBE-6BC8439B83A7}"/>
    <cellStyle name="40% - Accent4 98 2" xfId="15057" xr:uid="{735B9760-072E-42AE-BCC0-3B423262CACF}"/>
    <cellStyle name="40% - Accent4 98 3" xfId="37451" xr:uid="{F1245CC5-655C-486A-B759-1B1C0C36CB0E}"/>
    <cellStyle name="40% - Accent4 99" xfId="15058" xr:uid="{AA1D21ED-01AC-4004-8526-20D688CED54D}"/>
    <cellStyle name="40% - Accent4 99 2" xfId="15059" xr:uid="{14F3231A-BB75-4532-94C0-4F6D53789E60}"/>
    <cellStyle name="40% - Accent4 99 3" xfId="37452" xr:uid="{F1E556DF-22EF-43F9-B90C-FEF70E5304D4}"/>
    <cellStyle name="40% - Accent5" xfId="48" builtinId="47" hidden="1"/>
    <cellStyle name="40% - Accent5" xfId="122" builtinId="47" customBuiltin="1"/>
    <cellStyle name="40% - Accent5 10" xfId="15060" xr:uid="{C94F5C49-F1A7-401E-B6BE-ADB49A96F83E}"/>
    <cellStyle name="40% - Accent5 10 2" xfId="15061" xr:uid="{9436DDD6-66E2-4B18-885F-1883B05677D3}"/>
    <cellStyle name="40% - Accent5 10 2 2" xfId="15062" xr:uid="{CFF25CCE-2774-4293-BF42-D30178EF93F1}"/>
    <cellStyle name="40% - Accent5 10 2 2 2" xfId="37453" xr:uid="{4FC7B519-B253-4C3C-8F07-B454584F8472}"/>
    <cellStyle name="40% - Accent5 10 2 3" xfId="37454" xr:uid="{0873557E-8710-454A-B4FA-A9E774BD5037}"/>
    <cellStyle name="40% - Accent5 10 3" xfId="15063" xr:uid="{08F15AF0-5BD6-42A1-82E7-ED3AFF13A5B1}"/>
    <cellStyle name="40% - Accent5 10 3 2" xfId="37455" xr:uid="{9BD2D34F-21EA-41D3-AD27-02AF0627BC7C}"/>
    <cellStyle name="40% - Accent5 10 4" xfId="37456" xr:uid="{BEFAB528-0677-4F3A-96E4-254C7542630D}"/>
    <cellStyle name="40% - Accent5 10 5" xfId="37457" xr:uid="{228DE043-B08C-4D38-A6E6-AA212879C54F}"/>
    <cellStyle name="40% - Accent5 10 6" xfId="37458" xr:uid="{ED085C8B-CD54-43CD-89C9-E6D47EA863CC}"/>
    <cellStyle name="40% - Accent5 100" xfId="15064" xr:uid="{D987E089-7F5A-4181-9457-97EAB6DFC4A3}"/>
    <cellStyle name="40% - Accent5 100 2" xfId="15065" xr:uid="{5F9B60F4-1B9C-498A-989C-887D8E71D1D3}"/>
    <cellStyle name="40% - Accent5 100 3" xfId="37459" xr:uid="{C66B6FFE-6F5F-4F52-9E16-2ED30BE633FE}"/>
    <cellStyle name="40% - Accent5 101" xfId="15066" xr:uid="{5ED27318-6218-4F1C-93AA-A8E4484B005D}"/>
    <cellStyle name="40% - Accent5 102" xfId="15067" xr:uid="{876AF315-6D81-42F7-9C69-4B7D0CA1283C}"/>
    <cellStyle name="40% - Accent5 103" xfId="15068" xr:uid="{A72D77B1-9BD4-4855-BA64-937313CC2B90}"/>
    <cellStyle name="40% - Accent5 104" xfId="15069" xr:uid="{8147D619-4197-4BE6-A1D7-159BA046A5E6}"/>
    <cellStyle name="40% - Accent5 105" xfId="15070" xr:uid="{C0989E19-C11A-4AAB-8BA6-D9E6C2CEC689}"/>
    <cellStyle name="40% - Accent5 106" xfId="15071" xr:uid="{56755A46-ED98-40E7-98DB-B6C4AA8D0F61}"/>
    <cellStyle name="40% - Accent5 107" xfId="15072" xr:uid="{8C102BF8-92DB-48FA-8FA9-08B0CD9C6B1E}"/>
    <cellStyle name="40% - Accent5 108" xfId="15073" xr:uid="{CEE22E70-5F15-4AF0-AA59-02707800FC5E}"/>
    <cellStyle name="40% - Accent5 109" xfId="15074" xr:uid="{42721A7D-4000-41A2-ADDF-634102B23D71}"/>
    <cellStyle name="40% - Accent5 11" xfId="15075" xr:uid="{55A1034D-6A24-467B-91AA-A786B2D792E8}"/>
    <cellStyle name="40% - Accent5 11 2" xfId="15076" xr:uid="{93A55F25-E33A-4285-AF2B-E9777BB00124}"/>
    <cellStyle name="40% - Accent5 11 2 2" xfId="15077" xr:uid="{91467FE7-3CC1-4604-887D-1871F905E8DD}"/>
    <cellStyle name="40% - Accent5 11 2 2 2" xfId="37460" xr:uid="{ABA370EF-C965-4E01-85F1-32F3992F39BC}"/>
    <cellStyle name="40% - Accent5 11 2 3" xfId="37461" xr:uid="{BEF4BC7A-EF21-442D-BDC8-EA890DBD8043}"/>
    <cellStyle name="40% - Accent5 11 3" xfId="15078" xr:uid="{88185C3B-359B-4FE2-83B5-6106BC7C130A}"/>
    <cellStyle name="40% - Accent5 11 3 2" xfId="37462" xr:uid="{EEF38AD0-5E64-4833-9CBF-955E87BB7EF8}"/>
    <cellStyle name="40% - Accent5 11 4" xfId="37463" xr:uid="{081D34BD-FAB4-4AD1-BD16-5D5AB629C809}"/>
    <cellStyle name="40% - Accent5 11 5" xfId="37464" xr:uid="{CAD73D27-FE3B-41ED-A30F-07D13528CD92}"/>
    <cellStyle name="40% - Accent5 11 6" xfId="37465" xr:uid="{C634D0B2-D867-4332-98CE-AEAFDB6AE897}"/>
    <cellStyle name="40% - Accent5 110" xfId="15079" xr:uid="{9C536239-B756-4D94-A0F7-EF3305A93582}"/>
    <cellStyle name="40% - Accent5 111" xfId="15080" xr:uid="{3D31798E-0BA7-4341-8339-686C21FEC6F5}"/>
    <cellStyle name="40% - Accent5 112" xfId="15081" xr:uid="{89D58E60-50DE-44D6-A479-E52609BA5F6F}"/>
    <cellStyle name="40% - Accent5 113" xfId="15082" xr:uid="{B9994DC5-B856-417A-BFE5-8DE10613AB69}"/>
    <cellStyle name="40% - Accent5 114" xfId="15083" xr:uid="{153884F0-9AEC-4B8A-AF98-718D61D4667E}"/>
    <cellStyle name="40% - Accent5 115" xfId="15084" xr:uid="{DEEA9268-B04C-4D66-8B01-F6ED1768230B}"/>
    <cellStyle name="40% - Accent5 116" xfId="15085" xr:uid="{AE85AC05-0DFC-436D-AE95-374D7679DF25}"/>
    <cellStyle name="40% - Accent5 117" xfId="15086" xr:uid="{31CB65E2-3D92-466E-9471-56B091B2ECEF}"/>
    <cellStyle name="40% - Accent5 118" xfId="15087" xr:uid="{06B45B9C-6FD8-4C03-BF0B-DC051D2DE4A3}"/>
    <cellStyle name="40% - Accent5 119" xfId="15088" xr:uid="{3AF97855-388A-4C45-99E8-16795336F924}"/>
    <cellStyle name="40% - Accent5 12" xfId="15089" xr:uid="{3F781D89-F045-4B68-8917-2E0C0EAB571F}"/>
    <cellStyle name="40% - Accent5 12 2" xfId="15090" xr:uid="{CF06696B-6F85-4A9E-874F-EF6A525CF3D7}"/>
    <cellStyle name="40% - Accent5 12 2 2" xfId="15091" xr:uid="{555C9040-E021-4A20-97C2-E2BAC263F6A7}"/>
    <cellStyle name="40% - Accent5 12 2 2 2" xfId="37466" xr:uid="{EFEF2FA3-9CC1-4BB8-BC95-2AE3DF62949F}"/>
    <cellStyle name="40% - Accent5 12 2 3" xfId="37467" xr:uid="{869A9664-8703-4B63-B576-351683C99908}"/>
    <cellStyle name="40% - Accent5 12 3" xfId="15092" xr:uid="{BA98A486-D538-4E70-B2E7-88D7E94A724C}"/>
    <cellStyle name="40% - Accent5 12 3 2" xfId="37468" xr:uid="{010B6CA0-D65D-46DC-98F7-560F7E452930}"/>
    <cellStyle name="40% - Accent5 12 4" xfId="37469" xr:uid="{CC285383-6BED-410E-8BAB-529DD896946B}"/>
    <cellStyle name="40% - Accent5 12 5" xfId="37470" xr:uid="{C785A195-D007-42C1-B8E4-C5A84B21305F}"/>
    <cellStyle name="40% - Accent5 12 6" xfId="37471" xr:uid="{CE7F208C-BDC0-487D-89D7-64AA7AC7D061}"/>
    <cellStyle name="40% - Accent5 120" xfId="15093" xr:uid="{C8E37625-A12F-43B1-A98E-3F6D28659525}"/>
    <cellStyle name="40% - Accent5 121" xfId="15094" xr:uid="{351A9001-C526-4F59-B08C-A273993AD8E1}"/>
    <cellStyle name="40% - Accent5 122" xfId="15095" xr:uid="{59C8B7B6-35DD-4E4D-A13E-BD8B97F7E069}"/>
    <cellStyle name="40% - Accent5 123" xfId="15096" xr:uid="{6F71CF0B-D828-4C0B-B92B-4A37BF2AC98A}"/>
    <cellStyle name="40% - Accent5 124" xfId="15097" xr:uid="{EADB5936-293C-4F5B-8BA9-32B830C1AA49}"/>
    <cellStyle name="40% - Accent5 125" xfId="15098" xr:uid="{F5AF0B55-82AC-4D66-896B-A81A5893CB9D}"/>
    <cellStyle name="40% - Accent5 126" xfId="15099" xr:uid="{2428C4DB-9AC9-42E6-8667-E949AAF464B6}"/>
    <cellStyle name="40% - Accent5 127" xfId="15100" xr:uid="{9819E0FB-AEF7-44F7-A33D-D18328ACEA5A}"/>
    <cellStyle name="40% - Accent5 128" xfId="15101" xr:uid="{ED996231-7EC6-4BD1-AC05-8D9B57B17BBD}"/>
    <cellStyle name="40% - Accent5 129" xfId="15102" xr:uid="{DC6A5D91-BFC2-4175-BDE8-8505E2FBD656}"/>
    <cellStyle name="40% - Accent5 13" xfId="15103" xr:uid="{3F9B410C-23FF-444A-87C3-EFE2D70E71CB}"/>
    <cellStyle name="40% - Accent5 13 2" xfId="15104" xr:uid="{2DACBF52-9322-4127-92BC-0E2B0B3A9F95}"/>
    <cellStyle name="40% - Accent5 13 2 2" xfId="15105" xr:uid="{45CE2506-82C9-4FE1-9D64-4B609DCE9900}"/>
    <cellStyle name="40% - Accent5 13 2 2 2" xfId="37472" xr:uid="{558B4B17-1854-4366-AFEE-C1914C8F62CD}"/>
    <cellStyle name="40% - Accent5 13 2 3" xfId="37473" xr:uid="{9A4D37C1-EFDE-4BAF-8F9C-6DA350AB4FA9}"/>
    <cellStyle name="40% - Accent5 13 3" xfId="15106" xr:uid="{D17F52E5-B9D1-43C7-B510-240D95C3A4ED}"/>
    <cellStyle name="40% - Accent5 13 3 2" xfId="37474" xr:uid="{FB72B1CC-4313-4012-96E1-B70311AE3AE5}"/>
    <cellStyle name="40% - Accent5 13 4" xfId="37475" xr:uid="{AF77EA5F-DF1E-4018-BD39-FB132CD3D1A4}"/>
    <cellStyle name="40% - Accent5 13 5" xfId="37476" xr:uid="{B5F6AE1D-FD11-491C-830D-2AAE0F67D9BA}"/>
    <cellStyle name="40% - Accent5 13 6" xfId="37477" xr:uid="{D8168886-9ECA-4F33-B048-2F40361A5908}"/>
    <cellStyle name="40% - Accent5 130" xfId="15107" xr:uid="{202534A1-6252-4809-9260-923A443FF872}"/>
    <cellStyle name="40% - Accent5 131" xfId="15108" xr:uid="{037CD9EE-4771-4964-97C5-C41FDD283863}"/>
    <cellStyle name="40% - Accent5 132" xfId="15109" xr:uid="{D4B6A6AD-ED70-4F64-B155-13AB99C6B894}"/>
    <cellStyle name="40% - Accent5 133" xfId="15110" xr:uid="{FF60E860-F22E-4CDB-A23E-03541A30EA39}"/>
    <cellStyle name="40% - Accent5 134" xfId="15111" xr:uid="{A1D781B6-4B7D-4ADC-80DF-331F0EE5FEF2}"/>
    <cellStyle name="40% - Accent5 135" xfId="15112" xr:uid="{E5D9564C-3B4D-4DEF-BF0E-41B7B54709A3}"/>
    <cellStyle name="40% - Accent5 136" xfId="15113" xr:uid="{353AF19C-FF4E-4406-9041-4D4392944153}"/>
    <cellStyle name="40% - Accent5 137" xfId="15114" xr:uid="{149B5B6E-6BBD-4935-BC6A-29D69E316D58}"/>
    <cellStyle name="40% - Accent5 138" xfId="15115" xr:uid="{E441516F-94D8-4B53-83A4-BEDD3A9D64DD}"/>
    <cellStyle name="40% - Accent5 139" xfId="15116" xr:uid="{60893D97-6449-494B-9D4D-BB1E65EF3721}"/>
    <cellStyle name="40% - Accent5 14" xfId="15117" xr:uid="{99794548-71D6-430E-9060-0FA46B871F1A}"/>
    <cellStyle name="40% - Accent5 14 2" xfId="15118" xr:uid="{442440CE-8C5A-47D5-BE5D-A7A292939CFA}"/>
    <cellStyle name="40% - Accent5 14 2 2" xfId="15119" xr:uid="{6FFF1273-2B11-4E77-BB91-9D68F26C02FF}"/>
    <cellStyle name="40% - Accent5 14 2 2 2" xfId="37478" xr:uid="{FA70BE77-83CB-48A1-9025-19022F93285D}"/>
    <cellStyle name="40% - Accent5 14 2 3" xfId="37479" xr:uid="{3529E7B0-C6CE-4E8B-9D99-F121FC1E8D6B}"/>
    <cellStyle name="40% - Accent5 14 3" xfId="15120" xr:uid="{69BF5B57-FDC3-49B5-AA69-99BD940B46C0}"/>
    <cellStyle name="40% - Accent5 14 3 2" xfId="37480" xr:uid="{0AE80DBA-17C1-481E-9A89-B358C6C24EE1}"/>
    <cellStyle name="40% - Accent5 14 4" xfId="37481" xr:uid="{840CD006-E04D-4600-AC08-4C562D40C390}"/>
    <cellStyle name="40% - Accent5 14 5" xfId="37482" xr:uid="{83455CDD-9A9E-4DC9-913C-511EF0E0FF1F}"/>
    <cellStyle name="40% - Accent5 14 6" xfId="37483" xr:uid="{8579DD52-FF62-46B1-979E-D2F38A29BA8A}"/>
    <cellStyle name="40% - Accent5 140" xfId="15121" xr:uid="{6366A565-2227-4895-8817-FC4DDB7606FE}"/>
    <cellStyle name="40% - Accent5 141" xfId="15122" xr:uid="{AB26CB1D-E1F9-4222-B4BA-D0674927981E}"/>
    <cellStyle name="40% - Accent5 142" xfId="15123" xr:uid="{F054C8EE-8BC8-4D06-ADC5-52661F181F94}"/>
    <cellStyle name="40% - Accent5 143" xfId="15124" xr:uid="{91703968-4519-411F-8823-40F4CDE157AE}"/>
    <cellStyle name="40% - Accent5 144" xfId="15125" xr:uid="{D11C43AC-3897-4940-8C95-4BB1E82411CD}"/>
    <cellStyle name="40% - Accent5 145" xfId="15126" xr:uid="{9D60E34F-9237-423B-9362-2BA4FAF42352}"/>
    <cellStyle name="40% - Accent5 146" xfId="15127" xr:uid="{561EF311-3C6C-40FB-A0B5-7819054EC238}"/>
    <cellStyle name="40% - Accent5 147" xfId="15128" xr:uid="{F8613C05-9839-4A09-A908-444B0D22A024}"/>
    <cellStyle name="40% - Accent5 148" xfId="15129" xr:uid="{30872698-A714-46BC-A25F-CF2F82742B9B}"/>
    <cellStyle name="40% - Accent5 149" xfId="15130" xr:uid="{ED66E91A-BCC4-44A4-87B7-E4BA74DC6CC8}"/>
    <cellStyle name="40% - Accent5 15" xfId="15131" xr:uid="{1B2D5191-AAF3-447B-957A-920D2680EBBF}"/>
    <cellStyle name="40% - Accent5 15 2" xfId="15132" xr:uid="{5F949677-CA72-423E-9BD3-D872AA4AAB80}"/>
    <cellStyle name="40% - Accent5 15 2 2" xfId="15133" xr:uid="{DC052B5F-BFD2-4D68-B97B-22A69987E725}"/>
    <cellStyle name="40% - Accent5 15 2 2 2" xfId="37484" xr:uid="{E4D4D48B-C93A-4E6C-9279-12115E8DBD41}"/>
    <cellStyle name="40% - Accent5 15 2 3" xfId="37485" xr:uid="{6F5B30C7-F2E7-4322-A4DF-2CC90B47034A}"/>
    <cellStyle name="40% - Accent5 15 3" xfId="15134" xr:uid="{2F81A2AF-E073-48DE-960B-0B9CE598ED0E}"/>
    <cellStyle name="40% - Accent5 15 3 2" xfId="37486" xr:uid="{F3CF83A7-A435-48D1-A6AD-302D742B69D2}"/>
    <cellStyle name="40% - Accent5 15 4" xfId="37487" xr:uid="{5C067314-864A-4EB3-BAE2-16ED09377A44}"/>
    <cellStyle name="40% - Accent5 15 5" xfId="37488" xr:uid="{92566248-5CBE-4A4F-8FB7-D386B58595C6}"/>
    <cellStyle name="40% - Accent5 15 6" xfId="37489" xr:uid="{4D1AF2B7-CB39-4D79-97A6-795637E60A72}"/>
    <cellStyle name="40% - Accent5 150" xfId="15135" xr:uid="{BDB38F92-3D5B-4A2B-B8E9-2BCFFD47A6AC}"/>
    <cellStyle name="40% - Accent5 151" xfId="15136" xr:uid="{15EDD548-9F56-43D9-86AB-A679352BAAFD}"/>
    <cellStyle name="40% - Accent5 152" xfId="15137" xr:uid="{C1C01489-64B9-4F56-A2E1-AD0D751E1706}"/>
    <cellStyle name="40% - Accent5 153" xfId="15138" xr:uid="{5F49C0CF-3892-4AD1-8614-319827FA9F90}"/>
    <cellStyle name="40% - Accent5 154" xfId="15139" xr:uid="{D775DE40-A036-4B85-AF7B-A59143258655}"/>
    <cellStyle name="40% - Accent5 155" xfId="15140" xr:uid="{35475ADD-816E-45C3-A6B7-BFA079FAADA7}"/>
    <cellStyle name="40% - Accent5 156" xfId="15141" xr:uid="{B168EFFB-8B20-465F-A777-519CF7326C3E}"/>
    <cellStyle name="40% - Accent5 157" xfId="15142" xr:uid="{09E8C9A2-D9F7-4504-AB8E-B73673E4D164}"/>
    <cellStyle name="40% - Accent5 158" xfId="15143" xr:uid="{65EE6D1E-CA6E-4D1B-BB7B-B1470AE03E08}"/>
    <cellStyle name="40% - Accent5 159" xfId="15144" xr:uid="{B2D24873-5A4F-41C6-B09B-1030EEE047DF}"/>
    <cellStyle name="40% - Accent5 16" xfId="15145" xr:uid="{0A3E0C6F-8FF7-4C4C-BFE1-584D898DB46A}"/>
    <cellStyle name="40% - Accent5 16 2" xfId="15146" xr:uid="{EC5A3624-3052-4595-8496-28745538BDC8}"/>
    <cellStyle name="40% - Accent5 16 2 2" xfId="15147" xr:uid="{C3EBAA65-2C9A-4878-812E-397DCE15DFF9}"/>
    <cellStyle name="40% - Accent5 16 2 2 2" xfId="37490" xr:uid="{E6991714-593B-4679-8B2A-62A930133BC5}"/>
    <cellStyle name="40% - Accent5 16 2 3" xfId="37491" xr:uid="{24A82AC6-6382-47D0-AAC8-F46794AF70B0}"/>
    <cellStyle name="40% - Accent5 16 3" xfId="15148" xr:uid="{2C8EC044-44E9-4529-A893-78E2DE95DF72}"/>
    <cellStyle name="40% - Accent5 16 3 2" xfId="37492" xr:uid="{72340F1B-1B29-4947-832E-BE6A75FC2912}"/>
    <cellStyle name="40% - Accent5 16 4" xfId="37493" xr:uid="{D1BB9141-E936-4A69-B520-449A8E5AB152}"/>
    <cellStyle name="40% - Accent5 16 5" xfId="37494" xr:uid="{09B9666F-897C-41BB-AF32-BEC000265FC6}"/>
    <cellStyle name="40% - Accent5 16 6" xfId="37495" xr:uid="{667C961A-9749-4AD7-B3F7-0DCF3D4A77ED}"/>
    <cellStyle name="40% - Accent5 160" xfId="15149" xr:uid="{90E2BD10-B60D-4E97-9CAC-859FA2D2B8ED}"/>
    <cellStyle name="40% - Accent5 17" xfId="15150" xr:uid="{8C217B66-1A86-4B11-B786-0106DEA36344}"/>
    <cellStyle name="40% - Accent5 17 2" xfId="15151" xr:uid="{20EFE764-1338-4E1D-8F8B-97FFF79D4F0A}"/>
    <cellStyle name="40% - Accent5 17 2 2" xfId="15152" xr:uid="{73116D66-2090-44EB-BA5E-687922C7A4E2}"/>
    <cellStyle name="40% - Accent5 17 2 2 2" xfId="37496" xr:uid="{024AA725-1811-4DD2-9800-873F5EB3D70F}"/>
    <cellStyle name="40% - Accent5 17 2 3" xfId="37497" xr:uid="{5F9A3BF0-8D9A-44D4-A250-D1330D9E1FEA}"/>
    <cellStyle name="40% - Accent5 17 3" xfId="15153" xr:uid="{3CBC1043-B8C6-4654-92E7-FFDAA2A6BA12}"/>
    <cellStyle name="40% - Accent5 17 3 2" xfId="37498" xr:uid="{CEAE43F1-FD93-4D08-AF91-4800A4E09607}"/>
    <cellStyle name="40% - Accent5 17 4" xfId="37499" xr:uid="{FC135855-B1B8-40B7-90A4-519A3E7884E3}"/>
    <cellStyle name="40% - Accent5 17 5" xfId="37500" xr:uid="{10EF0EB7-666D-4234-8F78-2E86E22D18A9}"/>
    <cellStyle name="40% - Accent5 17 6" xfId="37501" xr:uid="{C158FFCC-54EB-4B1B-98B5-714281F4AB7B}"/>
    <cellStyle name="40% - Accent5 18" xfId="15154" xr:uid="{A2C2BD26-6CE0-4272-8550-E17D56125592}"/>
    <cellStyle name="40% - Accent5 18 2" xfId="15155" xr:uid="{A6B917AA-97A9-4031-9D44-85CF10D08CBF}"/>
    <cellStyle name="40% - Accent5 18 2 2" xfId="15156" xr:uid="{18B0D988-90AA-42B6-85F8-D808DBDBD660}"/>
    <cellStyle name="40% - Accent5 18 2 2 2" xfId="37502" xr:uid="{E1850F6A-E2C9-4DF6-A036-68174B8C529C}"/>
    <cellStyle name="40% - Accent5 18 2 3" xfId="37503" xr:uid="{8C9E42E2-995B-4403-9F07-0FAE43C94B1C}"/>
    <cellStyle name="40% - Accent5 18 3" xfId="15157" xr:uid="{4D191677-CE70-460F-B2CA-BE681DFAFA1B}"/>
    <cellStyle name="40% - Accent5 18 3 2" xfId="37504" xr:uid="{16B3A998-FCB6-411C-93B0-293F5E99A123}"/>
    <cellStyle name="40% - Accent5 18 4" xfId="37505" xr:uid="{D380CAA3-1C15-4AE7-AB10-8644B0BD3BAE}"/>
    <cellStyle name="40% - Accent5 18 5" xfId="37506" xr:uid="{9038C869-E7D1-4E16-BFFF-AD5B59B18866}"/>
    <cellStyle name="40% - Accent5 18 6" xfId="37507" xr:uid="{319F2A4B-F5CF-4751-AE76-4F3184E13FF3}"/>
    <cellStyle name="40% - Accent5 19" xfId="15158" xr:uid="{0B767835-BBC0-4C43-803C-B41A1B30AADD}"/>
    <cellStyle name="40% - Accent5 19 2" xfId="15159" xr:uid="{4033DDC7-C6FB-43F6-990E-547F72B9257F}"/>
    <cellStyle name="40% - Accent5 19 2 2" xfId="37508" xr:uid="{A7D0721B-35DE-4FD8-97BB-A3BFE5BC28D9}"/>
    <cellStyle name="40% - Accent5 19 3" xfId="37509" xr:uid="{619CB8E0-01CB-43B9-9B44-C7038B767B4D}"/>
    <cellStyle name="40% - Accent5 19 4" xfId="37510" xr:uid="{AF271D62-4DA7-4229-A3BB-51CB4DF80BE6}"/>
    <cellStyle name="40% - Accent5 19 5" xfId="37511" xr:uid="{5B9BFF05-744E-4549-826A-30E398B811E6}"/>
    <cellStyle name="40% - Accent5 2" xfId="15160" xr:uid="{079E76AF-9FCF-4B17-9F44-48ACBD7C3E74}"/>
    <cellStyle name="40% - Accent5 2 2" xfId="15161" xr:uid="{105906C9-186E-4713-864F-60AE97F23C37}"/>
    <cellStyle name="40% - Accent5 2 2 2" xfId="15162" xr:uid="{3CCB7C24-EA14-4E7D-9A7D-E7CCD90DC401}"/>
    <cellStyle name="40% - Accent5 2 2 2 2" xfId="37512" xr:uid="{1FCDC310-62BC-4951-B380-1DDF586F972C}"/>
    <cellStyle name="40% - Accent5 2 2 3" xfId="37513" xr:uid="{5C36083B-534A-4F91-A92E-B9D856D42789}"/>
    <cellStyle name="40% - Accent5 2 2 4" xfId="37514" xr:uid="{63476E8C-DD37-44D8-902F-E9FD9183C1D3}"/>
    <cellStyle name="40% - Accent5 2 3" xfId="15163" xr:uid="{BBBAC523-D544-464F-AA14-5BF783B9D5B3}"/>
    <cellStyle name="40% - Accent5 2 3 2" xfId="37515" xr:uid="{2E49562C-4FF4-4452-B8F5-2C209929B549}"/>
    <cellStyle name="40% - Accent5 2 3 3" xfId="37516" xr:uid="{05F5A4C8-EE97-4294-B781-6BC548EC0512}"/>
    <cellStyle name="40% - Accent5 2 3 4" xfId="37517" xr:uid="{5E7A39CB-FAA1-4950-A478-DC462826E3AF}"/>
    <cellStyle name="40% - Accent5 2 4" xfId="15164" xr:uid="{D8CE54B4-218B-4585-A134-3C227E71C203}"/>
    <cellStyle name="40% - Accent5 2 4 2" xfId="37518" xr:uid="{600E1EAB-2A4D-4E87-B321-B4D5A2E938A4}"/>
    <cellStyle name="40% - Accent5 2 5" xfId="37519" xr:uid="{FCFB848E-FD31-49CE-A55E-3BD877CEE9C0}"/>
    <cellStyle name="40% - Accent5 2 6" xfId="37520" xr:uid="{6C7C4F96-1537-4F7F-B64C-FDD5F767E10E}"/>
    <cellStyle name="40% - Accent5 2_Jun 11 details" xfId="15165" xr:uid="{4F08DFA4-EFBB-422A-B51E-36A30200ECC2}"/>
    <cellStyle name="40% - Accent5 20" xfId="15166" xr:uid="{BB285864-EE92-4709-B4DB-535457F07370}"/>
    <cellStyle name="40% - Accent5 20 2" xfId="37521" xr:uid="{EB8BB190-4739-4449-807A-0B31B7A10E67}"/>
    <cellStyle name="40% - Accent5 20 3" xfId="37522" xr:uid="{18E863CF-C39A-4041-B19D-C7F152619285}"/>
    <cellStyle name="40% - Accent5 20 4" xfId="37523" xr:uid="{FAEDFCCD-A022-436C-B01C-91E2195A7FE4}"/>
    <cellStyle name="40% - Accent5 21" xfId="15167" xr:uid="{A756D4DC-88A8-47D3-932A-762E964BAB44}"/>
    <cellStyle name="40% - Accent5 21 2" xfId="37524" xr:uid="{EC9D77B1-F0B6-4019-8E60-53E82FDBF982}"/>
    <cellStyle name="40% - Accent5 21 3" xfId="37525" xr:uid="{CCC1FF0A-A755-4D19-9E04-4726DCD14C76}"/>
    <cellStyle name="40% - Accent5 22" xfId="15168" xr:uid="{D15DD42D-C24A-4177-9FB1-2DD3636DEC1E}"/>
    <cellStyle name="40% - Accent5 22 2" xfId="37526" xr:uid="{26731D42-68A6-415B-8312-511692E1C916}"/>
    <cellStyle name="40% - Accent5 22 3" xfId="37527" xr:uid="{BAC72F5F-692E-4BEE-A922-EFEE3B4F8C67}"/>
    <cellStyle name="40% - Accent5 23" xfId="15169" xr:uid="{B49587C2-3ECC-423D-AF50-06385ED8A550}"/>
    <cellStyle name="40% - Accent5 23 2" xfId="37528" xr:uid="{4C94DEB2-59EE-44D5-8264-A9AB607E7A71}"/>
    <cellStyle name="40% - Accent5 24" xfId="15170" xr:uid="{803DFA9B-C901-4EC9-814B-7817E12F8996}"/>
    <cellStyle name="40% - Accent5 24 2" xfId="37529" xr:uid="{14BE2C5A-AB0F-4847-954F-FA9D29316AB2}"/>
    <cellStyle name="40% - Accent5 25" xfId="15171" xr:uid="{F4274941-B148-4280-BF51-C19B0F742CE2}"/>
    <cellStyle name="40% - Accent5 25 2" xfId="37530" xr:uid="{96FBA2D2-8D9C-43D9-8785-A06EE94BC4E4}"/>
    <cellStyle name="40% - Accent5 26" xfId="15172" xr:uid="{B3F06999-CC59-4E7F-82D8-409B74B1812A}"/>
    <cellStyle name="40% - Accent5 26 2" xfId="37531" xr:uid="{4A909B93-5FF7-49DC-BAAD-8A8EE534A2F6}"/>
    <cellStyle name="40% - Accent5 27" xfId="15173" xr:uid="{817503D3-166F-4579-8205-A8C23B4D69E6}"/>
    <cellStyle name="40% - Accent5 27 2" xfId="37532" xr:uid="{4CD0117C-9D81-4A4C-8B2D-80E748B9D941}"/>
    <cellStyle name="40% - Accent5 28" xfId="15174" xr:uid="{EFBCA7A6-2A6B-4205-91B3-BCBAB8A06C6A}"/>
    <cellStyle name="40% - Accent5 28 10" xfId="15175" xr:uid="{A3185FF7-02F3-4DF4-8AE4-3391FE61CE80}"/>
    <cellStyle name="40% - Accent5 28 10 2" xfId="15176" xr:uid="{AF504C78-3AEA-4210-A48A-2CF5D4A951CD}"/>
    <cellStyle name="40% - Accent5 28 10 2 2" xfId="15177" xr:uid="{96E58ED2-0B15-4C8B-828D-88E57040A30F}"/>
    <cellStyle name="40% - Accent5 28 10 2 2 2" xfId="15178" xr:uid="{BC9FFBFF-2D89-4F8A-9758-B4D399CF86A7}"/>
    <cellStyle name="40% - Accent5 28 10 2 2 2 2" xfId="15179" xr:uid="{714D6225-B71D-4AF2-901E-CA6A53E97A88}"/>
    <cellStyle name="40% - Accent5 28 10 2 2 3" xfId="15180" xr:uid="{34630248-EBE0-44AD-9DBE-87D69F9CD154}"/>
    <cellStyle name="40% - Accent5 28 10 2 3" xfId="15181" xr:uid="{A92700E7-E2B2-4FCE-86F3-72698725C676}"/>
    <cellStyle name="40% - Accent5 28 10 2 3 2" xfId="15182" xr:uid="{7585362E-4EF9-4509-9FCE-94B69A66EB62}"/>
    <cellStyle name="40% - Accent5 28 10 2 3 2 2" xfId="15183" xr:uid="{7EE2801D-CECC-4308-9170-D41D3954A471}"/>
    <cellStyle name="40% - Accent5 28 10 2 3 3" xfId="15184" xr:uid="{9F10DD9E-97FC-419D-8F8C-F4E05AD22111}"/>
    <cellStyle name="40% - Accent5 28 10 2 4" xfId="15185" xr:uid="{C28415B8-8174-41F7-B373-9C817CFEC5BC}"/>
    <cellStyle name="40% - Accent5 28 10 2 4 2" xfId="15186" xr:uid="{8B6F0488-AEC1-4E8D-B990-441BAFD6E002}"/>
    <cellStyle name="40% - Accent5 28 10 2 5" xfId="15187" xr:uid="{2D9A21BC-C0DF-428C-B351-B77FB13CC5FE}"/>
    <cellStyle name="40% - Accent5 28 10 3" xfId="15188" xr:uid="{D73B006E-270B-477F-945E-447BAEEE8AE8}"/>
    <cellStyle name="40% - Accent5 28 10 3 2" xfId="15189" xr:uid="{ECDE2D11-96ED-4956-B410-AD358C576713}"/>
    <cellStyle name="40% - Accent5 28 10 3 2 2" xfId="15190" xr:uid="{5FBFE80A-D65D-4CDE-AD18-7505377DA080}"/>
    <cellStyle name="40% - Accent5 28 10 3 3" xfId="15191" xr:uid="{D5D0C733-C812-4042-B2B4-77C733485247}"/>
    <cellStyle name="40% - Accent5 28 10 4" xfId="15192" xr:uid="{AF97F562-4D11-44DD-A2A8-C5ED5AFB7692}"/>
    <cellStyle name="40% - Accent5 28 10 4 2" xfId="15193" xr:uid="{C0E7B4DE-BF29-483A-9E29-5DAF6135022C}"/>
    <cellStyle name="40% - Accent5 28 10 4 2 2" xfId="15194" xr:uid="{8435ABF6-0471-4477-8B44-E5ABC3E2EC00}"/>
    <cellStyle name="40% - Accent5 28 10 4 3" xfId="15195" xr:uid="{FEB1F9C2-8BFA-417C-89FC-7AAE5E12A236}"/>
    <cellStyle name="40% - Accent5 28 10 5" xfId="15196" xr:uid="{5154B4B0-E24D-4CF8-9A27-91D269B61697}"/>
    <cellStyle name="40% - Accent5 28 10 5 2" xfId="15197" xr:uid="{17B5AA11-177A-4F4F-9E10-993EA837EA0A}"/>
    <cellStyle name="40% - Accent5 28 10 6" xfId="15198" xr:uid="{E7C714E0-459C-473B-A1CA-67C54002EFFC}"/>
    <cellStyle name="40% - Accent5 28 11" xfId="15199" xr:uid="{27DB5291-7A61-454C-B8BF-ED7B118EED86}"/>
    <cellStyle name="40% - Accent5 28 11 2" xfId="15200" xr:uid="{D3931241-7324-4173-8CD0-56C9F5E62EA8}"/>
    <cellStyle name="40% - Accent5 28 11 2 2" xfId="15201" xr:uid="{06CC3C06-50C5-4B91-B927-EF72823550A2}"/>
    <cellStyle name="40% - Accent5 28 11 2 2 2" xfId="15202" xr:uid="{6798B55E-E808-4852-8B20-71CE739813EE}"/>
    <cellStyle name="40% - Accent5 28 11 2 3" xfId="15203" xr:uid="{AAC46E3D-3FEE-4ECD-9851-74CE3B491694}"/>
    <cellStyle name="40% - Accent5 28 11 3" xfId="15204" xr:uid="{D0B9F943-26FC-47EF-8A87-0288FC467E56}"/>
    <cellStyle name="40% - Accent5 28 11 3 2" xfId="15205" xr:uid="{ED518D6D-D250-40B7-A6E9-C16F4D1BC0F4}"/>
    <cellStyle name="40% - Accent5 28 11 3 2 2" xfId="15206" xr:uid="{A5ADD8CB-099A-450F-B13D-AADF37092D08}"/>
    <cellStyle name="40% - Accent5 28 11 3 3" xfId="15207" xr:uid="{981CE3B0-2109-4726-94EC-DED0D816018F}"/>
    <cellStyle name="40% - Accent5 28 11 4" xfId="15208" xr:uid="{175FF370-1BE2-40D2-B369-56B9C3DFA998}"/>
    <cellStyle name="40% - Accent5 28 11 4 2" xfId="15209" xr:uid="{C7804ECD-69DB-4D77-9CDE-0DDB68228C7A}"/>
    <cellStyle name="40% - Accent5 28 11 5" xfId="15210" xr:uid="{16F898C5-E51B-4ABC-BB55-66A98F7BE2B6}"/>
    <cellStyle name="40% - Accent5 28 12" xfId="15211" xr:uid="{3C3E174C-D723-4EBD-94D5-DB69E465463C}"/>
    <cellStyle name="40% - Accent5 28 12 2" xfId="15212" xr:uid="{C64CE671-9CCB-4DC2-8EDE-0CED76D7E4E7}"/>
    <cellStyle name="40% - Accent5 28 12 2 2" xfId="15213" xr:uid="{FC90771F-8853-4F57-AFE5-84A6E86F2CE6}"/>
    <cellStyle name="40% - Accent5 28 12 3" xfId="15214" xr:uid="{AAA95930-179B-4767-8473-C2EAE46086BD}"/>
    <cellStyle name="40% - Accent5 28 13" xfId="15215" xr:uid="{D4BE59CC-B5B7-44EF-A4BB-DBB8172E8401}"/>
    <cellStyle name="40% - Accent5 28 13 2" xfId="15216" xr:uid="{D9FBA3FF-C5F8-42AF-9D6E-58B8997053DE}"/>
    <cellStyle name="40% - Accent5 28 13 2 2" xfId="15217" xr:uid="{2D9FC3E4-7773-479E-BA88-4F16FCCE59CD}"/>
    <cellStyle name="40% - Accent5 28 13 3" xfId="15218" xr:uid="{A2F40BB0-4B7C-4638-BEC3-BB957073BB0C}"/>
    <cellStyle name="40% - Accent5 28 14" xfId="15219" xr:uid="{892446C3-4D78-424B-AD4B-ED60F91C2502}"/>
    <cellStyle name="40% - Accent5 28 14 2" xfId="15220" xr:uid="{40F28515-A7A3-463A-B99C-840ACA8BCAB3}"/>
    <cellStyle name="40% - Accent5 28 15" xfId="15221" xr:uid="{A7C3A143-733F-4191-B264-6EECED52AE88}"/>
    <cellStyle name="40% - Accent5 28 16" xfId="37533" xr:uid="{3FC0D7EE-54F2-4D7B-B6E4-E1CC2A2E030C}"/>
    <cellStyle name="40% - Accent5 28 2" xfId="15222" xr:uid="{DF420CE5-44B9-4515-B900-37E721E25E41}"/>
    <cellStyle name="40% - Accent5 28 2 2" xfId="15223" xr:uid="{9EC79027-CD25-42C4-A69E-E336F8209E9B}"/>
    <cellStyle name="40% - Accent5 28 2 2 2" xfId="15224" xr:uid="{4D464F35-A1F0-4609-81C1-7984BFD16B87}"/>
    <cellStyle name="40% - Accent5 28 2 2 2 2" xfId="15225" xr:uid="{530E485C-98E0-447A-86A3-DE7A75E3780C}"/>
    <cellStyle name="40% - Accent5 28 2 2 2 2 2" xfId="15226" xr:uid="{21A527A7-170B-4BED-8654-FBF3CA946C31}"/>
    <cellStyle name="40% - Accent5 28 2 2 2 3" xfId="15227" xr:uid="{70DD33DF-AB05-49DD-8CE1-0AC596F44F33}"/>
    <cellStyle name="40% - Accent5 28 2 2 3" xfId="15228" xr:uid="{08249056-C032-4CE6-AF71-987BA1A82E0F}"/>
    <cellStyle name="40% - Accent5 28 2 2 3 2" xfId="15229" xr:uid="{87360987-CDE8-40F5-926D-AF8E86806849}"/>
    <cellStyle name="40% - Accent5 28 2 2 3 2 2" xfId="15230" xr:uid="{3F74852F-DC12-4F05-BF9A-E2D738437BEA}"/>
    <cellStyle name="40% - Accent5 28 2 2 3 3" xfId="15231" xr:uid="{27E45757-8B6D-47CC-9906-269F053FEBA0}"/>
    <cellStyle name="40% - Accent5 28 2 2 4" xfId="15232" xr:uid="{12229A86-188A-4FCA-88EB-EA299C5F4047}"/>
    <cellStyle name="40% - Accent5 28 2 2 4 2" xfId="15233" xr:uid="{0078E484-F0BB-4C44-9349-3A62711906E3}"/>
    <cellStyle name="40% - Accent5 28 2 2 5" xfId="15234" xr:uid="{4BFC87AD-0D75-4912-B361-DE19576D7CD8}"/>
    <cellStyle name="40% - Accent5 28 2 3" xfId="15235" xr:uid="{9A35F838-41D0-45E4-B2E0-6C647255D9ED}"/>
    <cellStyle name="40% - Accent5 28 2 3 2" xfId="15236" xr:uid="{2CC7239C-CBF9-4393-986E-1D2F15D531B0}"/>
    <cellStyle name="40% - Accent5 28 2 3 2 2" xfId="15237" xr:uid="{BFBA78B6-8D23-4330-99C9-9D043E98DC52}"/>
    <cellStyle name="40% - Accent5 28 2 3 3" xfId="15238" xr:uid="{B834A3CC-B6F8-448E-A0C5-DD61F8A5C566}"/>
    <cellStyle name="40% - Accent5 28 2 4" xfId="15239" xr:uid="{81CC9B71-C6BB-41F2-A477-3B9EC769106A}"/>
    <cellStyle name="40% - Accent5 28 2 4 2" xfId="15240" xr:uid="{418160EA-E3CE-43C4-8601-DBC659756FBA}"/>
    <cellStyle name="40% - Accent5 28 2 4 2 2" xfId="15241" xr:uid="{53E73424-B775-405A-BF7A-AEF21D39F3D2}"/>
    <cellStyle name="40% - Accent5 28 2 4 3" xfId="15242" xr:uid="{EB9BB987-5D22-4856-9621-7FDFF4F4AB78}"/>
    <cellStyle name="40% - Accent5 28 2 5" xfId="15243" xr:uid="{F47E5F81-67ED-4529-858A-2FDB06D2FD12}"/>
    <cellStyle name="40% - Accent5 28 2 5 2" xfId="15244" xr:uid="{4B6422E4-4024-4835-85EE-2657A2F0FDCA}"/>
    <cellStyle name="40% - Accent5 28 2 6" xfId="15245" xr:uid="{4A8D2EAB-6311-439E-8F44-777E1DCE0BAB}"/>
    <cellStyle name="40% - Accent5 28 3" xfId="15246" xr:uid="{944ECF6C-8082-4DEA-B5DC-884F48FA4B49}"/>
    <cellStyle name="40% - Accent5 28 3 2" xfId="15247" xr:uid="{4DB939DD-7F4D-48DF-8EF9-41BDA138A671}"/>
    <cellStyle name="40% - Accent5 28 3 2 2" xfId="15248" xr:uid="{CEB9908C-7B8F-4770-86F4-0895A6BC6F41}"/>
    <cellStyle name="40% - Accent5 28 3 2 2 2" xfId="15249" xr:uid="{C93D01A1-B43F-477A-9092-A8E54A3000E1}"/>
    <cellStyle name="40% - Accent5 28 3 2 2 2 2" xfId="15250" xr:uid="{1D971AA8-B9A9-41C6-BF70-967ED2103CC1}"/>
    <cellStyle name="40% - Accent5 28 3 2 2 3" xfId="15251" xr:uid="{14EEE857-B3FC-40BA-B757-A326BBDCBD28}"/>
    <cellStyle name="40% - Accent5 28 3 2 3" xfId="15252" xr:uid="{55490BD8-3336-4D88-9913-869995062F6E}"/>
    <cellStyle name="40% - Accent5 28 3 2 3 2" xfId="15253" xr:uid="{B5379811-E6FD-4DC0-B375-A6BA43D3340D}"/>
    <cellStyle name="40% - Accent5 28 3 2 3 2 2" xfId="15254" xr:uid="{D902811B-C734-4ED5-8E8C-F994FC46D053}"/>
    <cellStyle name="40% - Accent5 28 3 2 3 3" xfId="15255" xr:uid="{9FE0C5A8-9D02-4430-A266-CBAF124DF753}"/>
    <cellStyle name="40% - Accent5 28 3 2 4" xfId="15256" xr:uid="{720714CF-AD99-4C78-B35A-F2CAD70C631F}"/>
    <cellStyle name="40% - Accent5 28 3 2 4 2" xfId="15257" xr:uid="{25B3E37E-8915-4096-9633-3E97228FF745}"/>
    <cellStyle name="40% - Accent5 28 3 2 5" xfId="15258" xr:uid="{EDC804E1-0C95-4E50-BCCD-F908238E1119}"/>
    <cellStyle name="40% - Accent5 28 3 3" xfId="15259" xr:uid="{D2D5D59C-EFE1-43CF-AB2E-314B9B7A0E08}"/>
    <cellStyle name="40% - Accent5 28 3 3 2" xfId="15260" xr:uid="{543E3B1F-C3F9-4087-8320-B80C0F955C6D}"/>
    <cellStyle name="40% - Accent5 28 3 3 2 2" xfId="15261" xr:uid="{3081A9CA-82D1-4BD2-AB0F-8CF1F3218C31}"/>
    <cellStyle name="40% - Accent5 28 3 3 3" xfId="15262" xr:uid="{7E89C1D3-1A69-49C7-92DF-C4BD01E9B953}"/>
    <cellStyle name="40% - Accent5 28 3 4" xfId="15263" xr:uid="{73828C7C-1009-46EA-9B24-67206B131FA3}"/>
    <cellStyle name="40% - Accent5 28 3 4 2" xfId="15264" xr:uid="{7A94E3DD-F066-455E-A312-D9D254A9A939}"/>
    <cellStyle name="40% - Accent5 28 3 4 2 2" xfId="15265" xr:uid="{D306E152-5C41-46D8-8A01-1A11B256852F}"/>
    <cellStyle name="40% - Accent5 28 3 4 3" xfId="15266" xr:uid="{645E618C-11ED-4FFE-9793-14AB1AEF221C}"/>
    <cellStyle name="40% - Accent5 28 3 5" xfId="15267" xr:uid="{EF9181AC-59FE-401E-9448-1C1D76386218}"/>
    <cellStyle name="40% - Accent5 28 3 5 2" xfId="15268" xr:uid="{C5CFD581-07A4-4838-B2B5-02494DA76205}"/>
    <cellStyle name="40% - Accent5 28 3 6" xfId="15269" xr:uid="{CF594915-ECA8-47D1-A5EE-7C20644B54B3}"/>
    <cellStyle name="40% - Accent5 28 4" xfId="15270" xr:uid="{D14F849B-9342-4EB7-96B4-01E4E1D40A08}"/>
    <cellStyle name="40% - Accent5 28 4 2" xfId="15271" xr:uid="{0286C5FE-1C47-4C71-8462-5FF6FA907DB2}"/>
    <cellStyle name="40% - Accent5 28 4 2 2" xfId="15272" xr:uid="{BD11C83C-BF2E-4930-81BD-6E7E308226B8}"/>
    <cellStyle name="40% - Accent5 28 4 2 2 2" xfId="15273" xr:uid="{C0E41E8F-7310-46AA-81A6-D1B1EC438D37}"/>
    <cellStyle name="40% - Accent5 28 4 2 2 2 2" xfId="15274" xr:uid="{4B0AB596-4645-49F6-A8AE-FB2A8CA2CC81}"/>
    <cellStyle name="40% - Accent5 28 4 2 2 3" xfId="15275" xr:uid="{0B11C381-BBB3-4698-94F5-7B78E3774320}"/>
    <cellStyle name="40% - Accent5 28 4 2 3" xfId="15276" xr:uid="{778FAC62-3D9F-4A1F-8CB5-C498F5F539F1}"/>
    <cellStyle name="40% - Accent5 28 4 2 3 2" xfId="15277" xr:uid="{F92CF97A-06C7-4182-ADC4-1AEEECD2E59C}"/>
    <cellStyle name="40% - Accent5 28 4 2 3 2 2" xfId="15278" xr:uid="{6C60E7DC-3C37-4CC1-8755-ADBF37618983}"/>
    <cellStyle name="40% - Accent5 28 4 2 3 3" xfId="15279" xr:uid="{3B6E54A2-9EBD-481D-B0BE-B528854547D1}"/>
    <cellStyle name="40% - Accent5 28 4 2 4" xfId="15280" xr:uid="{ED5EE8B1-389D-447C-8076-CD92BA375CD5}"/>
    <cellStyle name="40% - Accent5 28 4 2 4 2" xfId="15281" xr:uid="{4B001ADB-930D-45BF-AE9D-1783D25E95C0}"/>
    <cellStyle name="40% - Accent5 28 4 2 5" xfId="15282" xr:uid="{1974C7DC-E427-4E3A-82E6-08E7A96182E2}"/>
    <cellStyle name="40% - Accent5 28 4 3" xfId="15283" xr:uid="{C64AA18A-106A-42F2-BE0E-27EC53AFD6ED}"/>
    <cellStyle name="40% - Accent5 28 4 3 2" xfId="15284" xr:uid="{BBE02857-4ACA-4E14-BD92-9F30F5B9EEEF}"/>
    <cellStyle name="40% - Accent5 28 4 3 2 2" xfId="15285" xr:uid="{FD4347FF-4CE7-44E0-B1AD-C5D934845715}"/>
    <cellStyle name="40% - Accent5 28 4 3 3" xfId="15286" xr:uid="{1130D380-B349-4CF8-86B0-571CDF7E3CCB}"/>
    <cellStyle name="40% - Accent5 28 4 4" xfId="15287" xr:uid="{31F02183-D781-4F22-97C3-0C432786210C}"/>
    <cellStyle name="40% - Accent5 28 4 4 2" xfId="15288" xr:uid="{E6835A4C-32B1-46D3-BD1B-0787E059ED77}"/>
    <cellStyle name="40% - Accent5 28 4 4 2 2" xfId="15289" xr:uid="{B3771778-40DB-4506-A468-FCA9A37102AD}"/>
    <cellStyle name="40% - Accent5 28 4 4 3" xfId="15290" xr:uid="{EFFA07FB-3FB9-4881-B2F5-DC08C30A37BF}"/>
    <cellStyle name="40% - Accent5 28 4 5" xfId="15291" xr:uid="{E5C02708-F932-4F29-A596-6872B1F316C9}"/>
    <cellStyle name="40% - Accent5 28 4 5 2" xfId="15292" xr:uid="{E9B5FBD7-75E4-4E52-8D1F-5AA6763A69BB}"/>
    <cellStyle name="40% - Accent5 28 4 6" xfId="15293" xr:uid="{EEB2B6CC-EABB-465C-B2B0-3199E134615F}"/>
    <cellStyle name="40% - Accent5 28 5" xfId="15294" xr:uid="{D8FB8A6D-9242-4AEA-BAD5-FB03C05D6940}"/>
    <cellStyle name="40% - Accent5 28 5 2" xfId="15295" xr:uid="{8325B195-B886-44CF-8FAB-E1C74A47AB07}"/>
    <cellStyle name="40% - Accent5 28 5 2 2" xfId="15296" xr:uid="{837122BE-D74E-42FA-8E99-426F78EEA9C1}"/>
    <cellStyle name="40% - Accent5 28 5 2 2 2" xfId="15297" xr:uid="{ABFF4FFB-A12C-4E8B-BFCA-D8E4FC0F447A}"/>
    <cellStyle name="40% - Accent5 28 5 2 2 2 2" xfId="15298" xr:uid="{6D1B6AD2-B786-48AF-B710-8D704374B667}"/>
    <cellStyle name="40% - Accent5 28 5 2 2 3" xfId="15299" xr:uid="{934598BE-CE69-46E5-888B-B8DB9BFC2637}"/>
    <cellStyle name="40% - Accent5 28 5 2 3" xfId="15300" xr:uid="{22F9157C-4923-4C22-B057-20DB14CA4948}"/>
    <cellStyle name="40% - Accent5 28 5 2 3 2" xfId="15301" xr:uid="{DD55101C-D022-4531-AA9E-B33468DC230E}"/>
    <cellStyle name="40% - Accent5 28 5 2 3 2 2" xfId="15302" xr:uid="{0BF1EFF8-247B-451A-9873-95E80797176B}"/>
    <cellStyle name="40% - Accent5 28 5 2 3 3" xfId="15303" xr:uid="{97E0F430-FD10-47AA-9173-1ABD9147B3BF}"/>
    <cellStyle name="40% - Accent5 28 5 2 4" xfId="15304" xr:uid="{F82BA43B-B4C7-4190-B3B2-06FD28FFACFF}"/>
    <cellStyle name="40% - Accent5 28 5 2 4 2" xfId="15305" xr:uid="{6CDBFC8D-8C5F-4BDE-A8EF-405F6A8520BA}"/>
    <cellStyle name="40% - Accent5 28 5 2 5" xfId="15306" xr:uid="{1BAF52BC-9C96-4687-88BE-F9EFAC5BE806}"/>
    <cellStyle name="40% - Accent5 28 5 3" xfId="15307" xr:uid="{5E2CD44B-19D7-4491-8E08-B73B0DDA4100}"/>
    <cellStyle name="40% - Accent5 28 5 3 2" xfId="15308" xr:uid="{7B488F3A-5A9D-4204-B4F1-69731D6E0033}"/>
    <cellStyle name="40% - Accent5 28 5 3 2 2" xfId="15309" xr:uid="{5901645B-A486-4614-A3D1-694690A39AED}"/>
    <cellStyle name="40% - Accent5 28 5 3 3" xfId="15310" xr:uid="{CE99C310-8405-43C1-929C-FFEC4D6C5846}"/>
    <cellStyle name="40% - Accent5 28 5 4" xfId="15311" xr:uid="{D0049C0A-DB45-433F-9320-BE5F8BBCDDB9}"/>
    <cellStyle name="40% - Accent5 28 5 4 2" xfId="15312" xr:uid="{00902E00-F798-4A70-829A-C92F34E9ED16}"/>
    <cellStyle name="40% - Accent5 28 5 4 2 2" xfId="15313" xr:uid="{23834702-5DAF-4103-B3EB-B5D244C2E769}"/>
    <cellStyle name="40% - Accent5 28 5 4 3" xfId="15314" xr:uid="{CB6165BE-BDB7-408D-AAB6-85DEEFCE29C1}"/>
    <cellStyle name="40% - Accent5 28 5 5" xfId="15315" xr:uid="{8E7EDA95-C705-4EB4-A760-4501B44B8456}"/>
    <cellStyle name="40% - Accent5 28 5 5 2" xfId="15316" xr:uid="{CD9CCBE6-EA2D-4561-9CC6-01E2EBEAD121}"/>
    <cellStyle name="40% - Accent5 28 5 6" xfId="15317" xr:uid="{397BA098-BD12-4F98-AEE6-6BB7AADBDE59}"/>
    <cellStyle name="40% - Accent5 28 6" xfId="15318" xr:uid="{94E3430D-7490-4877-BAE7-9829898B82E6}"/>
    <cellStyle name="40% - Accent5 28 6 2" xfId="15319" xr:uid="{1F9F79F0-F798-4BA9-8927-AE0E763E30AD}"/>
    <cellStyle name="40% - Accent5 28 6 2 2" xfId="15320" xr:uid="{860C135E-1666-4A04-B885-CB0F140FB59A}"/>
    <cellStyle name="40% - Accent5 28 6 2 2 2" xfId="15321" xr:uid="{7911BB4C-F540-4DBA-86EC-E42BAF9B6CD2}"/>
    <cellStyle name="40% - Accent5 28 6 2 2 2 2" xfId="15322" xr:uid="{BE0CCEA5-9687-4954-81D5-657C6296ED32}"/>
    <cellStyle name="40% - Accent5 28 6 2 2 3" xfId="15323" xr:uid="{06E026AA-B760-4D1C-ADDE-129F03BA578F}"/>
    <cellStyle name="40% - Accent5 28 6 2 3" xfId="15324" xr:uid="{A884D5AD-5593-47D5-BF0E-9B46E380D3E3}"/>
    <cellStyle name="40% - Accent5 28 6 2 3 2" xfId="15325" xr:uid="{15029619-4A59-43E3-9473-20B62D052921}"/>
    <cellStyle name="40% - Accent5 28 6 2 3 2 2" xfId="15326" xr:uid="{8685C859-68E0-4F5D-9B9C-9B13C1DBEF3F}"/>
    <cellStyle name="40% - Accent5 28 6 2 3 3" xfId="15327" xr:uid="{066F9A96-2AFE-4928-8E94-A1FEB302FCF9}"/>
    <cellStyle name="40% - Accent5 28 6 2 4" xfId="15328" xr:uid="{995A3656-F00D-4A67-AA8E-132E18623207}"/>
    <cellStyle name="40% - Accent5 28 6 2 4 2" xfId="15329" xr:uid="{CE721303-7E69-480F-B549-D74D586986A1}"/>
    <cellStyle name="40% - Accent5 28 6 2 5" xfId="15330" xr:uid="{5E751946-400A-445F-8F3A-26CBCD4DB671}"/>
    <cellStyle name="40% - Accent5 28 6 3" xfId="15331" xr:uid="{212B623C-CAE1-4237-A545-2D351B07DC3A}"/>
    <cellStyle name="40% - Accent5 28 6 3 2" xfId="15332" xr:uid="{B88E23FF-13BF-46A6-8A0D-CF9DE520156B}"/>
    <cellStyle name="40% - Accent5 28 6 3 2 2" xfId="15333" xr:uid="{20AD7C42-D0E2-4F85-AF26-12B85E0D95BF}"/>
    <cellStyle name="40% - Accent5 28 6 3 3" xfId="15334" xr:uid="{2D341C6C-056E-4BFB-A97C-35C1CF8C9EE8}"/>
    <cellStyle name="40% - Accent5 28 6 4" xfId="15335" xr:uid="{BC6FF6A8-EA94-4C8C-A2F2-3F61F974A155}"/>
    <cellStyle name="40% - Accent5 28 6 4 2" xfId="15336" xr:uid="{66811CBD-A4A5-424A-B312-9557EF1FB0CC}"/>
    <cellStyle name="40% - Accent5 28 6 4 2 2" xfId="15337" xr:uid="{25E21137-1039-41A3-A7ED-DD766037546C}"/>
    <cellStyle name="40% - Accent5 28 6 4 3" xfId="15338" xr:uid="{0A8EEE7F-2804-48B2-9B30-6392F7B4EC09}"/>
    <cellStyle name="40% - Accent5 28 6 5" xfId="15339" xr:uid="{F03AE905-FE24-4AB7-86DB-84D9E4116490}"/>
    <cellStyle name="40% - Accent5 28 6 5 2" xfId="15340" xr:uid="{8E887B4F-BFE6-4818-A295-59FEA67744B1}"/>
    <cellStyle name="40% - Accent5 28 6 6" xfId="15341" xr:uid="{1E85CC99-751B-487E-8A91-EF6F3E5283F3}"/>
    <cellStyle name="40% - Accent5 28 7" xfId="15342" xr:uid="{EF2CF2DC-3D4B-43CD-AB27-9103E1D0234E}"/>
    <cellStyle name="40% - Accent5 28 7 2" xfId="15343" xr:uid="{E7EC4367-352F-44B3-8597-D03C03039767}"/>
    <cellStyle name="40% - Accent5 28 7 2 2" xfId="15344" xr:uid="{C250F323-E71A-45FF-BD9C-FB4BB947EEB0}"/>
    <cellStyle name="40% - Accent5 28 7 2 2 2" xfId="15345" xr:uid="{5F240DE9-78BB-4054-9F58-AF351EADEC36}"/>
    <cellStyle name="40% - Accent5 28 7 2 2 2 2" xfId="15346" xr:uid="{D0EAA46E-35A7-4417-B2B2-33D05AAF408E}"/>
    <cellStyle name="40% - Accent5 28 7 2 2 3" xfId="15347" xr:uid="{A540A370-24E4-413E-B160-EAE9E7DAFE86}"/>
    <cellStyle name="40% - Accent5 28 7 2 3" xfId="15348" xr:uid="{97E7B059-980D-4DE2-AC35-62AB9BA51183}"/>
    <cellStyle name="40% - Accent5 28 7 2 3 2" xfId="15349" xr:uid="{391310EF-5C51-4502-BFC9-961F48E4E275}"/>
    <cellStyle name="40% - Accent5 28 7 2 3 2 2" xfId="15350" xr:uid="{1CFBE16B-3849-46DB-9B37-3E7B1B519AB5}"/>
    <cellStyle name="40% - Accent5 28 7 2 3 3" xfId="15351" xr:uid="{4D35FEEA-E2CB-4837-9662-917ED93EE3C3}"/>
    <cellStyle name="40% - Accent5 28 7 2 4" xfId="15352" xr:uid="{EA7A18DB-FB10-4D19-8504-1AAFDC2F25FF}"/>
    <cellStyle name="40% - Accent5 28 7 2 4 2" xfId="15353" xr:uid="{2919B46D-1AA4-4835-A897-E582625E719A}"/>
    <cellStyle name="40% - Accent5 28 7 2 5" xfId="15354" xr:uid="{D4042835-20FA-49D7-8820-807B03F73B68}"/>
    <cellStyle name="40% - Accent5 28 7 3" xfId="15355" xr:uid="{83382218-B3AA-445A-BEFB-910056AC6836}"/>
    <cellStyle name="40% - Accent5 28 7 3 2" xfId="15356" xr:uid="{337BBBC3-8E88-4B57-95A1-C6AF8F18FA7B}"/>
    <cellStyle name="40% - Accent5 28 7 3 2 2" xfId="15357" xr:uid="{42D7E2B7-5E55-4C16-BA2D-FC1BF702BA11}"/>
    <cellStyle name="40% - Accent5 28 7 3 3" xfId="15358" xr:uid="{9D408C0C-0ACA-47A8-80A6-E7397B3E9F03}"/>
    <cellStyle name="40% - Accent5 28 7 4" xfId="15359" xr:uid="{BD0E3803-EB7C-4FC6-9112-8437400CAD0A}"/>
    <cellStyle name="40% - Accent5 28 7 4 2" xfId="15360" xr:uid="{794CA7CB-0776-4C57-95D9-B9D82918913B}"/>
    <cellStyle name="40% - Accent5 28 7 4 2 2" xfId="15361" xr:uid="{39C30D5E-CC54-4384-93A6-E9762F1AFF06}"/>
    <cellStyle name="40% - Accent5 28 7 4 3" xfId="15362" xr:uid="{A23C15D4-089E-4B98-93B6-9D515D674B9F}"/>
    <cellStyle name="40% - Accent5 28 7 5" xfId="15363" xr:uid="{E8A10E3F-D92A-425B-A70B-A2E9A62B4078}"/>
    <cellStyle name="40% - Accent5 28 7 5 2" xfId="15364" xr:uid="{65A03F6B-ADA6-4AE5-A604-5B405AFEF3C6}"/>
    <cellStyle name="40% - Accent5 28 7 6" xfId="15365" xr:uid="{AFE87A6D-FEF0-4B06-B8F5-7ACBAB9ACA3E}"/>
    <cellStyle name="40% - Accent5 28 8" xfId="15366" xr:uid="{37D350A4-ACD9-456B-95F9-A0BFA07B56A1}"/>
    <cellStyle name="40% - Accent5 28 8 2" xfId="15367" xr:uid="{0F7E6DFB-A2FA-421E-A819-51ADA735E442}"/>
    <cellStyle name="40% - Accent5 28 8 2 2" xfId="15368" xr:uid="{CFEA1870-DC90-48B4-97FA-DB1D3549196D}"/>
    <cellStyle name="40% - Accent5 28 8 2 2 2" xfId="15369" xr:uid="{472E6DF2-235F-4A25-9071-E600B23072D3}"/>
    <cellStyle name="40% - Accent5 28 8 2 2 2 2" xfId="15370" xr:uid="{80BA4B75-1675-4F6E-BB79-102E250351BE}"/>
    <cellStyle name="40% - Accent5 28 8 2 2 3" xfId="15371" xr:uid="{3B53A8BD-0A23-43FB-AFF5-A404315C523A}"/>
    <cellStyle name="40% - Accent5 28 8 2 3" xfId="15372" xr:uid="{9D22422B-1526-4E84-9E81-27E53299704F}"/>
    <cellStyle name="40% - Accent5 28 8 2 3 2" xfId="15373" xr:uid="{F794EE65-EB91-4F5D-915A-B18B676BD38F}"/>
    <cellStyle name="40% - Accent5 28 8 2 3 2 2" xfId="15374" xr:uid="{2E56000C-9EEE-4E7D-B746-32911275E86A}"/>
    <cellStyle name="40% - Accent5 28 8 2 3 3" xfId="15375" xr:uid="{B9E98114-3D5F-40C8-A687-73C6EA2479C7}"/>
    <cellStyle name="40% - Accent5 28 8 2 4" xfId="15376" xr:uid="{E2DC58B0-3366-4053-B26B-712C9D412A60}"/>
    <cellStyle name="40% - Accent5 28 8 2 4 2" xfId="15377" xr:uid="{3972AE7C-949D-4222-A140-DE3309429268}"/>
    <cellStyle name="40% - Accent5 28 8 2 5" xfId="15378" xr:uid="{30927B22-190C-443E-8C29-837F497C7055}"/>
    <cellStyle name="40% - Accent5 28 8 3" xfId="15379" xr:uid="{207A1B63-0B33-42B7-BF2A-6271E354B779}"/>
    <cellStyle name="40% - Accent5 28 8 3 2" xfId="15380" xr:uid="{4026FE76-9DE0-40F8-8476-318341772FF4}"/>
    <cellStyle name="40% - Accent5 28 8 3 2 2" xfId="15381" xr:uid="{3EC8A0B1-DCA9-4B9D-89B9-793948D956A1}"/>
    <cellStyle name="40% - Accent5 28 8 3 3" xfId="15382" xr:uid="{4C9F635F-321A-48A9-B8C5-F33C4BED8B3E}"/>
    <cellStyle name="40% - Accent5 28 8 4" xfId="15383" xr:uid="{34BDF830-6C0E-4958-962A-1079A75769F3}"/>
    <cellStyle name="40% - Accent5 28 8 4 2" xfId="15384" xr:uid="{DE483964-944F-4732-AC66-D8C551169605}"/>
    <cellStyle name="40% - Accent5 28 8 4 2 2" xfId="15385" xr:uid="{9F475126-2C39-4DB3-9E78-400D98EB7CF0}"/>
    <cellStyle name="40% - Accent5 28 8 4 3" xfId="15386" xr:uid="{5BE74E02-9614-4FD9-B218-EC94017E56D8}"/>
    <cellStyle name="40% - Accent5 28 8 5" xfId="15387" xr:uid="{03949603-EDAD-4F25-AF15-4D751378BF73}"/>
    <cellStyle name="40% - Accent5 28 8 5 2" xfId="15388" xr:uid="{A14CDBAE-0462-4BFA-9350-233A1404669B}"/>
    <cellStyle name="40% - Accent5 28 8 6" xfId="15389" xr:uid="{6A283CCB-CEE2-4601-9127-F21CD6D4838F}"/>
    <cellStyle name="40% - Accent5 28 9" xfId="15390" xr:uid="{1F5F5AA4-EB70-4BD4-A437-DAF23174EF73}"/>
    <cellStyle name="40% - Accent5 28 9 2" xfId="15391" xr:uid="{E968C683-3094-4AF3-86C8-1252A6960EB4}"/>
    <cellStyle name="40% - Accent5 28 9 2 2" xfId="15392" xr:uid="{FBF9742F-35EB-4D02-B417-111F7428154A}"/>
    <cellStyle name="40% - Accent5 28 9 2 2 2" xfId="15393" xr:uid="{9F7AF203-5FF0-409F-9D31-7337F1168E41}"/>
    <cellStyle name="40% - Accent5 28 9 2 2 2 2" xfId="15394" xr:uid="{CAF75C7A-486D-45C9-A195-1DF989A7DB2B}"/>
    <cellStyle name="40% - Accent5 28 9 2 2 3" xfId="15395" xr:uid="{7EB37E97-CEE8-4640-9DE3-8137A04CA9E2}"/>
    <cellStyle name="40% - Accent5 28 9 2 3" xfId="15396" xr:uid="{30D23E0A-995C-4537-85DC-6E5BE0E648D1}"/>
    <cellStyle name="40% - Accent5 28 9 2 3 2" xfId="15397" xr:uid="{931F6F1B-1B91-4E37-8E68-B9A58750A4CE}"/>
    <cellStyle name="40% - Accent5 28 9 2 3 2 2" xfId="15398" xr:uid="{9F23E19C-AD16-4009-9AD5-41F60E4671ED}"/>
    <cellStyle name="40% - Accent5 28 9 2 3 3" xfId="15399" xr:uid="{ADCCB2B6-BFC6-4800-A3E2-A9BECFAABC53}"/>
    <cellStyle name="40% - Accent5 28 9 2 4" xfId="15400" xr:uid="{E7DDEFAF-7157-4C9C-B960-40B01AB0703D}"/>
    <cellStyle name="40% - Accent5 28 9 2 4 2" xfId="15401" xr:uid="{CF930BB7-5B6F-415A-A5BB-2A795496212B}"/>
    <cellStyle name="40% - Accent5 28 9 2 5" xfId="15402" xr:uid="{CB43A1F8-E88C-4845-BAE5-9169353E543B}"/>
    <cellStyle name="40% - Accent5 28 9 3" xfId="15403" xr:uid="{6C851201-1F40-494E-A3A7-E19F930CB5FC}"/>
    <cellStyle name="40% - Accent5 28 9 3 2" xfId="15404" xr:uid="{F781C206-0356-4DFE-9F3F-D61EB4C16D2B}"/>
    <cellStyle name="40% - Accent5 28 9 3 2 2" xfId="15405" xr:uid="{C50E2242-FDB8-47CC-A9A7-B3F93FFC78F1}"/>
    <cellStyle name="40% - Accent5 28 9 3 3" xfId="15406" xr:uid="{D2A599C5-D523-4ED9-9E6F-C6FDB547F5F5}"/>
    <cellStyle name="40% - Accent5 28 9 4" xfId="15407" xr:uid="{E1333E18-6485-4B0E-80FC-ABD664D1692A}"/>
    <cellStyle name="40% - Accent5 28 9 4 2" xfId="15408" xr:uid="{5F66BF66-E004-4984-80B6-00C597A426A3}"/>
    <cellStyle name="40% - Accent5 28 9 4 2 2" xfId="15409" xr:uid="{FBC26E2C-2707-4404-AE70-E0A90E1C7A78}"/>
    <cellStyle name="40% - Accent5 28 9 4 3" xfId="15410" xr:uid="{AE34EAFA-B015-4547-8107-8BAA02726537}"/>
    <cellStyle name="40% - Accent5 28 9 5" xfId="15411" xr:uid="{CBC05D00-8F7A-4369-81F3-71712589FCFA}"/>
    <cellStyle name="40% - Accent5 28 9 5 2" xfId="15412" xr:uid="{E16ECCAA-0CB5-4F96-8C0A-395392189095}"/>
    <cellStyle name="40% - Accent5 28 9 6" xfId="15413" xr:uid="{D6EA9428-B4B7-41FD-9537-F0BD102E5D6C}"/>
    <cellStyle name="40% - Accent5 29" xfId="15414" xr:uid="{4FDA433F-AEEE-4595-8A59-C8A53055E9E8}"/>
    <cellStyle name="40% - Accent5 29 10" xfId="15415" xr:uid="{6178D98D-039E-4B6F-B512-7F5E242FF13C}"/>
    <cellStyle name="40% - Accent5 29 10 2" xfId="15416" xr:uid="{97F9A6FF-7893-409A-9F1F-6E1B45CAA422}"/>
    <cellStyle name="40% - Accent5 29 10 2 2" xfId="15417" xr:uid="{BF5F0B22-1267-43CA-BC41-8ED09AF55DDE}"/>
    <cellStyle name="40% - Accent5 29 10 2 2 2" xfId="15418" xr:uid="{EF0B2FC1-70A8-447F-8B07-4DB5D0F7C256}"/>
    <cellStyle name="40% - Accent5 29 10 2 2 2 2" xfId="15419" xr:uid="{27799BAD-5F6C-4A1C-961D-1C92050602BB}"/>
    <cellStyle name="40% - Accent5 29 10 2 2 3" xfId="15420" xr:uid="{A19ED329-0B31-44F0-93D2-334218C2D12A}"/>
    <cellStyle name="40% - Accent5 29 10 2 3" xfId="15421" xr:uid="{825047FB-9AB3-484A-B816-4A7A4E67F0BB}"/>
    <cellStyle name="40% - Accent5 29 10 2 3 2" xfId="15422" xr:uid="{59B3BD6B-D243-42E8-B89C-27AF73F5FB76}"/>
    <cellStyle name="40% - Accent5 29 10 2 3 2 2" xfId="15423" xr:uid="{C0EB5599-3964-4A62-A386-2DC5F6FBEEE6}"/>
    <cellStyle name="40% - Accent5 29 10 2 3 3" xfId="15424" xr:uid="{7F163279-9BF3-485C-AD50-6DCE7C6DFFB4}"/>
    <cellStyle name="40% - Accent5 29 10 2 4" xfId="15425" xr:uid="{36C34BDC-E6EC-4FB7-8AC8-64B570CC0634}"/>
    <cellStyle name="40% - Accent5 29 10 2 4 2" xfId="15426" xr:uid="{5F0F2E78-8781-4817-87EB-02D0298A6524}"/>
    <cellStyle name="40% - Accent5 29 10 2 5" xfId="15427" xr:uid="{7EFEDE3E-3DD2-40DC-A56E-0ABD97CA26EF}"/>
    <cellStyle name="40% - Accent5 29 10 3" xfId="15428" xr:uid="{3D0A2246-BCDF-41BB-9FEE-7D72BD00A9C7}"/>
    <cellStyle name="40% - Accent5 29 10 3 2" xfId="15429" xr:uid="{8AF281FA-3548-4B95-AD90-1A541FAF0AEA}"/>
    <cellStyle name="40% - Accent5 29 10 3 2 2" xfId="15430" xr:uid="{46F6FFDF-4714-42C5-AB1A-D8569DC99E9C}"/>
    <cellStyle name="40% - Accent5 29 10 3 3" xfId="15431" xr:uid="{D7236D9A-4F08-4C04-BB0D-773456E994DC}"/>
    <cellStyle name="40% - Accent5 29 10 4" xfId="15432" xr:uid="{F75A4F78-9154-4A83-897F-B9E0CB44BA26}"/>
    <cellStyle name="40% - Accent5 29 10 4 2" xfId="15433" xr:uid="{6B8E364D-65CB-4189-879E-6EE7523B5692}"/>
    <cellStyle name="40% - Accent5 29 10 4 2 2" xfId="15434" xr:uid="{B5AF9878-EE19-4587-9CF6-B6EBC3DFC78C}"/>
    <cellStyle name="40% - Accent5 29 10 4 3" xfId="15435" xr:uid="{032EA29E-87B6-4973-8CE0-4C5371B2A4F5}"/>
    <cellStyle name="40% - Accent5 29 10 5" xfId="15436" xr:uid="{E0E32B33-36A3-4D3D-A9CF-9C5E5BD3A957}"/>
    <cellStyle name="40% - Accent5 29 10 5 2" xfId="15437" xr:uid="{F2165440-66CF-4765-A8A9-2C13E5FD5262}"/>
    <cellStyle name="40% - Accent5 29 10 6" xfId="15438" xr:uid="{6DEBD18E-172A-4024-8E3A-D98D3B3C0CA9}"/>
    <cellStyle name="40% - Accent5 29 11" xfId="15439" xr:uid="{E4E3D5A6-CDAF-433C-AF00-D85542CC2D6B}"/>
    <cellStyle name="40% - Accent5 29 11 2" xfId="15440" xr:uid="{DFFDD77F-BB92-4DE3-AEEC-060E6FC94D9A}"/>
    <cellStyle name="40% - Accent5 29 11 2 2" xfId="15441" xr:uid="{0A29924D-1CC7-43C6-AB5D-64C8AEECFCEC}"/>
    <cellStyle name="40% - Accent5 29 11 2 2 2" xfId="15442" xr:uid="{BCF49E31-1422-43EE-A25C-767E8EBD0CE5}"/>
    <cellStyle name="40% - Accent5 29 11 2 3" xfId="15443" xr:uid="{D19EDF04-03A2-47CB-AAD7-FA796741F4DE}"/>
    <cellStyle name="40% - Accent5 29 11 3" xfId="15444" xr:uid="{5D58EA77-04B3-4A12-9938-AC03B61A4802}"/>
    <cellStyle name="40% - Accent5 29 11 3 2" xfId="15445" xr:uid="{DB96026C-81C8-430F-8F70-D7109FBD2ACC}"/>
    <cellStyle name="40% - Accent5 29 11 3 2 2" xfId="15446" xr:uid="{6116C5C4-D79E-4A7B-A441-8DAC77AFD141}"/>
    <cellStyle name="40% - Accent5 29 11 3 3" xfId="15447" xr:uid="{77C72A9D-9EE1-4B8B-A775-E776D3DB2764}"/>
    <cellStyle name="40% - Accent5 29 11 4" xfId="15448" xr:uid="{25E35B94-2994-4DEF-924A-F5DAA6D783D0}"/>
    <cellStyle name="40% - Accent5 29 11 4 2" xfId="15449" xr:uid="{28F29131-A6E1-45B6-A8B7-D247E4EB60D6}"/>
    <cellStyle name="40% - Accent5 29 11 5" xfId="15450" xr:uid="{3695D2DD-6A9F-4431-B578-08F6B0083BE7}"/>
    <cellStyle name="40% - Accent5 29 12" xfId="15451" xr:uid="{D27CABD7-F452-4BEE-8031-CD3D4BBE5FB5}"/>
    <cellStyle name="40% - Accent5 29 12 2" xfId="15452" xr:uid="{F5A98A8F-B876-4C36-9723-993E4F2B3D2B}"/>
    <cellStyle name="40% - Accent5 29 12 2 2" xfId="15453" xr:uid="{C16FA17D-2FFF-4CCD-88E7-B8F9DA0A9F57}"/>
    <cellStyle name="40% - Accent5 29 12 3" xfId="15454" xr:uid="{44C4BA12-E34F-4A6A-8C3A-09246A94D01D}"/>
    <cellStyle name="40% - Accent5 29 13" xfId="15455" xr:uid="{E0EF9696-B53B-4DEA-83FF-76B13F02C7D0}"/>
    <cellStyle name="40% - Accent5 29 13 2" xfId="15456" xr:uid="{A898807F-5D45-4F45-AE23-25AD27F26895}"/>
    <cellStyle name="40% - Accent5 29 13 2 2" xfId="15457" xr:uid="{1EAE6857-BE9D-4614-9ECF-0F0296782072}"/>
    <cellStyle name="40% - Accent5 29 13 3" xfId="15458" xr:uid="{214702A3-52DC-4354-ABDF-5D81D428E7DD}"/>
    <cellStyle name="40% - Accent5 29 14" xfId="15459" xr:uid="{12A5EF24-0252-4D10-98B5-C1C28C7D2512}"/>
    <cellStyle name="40% - Accent5 29 14 2" xfId="15460" xr:uid="{8DEC289F-684D-4F1E-9E9B-2DE933290A5D}"/>
    <cellStyle name="40% - Accent5 29 15" xfId="15461" xr:uid="{C4036C36-D1E5-44B6-B915-6051F3EA3580}"/>
    <cellStyle name="40% - Accent5 29 16" xfId="37534" xr:uid="{24DE682F-379E-404F-B5A2-986ED73F297C}"/>
    <cellStyle name="40% - Accent5 29 2" xfId="15462" xr:uid="{E47AC61D-81AF-4C4C-BED0-AA75AB832502}"/>
    <cellStyle name="40% - Accent5 29 2 2" xfId="15463" xr:uid="{F39A8934-6D61-44D6-8362-916A703B1FA8}"/>
    <cellStyle name="40% - Accent5 29 2 2 2" xfId="15464" xr:uid="{939EDADA-0E22-4CD0-BA34-DB4A4C91D0C0}"/>
    <cellStyle name="40% - Accent5 29 2 2 2 2" xfId="15465" xr:uid="{E232139B-E131-4ED3-ADE0-31EC5F3AE472}"/>
    <cellStyle name="40% - Accent5 29 2 2 2 2 2" xfId="15466" xr:uid="{5B50BFA8-4BBA-43E4-BDF0-E3CE7E93C351}"/>
    <cellStyle name="40% - Accent5 29 2 2 2 3" xfId="15467" xr:uid="{C3892B04-28B2-469D-BEE5-FA53CA585C1C}"/>
    <cellStyle name="40% - Accent5 29 2 2 3" xfId="15468" xr:uid="{FAAC5E6A-33E8-4A4D-AF81-0444E1B3759A}"/>
    <cellStyle name="40% - Accent5 29 2 2 3 2" xfId="15469" xr:uid="{34B3872C-D97F-4222-87D1-21CFDCEE4AEA}"/>
    <cellStyle name="40% - Accent5 29 2 2 3 2 2" xfId="15470" xr:uid="{9AFBF68B-2D09-4DB4-A186-4BE0B4ECCE2B}"/>
    <cellStyle name="40% - Accent5 29 2 2 3 3" xfId="15471" xr:uid="{670957F8-EC3F-47A8-8D54-4CA30F23FD49}"/>
    <cellStyle name="40% - Accent5 29 2 2 4" xfId="15472" xr:uid="{5A4B467E-CFF4-4EB0-995F-0AA8F3902EB3}"/>
    <cellStyle name="40% - Accent5 29 2 2 4 2" xfId="15473" xr:uid="{42B2B61A-263C-42A1-A431-88ADE90105F2}"/>
    <cellStyle name="40% - Accent5 29 2 2 5" xfId="15474" xr:uid="{4ECC9AAC-665A-43AA-B4B0-6A1554DAB532}"/>
    <cellStyle name="40% - Accent5 29 2 3" xfId="15475" xr:uid="{8A3A32A9-6AE6-4B44-8E91-BED44A0089CC}"/>
    <cellStyle name="40% - Accent5 29 2 3 2" xfId="15476" xr:uid="{2FF8A08D-9405-4E01-A34C-83C9AFADF627}"/>
    <cellStyle name="40% - Accent5 29 2 3 2 2" xfId="15477" xr:uid="{A5763010-2BBC-4CC5-B117-754F72B7895C}"/>
    <cellStyle name="40% - Accent5 29 2 3 3" xfId="15478" xr:uid="{181A00B8-6D3F-4916-91C3-17E457F18156}"/>
    <cellStyle name="40% - Accent5 29 2 4" xfId="15479" xr:uid="{EAE998D1-F787-4C5D-8BAD-11E2F5B26B8E}"/>
    <cellStyle name="40% - Accent5 29 2 4 2" xfId="15480" xr:uid="{7F570F10-F3A2-43FD-9926-59455F80BBEA}"/>
    <cellStyle name="40% - Accent5 29 2 4 2 2" xfId="15481" xr:uid="{BFD151B0-4338-416D-8FC2-A5D74B31BC6D}"/>
    <cellStyle name="40% - Accent5 29 2 4 3" xfId="15482" xr:uid="{0FE6E59A-2E76-43CE-ADBD-41293A36FB0C}"/>
    <cellStyle name="40% - Accent5 29 2 5" xfId="15483" xr:uid="{7EC93FBB-4912-438F-968E-964BDAE9BEFE}"/>
    <cellStyle name="40% - Accent5 29 2 5 2" xfId="15484" xr:uid="{53AE042E-8D86-4834-9E1D-504B407F605F}"/>
    <cellStyle name="40% - Accent5 29 2 6" xfId="15485" xr:uid="{1616EAC3-BCEF-4C53-813A-7C221ABA5BD6}"/>
    <cellStyle name="40% - Accent5 29 3" xfId="15486" xr:uid="{C2787241-F14F-432B-90A5-771D390CCE0D}"/>
    <cellStyle name="40% - Accent5 29 3 2" xfId="15487" xr:uid="{12309C2B-5E62-4C06-A1A2-F6BBC51800B9}"/>
    <cellStyle name="40% - Accent5 29 3 2 2" xfId="15488" xr:uid="{E624A28D-380F-4918-BD87-7F5D3D9116D4}"/>
    <cellStyle name="40% - Accent5 29 3 2 2 2" xfId="15489" xr:uid="{5880DB95-44C2-45FC-BB0A-BE491292D315}"/>
    <cellStyle name="40% - Accent5 29 3 2 2 2 2" xfId="15490" xr:uid="{A101D7DC-002B-4095-B4C0-B15EC38DB425}"/>
    <cellStyle name="40% - Accent5 29 3 2 2 3" xfId="15491" xr:uid="{066AF492-5DFD-4C3B-AB55-24F927A445D7}"/>
    <cellStyle name="40% - Accent5 29 3 2 3" xfId="15492" xr:uid="{7F5094C3-94ED-4314-8636-32F596E18173}"/>
    <cellStyle name="40% - Accent5 29 3 2 3 2" xfId="15493" xr:uid="{E08E90DD-E407-44E8-A94A-15762E8EC114}"/>
    <cellStyle name="40% - Accent5 29 3 2 3 2 2" xfId="15494" xr:uid="{1B916E28-E106-43B0-8F1B-21B62334CFD4}"/>
    <cellStyle name="40% - Accent5 29 3 2 3 3" xfId="15495" xr:uid="{4529734E-580F-4675-AE11-E2A47F5E8459}"/>
    <cellStyle name="40% - Accent5 29 3 2 4" xfId="15496" xr:uid="{5B17049E-A47C-41B8-AFED-B932DA7896DE}"/>
    <cellStyle name="40% - Accent5 29 3 2 4 2" xfId="15497" xr:uid="{75A1F3A1-C3B4-4A8B-AFD1-178371347F8E}"/>
    <cellStyle name="40% - Accent5 29 3 2 5" xfId="15498" xr:uid="{2B813769-05AF-4582-A5D2-556F520E7C3E}"/>
    <cellStyle name="40% - Accent5 29 3 3" xfId="15499" xr:uid="{D56762C6-6492-45F3-81E7-C3998253B324}"/>
    <cellStyle name="40% - Accent5 29 3 3 2" xfId="15500" xr:uid="{B1578161-3357-4F98-BE16-5704024B7CC5}"/>
    <cellStyle name="40% - Accent5 29 3 3 2 2" xfId="15501" xr:uid="{0DDAD6CF-57EC-444E-A090-0B9AD3679F65}"/>
    <cellStyle name="40% - Accent5 29 3 3 3" xfId="15502" xr:uid="{3F06D7E9-4AD8-4214-9FAE-B33734A2AB5B}"/>
    <cellStyle name="40% - Accent5 29 3 4" xfId="15503" xr:uid="{48593A97-F68A-4C6C-9E07-6EDFB784A50E}"/>
    <cellStyle name="40% - Accent5 29 3 4 2" xfId="15504" xr:uid="{300E20B5-6D8E-4C8B-8A01-3E4D556926F2}"/>
    <cellStyle name="40% - Accent5 29 3 4 2 2" xfId="15505" xr:uid="{E7F20D9D-D62F-4AA7-AFE5-A0143E92EB2C}"/>
    <cellStyle name="40% - Accent5 29 3 4 3" xfId="15506" xr:uid="{CD1941E2-AB75-441A-8291-295CFB44B55E}"/>
    <cellStyle name="40% - Accent5 29 3 5" xfId="15507" xr:uid="{F95001CC-62EF-4711-85CE-FF66BB60F545}"/>
    <cellStyle name="40% - Accent5 29 3 5 2" xfId="15508" xr:uid="{569A7E47-EFA0-41A8-BE02-DD27FE1F7BE9}"/>
    <cellStyle name="40% - Accent5 29 3 6" xfId="15509" xr:uid="{4BBD049D-3C74-4774-86A4-FB7A551E6989}"/>
    <cellStyle name="40% - Accent5 29 4" xfId="15510" xr:uid="{24C32F77-40A4-42C5-99D3-BE950171DAE0}"/>
    <cellStyle name="40% - Accent5 29 4 2" xfId="15511" xr:uid="{89E655EF-CA5F-460E-A8C3-9E69257FCB01}"/>
    <cellStyle name="40% - Accent5 29 4 2 2" xfId="15512" xr:uid="{C8744426-78C1-4FAF-8694-CD4CA5F03A89}"/>
    <cellStyle name="40% - Accent5 29 4 2 2 2" xfId="15513" xr:uid="{01B272D6-6B8B-4BBE-AE94-E0B58F1F57B9}"/>
    <cellStyle name="40% - Accent5 29 4 2 2 2 2" xfId="15514" xr:uid="{209F9964-3247-4DC0-B704-166449631900}"/>
    <cellStyle name="40% - Accent5 29 4 2 2 3" xfId="15515" xr:uid="{81FC5957-2C59-406A-BDBD-78A6955EB01C}"/>
    <cellStyle name="40% - Accent5 29 4 2 3" xfId="15516" xr:uid="{53461DBD-AC0C-4F06-8E29-81FD28762AD7}"/>
    <cellStyle name="40% - Accent5 29 4 2 3 2" xfId="15517" xr:uid="{B2EC2B53-7C50-455A-B6CC-176F1AA82F9B}"/>
    <cellStyle name="40% - Accent5 29 4 2 3 2 2" xfId="15518" xr:uid="{A66980BF-B2D3-4527-9B03-5496A308991B}"/>
    <cellStyle name="40% - Accent5 29 4 2 3 3" xfId="15519" xr:uid="{7B4A6E19-E8A3-48EC-AFDC-5A7CC3BADB06}"/>
    <cellStyle name="40% - Accent5 29 4 2 4" xfId="15520" xr:uid="{7631F828-95B7-49F1-8341-D27BF6C8B2B3}"/>
    <cellStyle name="40% - Accent5 29 4 2 4 2" xfId="15521" xr:uid="{E051E831-1815-4DE7-AD10-7D439655EA82}"/>
    <cellStyle name="40% - Accent5 29 4 2 5" xfId="15522" xr:uid="{ED716A2E-72BD-4B06-9744-08606A5430F2}"/>
    <cellStyle name="40% - Accent5 29 4 3" xfId="15523" xr:uid="{95C9D9C7-CC14-4AAD-8BC3-921023D83C01}"/>
    <cellStyle name="40% - Accent5 29 4 3 2" xfId="15524" xr:uid="{87693ADB-C10A-4B47-88C7-4B033ABF93E2}"/>
    <cellStyle name="40% - Accent5 29 4 3 2 2" xfId="15525" xr:uid="{FEF1AD52-F183-4F6E-B86E-3F5AA445448B}"/>
    <cellStyle name="40% - Accent5 29 4 3 3" xfId="15526" xr:uid="{50B5C422-FA0E-4BB6-8A64-059A392CEB75}"/>
    <cellStyle name="40% - Accent5 29 4 4" xfId="15527" xr:uid="{86536275-851A-482B-BC24-79A6C18B9B9E}"/>
    <cellStyle name="40% - Accent5 29 4 4 2" xfId="15528" xr:uid="{3EF0A338-F13C-43A7-9BFD-51B15DE9BD43}"/>
    <cellStyle name="40% - Accent5 29 4 4 2 2" xfId="15529" xr:uid="{7F5E9DCB-9DAA-44F8-9439-E610582B93C4}"/>
    <cellStyle name="40% - Accent5 29 4 4 3" xfId="15530" xr:uid="{227BAD37-7114-4720-8AFC-7B273C6E974C}"/>
    <cellStyle name="40% - Accent5 29 4 5" xfId="15531" xr:uid="{4CB32C63-D0F0-4D26-AEDD-F214E456FA27}"/>
    <cellStyle name="40% - Accent5 29 4 5 2" xfId="15532" xr:uid="{7BB5A3DA-0270-496A-98FB-EFA987E9CB1F}"/>
    <cellStyle name="40% - Accent5 29 4 6" xfId="15533" xr:uid="{777773B3-D361-4631-9F7C-AC101742F98D}"/>
    <cellStyle name="40% - Accent5 29 5" xfId="15534" xr:uid="{C1934596-369D-4083-971E-BB3F6B6E6AA9}"/>
    <cellStyle name="40% - Accent5 29 5 2" xfId="15535" xr:uid="{2E135E27-8125-459A-A677-2AEBD8A1C9D6}"/>
    <cellStyle name="40% - Accent5 29 5 2 2" xfId="15536" xr:uid="{13F48899-DAB2-48EB-A0CF-04AF19056259}"/>
    <cellStyle name="40% - Accent5 29 5 2 2 2" xfId="15537" xr:uid="{CAF16116-90F4-4E68-81FF-6B71ACD65C5F}"/>
    <cellStyle name="40% - Accent5 29 5 2 2 2 2" xfId="15538" xr:uid="{D228F291-747E-49E9-A583-C5D9287DAE84}"/>
    <cellStyle name="40% - Accent5 29 5 2 2 3" xfId="15539" xr:uid="{130A49BE-AD20-4420-A9B8-E29B7E4B999F}"/>
    <cellStyle name="40% - Accent5 29 5 2 3" xfId="15540" xr:uid="{29110172-43E8-4FF8-9654-10CE65C8EFAE}"/>
    <cellStyle name="40% - Accent5 29 5 2 3 2" xfId="15541" xr:uid="{4D89F598-0FE9-4E42-9250-F1FA86D6B349}"/>
    <cellStyle name="40% - Accent5 29 5 2 3 2 2" xfId="15542" xr:uid="{BB971B32-0FE2-4B4F-AFD9-D899727BEA8D}"/>
    <cellStyle name="40% - Accent5 29 5 2 3 3" xfId="15543" xr:uid="{CA95B37C-9C12-4BA4-9EAA-2E8B6F572B6C}"/>
    <cellStyle name="40% - Accent5 29 5 2 4" xfId="15544" xr:uid="{B1928F1E-B376-4F41-BC84-0D5D272042CE}"/>
    <cellStyle name="40% - Accent5 29 5 2 4 2" xfId="15545" xr:uid="{6E51BDA2-B236-411A-AF6F-009F1CDF88F2}"/>
    <cellStyle name="40% - Accent5 29 5 2 5" xfId="15546" xr:uid="{5495DAE2-585E-4D34-A116-621CA338649A}"/>
    <cellStyle name="40% - Accent5 29 5 3" xfId="15547" xr:uid="{63C0D7B8-32DB-4EEC-96D5-797214C94374}"/>
    <cellStyle name="40% - Accent5 29 5 3 2" xfId="15548" xr:uid="{65B9D4E1-BB71-4C2D-9523-6575F38CC47F}"/>
    <cellStyle name="40% - Accent5 29 5 3 2 2" xfId="15549" xr:uid="{DC2D5AB4-79B6-485E-B712-D907BB1AD908}"/>
    <cellStyle name="40% - Accent5 29 5 3 3" xfId="15550" xr:uid="{0A751105-BC50-4903-9397-48CBECAD87A5}"/>
    <cellStyle name="40% - Accent5 29 5 4" xfId="15551" xr:uid="{9F079CDE-8E42-4808-9AC3-1C0C3F06F66D}"/>
    <cellStyle name="40% - Accent5 29 5 4 2" xfId="15552" xr:uid="{B6F44023-7CE1-47B3-A6F1-E4493E8F0239}"/>
    <cellStyle name="40% - Accent5 29 5 4 2 2" xfId="15553" xr:uid="{A2A0FC58-D850-456E-BF6F-1E93D2C7E38A}"/>
    <cellStyle name="40% - Accent5 29 5 4 3" xfId="15554" xr:uid="{534EFE00-AD60-49D6-9A31-81E423D0E2A0}"/>
    <cellStyle name="40% - Accent5 29 5 5" xfId="15555" xr:uid="{C250AF79-8550-4FEB-B4DF-BF5D3858E6A6}"/>
    <cellStyle name="40% - Accent5 29 5 5 2" xfId="15556" xr:uid="{4C9E254B-178C-485F-9268-692E8D48EA86}"/>
    <cellStyle name="40% - Accent5 29 5 6" xfId="15557" xr:uid="{244886BB-B237-47B1-98D8-D170A3384A35}"/>
    <cellStyle name="40% - Accent5 29 6" xfId="15558" xr:uid="{54EA80ED-3DC3-4A7A-8FB7-55EED68D3E7B}"/>
    <cellStyle name="40% - Accent5 29 6 2" xfId="15559" xr:uid="{B65944A3-D92B-4DD0-9EAF-496D363197A8}"/>
    <cellStyle name="40% - Accent5 29 6 2 2" xfId="15560" xr:uid="{933E0523-80B1-4E58-BCC2-99B57C231301}"/>
    <cellStyle name="40% - Accent5 29 6 2 2 2" xfId="15561" xr:uid="{E7C6B2BC-069E-418B-855E-D68C18EBB5FE}"/>
    <cellStyle name="40% - Accent5 29 6 2 2 2 2" xfId="15562" xr:uid="{777264DA-6E5F-422A-82BB-8986DF956424}"/>
    <cellStyle name="40% - Accent5 29 6 2 2 3" xfId="15563" xr:uid="{724DD203-657B-439B-997A-705E449751C1}"/>
    <cellStyle name="40% - Accent5 29 6 2 3" xfId="15564" xr:uid="{76122CAC-4802-495A-A5CA-0AEB3F13797C}"/>
    <cellStyle name="40% - Accent5 29 6 2 3 2" xfId="15565" xr:uid="{71C20F48-B779-4943-B733-202B160A49EE}"/>
    <cellStyle name="40% - Accent5 29 6 2 3 2 2" xfId="15566" xr:uid="{7720E6D6-3731-4E1A-B1DB-D2DA8C43E02C}"/>
    <cellStyle name="40% - Accent5 29 6 2 3 3" xfId="15567" xr:uid="{897F7CAB-263E-423F-B67B-AD6BD1FB12B2}"/>
    <cellStyle name="40% - Accent5 29 6 2 4" xfId="15568" xr:uid="{62F958F9-4FBD-47DD-BDAE-04F3782F455E}"/>
    <cellStyle name="40% - Accent5 29 6 2 4 2" xfId="15569" xr:uid="{C9531C30-AF0C-4344-A07C-56476FED2E5F}"/>
    <cellStyle name="40% - Accent5 29 6 2 5" xfId="15570" xr:uid="{F6E3D1F4-3988-4DDC-B95F-93F72F91A81E}"/>
    <cellStyle name="40% - Accent5 29 6 3" xfId="15571" xr:uid="{CF2900C2-4F43-46CC-AB43-67B2EA986A6F}"/>
    <cellStyle name="40% - Accent5 29 6 3 2" xfId="15572" xr:uid="{7768E195-996A-4122-8D96-8EC238BCC689}"/>
    <cellStyle name="40% - Accent5 29 6 3 2 2" xfId="15573" xr:uid="{09A9D5BA-2221-4E48-80F0-155188C1260B}"/>
    <cellStyle name="40% - Accent5 29 6 3 3" xfId="15574" xr:uid="{9ED4D3D4-3450-4350-B09F-3BCD1BF154E7}"/>
    <cellStyle name="40% - Accent5 29 6 4" xfId="15575" xr:uid="{B90C372C-6D3B-4EDC-89F8-611EE443C3D8}"/>
    <cellStyle name="40% - Accent5 29 6 4 2" xfId="15576" xr:uid="{ED246F8E-A90C-4A6D-A920-861B72EFCD2C}"/>
    <cellStyle name="40% - Accent5 29 6 4 2 2" xfId="15577" xr:uid="{A3CAC339-E0A8-433D-80D9-D3E6EE388925}"/>
    <cellStyle name="40% - Accent5 29 6 4 3" xfId="15578" xr:uid="{2BE149EF-974E-4D19-805C-256BBD485A80}"/>
    <cellStyle name="40% - Accent5 29 6 5" xfId="15579" xr:uid="{ECB73E9E-69F6-43B0-A539-F6D996972826}"/>
    <cellStyle name="40% - Accent5 29 6 5 2" xfId="15580" xr:uid="{E9288AAF-8D64-4947-96A7-CD3095270FB1}"/>
    <cellStyle name="40% - Accent5 29 6 6" xfId="15581" xr:uid="{A7ED277C-B9B6-4AB8-8A84-9FD20E91DFF7}"/>
    <cellStyle name="40% - Accent5 29 7" xfId="15582" xr:uid="{C11D1F62-9A5D-47D4-ABCA-B7500CFFC239}"/>
    <cellStyle name="40% - Accent5 29 7 2" xfId="15583" xr:uid="{2CAB2C4F-CD5D-4595-8FBE-A0C420EBB1F3}"/>
    <cellStyle name="40% - Accent5 29 7 2 2" xfId="15584" xr:uid="{7971AC21-F455-4A61-BA9A-239D7A86648C}"/>
    <cellStyle name="40% - Accent5 29 7 2 2 2" xfId="15585" xr:uid="{24FD4E1F-4225-4335-98EF-879CC81DC31C}"/>
    <cellStyle name="40% - Accent5 29 7 2 2 2 2" xfId="15586" xr:uid="{42FA4509-364B-4B64-9A5D-EBAF7165ECD4}"/>
    <cellStyle name="40% - Accent5 29 7 2 2 3" xfId="15587" xr:uid="{AF23AE46-2780-4377-AFE3-00FF41CC7088}"/>
    <cellStyle name="40% - Accent5 29 7 2 3" xfId="15588" xr:uid="{811BC279-0020-4521-BCB2-296EC2BD952B}"/>
    <cellStyle name="40% - Accent5 29 7 2 3 2" xfId="15589" xr:uid="{9BF1FC1B-3C64-4F3B-8E77-9AF7EF54FA02}"/>
    <cellStyle name="40% - Accent5 29 7 2 3 2 2" xfId="15590" xr:uid="{A9E3A7E4-A511-4018-9851-794DD788437A}"/>
    <cellStyle name="40% - Accent5 29 7 2 3 3" xfId="15591" xr:uid="{592C5A7F-D44E-4230-90E6-7A53B19521F9}"/>
    <cellStyle name="40% - Accent5 29 7 2 4" xfId="15592" xr:uid="{20D59232-C9F8-44F2-8A76-1DFDC1F96768}"/>
    <cellStyle name="40% - Accent5 29 7 2 4 2" xfId="15593" xr:uid="{0A85081C-087C-4D54-B2A7-8F7CA4D0BC40}"/>
    <cellStyle name="40% - Accent5 29 7 2 5" xfId="15594" xr:uid="{40AC935F-44CC-41BA-B547-F660CF3378BB}"/>
    <cellStyle name="40% - Accent5 29 7 3" xfId="15595" xr:uid="{65F67521-3446-430F-952D-A8D4919A4F49}"/>
    <cellStyle name="40% - Accent5 29 7 3 2" xfId="15596" xr:uid="{40FC0108-B6D3-4CAF-BC31-19F448422976}"/>
    <cellStyle name="40% - Accent5 29 7 3 2 2" xfId="15597" xr:uid="{08247567-2AA9-41D8-BE39-6B4A4134B00F}"/>
    <cellStyle name="40% - Accent5 29 7 3 3" xfId="15598" xr:uid="{37F10B16-B6BC-4D14-9B23-51A814ED9568}"/>
    <cellStyle name="40% - Accent5 29 7 4" xfId="15599" xr:uid="{594C3F45-F67B-4390-9B29-77F2A9EBB5DF}"/>
    <cellStyle name="40% - Accent5 29 7 4 2" xfId="15600" xr:uid="{884F70CC-B2CE-4BF3-9997-4BC733471C3B}"/>
    <cellStyle name="40% - Accent5 29 7 4 2 2" xfId="15601" xr:uid="{93676686-F30B-4B3D-9B1C-A0F1C344967B}"/>
    <cellStyle name="40% - Accent5 29 7 4 3" xfId="15602" xr:uid="{1AE1C245-5220-4D07-94BF-56425ED90169}"/>
    <cellStyle name="40% - Accent5 29 7 5" xfId="15603" xr:uid="{A5EA35BD-77CF-4B44-9EEF-622A7F7FE14A}"/>
    <cellStyle name="40% - Accent5 29 7 5 2" xfId="15604" xr:uid="{0303B87A-F72E-4B30-85F2-B37A40F484F0}"/>
    <cellStyle name="40% - Accent5 29 7 6" xfId="15605" xr:uid="{21ED3382-55A0-45D4-9A43-8CB0AE16D44E}"/>
    <cellStyle name="40% - Accent5 29 8" xfId="15606" xr:uid="{4E01B75B-E71D-4B85-BC3E-B28468A52FCA}"/>
    <cellStyle name="40% - Accent5 29 8 2" xfId="15607" xr:uid="{D08D0FA0-642F-47BE-8B5A-574ADB61875F}"/>
    <cellStyle name="40% - Accent5 29 8 2 2" xfId="15608" xr:uid="{4851B874-A50D-47BA-966A-D7E2CB1511D7}"/>
    <cellStyle name="40% - Accent5 29 8 2 2 2" xfId="15609" xr:uid="{3230771E-1A80-4844-B897-9E115692EDD0}"/>
    <cellStyle name="40% - Accent5 29 8 2 2 2 2" xfId="15610" xr:uid="{9FA80626-929F-4D0E-BCBC-F4A29A5F1426}"/>
    <cellStyle name="40% - Accent5 29 8 2 2 3" xfId="15611" xr:uid="{ACC47F7E-C759-491C-8DC8-F4D3EC9E9EBD}"/>
    <cellStyle name="40% - Accent5 29 8 2 3" xfId="15612" xr:uid="{FA599842-AE2D-4468-A19C-5521842F7FCB}"/>
    <cellStyle name="40% - Accent5 29 8 2 3 2" xfId="15613" xr:uid="{21CBC25B-D285-4817-B6FB-204DB03748F7}"/>
    <cellStyle name="40% - Accent5 29 8 2 3 2 2" xfId="15614" xr:uid="{D2524B6A-FA5B-4198-ACA1-A39EF33FA95B}"/>
    <cellStyle name="40% - Accent5 29 8 2 3 3" xfId="15615" xr:uid="{56B9B755-21F7-4A84-94FD-BA20A5194C09}"/>
    <cellStyle name="40% - Accent5 29 8 2 4" xfId="15616" xr:uid="{3244B1E8-61B0-460F-B848-EE6030A1B1CF}"/>
    <cellStyle name="40% - Accent5 29 8 2 4 2" xfId="15617" xr:uid="{1CE9BE70-58BD-4243-87B5-96F4E13FA05B}"/>
    <cellStyle name="40% - Accent5 29 8 2 5" xfId="15618" xr:uid="{AD94B467-ADFB-4A86-8193-A410DBE0161A}"/>
    <cellStyle name="40% - Accent5 29 8 3" xfId="15619" xr:uid="{700809D4-150A-4A33-A67C-665F0C8EAE3E}"/>
    <cellStyle name="40% - Accent5 29 8 3 2" xfId="15620" xr:uid="{FAEF0544-343D-44AB-929B-2B547ECCEB21}"/>
    <cellStyle name="40% - Accent5 29 8 3 2 2" xfId="15621" xr:uid="{067488AF-9298-4416-B1AA-34E2ED1F8510}"/>
    <cellStyle name="40% - Accent5 29 8 3 3" xfId="15622" xr:uid="{D46E6F33-5D1C-4461-AD99-4DB5014119BB}"/>
    <cellStyle name="40% - Accent5 29 8 4" xfId="15623" xr:uid="{A991496C-3D7A-4472-ADED-F4345B1231DD}"/>
    <cellStyle name="40% - Accent5 29 8 4 2" xfId="15624" xr:uid="{6A8CD703-2526-437D-851A-8D28C91566F3}"/>
    <cellStyle name="40% - Accent5 29 8 4 2 2" xfId="15625" xr:uid="{775A7D54-FA43-4E33-8736-D4BEBB55EF71}"/>
    <cellStyle name="40% - Accent5 29 8 4 3" xfId="15626" xr:uid="{0BA12799-62B5-4833-9DD7-BC17B5550F5D}"/>
    <cellStyle name="40% - Accent5 29 8 5" xfId="15627" xr:uid="{D15218BE-D57C-4A40-A1F8-8E72F8FC9A7A}"/>
    <cellStyle name="40% - Accent5 29 8 5 2" xfId="15628" xr:uid="{3CC8AA12-2FC2-4371-937B-92D5F1870770}"/>
    <cellStyle name="40% - Accent5 29 8 6" xfId="15629" xr:uid="{2C3D19CC-4D36-4B1B-B0CB-32E0EDA06EC8}"/>
    <cellStyle name="40% - Accent5 29 9" xfId="15630" xr:uid="{45940426-7E71-4F52-9EEC-A5AB34CDDC75}"/>
    <cellStyle name="40% - Accent5 29 9 2" xfId="15631" xr:uid="{ACFE252B-FA72-4D67-9557-38B570375BE8}"/>
    <cellStyle name="40% - Accent5 29 9 2 2" xfId="15632" xr:uid="{338C0CCF-AA47-4BA7-B8A5-6E8D09A1E0A0}"/>
    <cellStyle name="40% - Accent5 29 9 2 2 2" xfId="15633" xr:uid="{B8857BE1-C7A2-4C8E-8A0F-29DB05505ACD}"/>
    <cellStyle name="40% - Accent5 29 9 2 2 2 2" xfId="15634" xr:uid="{5C307083-651D-45D8-B074-4EAAC259E697}"/>
    <cellStyle name="40% - Accent5 29 9 2 2 3" xfId="15635" xr:uid="{5A7711BF-4504-491F-A57C-21F31028007C}"/>
    <cellStyle name="40% - Accent5 29 9 2 3" xfId="15636" xr:uid="{75406DAD-FE8F-48E6-9461-B7150FA9B5AE}"/>
    <cellStyle name="40% - Accent5 29 9 2 3 2" xfId="15637" xr:uid="{99DBD3DC-8299-4BFF-9B4E-46387D4B7CE6}"/>
    <cellStyle name="40% - Accent5 29 9 2 3 2 2" xfId="15638" xr:uid="{9C5420F3-324A-48EA-9C57-855972B8FF03}"/>
    <cellStyle name="40% - Accent5 29 9 2 3 3" xfId="15639" xr:uid="{D731D759-D91F-45FE-A329-E0D804797CC7}"/>
    <cellStyle name="40% - Accent5 29 9 2 4" xfId="15640" xr:uid="{AA5E35E5-F8D4-43BC-B81E-C7972C375C8A}"/>
    <cellStyle name="40% - Accent5 29 9 2 4 2" xfId="15641" xr:uid="{9A578FFA-C4C4-4131-8069-C657D550455C}"/>
    <cellStyle name="40% - Accent5 29 9 2 5" xfId="15642" xr:uid="{5BADFF8A-BD37-43B7-9BE6-A5D54CA85E91}"/>
    <cellStyle name="40% - Accent5 29 9 3" xfId="15643" xr:uid="{E53C2538-BF6F-4793-8DC5-F37FF8403FB0}"/>
    <cellStyle name="40% - Accent5 29 9 3 2" xfId="15644" xr:uid="{C5504928-35E8-4D80-A784-4187226F1CB4}"/>
    <cellStyle name="40% - Accent5 29 9 3 2 2" xfId="15645" xr:uid="{9E8E7196-94B6-403C-A7D5-C1497CDE7D57}"/>
    <cellStyle name="40% - Accent5 29 9 3 3" xfId="15646" xr:uid="{1BE2A711-0579-4E19-851A-BBB0DA1A1BC4}"/>
    <cellStyle name="40% - Accent5 29 9 4" xfId="15647" xr:uid="{EBDBD8C0-1EA5-4246-9E35-8914A9954A83}"/>
    <cellStyle name="40% - Accent5 29 9 4 2" xfId="15648" xr:uid="{DF6D764F-30D2-41CA-9F5C-4DE20AD6A9AD}"/>
    <cellStyle name="40% - Accent5 29 9 4 2 2" xfId="15649" xr:uid="{1907F2AB-076A-43A9-967F-6DA2DA053292}"/>
    <cellStyle name="40% - Accent5 29 9 4 3" xfId="15650" xr:uid="{D4E66605-C6BE-4C9F-9A01-B2336D740487}"/>
    <cellStyle name="40% - Accent5 29 9 5" xfId="15651" xr:uid="{BE07CA76-5EAB-4D54-A97D-F727B3F1EF4C}"/>
    <cellStyle name="40% - Accent5 29 9 5 2" xfId="15652" xr:uid="{7A346316-5B72-4759-8520-17BAB9B4170A}"/>
    <cellStyle name="40% - Accent5 29 9 6" xfId="15653" xr:uid="{F0CB9AC6-1562-456D-A5CD-547CCB81A46A}"/>
    <cellStyle name="40% - Accent5 3" xfId="15654" xr:uid="{1F6655B7-3144-4B4F-ACF6-B2883755B184}"/>
    <cellStyle name="40% - Accent5 3 2" xfId="15655" xr:uid="{D451F992-5CE9-444D-85FA-B1BB2AB92EE7}"/>
    <cellStyle name="40% - Accent5 3 2 2" xfId="15656" xr:uid="{67C76381-C73C-43E6-9CD0-6115917905B5}"/>
    <cellStyle name="40% - Accent5 3 2 2 2" xfId="37535" xr:uid="{51EF2913-EFF9-4043-9DAF-1F55FF08D3B0}"/>
    <cellStyle name="40% - Accent5 3 2 3" xfId="37536" xr:uid="{E64A67A6-3989-458E-A26C-0D79E4A46BD4}"/>
    <cellStyle name="40% - Accent5 3 2 4" xfId="37537" xr:uid="{9E7E3151-BEEC-40F6-A9C1-1D241A5E8A1D}"/>
    <cellStyle name="40% - Accent5 3 3" xfId="15657" xr:uid="{BE08EA22-3990-40ED-B431-87D47030FA4E}"/>
    <cellStyle name="40% - Accent5 3 3 2" xfId="37538" xr:uid="{301D10F0-165C-4EFE-B158-A25DA78B30CC}"/>
    <cellStyle name="40% - Accent5 3 4" xfId="37539" xr:uid="{F1D8064C-D8C8-4910-84AA-E0803BC2100C}"/>
    <cellStyle name="40% - Accent5 3 5" xfId="37540" xr:uid="{0ACFC0C1-F86A-41A5-B0D5-16FECF832617}"/>
    <cellStyle name="40% - Accent5 3 6" xfId="37541" xr:uid="{2D252569-12FE-4362-852A-4CC8AC9F0BAA}"/>
    <cellStyle name="40% - Accent5 30" xfId="15658" xr:uid="{B4585F46-F06C-4070-B7E1-FD2B32370DA5}"/>
    <cellStyle name="40% - Accent5 30 10" xfId="15659" xr:uid="{22CEDBD2-FA25-47D2-9B58-7C3EFC65D22E}"/>
    <cellStyle name="40% - Accent5 30 10 2" xfId="15660" xr:uid="{F06493CF-49A8-4C5C-8315-24063985BF68}"/>
    <cellStyle name="40% - Accent5 30 10 2 2" xfId="15661" xr:uid="{DF54DA5D-461D-4618-9E0E-E04F7DE6D85E}"/>
    <cellStyle name="40% - Accent5 30 10 2 2 2" xfId="15662" xr:uid="{85E16F71-13A7-4A8C-B111-EEA108FBB847}"/>
    <cellStyle name="40% - Accent5 30 10 2 2 2 2" xfId="15663" xr:uid="{F9B04074-EC65-4521-A744-8FA73A6AC876}"/>
    <cellStyle name="40% - Accent5 30 10 2 2 3" xfId="15664" xr:uid="{1195CE76-2BC3-477E-9364-F511601AC7F9}"/>
    <cellStyle name="40% - Accent5 30 10 2 3" xfId="15665" xr:uid="{7C038772-5146-4200-8E54-8CB4FCAB30F9}"/>
    <cellStyle name="40% - Accent5 30 10 2 3 2" xfId="15666" xr:uid="{A23092D8-E13E-44A7-9D34-C6A43D7F07F6}"/>
    <cellStyle name="40% - Accent5 30 10 2 3 2 2" xfId="15667" xr:uid="{D83A2A96-E237-4675-B93C-5591FE07E524}"/>
    <cellStyle name="40% - Accent5 30 10 2 3 3" xfId="15668" xr:uid="{1C75BCD1-BC69-44E7-8267-1BE50085841D}"/>
    <cellStyle name="40% - Accent5 30 10 2 4" xfId="15669" xr:uid="{E9ED55DB-2A4C-48AC-B2DE-F507A8990F13}"/>
    <cellStyle name="40% - Accent5 30 10 2 4 2" xfId="15670" xr:uid="{3AAA7993-E900-48B5-AA01-01E8D6B9369A}"/>
    <cellStyle name="40% - Accent5 30 10 2 5" xfId="15671" xr:uid="{82C08F9D-15E9-41B1-A39E-C803BC0D57CE}"/>
    <cellStyle name="40% - Accent5 30 10 3" xfId="15672" xr:uid="{DDBF3D65-57EC-4F50-9E6B-D28CE56D6BD2}"/>
    <cellStyle name="40% - Accent5 30 10 3 2" xfId="15673" xr:uid="{9EDE278D-ADA2-450F-B0BE-78F63BEB6CCB}"/>
    <cellStyle name="40% - Accent5 30 10 3 2 2" xfId="15674" xr:uid="{375E31B8-11DA-4F35-9F27-5EECA9E35933}"/>
    <cellStyle name="40% - Accent5 30 10 3 3" xfId="15675" xr:uid="{ACBF56DC-BFD0-4593-A736-97DF3379010E}"/>
    <cellStyle name="40% - Accent5 30 10 4" xfId="15676" xr:uid="{B1E85D30-B099-4CB5-AF1A-18EEE689F25D}"/>
    <cellStyle name="40% - Accent5 30 10 4 2" xfId="15677" xr:uid="{3008612E-B3A2-4D62-9C4F-A659F2809F1D}"/>
    <cellStyle name="40% - Accent5 30 10 4 2 2" xfId="15678" xr:uid="{6B62A93D-7914-4D4E-A790-3CAC0985D70A}"/>
    <cellStyle name="40% - Accent5 30 10 4 3" xfId="15679" xr:uid="{6B4275F4-01E9-4B78-85B4-9039F1F49F90}"/>
    <cellStyle name="40% - Accent5 30 10 5" xfId="15680" xr:uid="{57370126-5962-442D-8133-C85C0EDCBC5B}"/>
    <cellStyle name="40% - Accent5 30 10 5 2" xfId="15681" xr:uid="{DA466B27-5261-469E-B4E3-DD4EEA345419}"/>
    <cellStyle name="40% - Accent5 30 10 6" xfId="15682" xr:uid="{29913108-BE60-4C41-84D6-5BD7A3D27BAD}"/>
    <cellStyle name="40% - Accent5 30 11" xfId="15683" xr:uid="{10EAB52F-9563-43DB-9A4B-6EE8D88F03D0}"/>
    <cellStyle name="40% - Accent5 30 11 2" xfId="15684" xr:uid="{68DE2209-4477-4D59-A7C4-66002E2B99B1}"/>
    <cellStyle name="40% - Accent5 30 11 2 2" xfId="15685" xr:uid="{C8C20DC6-EA6B-4917-A759-4E0F412DA64F}"/>
    <cellStyle name="40% - Accent5 30 11 2 2 2" xfId="15686" xr:uid="{009B4A3A-F60D-4282-A376-5FBA0DAA57A0}"/>
    <cellStyle name="40% - Accent5 30 11 2 3" xfId="15687" xr:uid="{EBD5F2FD-363A-4C5E-AD7C-968ACD7FAB82}"/>
    <cellStyle name="40% - Accent5 30 11 3" xfId="15688" xr:uid="{1D0D294D-7A6F-46B1-8C1F-5F99221780F7}"/>
    <cellStyle name="40% - Accent5 30 11 3 2" xfId="15689" xr:uid="{72A94A72-6B40-4B5C-8204-2F9328D834BB}"/>
    <cellStyle name="40% - Accent5 30 11 3 2 2" xfId="15690" xr:uid="{252E2FC2-3300-432E-9C6B-314AD16733BB}"/>
    <cellStyle name="40% - Accent5 30 11 3 3" xfId="15691" xr:uid="{972CAC65-52FF-4C82-A0D5-106EFD3EAFAB}"/>
    <cellStyle name="40% - Accent5 30 11 4" xfId="15692" xr:uid="{09DCD7EB-5A76-4219-9C5F-D67F40A1E67E}"/>
    <cellStyle name="40% - Accent5 30 11 4 2" xfId="15693" xr:uid="{A120D2E1-59E9-4B52-9155-BF468A38F862}"/>
    <cellStyle name="40% - Accent5 30 11 5" xfId="15694" xr:uid="{9A8AF16B-8612-4439-BAE6-C96D70E96906}"/>
    <cellStyle name="40% - Accent5 30 12" xfId="15695" xr:uid="{CCCCE94D-F90B-408F-A13E-28F35147B470}"/>
    <cellStyle name="40% - Accent5 30 12 2" xfId="15696" xr:uid="{815FBCFD-F233-4070-8AB6-E3D77624E396}"/>
    <cellStyle name="40% - Accent5 30 12 2 2" xfId="15697" xr:uid="{78AB7AC5-2592-4BC0-82CA-3A83827CAF39}"/>
    <cellStyle name="40% - Accent5 30 12 3" xfId="15698" xr:uid="{5D7F0EC2-3589-4272-9B57-AC3B1341F2BB}"/>
    <cellStyle name="40% - Accent5 30 13" xfId="15699" xr:uid="{2CAB5B32-42EC-4B0E-BC3F-B763C26DB203}"/>
    <cellStyle name="40% - Accent5 30 13 2" xfId="15700" xr:uid="{BFC7D028-E4EB-4220-9CF8-09B05246A271}"/>
    <cellStyle name="40% - Accent5 30 13 2 2" xfId="15701" xr:uid="{CAB121B0-28C4-469A-8F70-38D8FBD033B8}"/>
    <cellStyle name="40% - Accent5 30 13 3" xfId="15702" xr:uid="{4E10E75A-2EBA-4FC5-B127-09E991D1B304}"/>
    <cellStyle name="40% - Accent5 30 14" xfId="15703" xr:uid="{B3D380F4-D275-4075-9E6F-0C0C0F21181D}"/>
    <cellStyle name="40% - Accent5 30 14 2" xfId="15704" xr:uid="{2E4D944F-4DFB-441B-8D29-0CB38D6E39E3}"/>
    <cellStyle name="40% - Accent5 30 15" xfId="15705" xr:uid="{606C5EBC-7940-495C-BFB1-3204BB148B8D}"/>
    <cellStyle name="40% - Accent5 30 16" xfId="37542" xr:uid="{875B3409-352E-4F59-8899-72A5FECF76A8}"/>
    <cellStyle name="40% - Accent5 30 2" xfId="15706" xr:uid="{1BFFC195-5566-4C7D-9BA6-4B1C21A4B796}"/>
    <cellStyle name="40% - Accent5 30 2 2" xfId="15707" xr:uid="{B989DE9A-C12B-47A2-8E65-1059243D3049}"/>
    <cellStyle name="40% - Accent5 30 2 2 2" xfId="15708" xr:uid="{F5D08776-3CB3-4244-B020-1EBB3ABA2F88}"/>
    <cellStyle name="40% - Accent5 30 2 2 2 2" xfId="15709" xr:uid="{4316BE4B-B69F-4CBB-A79A-63113EFE4E4D}"/>
    <cellStyle name="40% - Accent5 30 2 2 2 2 2" xfId="15710" xr:uid="{44355E56-6D69-47BF-BD66-BCA231188EA5}"/>
    <cellStyle name="40% - Accent5 30 2 2 2 3" xfId="15711" xr:uid="{F7A8C176-5073-4A92-980F-191864BE4A16}"/>
    <cellStyle name="40% - Accent5 30 2 2 3" xfId="15712" xr:uid="{4F08BC45-9077-4A0A-9169-47E233B096BD}"/>
    <cellStyle name="40% - Accent5 30 2 2 3 2" xfId="15713" xr:uid="{16599246-CA64-4213-99D8-1B65B2A49A57}"/>
    <cellStyle name="40% - Accent5 30 2 2 3 2 2" xfId="15714" xr:uid="{32576943-11B1-4E9D-BCD5-30066C52ACCB}"/>
    <cellStyle name="40% - Accent5 30 2 2 3 3" xfId="15715" xr:uid="{AC049386-6EE4-4C9A-816D-310FE9C0D171}"/>
    <cellStyle name="40% - Accent5 30 2 2 4" xfId="15716" xr:uid="{1AA55D3E-135E-4A3B-A75E-6F9027F54CFF}"/>
    <cellStyle name="40% - Accent5 30 2 2 4 2" xfId="15717" xr:uid="{7B7F09B1-ACDF-4174-A8BE-6F240176ECC2}"/>
    <cellStyle name="40% - Accent5 30 2 2 5" xfId="15718" xr:uid="{C7144165-66C9-467E-A56D-DC2C69AA1D6D}"/>
    <cellStyle name="40% - Accent5 30 2 3" xfId="15719" xr:uid="{D8A0AC8B-79BE-49E3-A3D7-A2B29F6E8C06}"/>
    <cellStyle name="40% - Accent5 30 2 3 2" xfId="15720" xr:uid="{EE16523E-79B9-454D-ADE0-CFD2945241E5}"/>
    <cellStyle name="40% - Accent5 30 2 3 2 2" xfId="15721" xr:uid="{7D7EEC34-98DC-4747-B0E2-97B0178D477C}"/>
    <cellStyle name="40% - Accent5 30 2 3 3" xfId="15722" xr:uid="{EEF68CA0-96C2-4C7B-B943-5FC4AE37B4CA}"/>
    <cellStyle name="40% - Accent5 30 2 4" xfId="15723" xr:uid="{F74B330C-9593-47DF-ABC2-CCA7F615901A}"/>
    <cellStyle name="40% - Accent5 30 2 4 2" xfId="15724" xr:uid="{D2433A29-B02A-47D4-99A5-43A89EA3886C}"/>
    <cellStyle name="40% - Accent5 30 2 4 2 2" xfId="15725" xr:uid="{4AF54937-8BCE-4A37-BACB-BC34F4A72F82}"/>
    <cellStyle name="40% - Accent5 30 2 4 3" xfId="15726" xr:uid="{BB939063-743C-40F3-90F0-299685228857}"/>
    <cellStyle name="40% - Accent5 30 2 5" xfId="15727" xr:uid="{8293794E-4536-4AA4-8DB8-4E137180976D}"/>
    <cellStyle name="40% - Accent5 30 2 5 2" xfId="15728" xr:uid="{B4A8EDA1-148B-4B53-8045-9BDF02B4B136}"/>
    <cellStyle name="40% - Accent5 30 2 6" xfId="15729" xr:uid="{51DDFBD3-DBCC-46F1-81B5-BEC07FC72DCE}"/>
    <cellStyle name="40% - Accent5 30 3" xfId="15730" xr:uid="{9008D87F-62D1-443E-B07C-A8DF280BE6FC}"/>
    <cellStyle name="40% - Accent5 30 3 2" xfId="15731" xr:uid="{A9A5AC03-2C90-4B50-8ED6-FA2E5D7B9B35}"/>
    <cellStyle name="40% - Accent5 30 3 2 2" xfId="15732" xr:uid="{485DCD66-8225-462D-83BA-4D5D05034D14}"/>
    <cellStyle name="40% - Accent5 30 3 2 2 2" xfId="15733" xr:uid="{9B4752E3-1804-4D44-98FA-50FE352461C2}"/>
    <cellStyle name="40% - Accent5 30 3 2 2 2 2" xfId="15734" xr:uid="{7800FFA5-BADD-4DF2-A867-B7CBF0D270C0}"/>
    <cellStyle name="40% - Accent5 30 3 2 2 3" xfId="15735" xr:uid="{9FDAD1A9-9B28-4C31-8C6C-B690086D3992}"/>
    <cellStyle name="40% - Accent5 30 3 2 3" xfId="15736" xr:uid="{34DF9261-0195-4E0C-AD05-4C0D5F28DF8E}"/>
    <cellStyle name="40% - Accent5 30 3 2 3 2" xfId="15737" xr:uid="{5EF8F8E3-4DC1-4198-B840-AFD89B449313}"/>
    <cellStyle name="40% - Accent5 30 3 2 3 2 2" xfId="15738" xr:uid="{51416EFF-023A-401A-A908-A5EBB20CE249}"/>
    <cellStyle name="40% - Accent5 30 3 2 3 3" xfId="15739" xr:uid="{69E4DE2E-30D0-417C-9CFA-204EF0EC7528}"/>
    <cellStyle name="40% - Accent5 30 3 2 4" xfId="15740" xr:uid="{C2F33AF2-8E8C-4EE6-9FA0-AC5D5400018B}"/>
    <cellStyle name="40% - Accent5 30 3 2 4 2" xfId="15741" xr:uid="{4C13DA17-D296-4C4C-A448-BCF5019DD7D1}"/>
    <cellStyle name="40% - Accent5 30 3 2 5" xfId="15742" xr:uid="{9BF1AB26-43F0-44B9-8FB3-3C9D2F3E2F38}"/>
    <cellStyle name="40% - Accent5 30 3 3" xfId="15743" xr:uid="{6225983F-9B88-40D5-BAD0-8B666C5E3B5F}"/>
    <cellStyle name="40% - Accent5 30 3 3 2" xfId="15744" xr:uid="{1F8225DD-497B-427E-88DC-859F5BED3921}"/>
    <cellStyle name="40% - Accent5 30 3 3 2 2" xfId="15745" xr:uid="{7D723580-C01F-4C2D-B3FE-88120E28A4BA}"/>
    <cellStyle name="40% - Accent5 30 3 3 3" xfId="15746" xr:uid="{8F42A412-E8AF-47C9-A13D-75334E6776C8}"/>
    <cellStyle name="40% - Accent5 30 3 4" xfId="15747" xr:uid="{21449429-0CA2-4BB1-8722-58AD52837F8B}"/>
    <cellStyle name="40% - Accent5 30 3 4 2" xfId="15748" xr:uid="{7988C4B3-C9F2-487E-8BBE-C2D268FC1B00}"/>
    <cellStyle name="40% - Accent5 30 3 4 2 2" xfId="15749" xr:uid="{C98AC0DC-4F2C-4E04-8C5A-5D6AC496FEBC}"/>
    <cellStyle name="40% - Accent5 30 3 4 3" xfId="15750" xr:uid="{195DB37E-E83D-48B3-888E-A06735D8B0DC}"/>
    <cellStyle name="40% - Accent5 30 3 5" xfId="15751" xr:uid="{12A095A7-65E9-4B17-963D-A5B696A04950}"/>
    <cellStyle name="40% - Accent5 30 3 5 2" xfId="15752" xr:uid="{D8BA9C4B-DF6C-400C-A9CF-30308C16E7F3}"/>
    <cellStyle name="40% - Accent5 30 3 6" xfId="15753" xr:uid="{BDB1ED2A-0E83-436C-8EC4-6851814CEEC9}"/>
    <cellStyle name="40% - Accent5 30 4" xfId="15754" xr:uid="{F323CAD2-7ABD-48CE-AF04-AAEB8984C24F}"/>
    <cellStyle name="40% - Accent5 30 4 2" xfId="15755" xr:uid="{1E00D541-3D28-441E-86B9-31C150BFA8D7}"/>
    <cellStyle name="40% - Accent5 30 4 2 2" xfId="15756" xr:uid="{A1F44737-6784-42BD-930E-ED305C66BCF9}"/>
    <cellStyle name="40% - Accent5 30 4 2 2 2" xfId="15757" xr:uid="{0E758EDA-78CD-4967-A5F2-FF2D12E716AA}"/>
    <cellStyle name="40% - Accent5 30 4 2 2 2 2" xfId="15758" xr:uid="{19B6A396-81C9-4125-B6D4-106B5C74F3BD}"/>
    <cellStyle name="40% - Accent5 30 4 2 2 3" xfId="15759" xr:uid="{D04291AE-9F64-4966-B2EE-162A24718104}"/>
    <cellStyle name="40% - Accent5 30 4 2 3" xfId="15760" xr:uid="{AE5A26DC-A559-4549-B2F4-E2DB9BE59608}"/>
    <cellStyle name="40% - Accent5 30 4 2 3 2" xfId="15761" xr:uid="{A843DFD6-BBE6-47A2-81FA-12C3008FC229}"/>
    <cellStyle name="40% - Accent5 30 4 2 3 2 2" xfId="15762" xr:uid="{CE4AF064-8AF3-4A64-9DD8-6B1A59DFAA66}"/>
    <cellStyle name="40% - Accent5 30 4 2 3 3" xfId="15763" xr:uid="{0915E4CA-DDEC-42F9-9471-07EF53295FDC}"/>
    <cellStyle name="40% - Accent5 30 4 2 4" xfId="15764" xr:uid="{513B6A32-2E89-44E7-8495-F6CB2B91056B}"/>
    <cellStyle name="40% - Accent5 30 4 2 4 2" xfId="15765" xr:uid="{900F64A4-78D5-420A-A200-CC31C3603F7C}"/>
    <cellStyle name="40% - Accent5 30 4 2 5" xfId="15766" xr:uid="{F3E5C788-8EC0-467F-A285-8968BB852DFC}"/>
    <cellStyle name="40% - Accent5 30 4 3" xfId="15767" xr:uid="{EEA4534F-9046-419E-A1AE-A1A49BC4FE57}"/>
    <cellStyle name="40% - Accent5 30 4 3 2" xfId="15768" xr:uid="{3A330F01-25C2-4A7C-8549-CEFFEEFF1757}"/>
    <cellStyle name="40% - Accent5 30 4 3 2 2" xfId="15769" xr:uid="{DB2D6822-4183-405F-828E-8A3EA5DAE4B6}"/>
    <cellStyle name="40% - Accent5 30 4 3 3" xfId="15770" xr:uid="{C3BEDE18-31B8-4E99-B7C0-3D1B123A49CD}"/>
    <cellStyle name="40% - Accent5 30 4 4" xfId="15771" xr:uid="{3F63E93F-DD95-4A2E-8333-27B6D7924730}"/>
    <cellStyle name="40% - Accent5 30 4 4 2" xfId="15772" xr:uid="{2AB94E2E-87C7-4CA3-8291-F4465A86EDD4}"/>
    <cellStyle name="40% - Accent5 30 4 4 2 2" xfId="15773" xr:uid="{80283289-C1B8-4206-9EA0-7F30D3783C84}"/>
    <cellStyle name="40% - Accent5 30 4 4 3" xfId="15774" xr:uid="{7C61F8C1-97E7-49D7-A253-154EA6760B6B}"/>
    <cellStyle name="40% - Accent5 30 4 5" xfId="15775" xr:uid="{8A860797-81B9-47D0-8224-77F574E9CAC2}"/>
    <cellStyle name="40% - Accent5 30 4 5 2" xfId="15776" xr:uid="{172F305B-2D46-440A-8C18-D523974171D0}"/>
    <cellStyle name="40% - Accent5 30 4 6" xfId="15777" xr:uid="{EDA300DE-5152-45B2-AC06-64DBD323A182}"/>
    <cellStyle name="40% - Accent5 30 5" xfId="15778" xr:uid="{82613C6C-3D74-49FA-A38D-AD8FA733F007}"/>
    <cellStyle name="40% - Accent5 30 5 2" xfId="15779" xr:uid="{3027A71E-2A29-4183-96A9-7EA058847FD1}"/>
    <cellStyle name="40% - Accent5 30 5 2 2" xfId="15780" xr:uid="{AAFB4A72-551D-4BE6-BCF8-FCCD0DA3C0F2}"/>
    <cellStyle name="40% - Accent5 30 5 2 2 2" xfId="15781" xr:uid="{E78EAA79-D878-453F-851B-6DD2D18B7F66}"/>
    <cellStyle name="40% - Accent5 30 5 2 2 2 2" xfId="15782" xr:uid="{5F4F91B5-FF41-464C-8102-883FB41531DD}"/>
    <cellStyle name="40% - Accent5 30 5 2 2 3" xfId="15783" xr:uid="{945CB9F7-DCA1-492F-AEC9-94A7EEDF8170}"/>
    <cellStyle name="40% - Accent5 30 5 2 3" xfId="15784" xr:uid="{239FDDC8-C5D9-4D02-B9B4-5B43DDADBC7D}"/>
    <cellStyle name="40% - Accent5 30 5 2 3 2" xfId="15785" xr:uid="{C30E45D9-C476-46AA-9E5F-E9874463603C}"/>
    <cellStyle name="40% - Accent5 30 5 2 3 2 2" xfId="15786" xr:uid="{E407431D-202E-431F-BE32-652520D2BC79}"/>
    <cellStyle name="40% - Accent5 30 5 2 3 3" xfId="15787" xr:uid="{449B9F6C-EC41-4087-AA5E-830CC274868C}"/>
    <cellStyle name="40% - Accent5 30 5 2 4" xfId="15788" xr:uid="{40A6F5BA-70DE-4D01-B65B-B86DAEBBA952}"/>
    <cellStyle name="40% - Accent5 30 5 2 4 2" xfId="15789" xr:uid="{776985D6-A4BA-4EFE-9282-8EC3051915F2}"/>
    <cellStyle name="40% - Accent5 30 5 2 5" xfId="15790" xr:uid="{ADE3B1CD-05D9-473C-833F-8C43D4F8D7CD}"/>
    <cellStyle name="40% - Accent5 30 5 3" xfId="15791" xr:uid="{BDC4D0BA-7864-4062-8095-662A027442CA}"/>
    <cellStyle name="40% - Accent5 30 5 3 2" xfId="15792" xr:uid="{DE47BEE4-0D24-4179-9B46-7C1BA882FA6B}"/>
    <cellStyle name="40% - Accent5 30 5 3 2 2" xfId="15793" xr:uid="{8F90F45B-D4F2-44EE-9C01-D6DD5D9F4D1D}"/>
    <cellStyle name="40% - Accent5 30 5 3 3" xfId="15794" xr:uid="{3588B2ED-80E5-446D-B91F-2FA0FF604EB6}"/>
    <cellStyle name="40% - Accent5 30 5 4" xfId="15795" xr:uid="{F2983347-9490-4848-93A5-B03BC92C169D}"/>
    <cellStyle name="40% - Accent5 30 5 4 2" xfId="15796" xr:uid="{20976EFE-A246-4819-917D-3B52A73CDBDC}"/>
    <cellStyle name="40% - Accent5 30 5 4 2 2" xfId="15797" xr:uid="{819B074B-AFC4-428F-8FB7-C1AEEDADD403}"/>
    <cellStyle name="40% - Accent5 30 5 4 3" xfId="15798" xr:uid="{95E6E5F5-D4E2-4355-8237-C01646DB14BB}"/>
    <cellStyle name="40% - Accent5 30 5 5" xfId="15799" xr:uid="{D2F542AC-0F61-40F6-95E0-35B2F96CC496}"/>
    <cellStyle name="40% - Accent5 30 5 5 2" xfId="15800" xr:uid="{E9F28862-A179-4409-880A-49AF4E883AF6}"/>
    <cellStyle name="40% - Accent5 30 5 6" xfId="15801" xr:uid="{89C66D7F-DC0E-4D4F-82CE-833E68141173}"/>
    <cellStyle name="40% - Accent5 30 6" xfId="15802" xr:uid="{4307DEC2-17D5-433D-8A02-75744EE30DDE}"/>
    <cellStyle name="40% - Accent5 30 6 2" xfId="15803" xr:uid="{6D63AAD6-AD6D-46B8-B800-95E579D3328E}"/>
    <cellStyle name="40% - Accent5 30 6 2 2" xfId="15804" xr:uid="{7BF8372E-D35F-4FA6-A4A7-91E207F4F15E}"/>
    <cellStyle name="40% - Accent5 30 6 2 2 2" xfId="15805" xr:uid="{FD337CDD-C78D-4375-81B2-726BDC869C3A}"/>
    <cellStyle name="40% - Accent5 30 6 2 2 2 2" xfId="15806" xr:uid="{B2F59673-6EA2-4D7B-8531-93D6A452143C}"/>
    <cellStyle name="40% - Accent5 30 6 2 2 3" xfId="15807" xr:uid="{2C27EE1F-C63A-4137-BC26-597BCA47C023}"/>
    <cellStyle name="40% - Accent5 30 6 2 3" xfId="15808" xr:uid="{6E79454D-3124-45EF-BFE0-45EDD362A887}"/>
    <cellStyle name="40% - Accent5 30 6 2 3 2" xfId="15809" xr:uid="{AC28F028-3F91-40F1-ADE9-4B7F9C14D7FE}"/>
    <cellStyle name="40% - Accent5 30 6 2 3 2 2" xfId="15810" xr:uid="{40FABFE9-86AF-45A7-A164-75358F6711D7}"/>
    <cellStyle name="40% - Accent5 30 6 2 3 3" xfId="15811" xr:uid="{4764C9EC-9816-4F42-B769-AAA6405D5D36}"/>
    <cellStyle name="40% - Accent5 30 6 2 4" xfId="15812" xr:uid="{5883C11F-72D1-42F5-BFE7-C33D5E5C82EB}"/>
    <cellStyle name="40% - Accent5 30 6 2 4 2" xfId="15813" xr:uid="{0A2321CB-2A78-48A6-9EAE-EE57D540236F}"/>
    <cellStyle name="40% - Accent5 30 6 2 5" xfId="15814" xr:uid="{E71B2E66-8397-4B0F-A447-D9A0F0E9C9E6}"/>
    <cellStyle name="40% - Accent5 30 6 3" xfId="15815" xr:uid="{ADD85B2A-A374-443B-B8D6-2F7E9E330B44}"/>
    <cellStyle name="40% - Accent5 30 6 3 2" xfId="15816" xr:uid="{76E4E483-CAF1-4A10-8619-6AE82382CB47}"/>
    <cellStyle name="40% - Accent5 30 6 3 2 2" xfId="15817" xr:uid="{14B0DFE8-977C-491F-9AE0-9369D1279B89}"/>
    <cellStyle name="40% - Accent5 30 6 3 3" xfId="15818" xr:uid="{BA11A38B-57DF-4C08-85B0-F5235426E509}"/>
    <cellStyle name="40% - Accent5 30 6 4" xfId="15819" xr:uid="{FCA25BB2-653D-4065-99CB-23CB0345A4F5}"/>
    <cellStyle name="40% - Accent5 30 6 4 2" xfId="15820" xr:uid="{2B9C25E1-B6F3-4CFD-B6FF-6826D1486D8F}"/>
    <cellStyle name="40% - Accent5 30 6 4 2 2" xfId="15821" xr:uid="{C8F34D2C-D153-4C2E-99D5-4054119FD1FB}"/>
    <cellStyle name="40% - Accent5 30 6 4 3" xfId="15822" xr:uid="{A22E3AAA-899B-44A4-B167-2AA41DBFC621}"/>
    <cellStyle name="40% - Accent5 30 6 5" xfId="15823" xr:uid="{6BE9D450-F3AF-4694-A13A-18CC9F47FB42}"/>
    <cellStyle name="40% - Accent5 30 6 5 2" xfId="15824" xr:uid="{9F45ABA5-BA0A-4B43-8C02-D8F2682A5EBF}"/>
    <cellStyle name="40% - Accent5 30 6 6" xfId="15825" xr:uid="{3760F3F8-2FBE-4AC9-B918-4EC5A08E1DF3}"/>
    <cellStyle name="40% - Accent5 30 7" xfId="15826" xr:uid="{2BA63BE0-7148-46D0-BD5E-0E35DCB0CC1B}"/>
    <cellStyle name="40% - Accent5 30 7 2" xfId="15827" xr:uid="{46016F23-2389-4208-8251-815C82529933}"/>
    <cellStyle name="40% - Accent5 30 7 2 2" xfId="15828" xr:uid="{76A6C5E0-4A49-4F78-BCF9-C0A729D79EEE}"/>
    <cellStyle name="40% - Accent5 30 7 2 2 2" xfId="15829" xr:uid="{D91BB23A-EB85-48F5-A573-EA88BA958396}"/>
    <cellStyle name="40% - Accent5 30 7 2 2 2 2" xfId="15830" xr:uid="{BB4ED8BD-B230-479C-B849-BDB55CC3DACE}"/>
    <cellStyle name="40% - Accent5 30 7 2 2 3" xfId="15831" xr:uid="{C65327ED-2FD0-451C-9FD1-9C0D5B30FE79}"/>
    <cellStyle name="40% - Accent5 30 7 2 3" xfId="15832" xr:uid="{D3C21493-892B-4724-AEFD-CC8D2C2561CA}"/>
    <cellStyle name="40% - Accent5 30 7 2 3 2" xfId="15833" xr:uid="{F1045F5E-7DE4-4229-849D-CB4AB3939ADC}"/>
    <cellStyle name="40% - Accent5 30 7 2 3 2 2" xfId="15834" xr:uid="{37BD0066-930B-40E1-A42F-BAF1F62CDAAA}"/>
    <cellStyle name="40% - Accent5 30 7 2 3 3" xfId="15835" xr:uid="{1295F2D7-9933-456A-92FA-89490E21B6B5}"/>
    <cellStyle name="40% - Accent5 30 7 2 4" xfId="15836" xr:uid="{6CA1204F-0E03-43B0-A1C3-39CBD5A30D6F}"/>
    <cellStyle name="40% - Accent5 30 7 2 4 2" xfId="15837" xr:uid="{2CE1D41D-5F0A-446C-8AAC-8E6F15AA6800}"/>
    <cellStyle name="40% - Accent5 30 7 2 5" xfId="15838" xr:uid="{7E8C6A8E-D466-4B39-8817-A8C24EFBE5E8}"/>
    <cellStyle name="40% - Accent5 30 7 3" xfId="15839" xr:uid="{22FB00A9-4604-4478-9E42-0AF6F4A18B39}"/>
    <cellStyle name="40% - Accent5 30 7 3 2" xfId="15840" xr:uid="{F93854DD-FD4F-47DC-8961-1D4C5468C7B3}"/>
    <cellStyle name="40% - Accent5 30 7 3 2 2" xfId="15841" xr:uid="{9F4EC34C-EF4B-4883-AC33-1EB58FC376E5}"/>
    <cellStyle name="40% - Accent5 30 7 3 3" xfId="15842" xr:uid="{321EDBDE-9E85-4830-A437-3CE7CC04F529}"/>
    <cellStyle name="40% - Accent5 30 7 4" xfId="15843" xr:uid="{ECB2CA2F-CA8A-4039-9B9A-B1A4D8B39D5E}"/>
    <cellStyle name="40% - Accent5 30 7 4 2" xfId="15844" xr:uid="{152760D6-352E-491D-A7A2-D65D35B92589}"/>
    <cellStyle name="40% - Accent5 30 7 4 2 2" xfId="15845" xr:uid="{50FDDD71-BE8C-4E21-8D23-8A07FD755C67}"/>
    <cellStyle name="40% - Accent5 30 7 4 3" xfId="15846" xr:uid="{03245A6E-1343-490C-9840-452D61B6BA45}"/>
    <cellStyle name="40% - Accent5 30 7 5" xfId="15847" xr:uid="{F9DE4F34-33B2-4969-9C11-30F0FE2182FD}"/>
    <cellStyle name="40% - Accent5 30 7 5 2" xfId="15848" xr:uid="{8A92CEB3-D8A3-4E48-B747-78AF64DB8CF5}"/>
    <cellStyle name="40% - Accent5 30 7 6" xfId="15849" xr:uid="{2491D719-20D8-42E3-8721-487C0BA2BF10}"/>
    <cellStyle name="40% - Accent5 30 8" xfId="15850" xr:uid="{A9DDA04A-341C-4210-B7E6-2336DBA9CBBE}"/>
    <cellStyle name="40% - Accent5 30 8 2" xfId="15851" xr:uid="{A6F41E3B-7EE1-485A-B76C-19F77FD5E110}"/>
    <cellStyle name="40% - Accent5 30 8 2 2" xfId="15852" xr:uid="{F61EE12F-561A-41A6-9490-6ACE93942008}"/>
    <cellStyle name="40% - Accent5 30 8 2 2 2" xfId="15853" xr:uid="{5B5C5414-060A-43B4-BC3D-DEB876AB7AFF}"/>
    <cellStyle name="40% - Accent5 30 8 2 2 2 2" xfId="15854" xr:uid="{2F4E22AB-BC61-4B69-96AE-C7619F2C404B}"/>
    <cellStyle name="40% - Accent5 30 8 2 2 3" xfId="15855" xr:uid="{64B21325-3A63-4F13-A649-4EDB53510842}"/>
    <cellStyle name="40% - Accent5 30 8 2 3" xfId="15856" xr:uid="{E42E129A-42AB-4349-85BB-19151E5B8F3C}"/>
    <cellStyle name="40% - Accent5 30 8 2 3 2" xfId="15857" xr:uid="{77A56731-C1AD-43F6-BB81-A2E642B5541A}"/>
    <cellStyle name="40% - Accent5 30 8 2 3 2 2" xfId="15858" xr:uid="{1FF7AA68-64CB-41B6-B5E9-428E430DD980}"/>
    <cellStyle name="40% - Accent5 30 8 2 3 3" xfId="15859" xr:uid="{A8AE9281-0C8A-45A6-A4CD-130F036805EF}"/>
    <cellStyle name="40% - Accent5 30 8 2 4" xfId="15860" xr:uid="{5E2C991A-5AD5-4C93-86E1-2C607A091454}"/>
    <cellStyle name="40% - Accent5 30 8 2 4 2" xfId="15861" xr:uid="{8BE5B0FB-0DE6-4848-AEC2-3F484E78D8C3}"/>
    <cellStyle name="40% - Accent5 30 8 2 5" xfId="15862" xr:uid="{0F76E800-5069-407E-B99B-2ED39AD4DBB7}"/>
    <cellStyle name="40% - Accent5 30 8 3" xfId="15863" xr:uid="{35EDF273-B865-4B0D-8244-D381EAC1D7A2}"/>
    <cellStyle name="40% - Accent5 30 8 3 2" xfId="15864" xr:uid="{E927E330-C39E-4D1A-B920-32CF6E618A34}"/>
    <cellStyle name="40% - Accent5 30 8 3 2 2" xfId="15865" xr:uid="{0282911D-E037-4B76-8E16-277230B2961B}"/>
    <cellStyle name="40% - Accent5 30 8 3 3" xfId="15866" xr:uid="{ECF19CA0-96A4-434B-9B9C-3F2E22116694}"/>
    <cellStyle name="40% - Accent5 30 8 4" xfId="15867" xr:uid="{89BD7D60-B467-47FA-A21D-8BE9A09551C0}"/>
    <cellStyle name="40% - Accent5 30 8 4 2" xfId="15868" xr:uid="{AFECAB97-CE84-44A2-8047-0FD51BAD2311}"/>
    <cellStyle name="40% - Accent5 30 8 4 2 2" xfId="15869" xr:uid="{B028FB4E-B2B1-438A-B4C9-F0930E5AD6AA}"/>
    <cellStyle name="40% - Accent5 30 8 4 3" xfId="15870" xr:uid="{C3DF04E2-BF69-4D31-8319-1DA6946A4363}"/>
    <cellStyle name="40% - Accent5 30 8 5" xfId="15871" xr:uid="{E3943009-CAB1-43C7-ACED-F8CA5B370BB2}"/>
    <cellStyle name="40% - Accent5 30 8 5 2" xfId="15872" xr:uid="{458DDCE0-0669-4D44-87DB-9F35541AB1DD}"/>
    <cellStyle name="40% - Accent5 30 8 6" xfId="15873" xr:uid="{ACAA7779-D09E-4810-B17E-7A6CB286056F}"/>
    <cellStyle name="40% - Accent5 30 9" xfId="15874" xr:uid="{A3724F41-F15C-4405-A303-597E5E6F260E}"/>
    <cellStyle name="40% - Accent5 30 9 2" xfId="15875" xr:uid="{9CDB74BA-3A65-4B4D-AECA-EC42A53FC1E2}"/>
    <cellStyle name="40% - Accent5 30 9 2 2" xfId="15876" xr:uid="{CC44BEF1-D66B-4399-97AD-735E12AFDFCD}"/>
    <cellStyle name="40% - Accent5 30 9 2 2 2" xfId="15877" xr:uid="{AF3B71E8-D372-4622-8598-00AF567AACEB}"/>
    <cellStyle name="40% - Accent5 30 9 2 2 2 2" xfId="15878" xr:uid="{5B31975D-DF82-4F6F-97E5-7E50A2891014}"/>
    <cellStyle name="40% - Accent5 30 9 2 2 3" xfId="15879" xr:uid="{5EFA7163-418A-4BFD-A9ED-2C08A160FB3D}"/>
    <cellStyle name="40% - Accent5 30 9 2 3" xfId="15880" xr:uid="{068592A1-23EE-4E39-9830-863867425235}"/>
    <cellStyle name="40% - Accent5 30 9 2 3 2" xfId="15881" xr:uid="{DC040211-58BC-44B9-8C98-B230B8760FFF}"/>
    <cellStyle name="40% - Accent5 30 9 2 3 2 2" xfId="15882" xr:uid="{855045BB-138B-44E8-BFC7-FBBFEA3EA415}"/>
    <cellStyle name="40% - Accent5 30 9 2 3 3" xfId="15883" xr:uid="{36F7A029-6CF8-482F-82BD-9F673057FC2A}"/>
    <cellStyle name="40% - Accent5 30 9 2 4" xfId="15884" xr:uid="{4F72BB60-46C5-4BEB-8A76-42C07DA8DC4B}"/>
    <cellStyle name="40% - Accent5 30 9 2 4 2" xfId="15885" xr:uid="{51B61EA7-FCFD-402D-83E0-CFD8D3DD838B}"/>
    <cellStyle name="40% - Accent5 30 9 2 5" xfId="15886" xr:uid="{05D3092C-3CBC-4469-8942-E728ABA3FB3D}"/>
    <cellStyle name="40% - Accent5 30 9 3" xfId="15887" xr:uid="{2BF98C8E-BC31-4A53-8AD8-6AECFD1D3082}"/>
    <cellStyle name="40% - Accent5 30 9 3 2" xfId="15888" xr:uid="{A60803AC-DB88-4992-A9D1-A400988C6018}"/>
    <cellStyle name="40% - Accent5 30 9 3 2 2" xfId="15889" xr:uid="{E8F23276-2D36-4E0F-9A13-53C6A0362ABC}"/>
    <cellStyle name="40% - Accent5 30 9 3 3" xfId="15890" xr:uid="{52190637-8183-4DEB-9A3B-AD64779B6BE4}"/>
    <cellStyle name="40% - Accent5 30 9 4" xfId="15891" xr:uid="{0BF0D798-590E-4226-925B-47BCA909AE58}"/>
    <cellStyle name="40% - Accent5 30 9 4 2" xfId="15892" xr:uid="{A1F1E441-BDB2-4160-96D1-A57CAD9369B5}"/>
    <cellStyle name="40% - Accent5 30 9 4 2 2" xfId="15893" xr:uid="{823C54D7-D950-48B0-A324-56D16C287B2D}"/>
    <cellStyle name="40% - Accent5 30 9 4 3" xfId="15894" xr:uid="{5177188D-C0AF-4DFA-8474-E585BB5CDED8}"/>
    <cellStyle name="40% - Accent5 30 9 5" xfId="15895" xr:uid="{46779B78-5FEF-4BED-851E-36458F9D304D}"/>
    <cellStyle name="40% - Accent5 30 9 5 2" xfId="15896" xr:uid="{59AF10B6-779A-4966-A140-E862DFE7AD21}"/>
    <cellStyle name="40% - Accent5 30 9 6" xfId="15897" xr:uid="{A4F5DC73-AE34-43E5-A6D7-0BE897B8D1EA}"/>
    <cellStyle name="40% - Accent5 31" xfId="15898" xr:uid="{35333886-1E28-4774-B577-585F095E2B6B}"/>
    <cellStyle name="40% - Accent5 31 10" xfId="15899" xr:uid="{75081172-72C6-4DD7-B5DD-79F3C7ACC000}"/>
    <cellStyle name="40% - Accent5 31 10 2" xfId="15900" xr:uid="{23F8D48D-AB8D-4289-B3D5-9A828E272B23}"/>
    <cellStyle name="40% - Accent5 31 10 2 2" xfId="15901" xr:uid="{DF46AB2E-9719-4B1A-A077-52F48FB194DE}"/>
    <cellStyle name="40% - Accent5 31 10 2 2 2" xfId="15902" xr:uid="{2F07DCF0-90A3-4269-B782-D4A55EE7E360}"/>
    <cellStyle name="40% - Accent5 31 10 2 2 2 2" xfId="15903" xr:uid="{CD64679A-4008-476F-833E-D137B88F6016}"/>
    <cellStyle name="40% - Accent5 31 10 2 2 3" xfId="15904" xr:uid="{0A567F5B-E6B5-442F-B500-F6866DC5EC89}"/>
    <cellStyle name="40% - Accent5 31 10 2 3" xfId="15905" xr:uid="{D1F0810C-B84B-4EFA-821E-A420E86D6396}"/>
    <cellStyle name="40% - Accent5 31 10 2 3 2" xfId="15906" xr:uid="{9B4EBA1B-9055-4413-9F0D-92963624A145}"/>
    <cellStyle name="40% - Accent5 31 10 2 3 2 2" xfId="15907" xr:uid="{C403704D-50ED-4F85-A8CE-D2728F729DD4}"/>
    <cellStyle name="40% - Accent5 31 10 2 3 3" xfId="15908" xr:uid="{7F0C8FCE-F3EF-4B96-B0BB-6E4815CFF74F}"/>
    <cellStyle name="40% - Accent5 31 10 2 4" xfId="15909" xr:uid="{7B6D50AD-C1BA-4742-84CB-BA91F23EC516}"/>
    <cellStyle name="40% - Accent5 31 10 2 4 2" xfId="15910" xr:uid="{24B0F4E9-0313-421F-99D3-547522A8708E}"/>
    <cellStyle name="40% - Accent5 31 10 2 5" xfId="15911" xr:uid="{837710A8-FBBB-452F-A5B1-EA311FC1BF7C}"/>
    <cellStyle name="40% - Accent5 31 10 3" xfId="15912" xr:uid="{2289FFA1-091A-45BB-AD5F-2B014E077451}"/>
    <cellStyle name="40% - Accent5 31 10 3 2" xfId="15913" xr:uid="{F389C002-0815-40EB-AECE-601E93D26C21}"/>
    <cellStyle name="40% - Accent5 31 10 3 2 2" xfId="15914" xr:uid="{FF4EAA2A-A54D-46B8-95BF-59314FF6E489}"/>
    <cellStyle name="40% - Accent5 31 10 3 3" xfId="15915" xr:uid="{3EBC9819-F064-4EFE-B54F-B42C73FCD432}"/>
    <cellStyle name="40% - Accent5 31 10 4" xfId="15916" xr:uid="{60DB4BD8-62C2-4A9A-A2DD-A3D9CD0BD69C}"/>
    <cellStyle name="40% - Accent5 31 10 4 2" xfId="15917" xr:uid="{16A3555C-1FDF-43EB-B35A-56802F9A289B}"/>
    <cellStyle name="40% - Accent5 31 10 4 2 2" xfId="15918" xr:uid="{D2D62576-28CD-4AE2-8C20-F4AD5EEECC6C}"/>
    <cellStyle name="40% - Accent5 31 10 4 3" xfId="15919" xr:uid="{D22B90C8-AFE9-45C3-BCC0-CC609ACA63CF}"/>
    <cellStyle name="40% - Accent5 31 10 5" xfId="15920" xr:uid="{43E9AB9F-6145-47A7-9423-DC109BB2F16D}"/>
    <cellStyle name="40% - Accent5 31 10 5 2" xfId="15921" xr:uid="{8614AC3B-9726-41FC-BABF-17CD6EBEBD64}"/>
    <cellStyle name="40% - Accent5 31 10 6" xfId="15922" xr:uid="{22F4E75F-4BB4-479E-80BC-6806A37CBC81}"/>
    <cellStyle name="40% - Accent5 31 11" xfId="15923" xr:uid="{1747883A-65E9-44F4-8BDC-596AFEAB0B74}"/>
    <cellStyle name="40% - Accent5 31 11 2" xfId="15924" xr:uid="{C5C1ABAB-94C0-446A-B6A7-5402FC2624F4}"/>
    <cellStyle name="40% - Accent5 31 11 2 2" xfId="15925" xr:uid="{AE232054-967C-4485-B059-3CA4EB2C7935}"/>
    <cellStyle name="40% - Accent5 31 11 2 2 2" xfId="15926" xr:uid="{5ED53B74-C3EB-481A-BF5F-3665C8ACA784}"/>
    <cellStyle name="40% - Accent5 31 11 2 3" xfId="15927" xr:uid="{3EFE8E7E-87A8-40C0-B90A-14FEBF5D1A68}"/>
    <cellStyle name="40% - Accent5 31 11 3" xfId="15928" xr:uid="{3B001C86-345C-46B8-833F-91D64C558F5F}"/>
    <cellStyle name="40% - Accent5 31 11 3 2" xfId="15929" xr:uid="{136592C9-CA83-461D-943D-FF2B0CF438E7}"/>
    <cellStyle name="40% - Accent5 31 11 3 2 2" xfId="15930" xr:uid="{3D012C47-4654-4539-9956-37C972F71A70}"/>
    <cellStyle name="40% - Accent5 31 11 3 3" xfId="15931" xr:uid="{C344EF18-23DF-4E83-9226-B7E21B27BB54}"/>
    <cellStyle name="40% - Accent5 31 11 4" xfId="15932" xr:uid="{DAC7B82B-E254-4762-A99D-2C2A6A623AEC}"/>
    <cellStyle name="40% - Accent5 31 11 4 2" xfId="15933" xr:uid="{7A9F96B0-7E71-4FB4-B626-A3429DA91A3E}"/>
    <cellStyle name="40% - Accent5 31 11 5" xfId="15934" xr:uid="{CC9A1D7A-A6F9-40C2-9BE9-557D787664F6}"/>
    <cellStyle name="40% - Accent5 31 12" xfId="15935" xr:uid="{A1BDD0A4-0E19-480E-BA4E-570DEF0FE97C}"/>
    <cellStyle name="40% - Accent5 31 12 2" xfId="15936" xr:uid="{7863D132-F006-4100-B73E-66321B66E091}"/>
    <cellStyle name="40% - Accent5 31 12 2 2" xfId="15937" xr:uid="{6BCC717D-8BCC-4103-968A-96A9CC535E50}"/>
    <cellStyle name="40% - Accent5 31 12 3" xfId="15938" xr:uid="{61D5AC14-7154-4106-9468-C7231A9EA093}"/>
    <cellStyle name="40% - Accent5 31 13" xfId="15939" xr:uid="{18241D52-E962-4E75-A07E-0A20AFB3C4BB}"/>
    <cellStyle name="40% - Accent5 31 13 2" xfId="15940" xr:uid="{93C5DDF5-9B92-46FB-A919-C2AF26EB609B}"/>
    <cellStyle name="40% - Accent5 31 13 2 2" xfId="15941" xr:uid="{FF2909BC-F7E4-48FB-A3E5-8D037C30BAC7}"/>
    <cellStyle name="40% - Accent5 31 13 3" xfId="15942" xr:uid="{19F38EA6-2DDE-4A0E-BAEF-903444783263}"/>
    <cellStyle name="40% - Accent5 31 14" xfId="15943" xr:uid="{C9FCACE9-9F3D-4EF3-B396-6113391C7E4A}"/>
    <cellStyle name="40% - Accent5 31 14 2" xfId="15944" xr:uid="{D9B2E516-C408-49C2-9839-21D9D0A242D9}"/>
    <cellStyle name="40% - Accent5 31 15" xfId="15945" xr:uid="{8BEAFB78-911C-4671-8F6C-4ACF1ED3BB7E}"/>
    <cellStyle name="40% - Accent5 31 16" xfId="37543" xr:uid="{D090B4C0-B958-4338-BC8D-760FE46FB370}"/>
    <cellStyle name="40% - Accent5 31 2" xfId="15946" xr:uid="{5DB5EF9A-1D4B-4784-AF80-7A21C4679F4A}"/>
    <cellStyle name="40% - Accent5 31 2 2" xfId="15947" xr:uid="{7D8E0C7B-B71A-47F0-9360-E596228F3EDF}"/>
    <cellStyle name="40% - Accent5 31 2 2 2" xfId="15948" xr:uid="{385E8311-6DE0-424A-964F-34E26CE000A6}"/>
    <cellStyle name="40% - Accent5 31 2 2 2 2" xfId="15949" xr:uid="{DDA1ED63-8B8A-4F99-80E6-EB3B82B9304B}"/>
    <cellStyle name="40% - Accent5 31 2 2 2 2 2" xfId="15950" xr:uid="{AA4FDEBF-BA23-4BCC-8EB5-C0DED2097F0A}"/>
    <cellStyle name="40% - Accent5 31 2 2 2 3" xfId="15951" xr:uid="{ACEE40A8-427F-4945-95F0-96D7C868C4F1}"/>
    <cellStyle name="40% - Accent5 31 2 2 3" xfId="15952" xr:uid="{E7CFEB6B-5E58-4894-A8B7-A28E6503B9BC}"/>
    <cellStyle name="40% - Accent5 31 2 2 3 2" xfId="15953" xr:uid="{4F25A663-80F2-4529-8742-2D0E7BC56143}"/>
    <cellStyle name="40% - Accent5 31 2 2 3 2 2" xfId="15954" xr:uid="{6BB7C96D-760E-43F9-83A0-06CDFEDB7E7D}"/>
    <cellStyle name="40% - Accent5 31 2 2 3 3" xfId="15955" xr:uid="{4576680A-A9B7-428E-9549-3424C8FE0786}"/>
    <cellStyle name="40% - Accent5 31 2 2 4" xfId="15956" xr:uid="{E3E446F0-8597-4ED0-AACE-468C63F76B07}"/>
    <cellStyle name="40% - Accent5 31 2 2 4 2" xfId="15957" xr:uid="{2DE6DA7E-FD69-4073-BEBD-4B6DB16C02A4}"/>
    <cellStyle name="40% - Accent5 31 2 2 5" xfId="15958" xr:uid="{1D0EDA10-7528-475D-BCA7-245034E7D3A1}"/>
    <cellStyle name="40% - Accent5 31 2 3" xfId="15959" xr:uid="{99506396-B7C0-456C-AF7C-30482E29A03A}"/>
    <cellStyle name="40% - Accent5 31 2 3 2" xfId="15960" xr:uid="{97EA1817-523A-4D61-AD7F-0B0DB5667A4C}"/>
    <cellStyle name="40% - Accent5 31 2 3 2 2" xfId="15961" xr:uid="{03D93444-2A02-4F37-A234-F65EDDE0D7E6}"/>
    <cellStyle name="40% - Accent5 31 2 3 3" xfId="15962" xr:uid="{54CE59B3-47CA-439B-8DF1-37B44C9B60C2}"/>
    <cellStyle name="40% - Accent5 31 2 4" xfId="15963" xr:uid="{D6252300-931A-4DD2-85C5-D4469B3557F1}"/>
    <cellStyle name="40% - Accent5 31 2 4 2" xfId="15964" xr:uid="{7AB8B3EE-7B57-47B8-9175-36128259DED7}"/>
    <cellStyle name="40% - Accent5 31 2 4 2 2" xfId="15965" xr:uid="{59B6BEBB-F68B-4F32-B6CB-493E5B90E627}"/>
    <cellStyle name="40% - Accent5 31 2 4 3" xfId="15966" xr:uid="{2F61DAE2-5801-4B9F-ACBF-49F626596D6C}"/>
    <cellStyle name="40% - Accent5 31 2 5" xfId="15967" xr:uid="{141A0ABA-FB40-48CA-9A79-A013CD34B3D2}"/>
    <cellStyle name="40% - Accent5 31 2 5 2" xfId="15968" xr:uid="{C2C02343-3CA6-4A76-8440-C46EF40D57B6}"/>
    <cellStyle name="40% - Accent5 31 2 6" xfId="15969" xr:uid="{90E5842E-F5D4-43FD-8772-E5D2142FC397}"/>
    <cellStyle name="40% - Accent5 31 3" xfId="15970" xr:uid="{948F22D9-B684-402E-8810-8241AC2F5270}"/>
    <cellStyle name="40% - Accent5 31 3 2" xfId="15971" xr:uid="{A091DA4C-5D1F-4023-A0E4-0A2AF39DE1C6}"/>
    <cellStyle name="40% - Accent5 31 3 2 2" xfId="15972" xr:uid="{6F41ECC4-FF55-4BCB-9AF6-74E1F8302E74}"/>
    <cellStyle name="40% - Accent5 31 3 2 2 2" xfId="15973" xr:uid="{D8546B9C-F74C-4287-BCD2-EB0D8A137162}"/>
    <cellStyle name="40% - Accent5 31 3 2 2 2 2" xfId="15974" xr:uid="{E54D48FF-B94F-41E3-96DE-0E6EB713217C}"/>
    <cellStyle name="40% - Accent5 31 3 2 2 3" xfId="15975" xr:uid="{3DEFA723-EDC9-4285-8259-CC77914A1E1A}"/>
    <cellStyle name="40% - Accent5 31 3 2 3" xfId="15976" xr:uid="{0B0CDD01-0776-4A96-90AA-BEBBAA6F35AD}"/>
    <cellStyle name="40% - Accent5 31 3 2 3 2" xfId="15977" xr:uid="{E6711DF6-03E2-4720-8BF7-86E9FE61F25D}"/>
    <cellStyle name="40% - Accent5 31 3 2 3 2 2" xfId="15978" xr:uid="{11D7024C-25C5-4282-82FA-4E221E8931BC}"/>
    <cellStyle name="40% - Accent5 31 3 2 3 3" xfId="15979" xr:uid="{8B77E140-8BA2-44A2-A243-0C838225A5D0}"/>
    <cellStyle name="40% - Accent5 31 3 2 4" xfId="15980" xr:uid="{32F59270-C56F-4C31-80DB-CA684CA9DAC8}"/>
    <cellStyle name="40% - Accent5 31 3 2 4 2" xfId="15981" xr:uid="{54F58FE6-C8FA-4339-9A79-2308E1D31E20}"/>
    <cellStyle name="40% - Accent5 31 3 2 5" xfId="15982" xr:uid="{DA8F2335-D6C9-4226-818F-FD9C77616675}"/>
    <cellStyle name="40% - Accent5 31 3 3" xfId="15983" xr:uid="{71286B0B-265A-4EF1-96AA-6B2AF3D6B3B1}"/>
    <cellStyle name="40% - Accent5 31 3 3 2" xfId="15984" xr:uid="{0483BF38-6D70-4D05-AB8A-4075C45DC6AD}"/>
    <cellStyle name="40% - Accent5 31 3 3 2 2" xfId="15985" xr:uid="{644D237D-585A-476D-8E15-5B9D4C575680}"/>
    <cellStyle name="40% - Accent5 31 3 3 3" xfId="15986" xr:uid="{A345466B-CF59-4142-90FC-8929649B2C94}"/>
    <cellStyle name="40% - Accent5 31 3 4" xfId="15987" xr:uid="{7E020BA9-7E68-4BA2-8554-F4651FB3395E}"/>
    <cellStyle name="40% - Accent5 31 3 4 2" xfId="15988" xr:uid="{A77BD911-9202-4F85-9962-64EA238FF278}"/>
    <cellStyle name="40% - Accent5 31 3 4 2 2" xfId="15989" xr:uid="{C1EF2DCE-291F-429C-A437-C80881E5A097}"/>
    <cellStyle name="40% - Accent5 31 3 4 3" xfId="15990" xr:uid="{607C16F5-22CB-4553-A29C-1CB02BD9EC6B}"/>
    <cellStyle name="40% - Accent5 31 3 5" xfId="15991" xr:uid="{9A1643AC-12B7-412D-A295-E17EBE31C30D}"/>
    <cellStyle name="40% - Accent5 31 3 5 2" xfId="15992" xr:uid="{E483EE7F-73AF-4F6C-950B-36878C6B2390}"/>
    <cellStyle name="40% - Accent5 31 3 6" xfId="15993" xr:uid="{5465EF1A-5519-41F0-A4ED-FE753281BEE6}"/>
    <cellStyle name="40% - Accent5 31 4" xfId="15994" xr:uid="{43E8E4D8-82DA-478C-89F5-3061FF0398C6}"/>
    <cellStyle name="40% - Accent5 31 4 2" xfId="15995" xr:uid="{BECBD226-195E-41FD-AAAF-E650613CDD1D}"/>
    <cellStyle name="40% - Accent5 31 4 2 2" xfId="15996" xr:uid="{639F7967-5396-48A0-A2E4-E58F80A961CC}"/>
    <cellStyle name="40% - Accent5 31 4 2 2 2" xfId="15997" xr:uid="{5FE7D31F-B3AC-4515-BE5B-8C54BA0FD40A}"/>
    <cellStyle name="40% - Accent5 31 4 2 2 2 2" xfId="15998" xr:uid="{B7C487D7-9FE0-4772-A065-639C02867D14}"/>
    <cellStyle name="40% - Accent5 31 4 2 2 3" xfId="15999" xr:uid="{CE3A41F4-5693-42E7-8BE7-407694E6293F}"/>
    <cellStyle name="40% - Accent5 31 4 2 3" xfId="16000" xr:uid="{29CC0E7A-F2D5-4122-93CD-B38CE505EAF5}"/>
    <cellStyle name="40% - Accent5 31 4 2 3 2" xfId="16001" xr:uid="{2FA6FE32-EB68-4A3D-B5E3-2A73AECF9CDA}"/>
    <cellStyle name="40% - Accent5 31 4 2 3 2 2" xfId="16002" xr:uid="{733DD360-D772-48E8-92D9-7CE7C90B7499}"/>
    <cellStyle name="40% - Accent5 31 4 2 3 3" xfId="16003" xr:uid="{06BF007A-16D5-4C50-82C7-F17EE2F512E4}"/>
    <cellStyle name="40% - Accent5 31 4 2 4" xfId="16004" xr:uid="{1D92C2D8-3C36-4FFA-AE86-2914CC7653E9}"/>
    <cellStyle name="40% - Accent5 31 4 2 4 2" xfId="16005" xr:uid="{D93A4CD5-B407-4443-9F98-AA5A3C400B4A}"/>
    <cellStyle name="40% - Accent5 31 4 2 5" xfId="16006" xr:uid="{E1719316-607B-4997-84BC-351B90F41D14}"/>
    <cellStyle name="40% - Accent5 31 4 3" xfId="16007" xr:uid="{9E05A8FC-0FAE-42B0-8F16-F1F282C870F0}"/>
    <cellStyle name="40% - Accent5 31 4 3 2" xfId="16008" xr:uid="{7380A1FD-297C-4E1F-8495-EB2C2740A5AC}"/>
    <cellStyle name="40% - Accent5 31 4 3 2 2" xfId="16009" xr:uid="{AAEFCC13-75E5-4FC1-9C9D-DFE658FACC90}"/>
    <cellStyle name="40% - Accent5 31 4 3 3" xfId="16010" xr:uid="{3CB89484-726E-4743-88E1-2DE64E855E88}"/>
    <cellStyle name="40% - Accent5 31 4 4" xfId="16011" xr:uid="{AAD61461-4A2C-4020-B56A-27F9FE898849}"/>
    <cellStyle name="40% - Accent5 31 4 4 2" xfId="16012" xr:uid="{CEABC1E1-72B0-4656-A2E1-FA979980A3F7}"/>
    <cellStyle name="40% - Accent5 31 4 4 2 2" xfId="16013" xr:uid="{B7CE2DED-1205-442E-945D-9957298FDE46}"/>
    <cellStyle name="40% - Accent5 31 4 4 3" xfId="16014" xr:uid="{91DB7D2A-DBCA-45AC-8EC3-4202A08D050C}"/>
    <cellStyle name="40% - Accent5 31 4 5" xfId="16015" xr:uid="{F6B775AF-4A4D-439B-8A3B-B1DDDEBE9B13}"/>
    <cellStyle name="40% - Accent5 31 4 5 2" xfId="16016" xr:uid="{77F7C95F-03F6-4EEA-BC54-252179C21A38}"/>
    <cellStyle name="40% - Accent5 31 4 6" xfId="16017" xr:uid="{EC5C47B0-55A0-4DE7-A8DD-9C71FB153FFF}"/>
    <cellStyle name="40% - Accent5 31 5" xfId="16018" xr:uid="{C1AF3C81-8206-4DA7-8F29-8D7F907C15D7}"/>
    <cellStyle name="40% - Accent5 31 5 2" xfId="16019" xr:uid="{34DE7038-9CA2-4C17-8AE9-DB72C5F78E96}"/>
    <cellStyle name="40% - Accent5 31 5 2 2" xfId="16020" xr:uid="{2BA1FF7F-167B-4D9A-9206-67709AFF3CB8}"/>
    <cellStyle name="40% - Accent5 31 5 2 2 2" xfId="16021" xr:uid="{83A3165F-6FE0-411D-BE84-0F784614011C}"/>
    <cellStyle name="40% - Accent5 31 5 2 2 2 2" xfId="16022" xr:uid="{BD2001EE-362D-4271-BE39-0CA3B4882C06}"/>
    <cellStyle name="40% - Accent5 31 5 2 2 3" xfId="16023" xr:uid="{C60FB5A5-FF88-4BC8-8C98-5ECDED1EF2C9}"/>
    <cellStyle name="40% - Accent5 31 5 2 3" xfId="16024" xr:uid="{1C11A4D1-5C61-44BE-8AB1-C86CE0D43133}"/>
    <cellStyle name="40% - Accent5 31 5 2 3 2" xfId="16025" xr:uid="{F3593823-1A2A-4E4B-B3FA-459C958447F7}"/>
    <cellStyle name="40% - Accent5 31 5 2 3 2 2" xfId="16026" xr:uid="{FA5CCD7F-BB35-4260-B2D3-519A495A15F0}"/>
    <cellStyle name="40% - Accent5 31 5 2 3 3" xfId="16027" xr:uid="{1CA37347-4016-49A4-AEC1-0384CC0DD5DF}"/>
    <cellStyle name="40% - Accent5 31 5 2 4" xfId="16028" xr:uid="{EDAE2AB7-8747-466F-8047-BFAEAFB58518}"/>
    <cellStyle name="40% - Accent5 31 5 2 4 2" xfId="16029" xr:uid="{1204AE47-91A1-40A9-A548-DE602F483CA8}"/>
    <cellStyle name="40% - Accent5 31 5 2 5" xfId="16030" xr:uid="{F2ABFA98-FAEC-4F62-9DCB-2039FEF0177C}"/>
    <cellStyle name="40% - Accent5 31 5 3" xfId="16031" xr:uid="{A970BE9C-3D74-4EF2-BC41-7C685F798F8B}"/>
    <cellStyle name="40% - Accent5 31 5 3 2" xfId="16032" xr:uid="{DEC4CECB-CC57-48B9-81FD-41E9F6ABE8E8}"/>
    <cellStyle name="40% - Accent5 31 5 3 2 2" xfId="16033" xr:uid="{936F82AA-6DE6-4A49-A307-F929E800EBCA}"/>
    <cellStyle name="40% - Accent5 31 5 3 3" xfId="16034" xr:uid="{F743EB71-B9E3-42B6-B263-64A47631F2CA}"/>
    <cellStyle name="40% - Accent5 31 5 4" xfId="16035" xr:uid="{4482FE3A-4021-4047-A216-0243E53DA750}"/>
    <cellStyle name="40% - Accent5 31 5 4 2" xfId="16036" xr:uid="{BC34BF8D-13F9-4B9D-951E-3D6F4BE19FFE}"/>
    <cellStyle name="40% - Accent5 31 5 4 2 2" xfId="16037" xr:uid="{7A9E3482-5501-4087-8ECB-70958357C5EA}"/>
    <cellStyle name="40% - Accent5 31 5 4 3" xfId="16038" xr:uid="{42B518D8-60FB-49DE-B27A-71BB52E6C175}"/>
    <cellStyle name="40% - Accent5 31 5 5" xfId="16039" xr:uid="{E71C1890-FFB6-4C42-99C4-00EB4DD05B3E}"/>
    <cellStyle name="40% - Accent5 31 5 5 2" xfId="16040" xr:uid="{0F8A1D3D-E88C-478D-9BF0-1EE3FD2DD5E6}"/>
    <cellStyle name="40% - Accent5 31 5 6" xfId="16041" xr:uid="{5DC95A58-8DF8-4DA8-AA9E-95BDB7FF2309}"/>
    <cellStyle name="40% - Accent5 31 6" xfId="16042" xr:uid="{F9B7FB88-FE9F-46F3-AE57-E9847298E473}"/>
    <cellStyle name="40% - Accent5 31 6 2" xfId="16043" xr:uid="{E02609D8-06E0-4B7F-B237-8AF14EBC16A0}"/>
    <cellStyle name="40% - Accent5 31 6 2 2" xfId="16044" xr:uid="{6AADD6DA-BFB3-47BB-909F-871B37743417}"/>
    <cellStyle name="40% - Accent5 31 6 2 2 2" xfId="16045" xr:uid="{F68CECA2-E800-445E-9865-821F6A4ADAA9}"/>
    <cellStyle name="40% - Accent5 31 6 2 2 2 2" xfId="16046" xr:uid="{82085D06-FD11-4F4E-892B-127C94C52370}"/>
    <cellStyle name="40% - Accent5 31 6 2 2 3" xfId="16047" xr:uid="{BB8CB4A4-E58B-485A-A697-FF86FFBF881A}"/>
    <cellStyle name="40% - Accent5 31 6 2 3" xfId="16048" xr:uid="{3B655FCF-2199-4CAA-8530-A18EAE91E390}"/>
    <cellStyle name="40% - Accent5 31 6 2 3 2" xfId="16049" xr:uid="{A85AE13B-8634-47C2-85C6-53FEB0CDC76D}"/>
    <cellStyle name="40% - Accent5 31 6 2 3 2 2" xfId="16050" xr:uid="{96AF6742-437C-41CD-864D-6BC1CC0D68A7}"/>
    <cellStyle name="40% - Accent5 31 6 2 3 3" xfId="16051" xr:uid="{286B3A6F-679B-4B76-845C-513DFC4E36F4}"/>
    <cellStyle name="40% - Accent5 31 6 2 4" xfId="16052" xr:uid="{4152FFC6-336D-4B6F-932D-8EBAC8A05AE7}"/>
    <cellStyle name="40% - Accent5 31 6 2 4 2" xfId="16053" xr:uid="{EAA9DDB6-BA74-4ACA-8A89-2BCB5BA695E0}"/>
    <cellStyle name="40% - Accent5 31 6 2 5" xfId="16054" xr:uid="{A03645CC-8F63-4EB8-B5B7-4568156C059B}"/>
    <cellStyle name="40% - Accent5 31 6 3" xfId="16055" xr:uid="{EDFBCB57-9A9B-48D0-B384-4089B95D139F}"/>
    <cellStyle name="40% - Accent5 31 6 3 2" xfId="16056" xr:uid="{D0E6C64F-0B16-4BD3-A3EE-08F64B383F92}"/>
    <cellStyle name="40% - Accent5 31 6 3 2 2" xfId="16057" xr:uid="{AA9CE0F2-021C-47C3-A3DC-338E66B70228}"/>
    <cellStyle name="40% - Accent5 31 6 3 3" xfId="16058" xr:uid="{57D6E5C5-E4D6-4062-9BE0-3A99E07A6FA3}"/>
    <cellStyle name="40% - Accent5 31 6 4" xfId="16059" xr:uid="{4A822335-CA6B-4D72-8FE2-5C3EABF1B97A}"/>
    <cellStyle name="40% - Accent5 31 6 4 2" xfId="16060" xr:uid="{BFBF3124-64BA-4077-8976-F4966BFA1370}"/>
    <cellStyle name="40% - Accent5 31 6 4 2 2" xfId="16061" xr:uid="{E577C9E0-90A3-44F7-ACD2-1C758836F597}"/>
    <cellStyle name="40% - Accent5 31 6 4 3" xfId="16062" xr:uid="{C770A802-6726-4065-A2F8-55C8C76C834D}"/>
    <cellStyle name="40% - Accent5 31 6 5" xfId="16063" xr:uid="{B1CE43FF-9F75-45B7-9170-A3E20A25C555}"/>
    <cellStyle name="40% - Accent5 31 6 5 2" xfId="16064" xr:uid="{1AB05596-06D9-4A73-9A4B-97C38FAF37DF}"/>
    <cellStyle name="40% - Accent5 31 6 6" xfId="16065" xr:uid="{D9452376-6AA2-46AB-9D1B-E1D93AA77632}"/>
    <cellStyle name="40% - Accent5 31 7" xfId="16066" xr:uid="{68D35249-C672-4878-B6C5-7DBF06C4311C}"/>
    <cellStyle name="40% - Accent5 31 7 2" xfId="16067" xr:uid="{0029C16F-63E8-4097-81F0-AC6E516FDA2F}"/>
    <cellStyle name="40% - Accent5 31 7 2 2" xfId="16068" xr:uid="{D50D461C-84E6-436A-BCA3-816B182EBA74}"/>
    <cellStyle name="40% - Accent5 31 7 2 2 2" xfId="16069" xr:uid="{6080E58C-EEC6-4A68-B951-8D5D642877A9}"/>
    <cellStyle name="40% - Accent5 31 7 2 2 2 2" xfId="16070" xr:uid="{E17C615D-71CD-4CF7-9EA5-D61FA0A49B90}"/>
    <cellStyle name="40% - Accent5 31 7 2 2 3" xfId="16071" xr:uid="{1FB95AA6-649A-4186-91CA-92A95A170DCB}"/>
    <cellStyle name="40% - Accent5 31 7 2 3" xfId="16072" xr:uid="{C0703D3F-C46B-4389-8D45-95B5D8D576FC}"/>
    <cellStyle name="40% - Accent5 31 7 2 3 2" xfId="16073" xr:uid="{DF44FC30-24D2-4806-B9BA-7C9D7A49FE1E}"/>
    <cellStyle name="40% - Accent5 31 7 2 3 2 2" xfId="16074" xr:uid="{1267AEA7-B53C-4877-B899-193842C0B7B1}"/>
    <cellStyle name="40% - Accent5 31 7 2 3 3" xfId="16075" xr:uid="{687E2E12-A6DE-4465-8058-86266821C468}"/>
    <cellStyle name="40% - Accent5 31 7 2 4" xfId="16076" xr:uid="{AC8A2E9C-7862-41C1-B5C6-CB18FA2DA480}"/>
    <cellStyle name="40% - Accent5 31 7 2 4 2" xfId="16077" xr:uid="{278BB966-50E1-493C-8047-D01D3488AC75}"/>
    <cellStyle name="40% - Accent5 31 7 2 5" xfId="16078" xr:uid="{BB83BB01-DBE8-46A3-8EB1-AE919EED959B}"/>
    <cellStyle name="40% - Accent5 31 7 3" xfId="16079" xr:uid="{057B9571-FA8B-4DA5-905F-5027C96773DC}"/>
    <cellStyle name="40% - Accent5 31 7 3 2" xfId="16080" xr:uid="{B886385F-B805-4AC5-94BB-393773D4AE33}"/>
    <cellStyle name="40% - Accent5 31 7 3 2 2" xfId="16081" xr:uid="{4F968967-D37E-441B-B0F7-9CE1AE3E26FD}"/>
    <cellStyle name="40% - Accent5 31 7 3 3" xfId="16082" xr:uid="{571E02A5-E290-4CE5-91F9-7E4C829B8D87}"/>
    <cellStyle name="40% - Accent5 31 7 4" xfId="16083" xr:uid="{161F2937-5BD9-49D4-8ABB-5132C7B1F1D4}"/>
    <cellStyle name="40% - Accent5 31 7 4 2" xfId="16084" xr:uid="{C8F5F5A8-146C-4412-ABF4-C6A087A1989D}"/>
    <cellStyle name="40% - Accent5 31 7 4 2 2" xfId="16085" xr:uid="{A2A61AA7-E2A8-4D58-9FD2-0F674A7E89C5}"/>
    <cellStyle name="40% - Accent5 31 7 4 3" xfId="16086" xr:uid="{A25F9C8E-DF7E-4EF1-82B6-8EC29DE53C79}"/>
    <cellStyle name="40% - Accent5 31 7 5" xfId="16087" xr:uid="{2BCE970E-DD93-4EAE-974E-74891DCE1F65}"/>
    <cellStyle name="40% - Accent5 31 7 5 2" xfId="16088" xr:uid="{1C509B57-33F6-4892-A1FE-CAF956FE18A4}"/>
    <cellStyle name="40% - Accent5 31 7 6" xfId="16089" xr:uid="{3829F638-30D7-46E2-9531-2807D409BCC1}"/>
    <cellStyle name="40% - Accent5 31 8" xfId="16090" xr:uid="{CC7E34A6-BFC3-4317-BD1B-396C7AE00B4B}"/>
    <cellStyle name="40% - Accent5 31 8 2" xfId="16091" xr:uid="{66F4D05A-77FC-45F9-BF64-78A34167F671}"/>
    <cellStyle name="40% - Accent5 31 8 2 2" xfId="16092" xr:uid="{BEBCB062-53DB-4878-8046-A66752387390}"/>
    <cellStyle name="40% - Accent5 31 8 2 2 2" xfId="16093" xr:uid="{C511AE27-9F8F-4445-B7A4-E51BEAC38A5D}"/>
    <cellStyle name="40% - Accent5 31 8 2 2 2 2" xfId="16094" xr:uid="{CABB3B3F-D955-4B47-B5D3-1660A03C2AE1}"/>
    <cellStyle name="40% - Accent5 31 8 2 2 3" xfId="16095" xr:uid="{FED5A4F5-685E-4B38-A4CB-C53E8410F7B2}"/>
    <cellStyle name="40% - Accent5 31 8 2 3" xfId="16096" xr:uid="{F54CF730-F3AF-4379-B64B-35F1F96A0968}"/>
    <cellStyle name="40% - Accent5 31 8 2 3 2" xfId="16097" xr:uid="{E6CB9333-1017-44C5-B03E-D8F8AFDD524E}"/>
    <cellStyle name="40% - Accent5 31 8 2 3 2 2" xfId="16098" xr:uid="{F459719D-DCE0-4F28-9189-372AE572E2C4}"/>
    <cellStyle name="40% - Accent5 31 8 2 3 3" xfId="16099" xr:uid="{F93BB0BC-82E5-43E2-A6E0-B3C82FA6FBEB}"/>
    <cellStyle name="40% - Accent5 31 8 2 4" xfId="16100" xr:uid="{DA7D9E92-7A51-4362-8DAC-24EC37F04737}"/>
    <cellStyle name="40% - Accent5 31 8 2 4 2" xfId="16101" xr:uid="{772C2FBA-9C72-4242-9E71-275268A742AD}"/>
    <cellStyle name="40% - Accent5 31 8 2 5" xfId="16102" xr:uid="{44322C04-0332-42F3-A25B-A9C22BAFA534}"/>
    <cellStyle name="40% - Accent5 31 8 3" xfId="16103" xr:uid="{F8DE14FF-2429-48AD-A351-C069585B42D8}"/>
    <cellStyle name="40% - Accent5 31 8 3 2" xfId="16104" xr:uid="{DE86463D-8B94-4716-97D9-2653582B01B1}"/>
    <cellStyle name="40% - Accent5 31 8 3 2 2" xfId="16105" xr:uid="{4EF07668-D8A2-430B-99BA-5E9933A542F3}"/>
    <cellStyle name="40% - Accent5 31 8 3 3" xfId="16106" xr:uid="{3083090B-9D01-47E7-BD0E-F21E8890F891}"/>
    <cellStyle name="40% - Accent5 31 8 4" xfId="16107" xr:uid="{F5A49029-645A-4B66-A5F8-46B5DFE16241}"/>
    <cellStyle name="40% - Accent5 31 8 4 2" xfId="16108" xr:uid="{0EC03F0A-0FC9-46E6-8795-73A83FAF8DE8}"/>
    <cellStyle name="40% - Accent5 31 8 4 2 2" xfId="16109" xr:uid="{5EBD563C-5BAA-4C1A-A030-F3D07B2350F9}"/>
    <cellStyle name="40% - Accent5 31 8 4 3" xfId="16110" xr:uid="{5A13D520-A7B3-4F50-8CC3-01571727E76D}"/>
    <cellStyle name="40% - Accent5 31 8 5" xfId="16111" xr:uid="{178B3E0B-0D81-4955-9703-E664C7DA15D3}"/>
    <cellStyle name="40% - Accent5 31 8 5 2" xfId="16112" xr:uid="{0A5EEDE9-5281-4F95-937B-921D704F8CD0}"/>
    <cellStyle name="40% - Accent5 31 8 6" xfId="16113" xr:uid="{2F31AF54-D4D4-4A8C-A528-FA0F94A61E4D}"/>
    <cellStyle name="40% - Accent5 31 9" xfId="16114" xr:uid="{8422BF1D-8D87-426D-8A71-510B84099631}"/>
    <cellStyle name="40% - Accent5 31 9 2" xfId="16115" xr:uid="{B67275C4-94D2-4318-B6E4-6B319D01BA52}"/>
    <cellStyle name="40% - Accent5 31 9 2 2" xfId="16116" xr:uid="{2243DE4D-7AC2-479A-9AE3-F9CC8EE2384F}"/>
    <cellStyle name="40% - Accent5 31 9 2 2 2" xfId="16117" xr:uid="{38F8E9C0-570C-4982-BA52-A87F988583CD}"/>
    <cellStyle name="40% - Accent5 31 9 2 2 2 2" xfId="16118" xr:uid="{1964D1EA-4EE0-4B7F-8B38-C19B056E6E2F}"/>
    <cellStyle name="40% - Accent5 31 9 2 2 3" xfId="16119" xr:uid="{5B8DE5E0-C8DF-42BE-8B22-6450C82DC714}"/>
    <cellStyle name="40% - Accent5 31 9 2 3" xfId="16120" xr:uid="{EB1D77E0-6E3B-4B85-8191-859A99E05E6B}"/>
    <cellStyle name="40% - Accent5 31 9 2 3 2" xfId="16121" xr:uid="{0BED1373-2E6E-4E05-A278-31135A67B7B2}"/>
    <cellStyle name="40% - Accent5 31 9 2 3 2 2" xfId="16122" xr:uid="{6E37A34E-7E30-4979-B574-6498C5E3DE88}"/>
    <cellStyle name="40% - Accent5 31 9 2 3 3" xfId="16123" xr:uid="{147FED99-64B1-4AA7-B293-2BB28052FEDC}"/>
    <cellStyle name="40% - Accent5 31 9 2 4" xfId="16124" xr:uid="{DE2206C2-C69D-455D-86D4-B8C4F72F725C}"/>
    <cellStyle name="40% - Accent5 31 9 2 4 2" xfId="16125" xr:uid="{7A408008-7541-4B43-A219-EC7E4FB67BED}"/>
    <cellStyle name="40% - Accent5 31 9 2 5" xfId="16126" xr:uid="{53AF4256-D34F-4E05-979B-B72F9B50A460}"/>
    <cellStyle name="40% - Accent5 31 9 3" xfId="16127" xr:uid="{0D2A64FE-EF5B-4C6E-85DB-8E9AE19CCB33}"/>
    <cellStyle name="40% - Accent5 31 9 3 2" xfId="16128" xr:uid="{0901E5AF-B450-42E9-B7AF-84F9C189CC67}"/>
    <cellStyle name="40% - Accent5 31 9 3 2 2" xfId="16129" xr:uid="{AE42AB78-7867-4F84-BF46-CFE736C25473}"/>
    <cellStyle name="40% - Accent5 31 9 3 3" xfId="16130" xr:uid="{ECB954B9-C340-4B5A-AF3D-284847C55A26}"/>
    <cellStyle name="40% - Accent5 31 9 4" xfId="16131" xr:uid="{419BDE56-C1B4-4314-90C7-B148520A3DF9}"/>
    <cellStyle name="40% - Accent5 31 9 4 2" xfId="16132" xr:uid="{5F9524EB-507F-482D-B9EE-6D6DF33BD1C4}"/>
    <cellStyle name="40% - Accent5 31 9 4 2 2" xfId="16133" xr:uid="{82FD15E2-C0F4-48E3-AF9A-4DE94D4378C3}"/>
    <cellStyle name="40% - Accent5 31 9 4 3" xfId="16134" xr:uid="{875658BB-C161-4609-88B9-2D2159599F35}"/>
    <cellStyle name="40% - Accent5 31 9 5" xfId="16135" xr:uid="{8A53BFA8-516C-4ECA-B980-339BBB3B25F2}"/>
    <cellStyle name="40% - Accent5 31 9 5 2" xfId="16136" xr:uid="{CB35100E-A479-49B2-B899-A5789C65DB58}"/>
    <cellStyle name="40% - Accent5 31 9 6" xfId="16137" xr:uid="{AE7459B8-D9CE-4FBD-B61F-B9D73AA8FD96}"/>
    <cellStyle name="40% - Accent5 32" xfId="16138" xr:uid="{B977E9E1-BD68-4B98-B3ED-50DB8189AF8D}"/>
    <cellStyle name="40% - Accent5 32 2" xfId="16139" xr:uid="{A69EDECC-786E-4364-B02C-73CC561C95B9}"/>
    <cellStyle name="40% - Accent5 32 2 2" xfId="16140" xr:uid="{57767F31-B948-40EC-B960-796D3DA23357}"/>
    <cellStyle name="40% - Accent5 32 2 2 2" xfId="16141" xr:uid="{E5672047-6913-4FC9-A80F-9DFFA3D0ABD1}"/>
    <cellStyle name="40% - Accent5 32 2 2 2 2" xfId="16142" xr:uid="{F957BA76-CE1D-46FB-925A-E5CBB56A7F43}"/>
    <cellStyle name="40% - Accent5 32 2 2 3" xfId="16143" xr:uid="{A47704D7-0154-4627-8A9D-23DE11B5FBC0}"/>
    <cellStyle name="40% - Accent5 32 2 3" xfId="16144" xr:uid="{9B42AD43-25CC-4A2B-8314-9235A3E6E11C}"/>
    <cellStyle name="40% - Accent5 32 2 3 2" xfId="16145" xr:uid="{C7BEF578-52A0-459C-A0AF-8845168070A5}"/>
    <cellStyle name="40% - Accent5 32 2 3 2 2" xfId="16146" xr:uid="{2DEB597A-87E4-49A8-8891-D18B32E95DB1}"/>
    <cellStyle name="40% - Accent5 32 2 3 3" xfId="16147" xr:uid="{EBFF090A-5AEB-4C2F-BF90-B7A09A88709E}"/>
    <cellStyle name="40% - Accent5 32 2 4" xfId="16148" xr:uid="{7F37F2D1-5A4D-4196-BFD0-1AA559692652}"/>
    <cellStyle name="40% - Accent5 32 2 4 2" xfId="16149" xr:uid="{4D2F4D56-AA14-4A75-A5EB-92F8B0648DD0}"/>
    <cellStyle name="40% - Accent5 32 2 5" xfId="16150" xr:uid="{C9B71B2A-A812-40D2-90AC-6E304B7149D6}"/>
    <cellStyle name="40% - Accent5 32 3" xfId="16151" xr:uid="{D02B38ED-E4FB-4198-B0E3-B7AC14916F93}"/>
    <cellStyle name="40% - Accent5 32 3 2" xfId="16152" xr:uid="{BA70127E-1EE4-47F6-A297-574DE4D80641}"/>
    <cellStyle name="40% - Accent5 32 3 2 2" xfId="16153" xr:uid="{B3EEFA1C-F508-48AF-AEDE-0A03EF246D6E}"/>
    <cellStyle name="40% - Accent5 32 3 3" xfId="16154" xr:uid="{A33A35B1-AE31-45A5-998F-85C94FD78FDC}"/>
    <cellStyle name="40% - Accent5 32 4" xfId="16155" xr:uid="{010D3548-0CF6-406E-BFD4-F524B72E5C29}"/>
    <cellStyle name="40% - Accent5 32 4 2" xfId="16156" xr:uid="{C9FA6F87-C6B6-409E-B850-756A6E6446D1}"/>
    <cellStyle name="40% - Accent5 32 4 2 2" xfId="16157" xr:uid="{2D486E02-62CE-4313-822E-2C20467D5D2D}"/>
    <cellStyle name="40% - Accent5 32 4 3" xfId="16158" xr:uid="{DD6FDF68-5469-4D7B-90DC-AFED1A574E58}"/>
    <cellStyle name="40% - Accent5 32 5" xfId="16159" xr:uid="{A8C07360-B09F-4B0A-B49E-D2D5AFAC1DE2}"/>
    <cellStyle name="40% - Accent5 32 5 2" xfId="16160" xr:uid="{5CEA496F-B30C-4F44-938A-0225AE34D781}"/>
    <cellStyle name="40% - Accent5 32 6" xfId="16161" xr:uid="{C232B692-A240-4623-9B15-398BCFC9C2CF}"/>
    <cellStyle name="40% - Accent5 32 7" xfId="37544" xr:uid="{C2B645B3-451D-487F-B0F6-5477CBE7095B}"/>
    <cellStyle name="40% - Accent5 33" xfId="16162" xr:uid="{58B9A050-3B91-4ABC-83CF-476D396829A3}"/>
    <cellStyle name="40% - Accent5 33 2" xfId="16163" xr:uid="{0814AEAB-2F85-48A6-B62A-31D5D2BE6B8F}"/>
    <cellStyle name="40% - Accent5 33 2 2" xfId="16164" xr:uid="{61F0744B-FF3A-4D80-8329-88145B84F58F}"/>
    <cellStyle name="40% - Accent5 33 2 2 2" xfId="16165" xr:uid="{3902276D-358A-4102-BE03-E73E7FA39AF8}"/>
    <cellStyle name="40% - Accent5 33 2 2 2 2" xfId="16166" xr:uid="{082B9CBC-D47B-48BD-B2EE-77CE8DDB555D}"/>
    <cellStyle name="40% - Accent5 33 2 2 3" xfId="16167" xr:uid="{EF4D4503-6FE3-48CD-995A-EFA67FB8D34B}"/>
    <cellStyle name="40% - Accent5 33 2 3" xfId="16168" xr:uid="{428280BB-0EC8-4878-948A-5E7E1F45B9CA}"/>
    <cellStyle name="40% - Accent5 33 2 3 2" xfId="16169" xr:uid="{3005460D-FB4D-4FB6-BAC2-1761CE582B3B}"/>
    <cellStyle name="40% - Accent5 33 2 3 2 2" xfId="16170" xr:uid="{48181AE7-6C8C-40FF-B5C3-2851DE2EAF1E}"/>
    <cellStyle name="40% - Accent5 33 2 3 3" xfId="16171" xr:uid="{EEA07E4B-7394-4E81-811B-793E26BDE86E}"/>
    <cellStyle name="40% - Accent5 33 2 4" xfId="16172" xr:uid="{114D72F6-2638-40CA-950B-3F5E39819C47}"/>
    <cellStyle name="40% - Accent5 33 2 4 2" xfId="16173" xr:uid="{520D7C96-6DF7-4F3B-BCBA-078F63D7B593}"/>
    <cellStyle name="40% - Accent5 33 2 5" xfId="16174" xr:uid="{D241E448-BFB0-43D0-A194-00FE8B017351}"/>
    <cellStyle name="40% - Accent5 33 3" xfId="16175" xr:uid="{84D776A9-1C46-48E9-A015-790243EA50C6}"/>
    <cellStyle name="40% - Accent5 33 3 2" xfId="16176" xr:uid="{F584F13E-3415-4E0A-B536-136930CD5E48}"/>
    <cellStyle name="40% - Accent5 33 3 2 2" xfId="16177" xr:uid="{E215F5F2-F441-4CA7-B514-B1AB30C3FD2B}"/>
    <cellStyle name="40% - Accent5 33 3 3" xfId="16178" xr:uid="{7D1B768B-AE4C-4197-BB88-12328D04DC91}"/>
    <cellStyle name="40% - Accent5 33 4" xfId="16179" xr:uid="{953CD9D1-0D69-45F1-9E19-870FD0EA0E52}"/>
    <cellStyle name="40% - Accent5 33 4 2" xfId="16180" xr:uid="{624BC945-BA76-4250-A1D9-E8471149CF54}"/>
    <cellStyle name="40% - Accent5 33 4 2 2" xfId="16181" xr:uid="{BBC3D0E5-3267-4EB8-BA9A-6BD5AE22042F}"/>
    <cellStyle name="40% - Accent5 33 4 3" xfId="16182" xr:uid="{870D793D-1ABD-42E9-825D-C8F4B4347F98}"/>
    <cellStyle name="40% - Accent5 33 5" xfId="16183" xr:uid="{8718128F-41A2-4E61-BEBC-5763DE7B9633}"/>
    <cellStyle name="40% - Accent5 33 5 2" xfId="16184" xr:uid="{86A619AF-5A1C-4BB6-B4D2-72B08A8F1C75}"/>
    <cellStyle name="40% - Accent5 33 6" xfId="37545" xr:uid="{B7653D9B-58B5-401A-B459-A31D1166C485}"/>
    <cellStyle name="40% - Accent5 34" xfId="16185" xr:uid="{DE269944-6454-43CE-8020-95AD80540680}"/>
    <cellStyle name="40% - Accent5 34 2" xfId="16186" xr:uid="{B6A03852-D617-459E-96D2-8FD75EC529A1}"/>
    <cellStyle name="40% - Accent5 34 2 2" xfId="16187" xr:uid="{19A0C8AC-8F1A-4B1D-B742-BB73F40FE7B3}"/>
    <cellStyle name="40% - Accent5 34 2 2 2" xfId="16188" xr:uid="{F6BE9F63-4B72-463B-8275-0C42D929DF08}"/>
    <cellStyle name="40% - Accent5 34 2 2 2 2" xfId="16189" xr:uid="{2AD1246C-B665-4D62-A081-91ECCE294536}"/>
    <cellStyle name="40% - Accent5 34 2 2 3" xfId="16190" xr:uid="{EAFFD0B3-B302-4B71-9961-C703367C0C25}"/>
    <cellStyle name="40% - Accent5 34 2 3" xfId="16191" xr:uid="{6C9FF559-EBD3-493D-92A1-81A421AA68C3}"/>
    <cellStyle name="40% - Accent5 34 2 3 2" xfId="16192" xr:uid="{7A3A1EDD-B784-4A0F-BFF0-8EFD7A6A2561}"/>
    <cellStyle name="40% - Accent5 34 2 3 2 2" xfId="16193" xr:uid="{88514102-8310-412B-9829-CD01788A0A50}"/>
    <cellStyle name="40% - Accent5 34 2 3 3" xfId="16194" xr:uid="{F6CD28BB-6522-4784-A069-551C4929360F}"/>
    <cellStyle name="40% - Accent5 34 2 4" xfId="16195" xr:uid="{E63AAC41-6C20-4F52-8343-8904DEF5CB9C}"/>
    <cellStyle name="40% - Accent5 34 2 4 2" xfId="16196" xr:uid="{66D0C77B-86E8-490B-A70E-341C10CB20AD}"/>
    <cellStyle name="40% - Accent5 34 2 5" xfId="16197" xr:uid="{41AC4B0C-427E-4D91-B7CA-E8BA9A3C0527}"/>
    <cellStyle name="40% - Accent5 34 3" xfId="16198" xr:uid="{103ACB2C-809C-4FAA-8CDA-F9790033A58F}"/>
    <cellStyle name="40% - Accent5 34 3 2" xfId="16199" xr:uid="{5B7E0439-F75A-4F67-AAF0-91DCD30ABEB3}"/>
    <cellStyle name="40% - Accent5 34 3 2 2" xfId="16200" xr:uid="{9A5CF144-E018-4949-964F-96AE44604559}"/>
    <cellStyle name="40% - Accent5 34 3 3" xfId="16201" xr:uid="{21C411D1-D028-464D-8165-441C2A887D1B}"/>
    <cellStyle name="40% - Accent5 34 4" xfId="16202" xr:uid="{412C8751-5E45-4B51-977D-015E70055422}"/>
    <cellStyle name="40% - Accent5 34 4 2" xfId="16203" xr:uid="{A3BB07CD-AC29-4231-B628-5CA2A11AA692}"/>
    <cellStyle name="40% - Accent5 34 4 2 2" xfId="16204" xr:uid="{9D0EDE01-CF30-4EC9-A7C2-8DC77EFBAFFF}"/>
    <cellStyle name="40% - Accent5 34 4 3" xfId="16205" xr:uid="{67F19371-3C69-4C17-B01D-1B801D4708F5}"/>
    <cellStyle name="40% - Accent5 34 5" xfId="16206" xr:uid="{E5A99498-2547-467C-B6EC-4E7F1C518B77}"/>
    <cellStyle name="40% - Accent5 34 5 2" xfId="16207" xr:uid="{7B055E8A-1165-4E60-A4B3-F5B7F9DDA118}"/>
    <cellStyle name="40% - Accent5 34 6" xfId="37546" xr:uid="{6372D3D2-6288-46CF-BDC4-489F7C19B1DA}"/>
    <cellStyle name="40% - Accent5 35" xfId="16208" xr:uid="{46BFBF5D-D378-4BE4-B896-31060511665F}"/>
    <cellStyle name="40% - Accent5 35 2" xfId="16209" xr:uid="{A92CB80B-67A3-4AC3-B698-B029F37A32B0}"/>
    <cellStyle name="40% - Accent5 35 2 2" xfId="16210" xr:uid="{8375A8B2-6717-409B-AFF8-63C9B1395D20}"/>
    <cellStyle name="40% - Accent5 35 2 2 2" xfId="16211" xr:uid="{A25908FE-6C8D-4FB9-95B0-4F78BD056D68}"/>
    <cellStyle name="40% - Accent5 35 2 2 2 2" xfId="16212" xr:uid="{8B64D3DC-9D6D-4A41-9980-B210DB89BE8E}"/>
    <cellStyle name="40% - Accent5 35 2 2 3" xfId="16213" xr:uid="{7FFDCE69-E28F-4274-BD6B-775F0BDAE948}"/>
    <cellStyle name="40% - Accent5 35 2 3" xfId="16214" xr:uid="{00EF18E8-8C2A-4CB9-90F1-81DD97093FBB}"/>
    <cellStyle name="40% - Accent5 35 2 3 2" xfId="16215" xr:uid="{24FF63FF-A2D6-46BB-84E2-97FAB730F206}"/>
    <cellStyle name="40% - Accent5 35 2 3 2 2" xfId="16216" xr:uid="{F1C58FA1-CFC7-40DC-B40E-DB4266442409}"/>
    <cellStyle name="40% - Accent5 35 2 3 3" xfId="16217" xr:uid="{8B7D1755-78B3-4245-A75F-07A47E21FD64}"/>
    <cellStyle name="40% - Accent5 35 2 4" xfId="16218" xr:uid="{53E25272-60E2-4625-AFA1-A81BA7D0D949}"/>
    <cellStyle name="40% - Accent5 35 2 4 2" xfId="16219" xr:uid="{25873D76-4661-4EF9-B3E1-4337605B7675}"/>
    <cellStyle name="40% - Accent5 35 2 5" xfId="16220" xr:uid="{93300754-6B2E-4803-966F-73CF0005EF4F}"/>
    <cellStyle name="40% - Accent5 35 3" xfId="16221" xr:uid="{C8399200-056A-4A4D-A470-ADD5BC999932}"/>
    <cellStyle name="40% - Accent5 35 3 2" xfId="16222" xr:uid="{84501C42-FC7A-4D33-A0FB-A7BC12F11F7D}"/>
    <cellStyle name="40% - Accent5 35 3 2 2" xfId="16223" xr:uid="{710C6FC4-9B61-4B2A-971D-CD6A79EB0E8C}"/>
    <cellStyle name="40% - Accent5 35 3 3" xfId="16224" xr:uid="{E1EB52E0-D162-405D-9221-9AC9F26227DE}"/>
    <cellStyle name="40% - Accent5 35 4" xfId="16225" xr:uid="{0FDB299B-02DE-4D86-93F5-4FB106132675}"/>
    <cellStyle name="40% - Accent5 35 4 2" xfId="16226" xr:uid="{B717FB0A-209F-41A4-9B72-F1689F2C2DD0}"/>
    <cellStyle name="40% - Accent5 35 4 2 2" xfId="16227" xr:uid="{D5E2F450-8227-4972-97D9-279F8ADA12EB}"/>
    <cellStyle name="40% - Accent5 35 4 3" xfId="16228" xr:uid="{3714CDC3-19F6-459A-9373-3AB07AC4D656}"/>
    <cellStyle name="40% - Accent5 35 5" xfId="16229" xr:uid="{85D9ABA4-EF04-4F01-A072-D636045B2F27}"/>
    <cellStyle name="40% - Accent5 35 5 2" xfId="16230" xr:uid="{71E9779F-9232-425D-BF2F-7F3A39ADD089}"/>
    <cellStyle name="40% - Accent5 35 6" xfId="37547" xr:uid="{DCC98F6F-971D-4C56-AB6A-FF1053368EA6}"/>
    <cellStyle name="40% - Accent5 36" xfId="16231" xr:uid="{CFED64F3-ED92-4F02-B015-D52FE82EDFF1}"/>
    <cellStyle name="40% - Accent5 36 2" xfId="16232" xr:uid="{041C87C3-2FA0-427C-BDBF-4D9D6423D29F}"/>
    <cellStyle name="40% - Accent5 36 2 2" xfId="16233" xr:uid="{9A457621-16D8-4399-ABD1-2AFB064E5008}"/>
    <cellStyle name="40% - Accent5 36 2 2 2" xfId="16234" xr:uid="{3C88AE02-D7A0-4A78-83B3-7C86B820D8B0}"/>
    <cellStyle name="40% - Accent5 36 2 2 2 2" xfId="16235" xr:uid="{33D51594-3424-4B32-99B4-20548AA2E2AE}"/>
    <cellStyle name="40% - Accent5 36 2 2 3" xfId="16236" xr:uid="{9859D9EF-018C-4F79-B314-2D89432FBD7C}"/>
    <cellStyle name="40% - Accent5 36 2 3" xfId="16237" xr:uid="{D1DEE164-4CCB-4A90-B9AA-5768405FC048}"/>
    <cellStyle name="40% - Accent5 36 2 3 2" xfId="16238" xr:uid="{EE78FFA7-8AED-44A1-B192-7ADFFB67FDFD}"/>
    <cellStyle name="40% - Accent5 36 2 3 2 2" xfId="16239" xr:uid="{00D07226-F011-40E5-835E-03EA4C54EEC1}"/>
    <cellStyle name="40% - Accent5 36 2 3 3" xfId="16240" xr:uid="{6886E932-40DE-44F9-A355-B7CEB08B8A15}"/>
    <cellStyle name="40% - Accent5 36 2 4" xfId="16241" xr:uid="{271EA1B5-4BF0-4F2C-9282-4438E8B09525}"/>
    <cellStyle name="40% - Accent5 36 2 4 2" xfId="16242" xr:uid="{CE86377E-5264-4EF0-B88D-2097741ABE63}"/>
    <cellStyle name="40% - Accent5 36 2 5" xfId="16243" xr:uid="{71FCC8AC-95A8-49C9-A282-CAB98BB0CB37}"/>
    <cellStyle name="40% - Accent5 36 3" xfId="16244" xr:uid="{9766E16A-135E-44F7-96D8-4614CB0AE18B}"/>
    <cellStyle name="40% - Accent5 36 3 2" xfId="16245" xr:uid="{22B0ACCC-38BF-4095-A2C6-2B7DADFC9E3F}"/>
    <cellStyle name="40% - Accent5 36 3 2 2" xfId="16246" xr:uid="{1C0DD895-2D74-4847-9DC0-8D4132F934F0}"/>
    <cellStyle name="40% - Accent5 36 3 3" xfId="16247" xr:uid="{2117DF7D-C70A-420F-86E3-ECA85472D454}"/>
    <cellStyle name="40% - Accent5 36 4" xfId="16248" xr:uid="{F93DB738-223F-49E2-BEE7-AC05E936841C}"/>
    <cellStyle name="40% - Accent5 36 4 2" xfId="16249" xr:uid="{E87B149E-20E8-4542-95E2-7B88EC5E8D6C}"/>
    <cellStyle name="40% - Accent5 36 4 2 2" xfId="16250" xr:uid="{2143D59E-B5A2-4649-B2A2-42FC59017720}"/>
    <cellStyle name="40% - Accent5 36 4 3" xfId="16251" xr:uid="{A302ED6A-28D5-4711-8C45-8DB5E15483D4}"/>
    <cellStyle name="40% - Accent5 36 5" xfId="16252" xr:uid="{E9862F95-D871-4554-80CC-8F036375C3B0}"/>
    <cellStyle name="40% - Accent5 36 5 2" xfId="16253" xr:uid="{27BFD1A6-9AD7-4223-A9A4-8B88C6D3862B}"/>
    <cellStyle name="40% - Accent5 36 6" xfId="37548" xr:uid="{FC5F95DC-57D4-4721-8638-0347862E6605}"/>
    <cellStyle name="40% - Accent5 37" xfId="16254" xr:uid="{F9F55131-1375-4365-A57E-C62E90638C36}"/>
    <cellStyle name="40% - Accent5 37 2" xfId="16255" xr:uid="{C2E309AD-A837-428A-93EC-0842D49133A5}"/>
    <cellStyle name="40% - Accent5 37 2 2" xfId="16256" xr:uid="{E74CB6DA-E38B-4D8D-95B4-BE6ABC89BD1B}"/>
    <cellStyle name="40% - Accent5 37 2 2 2" xfId="16257" xr:uid="{C59EA842-D1D7-4F53-A16E-7994D42C7B88}"/>
    <cellStyle name="40% - Accent5 37 2 2 2 2" xfId="16258" xr:uid="{C85E68DD-0E55-4D3E-9E81-F26152720931}"/>
    <cellStyle name="40% - Accent5 37 2 2 3" xfId="16259" xr:uid="{D0F36501-F6C7-45AE-83B4-B9A9AB53D6A2}"/>
    <cellStyle name="40% - Accent5 37 2 3" xfId="16260" xr:uid="{AD77418E-4086-42B4-BFDA-DAAFC131C160}"/>
    <cellStyle name="40% - Accent5 37 2 3 2" xfId="16261" xr:uid="{5158FE00-BCAA-4FF8-B0D2-AD743EFD8128}"/>
    <cellStyle name="40% - Accent5 37 2 3 2 2" xfId="16262" xr:uid="{ECD36E87-8194-4E67-8A70-7813EE74439B}"/>
    <cellStyle name="40% - Accent5 37 2 3 3" xfId="16263" xr:uid="{16B5AB12-9362-4E4A-99A3-81C141C54A07}"/>
    <cellStyle name="40% - Accent5 37 2 4" xfId="16264" xr:uid="{CEDE43E8-7A59-4CAA-996F-96676E7A00AD}"/>
    <cellStyle name="40% - Accent5 37 2 4 2" xfId="16265" xr:uid="{D20955E4-6AF4-4E19-9A33-89EC39FF8163}"/>
    <cellStyle name="40% - Accent5 37 2 5" xfId="16266" xr:uid="{9A3CF267-85DF-495B-A714-D3B974C01230}"/>
    <cellStyle name="40% - Accent5 37 3" xfId="16267" xr:uid="{50A699B6-B2C4-409B-A8BF-88995EE83ACA}"/>
    <cellStyle name="40% - Accent5 37 3 2" xfId="16268" xr:uid="{3330F4EA-8CBE-44F1-85C1-EEA6C68A0661}"/>
    <cellStyle name="40% - Accent5 37 3 2 2" xfId="16269" xr:uid="{486028D0-9A93-49AB-960D-C1A5B9AF9A48}"/>
    <cellStyle name="40% - Accent5 37 3 3" xfId="16270" xr:uid="{0E34988A-00BB-4ECC-9BA7-016F3A0B1FA9}"/>
    <cellStyle name="40% - Accent5 37 4" xfId="16271" xr:uid="{0509D8DE-1385-46DB-B3BC-90C02838AA0C}"/>
    <cellStyle name="40% - Accent5 37 4 2" xfId="16272" xr:uid="{7DED0F6D-3F24-49ED-B8AB-D13E69F77B59}"/>
    <cellStyle name="40% - Accent5 37 4 2 2" xfId="16273" xr:uid="{B68D35CD-3A37-4C50-9E4D-AB6B9267CA57}"/>
    <cellStyle name="40% - Accent5 37 4 3" xfId="16274" xr:uid="{12B2167F-2E8B-4F77-8611-7BEA65EA2447}"/>
    <cellStyle name="40% - Accent5 37 5" xfId="16275" xr:uid="{724E9A0A-96B6-40F2-8C87-926DB9E2CA9B}"/>
    <cellStyle name="40% - Accent5 37 5 2" xfId="16276" xr:uid="{082347C1-F031-4764-8188-CD82F05C6CED}"/>
    <cellStyle name="40% - Accent5 37 6" xfId="37549" xr:uid="{57E86FD6-B933-4693-9DF8-CA3D27B61C41}"/>
    <cellStyle name="40% - Accent5 38" xfId="16277" xr:uid="{6D3BD8CC-3DB8-45F0-A487-12120EDD289B}"/>
    <cellStyle name="40% - Accent5 38 2" xfId="16278" xr:uid="{25B0C1C4-D1B9-443D-BA49-851AC4BC0D83}"/>
    <cellStyle name="40% - Accent5 38 2 2" xfId="16279" xr:uid="{057342B1-56C3-4AFD-AA0F-9E81B94A9C04}"/>
    <cellStyle name="40% - Accent5 38 2 2 2" xfId="16280" xr:uid="{78921EBB-F977-48B1-B169-E9E825324A63}"/>
    <cellStyle name="40% - Accent5 38 2 2 2 2" xfId="16281" xr:uid="{FE9195ED-13AF-488E-AB95-45E1F64A291B}"/>
    <cellStyle name="40% - Accent5 38 2 2 3" xfId="16282" xr:uid="{A4F203A3-A226-41EF-8B09-D63604E10A92}"/>
    <cellStyle name="40% - Accent5 38 2 3" xfId="16283" xr:uid="{FFB10546-C792-45E1-AF02-6D0B08D180A5}"/>
    <cellStyle name="40% - Accent5 38 2 3 2" xfId="16284" xr:uid="{8423ADE9-CBEB-4747-81EC-2038FA93B103}"/>
    <cellStyle name="40% - Accent5 38 2 3 2 2" xfId="16285" xr:uid="{6090DAA2-6493-4377-9286-836E047BEDE1}"/>
    <cellStyle name="40% - Accent5 38 2 3 3" xfId="16286" xr:uid="{6CCF0D42-9F87-4CF9-A989-4902596656C8}"/>
    <cellStyle name="40% - Accent5 38 2 4" xfId="16287" xr:uid="{0A0E98E5-54B6-4594-AB0E-68129634413F}"/>
    <cellStyle name="40% - Accent5 38 2 4 2" xfId="16288" xr:uid="{7A364D02-A7A4-409E-A545-3DF67D10B754}"/>
    <cellStyle name="40% - Accent5 38 2 5" xfId="16289" xr:uid="{4EA2FC2D-714E-43CA-B8E7-B8F7508AC139}"/>
    <cellStyle name="40% - Accent5 38 3" xfId="16290" xr:uid="{D1D7084E-1218-4EB1-88F1-A1CE7CA44FDF}"/>
    <cellStyle name="40% - Accent5 38 3 2" xfId="16291" xr:uid="{C86C1B05-62C0-470B-B33F-BEF222869E36}"/>
    <cellStyle name="40% - Accent5 38 3 2 2" xfId="16292" xr:uid="{1CA8C7C0-BE6E-434B-AAA7-F35818742DEF}"/>
    <cellStyle name="40% - Accent5 38 3 3" xfId="16293" xr:uid="{0B463692-5D48-4FA8-B1A3-FD5C6A9D4065}"/>
    <cellStyle name="40% - Accent5 38 4" xfId="16294" xr:uid="{D9A0A9D3-73C0-4835-870E-76391A2BFB59}"/>
    <cellStyle name="40% - Accent5 38 4 2" xfId="16295" xr:uid="{AEA2DB39-620F-4151-87F7-BC8D67C62B83}"/>
    <cellStyle name="40% - Accent5 38 4 2 2" xfId="16296" xr:uid="{51875970-2FCE-4055-92CB-0BCFC351180D}"/>
    <cellStyle name="40% - Accent5 38 4 3" xfId="16297" xr:uid="{74EF3368-DC88-4D2A-A20F-FE63FDB1D6F1}"/>
    <cellStyle name="40% - Accent5 38 5" xfId="16298" xr:uid="{D8C169B7-89D1-4C76-A82E-542683E8DADE}"/>
    <cellStyle name="40% - Accent5 38 5 2" xfId="16299" xr:uid="{A16CA2A8-5319-4E1A-A421-0D312489C3EB}"/>
    <cellStyle name="40% - Accent5 38 6" xfId="37550" xr:uid="{6DEA07B2-9282-4A59-9650-4F9E6376E1B6}"/>
    <cellStyle name="40% - Accent5 39" xfId="16300" xr:uid="{71D373D6-9E5D-4B02-B4BD-DC4DDF74C3CF}"/>
    <cellStyle name="40% - Accent5 39 2" xfId="16301" xr:uid="{278AB1C8-971D-42D3-B81E-C5085D6AF663}"/>
    <cellStyle name="40% - Accent5 39 2 2" xfId="16302" xr:uid="{C9C73F4A-DBCA-4833-851F-15CC9D435EAB}"/>
    <cellStyle name="40% - Accent5 39 2 2 2" xfId="16303" xr:uid="{01DD9ECC-0900-49E3-A225-E6A142D7E207}"/>
    <cellStyle name="40% - Accent5 39 2 2 2 2" xfId="16304" xr:uid="{8B3ED069-F181-4320-80CC-DD52F71ADE51}"/>
    <cellStyle name="40% - Accent5 39 2 2 3" xfId="16305" xr:uid="{52B490DD-A324-47BB-9E9A-18FD40C3D5CF}"/>
    <cellStyle name="40% - Accent5 39 2 3" xfId="16306" xr:uid="{A5FDC2BB-B8AB-4EA2-A405-1784A85379DA}"/>
    <cellStyle name="40% - Accent5 39 2 3 2" xfId="16307" xr:uid="{D6EC4058-7926-4D3F-A3AD-5670E800920E}"/>
    <cellStyle name="40% - Accent5 39 2 3 2 2" xfId="16308" xr:uid="{4D8B7ECA-10A8-4321-95F1-BDC859F02FAD}"/>
    <cellStyle name="40% - Accent5 39 2 3 3" xfId="16309" xr:uid="{89CAB3CC-3EA7-4760-94D5-622724324FD3}"/>
    <cellStyle name="40% - Accent5 39 2 4" xfId="16310" xr:uid="{4C6689B6-54A8-49B5-8583-CB46FAC44B41}"/>
    <cellStyle name="40% - Accent5 39 2 4 2" xfId="16311" xr:uid="{20098D15-59CE-4EAF-B986-6014FEA38CD8}"/>
    <cellStyle name="40% - Accent5 39 2 5" xfId="16312" xr:uid="{90ACC31E-5C7D-4171-9A96-E9120741996A}"/>
    <cellStyle name="40% - Accent5 39 3" xfId="16313" xr:uid="{E5A8E88E-DAEE-4F81-8FDE-7B7CA2A3C2A0}"/>
    <cellStyle name="40% - Accent5 39 3 2" xfId="16314" xr:uid="{AC93AC1A-0E64-4ECE-B64B-A3E2BF4E7192}"/>
    <cellStyle name="40% - Accent5 39 3 2 2" xfId="16315" xr:uid="{19A3DA3F-E2C6-4696-B8DA-CE1827A0630C}"/>
    <cellStyle name="40% - Accent5 39 3 3" xfId="16316" xr:uid="{9A9E89F2-3B16-40ED-A220-A9A5EEA26321}"/>
    <cellStyle name="40% - Accent5 39 4" xfId="16317" xr:uid="{4794F73C-3882-41E8-A497-37547FCA9682}"/>
    <cellStyle name="40% - Accent5 39 4 2" xfId="16318" xr:uid="{4BE3E631-33F7-49CE-9CC8-CCED8D73728D}"/>
    <cellStyle name="40% - Accent5 39 4 2 2" xfId="16319" xr:uid="{F0A255A0-E6C8-44A1-8E57-C44968C69648}"/>
    <cellStyle name="40% - Accent5 39 4 3" xfId="16320" xr:uid="{F26A5EE8-1D9A-4F4F-8E8B-B9F767E8B712}"/>
    <cellStyle name="40% - Accent5 39 5" xfId="16321" xr:uid="{775F1C3D-3439-459D-AD09-0662970B622A}"/>
    <cellStyle name="40% - Accent5 39 5 2" xfId="16322" xr:uid="{8655FA9C-7543-457A-8139-3FC0639F4162}"/>
    <cellStyle name="40% - Accent5 39 6" xfId="37551" xr:uid="{649C11F8-DA6F-4728-831F-94B2B343F31C}"/>
    <cellStyle name="40% - Accent5 4" xfId="16323" xr:uid="{64F3139D-3FF9-470D-B9A1-ECCB1A085AF1}"/>
    <cellStyle name="40% - Accent5 4 2" xfId="16324" xr:uid="{B0B63836-DC76-411A-BA0E-62CAADC3F1A4}"/>
    <cellStyle name="40% - Accent5 4 2 2" xfId="16325" xr:uid="{81001099-3CE9-4097-95D7-87A7723C3B4A}"/>
    <cellStyle name="40% - Accent5 4 2 2 2" xfId="37552" xr:uid="{6ACD0051-678C-484F-8823-C6398561A4EA}"/>
    <cellStyle name="40% - Accent5 4 2 3" xfId="37553" xr:uid="{14142EC8-8CE3-4D4A-890F-3486AFED9D9B}"/>
    <cellStyle name="40% - Accent5 4 2 4" xfId="37554" xr:uid="{CF1C4847-E913-42E3-9CC3-96BA3FE1C006}"/>
    <cellStyle name="40% - Accent5 4 3" xfId="16326" xr:uid="{E9B261BF-B4C8-4C2B-A77F-802DD43321E8}"/>
    <cellStyle name="40% - Accent5 4 3 2" xfId="37555" xr:uid="{DA8907BE-BE39-4796-8C37-634EC0465312}"/>
    <cellStyle name="40% - Accent5 4 4" xfId="37556" xr:uid="{10E670F9-D928-4AF5-8145-C5579614B586}"/>
    <cellStyle name="40% - Accent5 4 5" xfId="37557" xr:uid="{EA97CC95-1700-4F20-B94B-B7BEBAE176E3}"/>
    <cellStyle name="40% - Accent5 40" xfId="16327" xr:uid="{967C2D9D-BA9B-494D-8E4D-B02F9AA3464E}"/>
    <cellStyle name="40% - Accent5 40 2" xfId="16328" xr:uid="{CC15DD96-6932-493E-81F3-EFB497AA9AEA}"/>
    <cellStyle name="40% - Accent5 40 2 2" xfId="16329" xr:uid="{5DBA7FB9-161A-4762-A4A0-211B49639AD6}"/>
    <cellStyle name="40% - Accent5 40 2 2 2" xfId="16330" xr:uid="{7C19FBDE-4BC2-47F3-8548-A1DB02E4296B}"/>
    <cellStyle name="40% - Accent5 40 2 2 2 2" xfId="16331" xr:uid="{567C7E7B-9F9B-4C4A-8BDD-CABA990E211D}"/>
    <cellStyle name="40% - Accent5 40 2 2 3" xfId="16332" xr:uid="{B46A92BF-1EE8-42DD-9A32-90044571E232}"/>
    <cellStyle name="40% - Accent5 40 2 3" xfId="16333" xr:uid="{97B7A918-283B-4A10-AA61-F33EFEE87BBE}"/>
    <cellStyle name="40% - Accent5 40 2 3 2" xfId="16334" xr:uid="{58204BE5-C68F-49E4-B9FE-C4952021796D}"/>
    <cellStyle name="40% - Accent5 40 2 3 2 2" xfId="16335" xr:uid="{93FA23F7-4008-4446-9352-2C071BFF7191}"/>
    <cellStyle name="40% - Accent5 40 2 3 3" xfId="16336" xr:uid="{8DD444CB-B34F-4891-BC8B-CFB6CBE06264}"/>
    <cellStyle name="40% - Accent5 40 2 4" xfId="16337" xr:uid="{8BB6C186-0191-4D8C-84B2-D249F6B60583}"/>
    <cellStyle name="40% - Accent5 40 2 4 2" xfId="16338" xr:uid="{BE144320-78F6-489A-93C7-B6AAC41CAA06}"/>
    <cellStyle name="40% - Accent5 40 2 5" xfId="16339" xr:uid="{D7A94012-1E74-4FBD-880F-2ABEE989CA65}"/>
    <cellStyle name="40% - Accent5 40 3" xfId="16340" xr:uid="{512BF358-A0E5-4FAF-80E8-C283C04DD16A}"/>
    <cellStyle name="40% - Accent5 40 3 2" xfId="16341" xr:uid="{B95400F9-5F47-4D10-94FA-EE1DCC9C330E}"/>
    <cellStyle name="40% - Accent5 40 3 2 2" xfId="16342" xr:uid="{BE593FF6-4B34-433F-B0FF-6FC235CAC2F2}"/>
    <cellStyle name="40% - Accent5 40 3 3" xfId="16343" xr:uid="{6196D297-573D-4B37-9FEA-D35531EEEE6C}"/>
    <cellStyle name="40% - Accent5 40 4" xfId="16344" xr:uid="{11865C37-4D87-4821-A7B8-4FF3C0904B9B}"/>
    <cellStyle name="40% - Accent5 40 4 2" xfId="16345" xr:uid="{23A81E0C-21DD-4EB8-91BA-FD4F79B1D65A}"/>
    <cellStyle name="40% - Accent5 40 4 2 2" xfId="16346" xr:uid="{82A8AE2D-8E1D-4EBA-9116-267CA5E32914}"/>
    <cellStyle name="40% - Accent5 40 4 3" xfId="16347" xr:uid="{D0E54215-A9D6-4538-ACE9-108AB6323924}"/>
    <cellStyle name="40% - Accent5 40 5" xfId="16348" xr:uid="{DD02D2F1-4C84-43FF-B9FB-1DE46FA3BC5A}"/>
    <cellStyle name="40% - Accent5 40 5 2" xfId="16349" xr:uid="{FEE27C75-6DD4-4D2D-A98B-40685ABDA298}"/>
    <cellStyle name="40% - Accent5 40 6" xfId="37558" xr:uid="{AFD1F804-4EA2-4750-9A46-AF34DC77CE48}"/>
    <cellStyle name="40% - Accent5 41" xfId="16350" xr:uid="{1DAD6B06-EF59-4297-9E41-D240A75E31B5}"/>
    <cellStyle name="40% - Accent5 41 2" xfId="16351" xr:uid="{33D0C17A-6663-4B93-96EF-58E107619A4B}"/>
    <cellStyle name="40% - Accent5 41 2 2" xfId="16352" xr:uid="{41FBA600-A259-405A-A71F-C867E6627A84}"/>
    <cellStyle name="40% - Accent5 41 2 2 2" xfId="16353" xr:uid="{33C7CD8E-3F77-475E-9007-BA0C4A161E24}"/>
    <cellStyle name="40% - Accent5 41 2 2 2 2" xfId="16354" xr:uid="{C3A5154B-1B8A-4756-B77C-DCEB295EC9AE}"/>
    <cellStyle name="40% - Accent5 41 2 2 3" xfId="16355" xr:uid="{0460BC30-9A81-44CC-BE0C-7372B4D42C4D}"/>
    <cellStyle name="40% - Accent5 41 2 3" xfId="16356" xr:uid="{244A3893-F041-43D9-A9B9-258118D00832}"/>
    <cellStyle name="40% - Accent5 41 2 3 2" xfId="16357" xr:uid="{EBC26F78-E211-4220-A4A0-3668DFAF8207}"/>
    <cellStyle name="40% - Accent5 41 2 3 2 2" xfId="16358" xr:uid="{B365CEBB-65FA-45D9-AFC6-19CABBEC9914}"/>
    <cellStyle name="40% - Accent5 41 2 3 3" xfId="16359" xr:uid="{5DACEFEF-0285-448C-97C7-CDC01FEB55BB}"/>
    <cellStyle name="40% - Accent5 41 2 4" xfId="16360" xr:uid="{026281CC-1F53-4A11-A1AB-7D39327B8BC8}"/>
    <cellStyle name="40% - Accent5 41 2 4 2" xfId="16361" xr:uid="{5EC23E3D-DC64-4264-9E38-9091F891352F}"/>
    <cellStyle name="40% - Accent5 41 2 5" xfId="16362" xr:uid="{EE1AF5B1-AC65-480D-84F4-9D875C3EC4DE}"/>
    <cellStyle name="40% - Accent5 41 3" xfId="16363" xr:uid="{79E28C38-C425-41DC-8CB4-1DFFE3A12EC3}"/>
    <cellStyle name="40% - Accent5 41 3 2" xfId="16364" xr:uid="{1E9F0ABB-A85D-4F06-897C-A19C986FCD57}"/>
    <cellStyle name="40% - Accent5 41 3 2 2" xfId="16365" xr:uid="{8E70A43C-090D-4B61-ACCB-B5CC9611F5B2}"/>
    <cellStyle name="40% - Accent5 41 3 3" xfId="16366" xr:uid="{C6919388-207F-43DE-BAF2-2CB4D01F5F26}"/>
    <cellStyle name="40% - Accent5 41 4" xfId="16367" xr:uid="{D5C1299A-A239-4F17-97B1-C16DB12C3391}"/>
    <cellStyle name="40% - Accent5 41 4 2" xfId="16368" xr:uid="{5262EB37-EF47-4381-BFE7-28CF55025741}"/>
    <cellStyle name="40% - Accent5 41 4 2 2" xfId="16369" xr:uid="{FBDC2984-1386-4858-9A14-FC6F8E721D09}"/>
    <cellStyle name="40% - Accent5 41 4 3" xfId="16370" xr:uid="{4BBA2B46-7985-492B-9ED7-20AAAB9F1635}"/>
    <cellStyle name="40% - Accent5 41 5" xfId="16371" xr:uid="{A7FBEA05-503B-4341-84CA-CEC9EDD06FB2}"/>
    <cellStyle name="40% - Accent5 41 5 2" xfId="16372" xr:uid="{7A3F2EBF-1A60-420F-9BD3-A08C846DEB21}"/>
    <cellStyle name="40% - Accent5 41 6" xfId="37559" xr:uid="{1F784C1F-F4CD-4697-9387-49901126C212}"/>
    <cellStyle name="40% - Accent5 42" xfId="16373" xr:uid="{27C599D9-D8F5-4C2D-8C6D-372C0502FBEF}"/>
    <cellStyle name="40% - Accent5 42 2" xfId="16374" xr:uid="{AF982E34-4559-4895-AB49-19E2AAFB69B7}"/>
    <cellStyle name="40% - Accent5 42 2 2" xfId="16375" xr:uid="{32C15C6A-5287-4B0F-AD4B-49A48719CA3B}"/>
    <cellStyle name="40% - Accent5 42 2 2 2" xfId="16376" xr:uid="{6B5E0DC6-6DD2-4F3D-AA06-4E4D20E41BCB}"/>
    <cellStyle name="40% - Accent5 42 2 2 2 2" xfId="16377" xr:uid="{ADE5183D-FF78-4367-9FDD-558B3054A2AA}"/>
    <cellStyle name="40% - Accent5 42 2 2 3" xfId="16378" xr:uid="{9CF0104D-91E8-4372-B0CC-E6D5285020CD}"/>
    <cellStyle name="40% - Accent5 42 2 3" xfId="16379" xr:uid="{742F512A-6A97-447F-87B7-DD3F11C28135}"/>
    <cellStyle name="40% - Accent5 42 2 3 2" xfId="16380" xr:uid="{2B52E5C5-1A88-414A-A4B1-4A71C92BDEA9}"/>
    <cellStyle name="40% - Accent5 42 2 3 2 2" xfId="16381" xr:uid="{CF3AE8DB-11B4-4481-AFC4-772CF79431A2}"/>
    <cellStyle name="40% - Accent5 42 2 3 3" xfId="16382" xr:uid="{E9364439-B727-4FCF-8829-7ACCE21EC915}"/>
    <cellStyle name="40% - Accent5 42 2 4" xfId="16383" xr:uid="{A613441F-3A06-43B1-8BC7-5418FC4EB162}"/>
    <cellStyle name="40% - Accent5 42 2 4 2" xfId="16384" xr:uid="{631D1C50-62D8-4C77-9D62-41D02575EDFC}"/>
    <cellStyle name="40% - Accent5 42 2 5" xfId="16385" xr:uid="{49BE4009-1884-4D4E-B591-D78D66AAFE3B}"/>
    <cellStyle name="40% - Accent5 42 3" xfId="16386" xr:uid="{E4866882-60CD-41CA-9F49-44FE60FC45DC}"/>
    <cellStyle name="40% - Accent5 42 3 2" xfId="16387" xr:uid="{71F81670-6A29-47E2-B8D0-3E0117483C1D}"/>
    <cellStyle name="40% - Accent5 42 3 2 2" xfId="16388" xr:uid="{54A59E7E-6794-4B92-8494-ABB5F82E4A3B}"/>
    <cellStyle name="40% - Accent5 42 3 3" xfId="16389" xr:uid="{5143B3E3-59FC-43BA-A558-4CA1798E80E7}"/>
    <cellStyle name="40% - Accent5 42 4" xfId="16390" xr:uid="{75086607-8A2B-4324-9021-6FD63132C4D7}"/>
    <cellStyle name="40% - Accent5 42 4 2" xfId="16391" xr:uid="{73C72F05-1C4E-4388-8109-80FD0BFBE01A}"/>
    <cellStyle name="40% - Accent5 42 4 2 2" xfId="16392" xr:uid="{92FB316D-DA16-4F85-9F86-67F748C82997}"/>
    <cellStyle name="40% - Accent5 42 4 3" xfId="16393" xr:uid="{B2C0110E-E2C4-4687-994E-555335FB4054}"/>
    <cellStyle name="40% - Accent5 42 5" xfId="16394" xr:uid="{92FAE25F-8367-421C-A497-D70D9F26CA95}"/>
    <cellStyle name="40% - Accent5 42 5 2" xfId="16395" xr:uid="{CFA710E7-9D54-456C-BAB9-D70A95E44C24}"/>
    <cellStyle name="40% - Accent5 42 6" xfId="37560" xr:uid="{B44E2BE5-B209-44DB-A6E7-CDF1B111CADE}"/>
    <cellStyle name="40% - Accent5 43" xfId="16396" xr:uid="{567AA4E3-0163-445A-AF09-0ACFEB250692}"/>
    <cellStyle name="40% - Accent5 43 2" xfId="16397" xr:uid="{9C8F754F-861F-4F55-9F95-61D400708A52}"/>
    <cellStyle name="40% - Accent5 43 3" xfId="37561" xr:uid="{45F8C0A3-A89E-4758-ADFF-0EFE2407AA4A}"/>
    <cellStyle name="40% - Accent5 44" xfId="16398" xr:uid="{D658F31D-A5F6-4AA3-8407-BF65223D536B}"/>
    <cellStyle name="40% - Accent5 44 2" xfId="16399" xr:uid="{1FAB6DB6-EC03-43B8-BC0F-9C1CB61FF839}"/>
    <cellStyle name="40% - Accent5 44 3" xfId="37562" xr:uid="{99F466EB-D2CA-48DB-9106-69706FB86FAD}"/>
    <cellStyle name="40% - Accent5 45" xfId="16400" xr:uid="{5F683C94-A799-4CFC-9D3F-A545DA1122A9}"/>
    <cellStyle name="40% - Accent5 45 2" xfId="16401" xr:uid="{C0CFEABC-BF19-4865-AB8C-61FDDBDA333F}"/>
    <cellStyle name="40% - Accent5 45 3" xfId="37563" xr:uid="{F5480C1A-C597-4B96-8812-A6D9A06D7A5F}"/>
    <cellStyle name="40% - Accent5 46" xfId="16402" xr:uid="{AEA22347-C727-46AF-8524-ACB37FC43F7F}"/>
    <cellStyle name="40% - Accent5 46 2" xfId="16403" xr:uid="{44B53F23-C779-4166-BC53-BE40FEA931C4}"/>
    <cellStyle name="40% - Accent5 46 3" xfId="37564" xr:uid="{918AFEA0-1ECA-4BFD-B67B-3BB0982E5745}"/>
    <cellStyle name="40% - Accent5 47" xfId="16404" xr:uid="{F1C25044-1959-4828-BBC8-1D4C51BD96BB}"/>
    <cellStyle name="40% - Accent5 47 2" xfId="16405" xr:uid="{1AF4E23C-EF4A-4E24-B91C-EE75ED1A6693}"/>
    <cellStyle name="40% - Accent5 47 3" xfId="37565" xr:uid="{4A11DD70-D249-4621-AA0D-E90F2B4F910C}"/>
    <cellStyle name="40% - Accent5 48" xfId="16406" xr:uid="{7C22BEDD-5C6F-4E6E-A7D0-0A0129C9D428}"/>
    <cellStyle name="40% - Accent5 48 2" xfId="16407" xr:uid="{3643F178-ACCA-41D1-920B-C8DDAD4CE1CF}"/>
    <cellStyle name="40% - Accent5 48 3" xfId="37566" xr:uid="{C29F6212-1F35-4002-8393-A73485C73FCC}"/>
    <cellStyle name="40% - Accent5 49" xfId="16408" xr:uid="{B026BC45-3A48-4758-9A68-A9A74A0AF4FE}"/>
    <cellStyle name="40% - Accent5 49 2" xfId="16409" xr:uid="{F1921E50-11B7-423C-9A4B-361A8B8A9DFC}"/>
    <cellStyle name="40% - Accent5 49 3" xfId="37567" xr:uid="{989BCBD3-9E64-40C4-B4B4-9515D707ED11}"/>
    <cellStyle name="40% - Accent5 5" xfId="16410" xr:uid="{14827259-9CB2-4085-BE85-1D604EB2E965}"/>
    <cellStyle name="40% - Accent5 5 2" xfId="16411" xr:uid="{42015B3B-D309-49A0-BA88-AAAEF0EA96AC}"/>
    <cellStyle name="40% - Accent5 5 2 2" xfId="16412" xr:uid="{BDBD5AE9-C270-44B3-826B-8DBA16DBA3A1}"/>
    <cellStyle name="40% - Accent5 5 2 2 2" xfId="37568" xr:uid="{29F94479-5D03-4602-9398-A4235D369F2D}"/>
    <cellStyle name="40% - Accent5 5 2 3" xfId="37569" xr:uid="{F08EC891-1616-44DB-9138-F6FE5333EF2E}"/>
    <cellStyle name="40% - Accent5 5 2 4" xfId="37570" xr:uid="{61050B1E-CF66-4E61-8187-70EB60B6A14E}"/>
    <cellStyle name="40% - Accent5 5 3" xfId="16413" xr:uid="{4C9030C8-86F7-4C72-A8A4-381EF087759B}"/>
    <cellStyle name="40% - Accent5 5 3 2" xfId="37571" xr:uid="{48CBA09F-FD49-4D56-BEFB-47BC45DBC1FE}"/>
    <cellStyle name="40% - Accent5 5 4" xfId="37572" xr:uid="{568D7AC5-AE30-40FA-A082-4C022BEDEDAF}"/>
    <cellStyle name="40% - Accent5 5 5" xfId="37573" xr:uid="{C68DAF90-76A3-4155-BC2C-FFA7DDDE1778}"/>
    <cellStyle name="40% - Accent5 50" xfId="16414" xr:uid="{5B7AD05D-F0F6-457E-B34C-71F39C71D51E}"/>
    <cellStyle name="40% - Accent5 50 2" xfId="16415" xr:uid="{E840687E-6480-4A6F-B448-C040F9DAC34A}"/>
    <cellStyle name="40% - Accent5 50 3" xfId="37574" xr:uid="{99F75FD6-02FC-42E6-8F49-BB4E9660A043}"/>
    <cellStyle name="40% - Accent5 51" xfId="16416" xr:uid="{A311966D-53D8-453B-8108-A65512CA7F61}"/>
    <cellStyle name="40% - Accent5 51 2" xfId="37575" xr:uid="{58E7AC82-3C45-4E0F-BADB-C1646A8D0DCD}"/>
    <cellStyle name="40% - Accent5 52" xfId="16417" xr:uid="{3975452F-AC18-4CC7-9AAF-1BE75D7883E9}"/>
    <cellStyle name="40% - Accent5 52 2" xfId="37576" xr:uid="{C9EEFB73-66A0-48B6-81E9-1748C9207032}"/>
    <cellStyle name="40% - Accent5 53" xfId="16418" xr:uid="{34F612CF-4EEE-4BC5-BA25-D6C91673E409}"/>
    <cellStyle name="40% - Accent5 53 2" xfId="37577" xr:uid="{7FCFD8BE-3D6A-4078-8A1E-40D24CD2DA73}"/>
    <cellStyle name="40% - Accent5 54" xfId="16419" xr:uid="{9C641B04-1759-49FC-89B5-F5B5B3096C10}"/>
    <cellStyle name="40% - Accent5 54 2" xfId="37578" xr:uid="{2FCFD7BC-BBCE-461D-B440-9845D7F3DE0E}"/>
    <cellStyle name="40% - Accent5 55" xfId="16420" xr:uid="{1B3FAFDD-2417-4C5E-8641-D34BCC2915F5}"/>
    <cellStyle name="40% - Accent5 55 2" xfId="37579" xr:uid="{C9A43818-0DA8-47EB-A3F2-20CABF625E0B}"/>
    <cellStyle name="40% - Accent5 56" xfId="16421" xr:uid="{6C6894B7-EB48-4C80-9A01-F0D9AA279D56}"/>
    <cellStyle name="40% - Accent5 56 2" xfId="37580" xr:uid="{1AB4E5D1-04D6-4914-BA2E-E3EEE597CB24}"/>
    <cellStyle name="40% - Accent5 57" xfId="16422" xr:uid="{7BAFF53E-C2EF-4900-9FC5-876ACE3D91B4}"/>
    <cellStyle name="40% - Accent5 57 2" xfId="37581" xr:uid="{4AE41079-D56B-4C7C-95B6-A73EDF3B7256}"/>
    <cellStyle name="40% - Accent5 58" xfId="16423" xr:uid="{71627963-7BF0-49DA-8A8D-D9868B6793EB}"/>
    <cellStyle name="40% - Accent5 58 2" xfId="37582" xr:uid="{326F248D-3B85-4D34-B607-CB28860EBDED}"/>
    <cellStyle name="40% - Accent5 59" xfId="16424" xr:uid="{2A4D5CC4-DC0A-47A1-94EC-8C7104AEFD1E}"/>
    <cellStyle name="40% - Accent5 59 2" xfId="37583" xr:uid="{9A8B058A-B51F-43BB-B1AA-1FE65EA67F2F}"/>
    <cellStyle name="40% - Accent5 6" xfId="16425" xr:uid="{7E16BDC0-4CA9-4730-8FF4-44BD7418B7A7}"/>
    <cellStyle name="40% - Accent5 6 2" xfId="16426" xr:uid="{7210CCCC-302A-4C20-AC5F-00C335F457D2}"/>
    <cellStyle name="40% - Accent5 6 2 2" xfId="16427" xr:uid="{268DCC2A-D85B-4225-BF74-0FB58A50C651}"/>
    <cellStyle name="40% - Accent5 6 2 2 2" xfId="37584" xr:uid="{AFADD3A7-9CC1-4998-A29A-A0AFF5A78F43}"/>
    <cellStyle name="40% - Accent5 6 2 3" xfId="37585" xr:uid="{E491B172-C97E-47F7-AE4C-2B636A5705A5}"/>
    <cellStyle name="40% - Accent5 6 2 4" xfId="37586" xr:uid="{24E34DE4-0F4C-4FC2-B575-0DFE3588EDC7}"/>
    <cellStyle name="40% - Accent5 6 3" xfId="16428" xr:uid="{7E8C97B5-EFC9-4925-B888-342E17DD3FA7}"/>
    <cellStyle name="40% - Accent5 6 3 2" xfId="37587" xr:uid="{D139FBD3-0719-487A-B73D-3FAF1A50801D}"/>
    <cellStyle name="40% - Accent5 6 4" xfId="37588" xr:uid="{8978C29F-2058-400F-BC73-3062275219EA}"/>
    <cellStyle name="40% - Accent5 6 5" xfId="37589" xr:uid="{0E4828EC-A207-4EF5-8021-E4BEE953A96D}"/>
    <cellStyle name="40% - Accent5 60" xfId="16429" xr:uid="{BD32EA53-E949-4FA9-9CEE-91F88E88BD09}"/>
    <cellStyle name="40% - Accent5 60 2" xfId="37590" xr:uid="{A5D3AB42-888D-42D1-AF7A-9D4AD3B90C4C}"/>
    <cellStyle name="40% - Accent5 61" xfId="16430" xr:uid="{BD10930D-3682-4C93-A601-C82955C6AA90}"/>
    <cellStyle name="40% - Accent5 61 2" xfId="37591" xr:uid="{D4B05F9C-D0B2-410B-A069-9E911D35D344}"/>
    <cellStyle name="40% - Accent5 62" xfId="16431" xr:uid="{2A6F0968-B5EC-40D8-BF8B-59C64508BB2A}"/>
    <cellStyle name="40% - Accent5 62 2" xfId="37592" xr:uid="{F498079D-E780-4E99-93AA-581512197B56}"/>
    <cellStyle name="40% - Accent5 63" xfId="16432" xr:uid="{FE6A0942-E1BD-4452-979D-857208E33C85}"/>
    <cellStyle name="40% - Accent5 63 2" xfId="37593" xr:uid="{B1754CCB-FE45-4D76-AFA6-2D737DAD5DD4}"/>
    <cellStyle name="40% - Accent5 64" xfId="16433" xr:uid="{C3F1DC0F-7EF3-44E2-9EE9-1D4395453037}"/>
    <cellStyle name="40% - Accent5 64 2" xfId="37594" xr:uid="{CBE45182-BD0F-4599-81DB-9B21D76CD87C}"/>
    <cellStyle name="40% - Accent5 65" xfId="16434" xr:uid="{D04541D6-B436-4B3B-8373-B5AC472DCB8C}"/>
    <cellStyle name="40% - Accent5 65 2" xfId="37595" xr:uid="{FE25C51A-269E-4191-A821-9659771E5411}"/>
    <cellStyle name="40% - Accent5 66" xfId="16435" xr:uid="{1A1364A9-C18D-4566-A295-240219FB637E}"/>
    <cellStyle name="40% - Accent5 66 2" xfId="16436" xr:uid="{75E125DF-0729-4AEC-9DA7-D15744612DCB}"/>
    <cellStyle name="40% - Accent5 66 2 2" xfId="16437" xr:uid="{84A22840-CA5D-4A18-A2F0-416CF44AAC6E}"/>
    <cellStyle name="40% - Accent5 66 3" xfId="16438" xr:uid="{950ADDBD-9935-4FD7-B1D9-A5295898D6C0}"/>
    <cellStyle name="40% - Accent5 66 3 2" xfId="16439" xr:uid="{F6BE47F2-2FF7-4E53-9DA7-9E0598DCE226}"/>
    <cellStyle name="40% - Accent5 66 4" xfId="16440" xr:uid="{CB753902-3F64-4D59-91EA-C33B58ACDEFB}"/>
    <cellStyle name="40% - Accent5 66 5" xfId="37596" xr:uid="{F7EAE1CE-FCF2-4F69-AF7C-6841FD995E6C}"/>
    <cellStyle name="40% - Accent5 67" xfId="16441" xr:uid="{419DB05C-A62A-432B-AA6C-821CEF3D77E3}"/>
    <cellStyle name="40% - Accent5 67 2" xfId="16442" xr:uid="{8DAB3AA6-5813-4B79-A02D-E41B6D8BF002}"/>
    <cellStyle name="40% - Accent5 67 2 2" xfId="16443" xr:uid="{8AD73643-08E0-4146-8B20-55178FA4F63A}"/>
    <cellStyle name="40% - Accent5 67 3" xfId="16444" xr:uid="{6577566A-F5F3-41F8-AE5E-A9ACDB7A8436}"/>
    <cellStyle name="40% - Accent5 67 3 2" xfId="16445" xr:uid="{B1252DEE-5862-4F35-9337-957DF08DA6EB}"/>
    <cellStyle name="40% - Accent5 67 4" xfId="16446" xr:uid="{E1AC7308-9B42-49FB-97FD-B4212C02A35E}"/>
    <cellStyle name="40% - Accent5 67 5" xfId="37597" xr:uid="{E44AE00D-E06B-4F01-B3C1-F742473C5666}"/>
    <cellStyle name="40% - Accent5 68" xfId="16447" xr:uid="{2B080C50-DCD0-45B8-9AF3-2B0CD82C3FAF}"/>
    <cellStyle name="40% - Accent5 68 2" xfId="16448" xr:uid="{C8210659-E8C0-4425-8A23-F7B6EB59ED74}"/>
    <cellStyle name="40% - Accent5 68 2 2" xfId="16449" xr:uid="{8967BD6C-CCCE-4755-962D-6BB4E7ED5A20}"/>
    <cellStyle name="40% - Accent5 68 3" xfId="16450" xr:uid="{5875D1E8-DAC4-426E-B1C0-594ED04644B7}"/>
    <cellStyle name="40% - Accent5 68 3 2" xfId="16451" xr:uid="{ACC62614-6933-497F-B9E0-3BB9DCD78421}"/>
    <cellStyle name="40% - Accent5 68 4" xfId="16452" xr:uid="{9A47B8B8-9588-4838-ADB3-056759605EE7}"/>
    <cellStyle name="40% - Accent5 68 5" xfId="37598" xr:uid="{394AF21C-9DE4-445D-A610-195BE7769007}"/>
    <cellStyle name="40% - Accent5 69" xfId="16453" xr:uid="{6EA2F61F-3839-4C12-849C-EF10FCB650F3}"/>
    <cellStyle name="40% - Accent5 69 2" xfId="16454" xr:uid="{B775081E-C3B3-4B4D-A8C5-CE0B8855E173}"/>
    <cellStyle name="40% - Accent5 69 2 2" xfId="16455" xr:uid="{27A63B67-9BB0-4803-8ED3-83138BAF163F}"/>
    <cellStyle name="40% - Accent5 69 3" xfId="16456" xr:uid="{92DD4F4E-B5F8-4135-99AF-888417BEBCAF}"/>
    <cellStyle name="40% - Accent5 69 4" xfId="37599" xr:uid="{AA1EFDCC-AFC5-4B50-A5A0-F4782F6F8CDD}"/>
    <cellStyle name="40% - Accent5 7" xfId="16457" xr:uid="{0E02E7F6-DF88-4CBE-9701-B0E26225FDF0}"/>
    <cellStyle name="40% - Accent5 7 2" xfId="16458" xr:uid="{271B156A-5780-4BAC-A83F-BDC94882D058}"/>
    <cellStyle name="40% - Accent5 7 2 2" xfId="16459" xr:uid="{2347927A-0A1B-417B-982C-AA9587C52985}"/>
    <cellStyle name="40% - Accent5 7 2 2 2" xfId="37600" xr:uid="{2A847DE3-D243-4BD8-BE1C-F6BA09B6AC8F}"/>
    <cellStyle name="40% - Accent5 7 2 3" xfId="37601" xr:uid="{6C13DC86-89BF-496C-B924-FD327C4610E7}"/>
    <cellStyle name="40% - Accent5 7 2 4" xfId="37602" xr:uid="{D8A28EFB-4ECF-4167-8CA1-13E8D8915FA6}"/>
    <cellStyle name="40% - Accent5 7 3" xfId="16460" xr:uid="{A10E1137-00BB-4F04-9B0A-DDE5AAE0B271}"/>
    <cellStyle name="40% - Accent5 7 3 2" xfId="37603" xr:uid="{47CC76FA-8F51-4878-8E29-E1A4B862082C}"/>
    <cellStyle name="40% - Accent5 7 4" xfId="37604" xr:uid="{261ADF1B-A6DA-4135-B5DA-E97D5A36467B}"/>
    <cellStyle name="40% - Accent5 7 5" xfId="37605" xr:uid="{BED2159D-F9B7-42E3-B4A2-0F81D8E778DA}"/>
    <cellStyle name="40% - Accent5 70" xfId="16461" xr:uid="{24B2CA60-E600-42C1-AFCD-AB5D720E72AC}"/>
    <cellStyle name="40% - Accent5 70 2" xfId="16462" xr:uid="{23CEFD92-B33F-41FF-9D3D-6470276AC7E7}"/>
    <cellStyle name="40% - Accent5 70 2 2" xfId="16463" xr:uid="{89768368-0E18-4202-B606-6FAA7FCE55AE}"/>
    <cellStyle name="40% - Accent5 70 3" xfId="16464" xr:uid="{464F3E4E-1C9E-4E02-BBD1-CA2F27DC80A6}"/>
    <cellStyle name="40% - Accent5 70 4" xfId="37606" xr:uid="{84F88AF7-B437-4727-8F98-810B0A3C7588}"/>
    <cellStyle name="40% - Accent5 71" xfId="16465" xr:uid="{84FE657B-7034-4C90-AA8B-4050B9B0D516}"/>
    <cellStyle name="40% - Accent5 71 2" xfId="16466" xr:uid="{F65D9F7F-0428-4BF1-ACDC-09A38AB4138E}"/>
    <cellStyle name="40% - Accent5 71 2 2" xfId="16467" xr:uid="{2D87DCAA-9336-4DC6-AF57-1B6A99CB2D9C}"/>
    <cellStyle name="40% - Accent5 71 3" xfId="16468" xr:uid="{CF22A75C-3FAC-4A82-9DDF-52D3F760BBC2}"/>
    <cellStyle name="40% - Accent5 71 4" xfId="37607" xr:uid="{34910011-5940-4F6F-B004-B172557F1A71}"/>
    <cellStyle name="40% - Accent5 72" xfId="16469" xr:uid="{FB0DA0C0-36EB-4550-8E05-01A90975105B}"/>
    <cellStyle name="40% - Accent5 72 2" xfId="16470" xr:uid="{5A642301-66C7-449F-8C63-34855595BB5F}"/>
    <cellStyle name="40% - Accent5 72 2 2" xfId="16471" xr:uid="{ADFCC0C6-BDA7-4C33-9216-BDED56F288CA}"/>
    <cellStyle name="40% - Accent5 72 3" xfId="16472" xr:uid="{968BF732-5A82-453E-9A38-94995ED8A707}"/>
    <cellStyle name="40% - Accent5 72 4" xfId="37608" xr:uid="{103CF107-D143-42DE-A1D2-D1881A7B3861}"/>
    <cellStyle name="40% - Accent5 73" xfId="16473" xr:uid="{B28D59BB-7DBC-4413-9A46-882F7EEC780B}"/>
    <cellStyle name="40% - Accent5 73 2" xfId="16474" xr:uid="{A7C8A111-47E3-4274-ACFE-509C6FBC9270}"/>
    <cellStyle name="40% - Accent5 73 2 2" xfId="16475" xr:uid="{6709978D-7890-4193-8D73-34DE272CB519}"/>
    <cellStyle name="40% - Accent5 73 3" xfId="16476" xr:uid="{9E64DA9C-D74A-4B08-85DE-652A345E1405}"/>
    <cellStyle name="40% - Accent5 73 4" xfId="37609" xr:uid="{0C5686CB-11D1-4E91-A094-3D4586DA9A04}"/>
    <cellStyle name="40% - Accent5 74" xfId="16477" xr:uid="{7F09BD01-8075-409A-A72D-CE07A07C3B1F}"/>
    <cellStyle name="40% - Accent5 74 2" xfId="16478" xr:uid="{4C0FB5FE-129B-486A-989A-F32ED6C52797}"/>
    <cellStyle name="40% - Accent5 74 2 2" xfId="16479" xr:uid="{E711AB5C-FD7F-4DFB-A4D0-495CBCB8D000}"/>
    <cellStyle name="40% - Accent5 74 3" xfId="16480" xr:uid="{5894CEBE-0D06-4CF9-A3B9-04A91751DA90}"/>
    <cellStyle name="40% - Accent5 74 4" xfId="37610" xr:uid="{75D5BE11-D589-4E26-914C-DABB96DCC29A}"/>
    <cellStyle name="40% - Accent5 75" xfId="16481" xr:uid="{0A5F374A-02FF-4970-BEB3-D3B0A39A2631}"/>
    <cellStyle name="40% - Accent5 75 2" xfId="16482" xr:uid="{42BF2014-A4B1-4780-B81F-D5B827C433AA}"/>
    <cellStyle name="40% - Accent5 75 2 2" xfId="16483" xr:uid="{53C3443C-F237-46F8-8D61-95DE25A27A56}"/>
    <cellStyle name="40% - Accent5 75 3" xfId="16484" xr:uid="{5B5CA920-99E1-4851-A35E-8704ABEAE5BE}"/>
    <cellStyle name="40% - Accent5 75 4" xfId="37611" xr:uid="{74E8F55D-E989-40C4-B910-6C17ED1AD8D8}"/>
    <cellStyle name="40% - Accent5 76" xfId="16485" xr:uid="{D238E283-757E-4DD5-987D-610DCB52099A}"/>
    <cellStyle name="40% - Accent5 76 2" xfId="16486" xr:uid="{7C88DC1F-507F-4BDF-9EAA-54639167504F}"/>
    <cellStyle name="40% - Accent5 76 2 2" xfId="16487" xr:uid="{F4505D27-4731-45E9-96D1-B3C0BCAB4B4D}"/>
    <cellStyle name="40% - Accent5 76 3" xfId="16488" xr:uid="{10F73DCE-D773-4173-A8BD-658A71384977}"/>
    <cellStyle name="40% - Accent5 76 4" xfId="37612" xr:uid="{F3E7906F-F031-4277-A527-BED183A3AFB9}"/>
    <cellStyle name="40% - Accent5 77" xfId="16489" xr:uid="{A6807AD2-30BC-4E25-99D1-7726DEAAF42B}"/>
    <cellStyle name="40% - Accent5 77 2" xfId="16490" xr:uid="{1FEC750B-7BFF-4AD9-8DAD-5951E3F54AEA}"/>
    <cellStyle name="40% - Accent5 77 2 2" xfId="16491" xr:uid="{A9AFF88C-74DE-4B39-B0A3-023FEF0ACA07}"/>
    <cellStyle name="40% - Accent5 77 3" xfId="16492" xr:uid="{312A7F48-89CB-45C4-9074-DC1B40D6DF9E}"/>
    <cellStyle name="40% - Accent5 77 4" xfId="37613" xr:uid="{D624996E-8B81-4AA8-BA26-9433E82688D3}"/>
    <cellStyle name="40% - Accent5 78" xfId="16493" xr:uid="{493FC933-1345-48D2-A1D2-6B03DB668466}"/>
    <cellStyle name="40% - Accent5 78 2" xfId="16494" xr:uid="{1B5A9EB4-A390-407C-BBC3-BC7A36B1DAE3}"/>
    <cellStyle name="40% - Accent5 78 2 2" xfId="16495" xr:uid="{F80C2026-0705-4998-9005-40E594BF3608}"/>
    <cellStyle name="40% - Accent5 78 3" xfId="16496" xr:uid="{A157EAF4-33C0-42F7-A057-FBB0C5B340B0}"/>
    <cellStyle name="40% - Accent5 78 4" xfId="37614" xr:uid="{39EBB450-E5EC-45BC-A9BE-41FE5CE55C64}"/>
    <cellStyle name="40% - Accent5 79" xfId="16497" xr:uid="{CB7099EB-025D-4182-8587-B3148C924392}"/>
    <cellStyle name="40% - Accent5 79 2" xfId="16498" xr:uid="{4CDC27E3-F5EF-4510-8255-AB64365879FC}"/>
    <cellStyle name="40% - Accent5 79 3" xfId="37615" xr:uid="{9F15A7ED-85CA-4C59-9C31-16A22334B595}"/>
    <cellStyle name="40% - Accent5 8" xfId="16499" xr:uid="{875C155A-1CC8-4286-BEC7-B74E6BC33CAD}"/>
    <cellStyle name="40% - Accent5 8 2" xfId="16500" xr:uid="{E23458E0-52CD-4508-9B7F-F91D41B5F3D2}"/>
    <cellStyle name="40% - Accent5 8 2 2" xfId="16501" xr:uid="{67027CB5-BE2B-43E0-90C3-A1D41B70A0AB}"/>
    <cellStyle name="40% - Accent5 8 2 2 2" xfId="37616" xr:uid="{8464BEC0-4976-467F-82E2-FC1E4175F49B}"/>
    <cellStyle name="40% - Accent5 8 2 3" xfId="37617" xr:uid="{AF309CE0-692C-4F92-BC53-2B85AF737BD7}"/>
    <cellStyle name="40% - Accent5 8 3" xfId="16502" xr:uid="{971A4BE8-772F-40DB-AB22-9529F4880544}"/>
    <cellStyle name="40% - Accent5 8 3 2" xfId="37618" xr:uid="{81B2D216-5F97-4D3B-BBD2-357767A71C23}"/>
    <cellStyle name="40% - Accent5 8 4" xfId="37619" xr:uid="{401D7C96-0B01-497C-AD86-8EAF233C59C4}"/>
    <cellStyle name="40% - Accent5 8 5" xfId="37620" xr:uid="{AAE858C7-0012-4815-9505-1F7508804130}"/>
    <cellStyle name="40% - Accent5 8 6" xfId="37621" xr:uid="{AC785844-B466-4F87-AD20-06846179E4AB}"/>
    <cellStyle name="40% - Accent5 8 7" xfId="37622" xr:uid="{F5B609F7-864B-4318-8369-C18459F6922E}"/>
    <cellStyle name="40% - Accent5 80" xfId="16503" xr:uid="{5E40AC91-4948-424A-9CBF-DCEBFAC1BCE9}"/>
    <cellStyle name="40% - Accent5 80 2" xfId="16504" xr:uid="{5A30C6F2-6C03-4F87-9D4B-2DA43E070A14}"/>
    <cellStyle name="40% - Accent5 80 3" xfId="37623" xr:uid="{225805F5-9564-419B-9A3E-6E2734A1A272}"/>
    <cellStyle name="40% - Accent5 81" xfId="16505" xr:uid="{67451DE1-C1FB-4C81-8CD4-7A61EFCF1737}"/>
    <cellStyle name="40% - Accent5 81 2" xfId="16506" xr:uid="{8B8669B9-5E95-42C1-AC3A-0BEAD30262FB}"/>
    <cellStyle name="40% - Accent5 81 3" xfId="37624" xr:uid="{614637F7-4A32-4587-9BF5-8863482578B9}"/>
    <cellStyle name="40% - Accent5 82" xfId="16507" xr:uid="{B0DF08D7-88AA-489B-A055-56FB9669339D}"/>
    <cellStyle name="40% - Accent5 82 2" xfId="16508" xr:uid="{EC649305-C0C1-48AA-A1D7-6683A28C943F}"/>
    <cellStyle name="40% - Accent5 82 3" xfId="37625" xr:uid="{D53E98C7-AD5B-4B0D-A9F1-456C02B41174}"/>
    <cellStyle name="40% - Accent5 83" xfId="16509" xr:uid="{45CA1205-BB9E-4AC4-88DA-A6531A6FB878}"/>
    <cellStyle name="40% - Accent5 83 2" xfId="16510" xr:uid="{EB58B244-AA23-4C88-8198-F9EA62B4A1BB}"/>
    <cellStyle name="40% - Accent5 83 3" xfId="37626" xr:uid="{6FAFC24B-C13B-4BC0-82A8-BDF7BEEE84CE}"/>
    <cellStyle name="40% - Accent5 84" xfId="16511" xr:uid="{F6BE785F-4CF5-435C-B2F0-6165441E9B9D}"/>
    <cellStyle name="40% - Accent5 84 2" xfId="16512" xr:uid="{50F9B448-1975-49BE-8160-744DBD5824F3}"/>
    <cellStyle name="40% - Accent5 84 3" xfId="37627" xr:uid="{6F61F587-F0D2-4914-B779-CFF84CCC959F}"/>
    <cellStyle name="40% - Accent5 85" xfId="16513" xr:uid="{6B758604-6B89-4397-8061-D68CC082696A}"/>
    <cellStyle name="40% - Accent5 85 2" xfId="16514" xr:uid="{0881F3D3-ACAC-4951-8671-725DF79A31BD}"/>
    <cellStyle name="40% - Accent5 85 3" xfId="37628" xr:uid="{E4ACFAE0-2244-42C6-9408-183D3817E08E}"/>
    <cellStyle name="40% - Accent5 86" xfId="16515" xr:uid="{2C78ABC8-EA43-40CB-B7C6-7A0F9F8A9E56}"/>
    <cellStyle name="40% - Accent5 86 2" xfId="16516" xr:uid="{0CEFA11C-1411-447B-A62D-1A5710F65DC7}"/>
    <cellStyle name="40% - Accent5 86 3" xfId="37629" xr:uid="{6580FBD3-32D7-40F9-8A1D-65832443FB7E}"/>
    <cellStyle name="40% - Accent5 87" xfId="16517" xr:uid="{3BEE3FDC-7325-4204-9378-79361B8E2284}"/>
    <cellStyle name="40% - Accent5 87 2" xfId="16518" xr:uid="{852E8250-FD3A-47F5-AD92-056EBFF99DB3}"/>
    <cellStyle name="40% - Accent5 87 3" xfId="37630" xr:uid="{5E50748C-0504-44F1-A364-09DBB48A9577}"/>
    <cellStyle name="40% - Accent5 88" xfId="16519" xr:uid="{E34E298B-E851-40AA-81A9-64197E4696C5}"/>
    <cellStyle name="40% - Accent5 88 2" xfId="16520" xr:uid="{F2BE78F0-2936-4A08-A09D-9117C1707DB1}"/>
    <cellStyle name="40% - Accent5 88 3" xfId="37631" xr:uid="{EB84DDD1-6B96-45AD-A860-EA72569DCEC8}"/>
    <cellStyle name="40% - Accent5 89" xfId="16521" xr:uid="{9A5E077D-64AD-4D04-946C-72113F45D88A}"/>
    <cellStyle name="40% - Accent5 89 2" xfId="16522" xr:uid="{4387294E-F85D-45B4-99DD-CDC3EA0D0653}"/>
    <cellStyle name="40% - Accent5 89 3" xfId="37632" xr:uid="{0CB2A45E-F677-4596-87A7-724860B247FF}"/>
    <cellStyle name="40% - Accent5 9" xfId="16523" xr:uid="{4FB68C50-BF5C-4B43-BE1D-3BC7777D06F9}"/>
    <cellStyle name="40% - Accent5 9 2" xfId="16524" xr:uid="{50D81FC4-D6A5-436C-AFE8-469ECBEC2A9F}"/>
    <cellStyle name="40% - Accent5 9 2 2" xfId="16525" xr:uid="{66F8AE47-0E26-4E7F-A051-D4217B7F3FE0}"/>
    <cellStyle name="40% - Accent5 9 2 2 2" xfId="37633" xr:uid="{9A00DD82-6C58-44A5-82E5-CD95D9C22A30}"/>
    <cellStyle name="40% - Accent5 9 2 3" xfId="37634" xr:uid="{9ED41270-BEC4-49F6-B3B8-53CEF02DD78B}"/>
    <cellStyle name="40% - Accent5 9 3" xfId="16526" xr:uid="{2D26DBBF-99C4-46A4-988D-F42542B6A945}"/>
    <cellStyle name="40% - Accent5 9 3 2" xfId="37635" xr:uid="{3E844619-96DE-4C5E-BF13-965173C2B74B}"/>
    <cellStyle name="40% - Accent5 9 4" xfId="37636" xr:uid="{28CD0575-0003-46B4-A175-3C34BE045040}"/>
    <cellStyle name="40% - Accent5 9 5" xfId="37637" xr:uid="{7A15C525-FEF3-4AFE-AA6C-5AB24CB85464}"/>
    <cellStyle name="40% - Accent5 9 6" xfId="37638" xr:uid="{D822A10D-D8F3-4723-AAD7-2475DFD6F20D}"/>
    <cellStyle name="40% - Accent5 90" xfId="16527" xr:uid="{23EB905A-7057-4FC4-8805-2BA8DE71840B}"/>
    <cellStyle name="40% - Accent5 90 2" xfId="16528" xr:uid="{DC2B2338-1CFC-446A-BC41-13A45A8157AF}"/>
    <cellStyle name="40% - Accent5 90 3" xfId="37639" xr:uid="{80C115BD-FEE0-4386-B8A7-3A393FC5E7AA}"/>
    <cellStyle name="40% - Accent5 91" xfId="16529" xr:uid="{2B737872-5A2A-4E35-B87C-1DF3A7C6A7C1}"/>
    <cellStyle name="40% - Accent5 91 2" xfId="16530" xr:uid="{2D430CFF-36D9-452D-A04B-B978B0A6542B}"/>
    <cellStyle name="40% - Accent5 91 3" xfId="37640" xr:uid="{F39E0316-5B80-4614-AF8D-783B26DD3C91}"/>
    <cellStyle name="40% - Accent5 92" xfId="16531" xr:uid="{77F842B6-21D8-4ED4-9AE7-7555E788B1BB}"/>
    <cellStyle name="40% - Accent5 92 2" xfId="16532" xr:uid="{84A9A0DE-0C4C-4632-B3ED-9D67CD3BDEF3}"/>
    <cellStyle name="40% - Accent5 92 3" xfId="37641" xr:uid="{217DDEC8-9F0A-43AC-9329-24B27B4AC211}"/>
    <cellStyle name="40% - Accent5 93" xfId="16533" xr:uid="{B33875A4-8604-4E7D-B092-B5907EB248BF}"/>
    <cellStyle name="40% - Accent5 93 2" xfId="16534" xr:uid="{D3372CA2-2E47-4FA7-987F-02F89DDFF694}"/>
    <cellStyle name="40% - Accent5 93 3" xfId="37642" xr:uid="{1703E98C-5DDE-4F99-AB90-E6F617BCA743}"/>
    <cellStyle name="40% - Accent5 94" xfId="16535" xr:uid="{596201F2-930F-4ADC-9995-081C9B1C08F2}"/>
    <cellStyle name="40% - Accent5 94 2" xfId="16536" xr:uid="{B4DA6B1B-B76E-4190-816F-F52C68F1F485}"/>
    <cellStyle name="40% - Accent5 94 3" xfId="37643" xr:uid="{686ED6B0-9514-437A-886A-49BDAF4187E3}"/>
    <cellStyle name="40% - Accent5 95" xfId="16537" xr:uid="{B75B58B2-E55C-4824-9B28-4EA244311F5B}"/>
    <cellStyle name="40% - Accent5 95 2" xfId="16538" xr:uid="{BAC4880A-0EEC-4EC8-A23D-3E8DF4F85689}"/>
    <cellStyle name="40% - Accent5 95 3" xfId="37644" xr:uid="{A06E4E47-340B-4F85-A15F-D1E2629A38B6}"/>
    <cellStyle name="40% - Accent5 96" xfId="16539" xr:uid="{AFD75574-CFB0-4DEF-B682-A1D7E6DAF6A7}"/>
    <cellStyle name="40% - Accent5 96 2" xfId="16540" xr:uid="{45DAA19E-43E0-4E27-96BF-21CF1ABF4D5D}"/>
    <cellStyle name="40% - Accent5 96 3" xfId="37645" xr:uid="{8AA39296-3FFE-4468-A019-6236D171A808}"/>
    <cellStyle name="40% - Accent5 97" xfId="16541" xr:uid="{A9ACDD04-C013-4B17-BCCC-091B2C680920}"/>
    <cellStyle name="40% - Accent5 97 2" xfId="16542" xr:uid="{5F9FA6B5-4971-4306-A27E-85E23DCFB02D}"/>
    <cellStyle name="40% - Accent5 97 3" xfId="37646" xr:uid="{0A2E08D6-4CC6-46A6-8F20-3E09846BB51D}"/>
    <cellStyle name="40% - Accent5 98" xfId="16543" xr:uid="{41EBDC13-84F7-4F88-A98F-1A0BDB8E3153}"/>
    <cellStyle name="40% - Accent5 98 2" xfId="16544" xr:uid="{EDBFC69D-5FE4-4311-ADD1-3509EEC4D35C}"/>
    <cellStyle name="40% - Accent5 98 3" xfId="37647" xr:uid="{7FE7385B-BBD6-43FE-A520-DE5CE1BD0136}"/>
    <cellStyle name="40% - Accent5 99" xfId="16545" xr:uid="{D9E6191F-83AB-4540-90BC-AD1D7518179C}"/>
    <cellStyle name="40% - Accent5 99 2" xfId="16546" xr:uid="{B792BB7E-BE31-4893-AD9F-2E7A40D7D5FE}"/>
    <cellStyle name="40% - Accent5 99 3" xfId="37648" xr:uid="{8E38A48A-0712-41D1-872E-C07B26E2AAF4}"/>
    <cellStyle name="40% - Accent6" xfId="52" builtinId="51" hidden="1"/>
    <cellStyle name="40% - Accent6" xfId="126" builtinId="51" customBuiltin="1"/>
    <cellStyle name="40% - Accent6 10" xfId="16547" xr:uid="{4B23410B-7789-4D79-B350-0AE625230791}"/>
    <cellStyle name="40% - Accent6 10 2" xfId="16548" xr:uid="{FD9F7A88-64CB-4BA0-88DD-DBED63231E92}"/>
    <cellStyle name="40% - Accent6 10 2 2" xfId="16549" xr:uid="{5C3BE222-6EAB-40D1-A9D3-AFFAA70CEECD}"/>
    <cellStyle name="40% - Accent6 10 2 2 2" xfId="37649" xr:uid="{CB67ACBF-F94D-4CE0-817F-BFB8C782C367}"/>
    <cellStyle name="40% - Accent6 10 2 3" xfId="37650" xr:uid="{18148BB3-3B8B-4440-B18B-E82E2BB866E7}"/>
    <cellStyle name="40% - Accent6 10 3" xfId="16550" xr:uid="{E03C6EAD-F096-4EC1-A69E-7DD0923666EC}"/>
    <cellStyle name="40% - Accent6 10 3 2" xfId="37651" xr:uid="{88BD2CF5-F556-4C57-B6A6-C5A12668546E}"/>
    <cellStyle name="40% - Accent6 10 4" xfId="37652" xr:uid="{96D4D9EE-13F9-483A-AA56-16E982001580}"/>
    <cellStyle name="40% - Accent6 10 5" xfId="37653" xr:uid="{CF4171DC-A92A-4FB4-92EA-A49C0B4A06AC}"/>
    <cellStyle name="40% - Accent6 10 6" xfId="37654" xr:uid="{96963DAE-5396-4326-A31A-992231A246B3}"/>
    <cellStyle name="40% - Accent6 100" xfId="16551" xr:uid="{D60F7433-642C-4A0B-B606-51604C3F341B}"/>
    <cellStyle name="40% - Accent6 100 2" xfId="16552" xr:uid="{4DA96AA9-FA33-44CB-94C5-3F2EB6ED241E}"/>
    <cellStyle name="40% - Accent6 100 3" xfId="37655" xr:uid="{A66F9FE8-B1EE-4FCE-9B42-E834F4DC890D}"/>
    <cellStyle name="40% - Accent6 101" xfId="16553" xr:uid="{4E8D0C99-1301-48C6-BE11-70A594AE604E}"/>
    <cellStyle name="40% - Accent6 102" xfId="16554" xr:uid="{D36A4EDB-9EA4-4FB9-8F33-1941BBF19F60}"/>
    <cellStyle name="40% - Accent6 103" xfId="16555" xr:uid="{13036F0B-1135-4A70-BE0B-61E5E0ACB508}"/>
    <cellStyle name="40% - Accent6 104" xfId="16556" xr:uid="{6E78DD63-00C4-4B33-BCEE-7CE0F2873F3D}"/>
    <cellStyle name="40% - Accent6 105" xfId="16557" xr:uid="{5E5C924A-FCD8-4B53-9D5C-2351CE1927E0}"/>
    <cellStyle name="40% - Accent6 106" xfId="16558" xr:uid="{C979A579-574A-468F-8602-DE194AEFD20B}"/>
    <cellStyle name="40% - Accent6 107" xfId="16559" xr:uid="{66CEC422-17AA-4A0B-9088-A62880131B37}"/>
    <cellStyle name="40% - Accent6 108" xfId="16560" xr:uid="{B128AC75-6E2E-466B-80F8-FFBADA5AA072}"/>
    <cellStyle name="40% - Accent6 109" xfId="16561" xr:uid="{94EA1D10-DF7A-4757-8493-230769B0AD5E}"/>
    <cellStyle name="40% - Accent6 11" xfId="16562" xr:uid="{D9571F66-5BDB-4F8E-8B7B-F43BB577B31D}"/>
    <cellStyle name="40% - Accent6 11 2" xfId="16563" xr:uid="{D21E85EB-8F34-4BE8-A67C-484B71AC382D}"/>
    <cellStyle name="40% - Accent6 11 2 2" xfId="16564" xr:uid="{8C776465-EEAF-4AFC-86EC-0EC888397A28}"/>
    <cellStyle name="40% - Accent6 11 2 2 2" xfId="37656" xr:uid="{DF52F214-A90A-4F2F-B0A5-4EFCCF7D9EA3}"/>
    <cellStyle name="40% - Accent6 11 2 3" xfId="37657" xr:uid="{06E9D73B-C2C8-43FE-90DD-12CDFF07A792}"/>
    <cellStyle name="40% - Accent6 11 3" xfId="16565" xr:uid="{829DA024-BE23-494B-A30D-D14378D0A23D}"/>
    <cellStyle name="40% - Accent6 11 3 2" xfId="37658" xr:uid="{07BABC9E-314F-42A9-8E8B-83846656D8EA}"/>
    <cellStyle name="40% - Accent6 11 4" xfId="37659" xr:uid="{E452654D-E2E2-4238-81FF-E4B2A4040744}"/>
    <cellStyle name="40% - Accent6 11 5" xfId="37660" xr:uid="{F330F74F-043D-400E-85F4-18FC3B2CE90E}"/>
    <cellStyle name="40% - Accent6 11 6" xfId="37661" xr:uid="{1EE98E13-F185-4DF5-86E0-6367EA4E6AF2}"/>
    <cellStyle name="40% - Accent6 110" xfId="16566" xr:uid="{3973DF38-3D96-48A7-AF36-A56C35308FDC}"/>
    <cellStyle name="40% - Accent6 111" xfId="16567" xr:uid="{8C2B7481-5647-4F1C-A674-ABAC37489551}"/>
    <cellStyle name="40% - Accent6 112" xfId="16568" xr:uid="{F6FF46EF-2220-48B1-A57D-9A5D8401AFC4}"/>
    <cellStyle name="40% - Accent6 113" xfId="16569" xr:uid="{79CB9A61-13A9-4E34-8916-112B85A31D78}"/>
    <cellStyle name="40% - Accent6 114" xfId="16570" xr:uid="{7C07DAC0-3B77-40AF-A6FE-5D70DD820778}"/>
    <cellStyle name="40% - Accent6 115" xfId="16571" xr:uid="{12AA8335-1535-4D01-8C16-245A310EAA18}"/>
    <cellStyle name="40% - Accent6 116" xfId="16572" xr:uid="{B4A8C6EF-35C2-4F99-8E05-C07D31A3E095}"/>
    <cellStyle name="40% - Accent6 117" xfId="16573" xr:uid="{585D7323-606D-4EED-AD0B-C6B61CFCCBCA}"/>
    <cellStyle name="40% - Accent6 118" xfId="16574" xr:uid="{EE835118-76BA-4679-A787-D8469E65CC26}"/>
    <cellStyle name="40% - Accent6 119" xfId="16575" xr:uid="{583E4821-D9FB-4D58-BDE2-387F641690E8}"/>
    <cellStyle name="40% - Accent6 12" xfId="16576" xr:uid="{C046A576-5943-486B-8038-2CB7758C0AEA}"/>
    <cellStyle name="40% - Accent6 12 2" xfId="16577" xr:uid="{07D2DE67-9A93-4823-9D3E-77021AF9438D}"/>
    <cellStyle name="40% - Accent6 12 2 2" xfId="16578" xr:uid="{C659D403-2B30-4DDA-9B6D-E3448A139C56}"/>
    <cellStyle name="40% - Accent6 12 2 2 2" xfId="37662" xr:uid="{75969717-7C41-4A86-80C7-A3DDEC5C49DD}"/>
    <cellStyle name="40% - Accent6 12 2 3" xfId="37663" xr:uid="{4D58B229-E73C-482B-BC7B-072B3FDA2AA2}"/>
    <cellStyle name="40% - Accent6 12 3" xfId="16579" xr:uid="{D2F33EED-18CA-47CC-80A1-D9EA4F42627C}"/>
    <cellStyle name="40% - Accent6 12 3 2" xfId="37664" xr:uid="{4749861D-4E04-42EB-9850-462006E19E97}"/>
    <cellStyle name="40% - Accent6 12 4" xfId="37665" xr:uid="{4DA9006B-2CAE-46DF-BBC0-2035D1E94B7F}"/>
    <cellStyle name="40% - Accent6 12 5" xfId="37666" xr:uid="{EE71CA05-B06D-4BC0-8160-DEE42E60F0EE}"/>
    <cellStyle name="40% - Accent6 12 6" xfId="37667" xr:uid="{F52BA659-4235-4DEA-BCF3-13682D75D4AE}"/>
    <cellStyle name="40% - Accent6 120" xfId="16580" xr:uid="{FD5DF67C-C8B7-42C9-886A-A5D5E9C984F5}"/>
    <cellStyle name="40% - Accent6 121" xfId="16581" xr:uid="{F2D4874E-7AA0-4744-A643-A3DAF51FEC5C}"/>
    <cellStyle name="40% - Accent6 122" xfId="16582" xr:uid="{AD31F051-FF22-4204-8201-1F0C1E08A7B9}"/>
    <cellStyle name="40% - Accent6 123" xfId="16583" xr:uid="{A2A19567-12F6-4365-812F-1F2D60113724}"/>
    <cellStyle name="40% - Accent6 124" xfId="16584" xr:uid="{D29FF7DB-9439-485F-BE81-8179678F713A}"/>
    <cellStyle name="40% - Accent6 125" xfId="16585" xr:uid="{45C3E109-937C-47E1-A0A0-71F435355254}"/>
    <cellStyle name="40% - Accent6 126" xfId="16586" xr:uid="{EAE2EBAB-7321-4B9F-829D-18B49A365F67}"/>
    <cellStyle name="40% - Accent6 127" xfId="16587" xr:uid="{FEA49556-1C6A-4B6A-BFD2-A29D6291D629}"/>
    <cellStyle name="40% - Accent6 128" xfId="16588" xr:uid="{E79CA028-EA99-426C-AD89-B0EC6D99C05F}"/>
    <cellStyle name="40% - Accent6 129" xfId="16589" xr:uid="{617744DC-9A9D-4BB8-AEEE-9ABD0CF7461A}"/>
    <cellStyle name="40% - Accent6 13" xfId="16590" xr:uid="{954BE3B1-43FE-4B67-8DB0-3DC12F9938D2}"/>
    <cellStyle name="40% - Accent6 13 2" xfId="16591" xr:uid="{541C53E4-68EA-4875-89D3-BF27545E4F4E}"/>
    <cellStyle name="40% - Accent6 13 2 2" xfId="16592" xr:uid="{FF1C8F87-3E9B-469C-9939-FCB21602DA34}"/>
    <cellStyle name="40% - Accent6 13 2 2 2" xfId="37668" xr:uid="{F0E9AE2F-4327-46B2-8225-A8F485C8E460}"/>
    <cellStyle name="40% - Accent6 13 2 3" xfId="37669" xr:uid="{FB2EF766-27B5-42D0-AA88-35BDA3E34704}"/>
    <cellStyle name="40% - Accent6 13 3" xfId="16593" xr:uid="{0F649013-A705-44D0-A503-A9C3C240AD0B}"/>
    <cellStyle name="40% - Accent6 13 3 2" xfId="37670" xr:uid="{2AD9F7EF-4833-4926-9914-0423338EC0F8}"/>
    <cellStyle name="40% - Accent6 13 4" xfId="37671" xr:uid="{B020D9A8-4DD8-451C-803E-5BBB75B63E97}"/>
    <cellStyle name="40% - Accent6 13 5" xfId="37672" xr:uid="{3D286ADA-4DD8-40C5-A515-63A7892425A9}"/>
    <cellStyle name="40% - Accent6 13 6" xfId="37673" xr:uid="{97119824-2448-42A6-8048-8B7E5E371C00}"/>
    <cellStyle name="40% - Accent6 130" xfId="16594" xr:uid="{A766A94B-8F99-4F93-B7D8-B33B1D204DBC}"/>
    <cellStyle name="40% - Accent6 131" xfId="16595" xr:uid="{B6337D0F-ED64-450F-B6F2-1C483B5BAC01}"/>
    <cellStyle name="40% - Accent6 132" xfId="16596" xr:uid="{D17A2601-51B2-44EC-8DCC-613176732234}"/>
    <cellStyle name="40% - Accent6 133" xfId="16597" xr:uid="{2B1F4820-104F-4D85-82FA-DD75044C5C69}"/>
    <cellStyle name="40% - Accent6 134" xfId="16598" xr:uid="{A47ACC16-A30E-4312-A108-A57292BB41D4}"/>
    <cellStyle name="40% - Accent6 135" xfId="16599" xr:uid="{5D59DDD8-5411-4C61-9B30-217DE5C53BA9}"/>
    <cellStyle name="40% - Accent6 136" xfId="16600" xr:uid="{0295CED1-EA11-41FD-903A-F0622A8574F5}"/>
    <cellStyle name="40% - Accent6 137" xfId="16601" xr:uid="{0D88D19B-AC0A-420E-8C77-6A287441C0D1}"/>
    <cellStyle name="40% - Accent6 138" xfId="16602" xr:uid="{05220707-B546-48D0-869B-E588F199CDC2}"/>
    <cellStyle name="40% - Accent6 139" xfId="16603" xr:uid="{527363A4-E3C9-4BC3-8573-335579B27C92}"/>
    <cellStyle name="40% - Accent6 14" xfId="16604" xr:uid="{4DBCA0E1-AF46-4B33-8B28-76A95E409C40}"/>
    <cellStyle name="40% - Accent6 14 2" xfId="16605" xr:uid="{066E5AC8-CF18-49AC-87B0-F8AB0F9C1821}"/>
    <cellStyle name="40% - Accent6 14 2 2" xfId="16606" xr:uid="{59304DB5-CC57-43B8-9D92-C6FD9921454A}"/>
    <cellStyle name="40% - Accent6 14 2 2 2" xfId="37674" xr:uid="{20C10758-2511-49A9-8BF9-7839C7760C10}"/>
    <cellStyle name="40% - Accent6 14 2 3" xfId="37675" xr:uid="{9F8BD804-E69A-4D4D-AF6F-445FC6C108D4}"/>
    <cellStyle name="40% - Accent6 14 3" xfId="16607" xr:uid="{54624934-1866-48A0-B8F0-5A07D5C54F87}"/>
    <cellStyle name="40% - Accent6 14 3 2" xfId="37676" xr:uid="{3C792147-7A57-42C2-A1D6-3312617D78E8}"/>
    <cellStyle name="40% - Accent6 14 4" xfId="37677" xr:uid="{CBD0A54F-8A75-411F-8B34-438FA6A092FF}"/>
    <cellStyle name="40% - Accent6 14 5" xfId="37678" xr:uid="{89606692-D486-48D2-99D1-6C6C23999A89}"/>
    <cellStyle name="40% - Accent6 14 6" xfId="37679" xr:uid="{9C8F6D0A-D5BE-4934-ADDE-9D3A0BAEEBFA}"/>
    <cellStyle name="40% - Accent6 140" xfId="16608" xr:uid="{41ECBA46-2F75-4AE0-AEF3-784A9A941A3C}"/>
    <cellStyle name="40% - Accent6 141" xfId="16609" xr:uid="{F91FB06D-6E78-48DD-A7B5-D7C813719871}"/>
    <cellStyle name="40% - Accent6 142" xfId="16610" xr:uid="{FEB13427-74C8-4BD8-BF0D-C62D56A4624E}"/>
    <cellStyle name="40% - Accent6 143" xfId="16611" xr:uid="{1BD040DC-3C56-4FAD-8EE9-00A372B30A98}"/>
    <cellStyle name="40% - Accent6 144" xfId="16612" xr:uid="{95724D01-22DB-46C3-9C34-9D6ADDC45E72}"/>
    <cellStyle name="40% - Accent6 145" xfId="16613" xr:uid="{1610F7A5-C9D8-45B0-9A21-3DAF3C2E0782}"/>
    <cellStyle name="40% - Accent6 146" xfId="16614" xr:uid="{4727ACCF-24C5-469D-89BC-4591667A50F9}"/>
    <cellStyle name="40% - Accent6 147" xfId="16615" xr:uid="{EEADB213-64CD-4D79-9C9D-DD7F2261A538}"/>
    <cellStyle name="40% - Accent6 148" xfId="16616" xr:uid="{284180C6-EC22-41C4-AC06-4C604B2EA836}"/>
    <cellStyle name="40% - Accent6 149" xfId="16617" xr:uid="{2ADF2860-B196-4AA0-985B-069040861AD8}"/>
    <cellStyle name="40% - Accent6 15" xfId="16618" xr:uid="{70A56181-C3A1-405B-A90A-0DBBF41D04CA}"/>
    <cellStyle name="40% - Accent6 15 2" xfId="16619" xr:uid="{AC178983-B0E8-4FE2-BD68-04AFEF4A7C02}"/>
    <cellStyle name="40% - Accent6 15 2 2" xfId="16620" xr:uid="{033F6E22-7384-4372-B065-1F87FEE19081}"/>
    <cellStyle name="40% - Accent6 15 2 2 2" xfId="37680" xr:uid="{3C60C7C6-CA93-4B98-909F-58D5DE1A5937}"/>
    <cellStyle name="40% - Accent6 15 2 3" xfId="37681" xr:uid="{3743EBD9-90F0-460E-9581-87584BBEC4FC}"/>
    <cellStyle name="40% - Accent6 15 3" xfId="16621" xr:uid="{0746F31E-A5A4-4326-945D-EC337E737667}"/>
    <cellStyle name="40% - Accent6 15 3 2" xfId="37682" xr:uid="{52D11AA1-C896-4024-A0FC-A06D8F9E3734}"/>
    <cellStyle name="40% - Accent6 15 4" xfId="37683" xr:uid="{8F0DBCF9-763F-45AE-AAC0-D204219D5724}"/>
    <cellStyle name="40% - Accent6 15 5" xfId="37684" xr:uid="{2D20266E-13EC-48B5-AC16-385950FF714B}"/>
    <cellStyle name="40% - Accent6 15 6" xfId="37685" xr:uid="{32522FD2-6535-441A-A60E-C79616FD8C5E}"/>
    <cellStyle name="40% - Accent6 150" xfId="16622" xr:uid="{7A658C4F-C65A-44DA-A5C1-12D791C3396C}"/>
    <cellStyle name="40% - Accent6 151" xfId="16623" xr:uid="{88748B75-2268-42C9-BAC8-F0B16A7633F7}"/>
    <cellStyle name="40% - Accent6 152" xfId="16624" xr:uid="{29230B5D-9DB4-4B6B-8BCF-331C7FC17858}"/>
    <cellStyle name="40% - Accent6 153" xfId="16625" xr:uid="{711E4D61-8AE4-48A5-90D5-673FE94A14A6}"/>
    <cellStyle name="40% - Accent6 154" xfId="16626" xr:uid="{83F29CC3-B7BA-4D17-A1DC-D57855564716}"/>
    <cellStyle name="40% - Accent6 155" xfId="16627" xr:uid="{68C85E3D-7CF6-4398-A647-D4D929679D4F}"/>
    <cellStyle name="40% - Accent6 156" xfId="16628" xr:uid="{3782032E-CCA4-473F-8415-B8DBFBDF727E}"/>
    <cellStyle name="40% - Accent6 157" xfId="16629" xr:uid="{A9761C23-A294-460D-A47A-5970FD1EEA30}"/>
    <cellStyle name="40% - Accent6 158" xfId="16630" xr:uid="{192C596D-C07F-412A-997C-AEC91B2ACCFA}"/>
    <cellStyle name="40% - Accent6 159" xfId="16631" xr:uid="{0ACD1131-9840-43F1-9FF6-BD017CD49096}"/>
    <cellStyle name="40% - Accent6 16" xfId="16632" xr:uid="{EC731DE1-AF1B-4B5E-82B3-89D452E5797D}"/>
    <cellStyle name="40% - Accent6 16 2" xfId="16633" xr:uid="{C0196FD5-D5FF-4A57-A053-5EB8BCDC6F80}"/>
    <cellStyle name="40% - Accent6 16 2 2" xfId="16634" xr:uid="{C68F3006-4519-4389-9392-794780C90635}"/>
    <cellStyle name="40% - Accent6 16 2 2 2" xfId="37686" xr:uid="{7DB0B7DC-5D7A-4F56-BBE6-A55847E6AF58}"/>
    <cellStyle name="40% - Accent6 16 2 3" xfId="37687" xr:uid="{3582E7ED-87AB-42BF-85DA-D72317D1FF4F}"/>
    <cellStyle name="40% - Accent6 16 3" xfId="16635" xr:uid="{A34D232D-5384-40CF-97EA-DAF5123F1DE9}"/>
    <cellStyle name="40% - Accent6 16 3 2" xfId="37688" xr:uid="{96B20CFC-ABD7-4E4B-93B3-B12A8E33813B}"/>
    <cellStyle name="40% - Accent6 16 4" xfId="37689" xr:uid="{3104B02C-DD4A-43B0-B471-7D7D0316D10D}"/>
    <cellStyle name="40% - Accent6 16 5" xfId="37690" xr:uid="{8C12D0F5-5489-44B3-B77C-7B8BFAD716BB}"/>
    <cellStyle name="40% - Accent6 16 6" xfId="37691" xr:uid="{353BEB3F-2FDC-4A96-ADFD-9D8735877207}"/>
    <cellStyle name="40% - Accent6 160" xfId="16636" xr:uid="{2B696F47-5F36-48AC-8030-87AF43E1A2FF}"/>
    <cellStyle name="40% - Accent6 17" xfId="16637" xr:uid="{A9B25F5C-5B3F-4B09-ABC2-46ED3F65461B}"/>
    <cellStyle name="40% - Accent6 17 2" xfId="16638" xr:uid="{BE70AF28-8A2B-4321-BB66-50B686905AD2}"/>
    <cellStyle name="40% - Accent6 17 2 2" xfId="16639" xr:uid="{043ABB56-4A65-4BF6-A86B-C87F234BCE82}"/>
    <cellStyle name="40% - Accent6 17 2 2 2" xfId="37692" xr:uid="{AEC4D4F9-D9DC-4726-8849-8586B3D4C0F6}"/>
    <cellStyle name="40% - Accent6 17 2 3" xfId="37693" xr:uid="{658AFBD6-B53C-4724-A9E0-358503A3C34E}"/>
    <cellStyle name="40% - Accent6 17 3" xfId="16640" xr:uid="{1C83B80C-4A38-4773-992A-DF389F50D22F}"/>
    <cellStyle name="40% - Accent6 17 3 2" xfId="37694" xr:uid="{4F9606AB-386D-4307-9ED1-051F4799ABDA}"/>
    <cellStyle name="40% - Accent6 17 4" xfId="37695" xr:uid="{DEE4B8E8-6044-4C68-998C-932531C66435}"/>
    <cellStyle name="40% - Accent6 17 5" xfId="37696" xr:uid="{86B892A8-C1AF-4536-AB40-2717D535DFAE}"/>
    <cellStyle name="40% - Accent6 17 6" xfId="37697" xr:uid="{32E12BDE-5E7B-4D33-AB20-8C6199C226CF}"/>
    <cellStyle name="40% - Accent6 18" xfId="16641" xr:uid="{1AD450C4-654C-42B0-831F-32795DBCD1B1}"/>
    <cellStyle name="40% - Accent6 18 2" xfId="16642" xr:uid="{B9E2590A-1B79-4425-AADA-F4447227E0D9}"/>
    <cellStyle name="40% - Accent6 18 2 2" xfId="16643" xr:uid="{B03E7420-AE63-4326-9CAA-D414CF8DC337}"/>
    <cellStyle name="40% - Accent6 18 2 2 2" xfId="37698" xr:uid="{8D51159C-D7D8-4654-B560-F84565832A22}"/>
    <cellStyle name="40% - Accent6 18 2 3" xfId="37699" xr:uid="{7232EC40-1AF8-44B2-B238-44649A3C1D38}"/>
    <cellStyle name="40% - Accent6 18 3" xfId="16644" xr:uid="{02440960-0DFA-4B8E-AB5C-199BFA1AE5F3}"/>
    <cellStyle name="40% - Accent6 18 3 2" xfId="37700" xr:uid="{7E1CCBE0-5424-48C9-B5B4-554AE6B82ADA}"/>
    <cellStyle name="40% - Accent6 18 4" xfId="37701" xr:uid="{0E4EA5DD-3402-4C2A-885E-F078800F851C}"/>
    <cellStyle name="40% - Accent6 18 5" xfId="37702" xr:uid="{91F56A61-E3B5-4B30-BA90-5C5A19F735D3}"/>
    <cellStyle name="40% - Accent6 18 6" xfId="37703" xr:uid="{32933F74-4A88-47DA-BB74-24D0E0713C74}"/>
    <cellStyle name="40% - Accent6 19" xfId="16645" xr:uid="{7FC93E03-3247-4460-A178-6F0704570724}"/>
    <cellStyle name="40% - Accent6 19 2" xfId="16646" xr:uid="{82E42BE6-B6C2-4C5E-A33C-A96A71308D57}"/>
    <cellStyle name="40% - Accent6 19 2 2" xfId="37704" xr:uid="{A53D542A-97E7-4892-89F5-7F99AEB2B62F}"/>
    <cellStyle name="40% - Accent6 19 3" xfId="37705" xr:uid="{B6EFD53A-BF9B-4818-AC84-6FA167BA1E01}"/>
    <cellStyle name="40% - Accent6 19 4" xfId="37706" xr:uid="{1E447157-F3E8-447F-94BD-5EDCD5F9CC97}"/>
    <cellStyle name="40% - Accent6 19 5" xfId="37707" xr:uid="{7AC80AC1-0511-4BA9-92C3-27D987BDDD03}"/>
    <cellStyle name="40% - Accent6 2" xfId="16647" xr:uid="{1D0B34E1-9722-4381-9F8D-138EBDAC01DE}"/>
    <cellStyle name="40% - Accent6 2 2" xfId="16648" xr:uid="{BEC2C094-1B6B-403A-9BE1-AE3966D7CC7A}"/>
    <cellStyle name="40% - Accent6 2 2 2" xfId="16649" xr:uid="{A108AC77-EFD8-422E-95FE-3B8A26A0CD3F}"/>
    <cellStyle name="40% - Accent6 2 2 2 2" xfId="37708" xr:uid="{ECDE4026-C3C5-4DA4-A3AB-DA96D79A6C06}"/>
    <cellStyle name="40% - Accent6 2 2 3" xfId="37709" xr:uid="{EF58A65E-C05A-446A-A72B-3BBE285185A8}"/>
    <cellStyle name="40% - Accent6 2 2 4" xfId="37710" xr:uid="{DF5DA5F6-349E-4116-BF4D-FD1FBDD05767}"/>
    <cellStyle name="40% - Accent6 2 3" xfId="16650" xr:uid="{821421C8-BAC3-4B37-84E8-02E1F293D0EF}"/>
    <cellStyle name="40% - Accent6 2 3 2" xfId="37711" xr:uid="{53A1178D-2494-43A4-9666-A5FC7E64081A}"/>
    <cellStyle name="40% - Accent6 2 3 3" xfId="37712" xr:uid="{278ABC8E-E04B-4C9E-8505-0BAC36B49872}"/>
    <cellStyle name="40% - Accent6 2 3 4" xfId="37713" xr:uid="{36654688-6722-4E0A-8CE4-53FB6DC9C930}"/>
    <cellStyle name="40% - Accent6 2 4" xfId="16651" xr:uid="{E547A390-5CA8-4EA6-B687-A71C75567DB8}"/>
    <cellStyle name="40% - Accent6 2 4 2" xfId="37714" xr:uid="{D2C419C3-B1FE-4830-B0E4-46D13E0E1998}"/>
    <cellStyle name="40% - Accent6 2 5" xfId="37715" xr:uid="{C00BE6E6-F157-4F54-802F-A80F5FFEF144}"/>
    <cellStyle name="40% - Accent6 2 6" xfId="37716" xr:uid="{C23D6481-1800-4983-A72E-E2BD9BD5E008}"/>
    <cellStyle name="40% - Accent6 2_Jun 11 details" xfId="16652" xr:uid="{BCC61B1E-EE7C-4FE1-BD0B-F1B29D04C763}"/>
    <cellStyle name="40% - Accent6 20" xfId="16653" xr:uid="{7EF22492-228D-476D-9897-DC15ADE3B072}"/>
    <cellStyle name="40% - Accent6 20 2" xfId="37717" xr:uid="{78AA8EBB-C337-4E9B-9E97-16262960A075}"/>
    <cellStyle name="40% - Accent6 20 3" xfId="37718" xr:uid="{2C696227-6BFF-42C9-B675-D033ADDA983E}"/>
    <cellStyle name="40% - Accent6 20 4" xfId="37719" xr:uid="{B4B24E9B-D9DB-4BF2-B570-870270A54DAC}"/>
    <cellStyle name="40% - Accent6 21" xfId="16654" xr:uid="{33544472-3F36-44FF-982C-A8F769B1EB06}"/>
    <cellStyle name="40% - Accent6 21 2" xfId="37720" xr:uid="{37D1F119-3B85-48C0-A95F-661A7EFA9393}"/>
    <cellStyle name="40% - Accent6 21 3" xfId="37721" xr:uid="{DB4A2956-6984-4191-89F7-14360C904277}"/>
    <cellStyle name="40% - Accent6 22" xfId="16655" xr:uid="{E9ABD751-E180-47D4-91B9-4C107C5E2C05}"/>
    <cellStyle name="40% - Accent6 22 2" xfId="37722" xr:uid="{21256A28-09FB-4A25-A1EB-F0C436C2193B}"/>
    <cellStyle name="40% - Accent6 22 3" xfId="37723" xr:uid="{83D2D436-85E8-463C-ADD9-98A5E1F6EF2D}"/>
    <cellStyle name="40% - Accent6 23" xfId="16656" xr:uid="{43078F46-5A08-49B8-A4CF-5D59B57180E9}"/>
    <cellStyle name="40% - Accent6 23 2" xfId="37724" xr:uid="{C165B538-7CDD-4707-A48A-34296A9FDF1B}"/>
    <cellStyle name="40% - Accent6 24" xfId="16657" xr:uid="{50BFC7DB-09C5-4A35-9846-561A0EA63915}"/>
    <cellStyle name="40% - Accent6 24 2" xfId="37725" xr:uid="{92C5BC88-6185-4D30-B83F-5A9F98D23BC9}"/>
    <cellStyle name="40% - Accent6 25" xfId="16658" xr:uid="{1D17A2B8-BD1C-443D-97CD-A5DFEA14B6F2}"/>
    <cellStyle name="40% - Accent6 25 2" xfId="37726" xr:uid="{6A38B2DF-676B-4A52-8AE6-E6EEA85A3A1A}"/>
    <cellStyle name="40% - Accent6 26" xfId="16659" xr:uid="{2B998FA7-E1CE-4205-B58B-F211A6066DE0}"/>
    <cellStyle name="40% - Accent6 26 2" xfId="37727" xr:uid="{435727C2-95F1-4634-A25D-D359534798A8}"/>
    <cellStyle name="40% - Accent6 27" xfId="16660" xr:uid="{A5C3CAE5-721B-4D2D-BC11-34B354EB8338}"/>
    <cellStyle name="40% - Accent6 27 2" xfId="37728" xr:uid="{AE8ABD12-F57F-437B-9E7D-FD79990AB7F4}"/>
    <cellStyle name="40% - Accent6 28" xfId="16661" xr:uid="{18F6ABFE-DF12-4EB6-A205-5E8338999757}"/>
    <cellStyle name="40% - Accent6 28 10" xfId="16662" xr:uid="{C9C8927C-F65D-47A1-A486-8570DA41D148}"/>
    <cellStyle name="40% - Accent6 28 10 2" xfId="16663" xr:uid="{A6E34AD1-D36B-4865-87E8-3858BCAD2C0F}"/>
    <cellStyle name="40% - Accent6 28 10 2 2" xfId="16664" xr:uid="{9D1FA98E-CFCF-46F8-BF85-F71D1A81F860}"/>
    <cellStyle name="40% - Accent6 28 10 2 2 2" xfId="16665" xr:uid="{C42DE42A-546C-421B-83BE-929A6D508AD1}"/>
    <cellStyle name="40% - Accent6 28 10 2 2 2 2" xfId="16666" xr:uid="{FB01FB7E-DFCF-4429-8BE2-9DFB3EDDEF23}"/>
    <cellStyle name="40% - Accent6 28 10 2 2 3" xfId="16667" xr:uid="{F2C205E2-1792-4306-ACC4-3DA153CEB2A8}"/>
    <cellStyle name="40% - Accent6 28 10 2 3" xfId="16668" xr:uid="{EB71EE7A-7BE3-4079-9A8A-37941D2BC6F1}"/>
    <cellStyle name="40% - Accent6 28 10 2 3 2" xfId="16669" xr:uid="{6943E2CF-42DE-4137-94A7-E6C09E35A5A1}"/>
    <cellStyle name="40% - Accent6 28 10 2 3 2 2" xfId="16670" xr:uid="{8C37B71B-FB52-4E83-90C2-68D22F5BA1C8}"/>
    <cellStyle name="40% - Accent6 28 10 2 3 3" xfId="16671" xr:uid="{01D0F123-8BC2-407E-9C69-C003EEC8AA58}"/>
    <cellStyle name="40% - Accent6 28 10 2 4" xfId="16672" xr:uid="{AC4531CC-8887-4114-BA8E-71696CFFC25E}"/>
    <cellStyle name="40% - Accent6 28 10 2 4 2" xfId="16673" xr:uid="{42C466AB-B123-4F8D-ADC6-60564A8646CF}"/>
    <cellStyle name="40% - Accent6 28 10 2 5" xfId="16674" xr:uid="{4C626D85-D74E-45F3-8B50-F72885E1C39C}"/>
    <cellStyle name="40% - Accent6 28 10 3" xfId="16675" xr:uid="{6409CC38-8A37-4CDF-9278-CEDBA78E0E59}"/>
    <cellStyle name="40% - Accent6 28 10 3 2" xfId="16676" xr:uid="{934FAD05-F54F-499D-8B30-427DF6DB17A0}"/>
    <cellStyle name="40% - Accent6 28 10 3 2 2" xfId="16677" xr:uid="{C686CFD1-92B5-4251-9E35-AD8875D250A4}"/>
    <cellStyle name="40% - Accent6 28 10 3 3" xfId="16678" xr:uid="{D5CE5CD7-1694-4DEF-A7B3-DD4A2663C910}"/>
    <cellStyle name="40% - Accent6 28 10 4" xfId="16679" xr:uid="{8EB1BF51-3E06-47A2-A22A-5B6C22424D1F}"/>
    <cellStyle name="40% - Accent6 28 10 4 2" xfId="16680" xr:uid="{D8972550-E977-4684-808E-AD917B0397F2}"/>
    <cellStyle name="40% - Accent6 28 10 4 2 2" xfId="16681" xr:uid="{FA7EC791-B84C-4770-B92F-E37E1D4761AF}"/>
    <cellStyle name="40% - Accent6 28 10 4 3" xfId="16682" xr:uid="{C0A0EFC0-DFCD-44EF-8028-C02A1D114758}"/>
    <cellStyle name="40% - Accent6 28 10 5" xfId="16683" xr:uid="{B50063FE-993F-4235-BFF0-5ADF935645B0}"/>
    <cellStyle name="40% - Accent6 28 10 5 2" xfId="16684" xr:uid="{EA121CC8-A542-4CE5-B3FF-3F556AAD4A6E}"/>
    <cellStyle name="40% - Accent6 28 10 6" xfId="16685" xr:uid="{9A4514DF-313E-40F9-A8E5-EFACA496D8E0}"/>
    <cellStyle name="40% - Accent6 28 11" xfId="16686" xr:uid="{54CAE3A0-24DE-4A96-A261-219397C39A91}"/>
    <cellStyle name="40% - Accent6 28 11 2" xfId="16687" xr:uid="{4DA4893F-1B09-424C-A186-56FAC18493B7}"/>
    <cellStyle name="40% - Accent6 28 11 2 2" xfId="16688" xr:uid="{4D12D863-FD0C-4B94-A980-03B41FB22733}"/>
    <cellStyle name="40% - Accent6 28 11 2 2 2" xfId="16689" xr:uid="{3FF91FEE-AFAE-4A54-862A-46399247C5FC}"/>
    <cellStyle name="40% - Accent6 28 11 2 3" xfId="16690" xr:uid="{71B4B7CE-8B55-4B3D-BBEB-33B7FFBBF6CE}"/>
    <cellStyle name="40% - Accent6 28 11 3" xfId="16691" xr:uid="{84E340A5-609C-49C7-B3C4-A4906FC37E56}"/>
    <cellStyle name="40% - Accent6 28 11 3 2" xfId="16692" xr:uid="{E34761F5-9A1D-4D4E-B4B6-C8E97D8A9A48}"/>
    <cellStyle name="40% - Accent6 28 11 3 2 2" xfId="16693" xr:uid="{8865594F-0053-4678-8DD7-46213097EBE6}"/>
    <cellStyle name="40% - Accent6 28 11 3 3" xfId="16694" xr:uid="{96D40163-4277-43D8-A8D8-3578BB754718}"/>
    <cellStyle name="40% - Accent6 28 11 4" xfId="16695" xr:uid="{4278D0FA-7F8B-473E-84F3-EB34B3F2ACD6}"/>
    <cellStyle name="40% - Accent6 28 11 4 2" xfId="16696" xr:uid="{5B99FD99-FEBF-4A56-8C2B-52B5DD764D08}"/>
    <cellStyle name="40% - Accent6 28 11 5" xfId="16697" xr:uid="{A89A829C-875F-44C9-8815-37398C2C1BA1}"/>
    <cellStyle name="40% - Accent6 28 12" xfId="16698" xr:uid="{5194EDB5-3B25-4DED-9CB3-5A605545F27C}"/>
    <cellStyle name="40% - Accent6 28 12 2" xfId="16699" xr:uid="{3B2E8F87-4F80-4F0A-8607-EF16171581C5}"/>
    <cellStyle name="40% - Accent6 28 12 2 2" xfId="16700" xr:uid="{D9F2E244-BFC5-484D-94CF-082E4CCB913D}"/>
    <cellStyle name="40% - Accent6 28 12 3" xfId="16701" xr:uid="{580A3AD5-C3B0-4BC4-9D91-D46B0D9E9BAC}"/>
    <cellStyle name="40% - Accent6 28 13" xfId="16702" xr:uid="{46FB909E-B0D7-46BD-85C2-E09A3B806C43}"/>
    <cellStyle name="40% - Accent6 28 13 2" xfId="16703" xr:uid="{C833E2E8-A23B-4737-8118-1B89D9BF791E}"/>
    <cellStyle name="40% - Accent6 28 13 2 2" xfId="16704" xr:uid="{AD6065BE-0774-44A8-B07F-4631701864E0}"/>
    <cellStyle name="40% - Accent6 28 13 3" xfId="16705" xr:uid="{2AB9AAD2-CADB-4DF6-8E37-FC36566E2A67}"/>
    <cellStyle name="40% - Accent6 28 14" xfId="16706" xr:uid="{75C3A034-E17A-491E-B91F-24A1F6753AC3}"/>
    <cellStyle name="40% - Accent6 28 14 2" xfId="16707" xr:uid="{6141B7CA-36F1-4919-99AF-29FE1FB71074}"/>
    <cellStyle name="40% - Accent6 28 15" xfId="16708" xr:uid="{AE96FBB8-24A6-43DD-9D55-FF211B2EB0F7}"/>
    <cellStyle name="40% - Accent6 28 16" xfId="37729" xr:uid="{4FD542A2-3EFB-4E9D-AD9C-E98CCD3AE018}"/>
    <cellStyle name="40% - Accent6 28 2" xfId="16709" xr:uid="{858BCEE0-CF07-4C3E-B74A-ECCD4F257669}"/>
    <cellStyle name="40% - Accent6 28 2 2" xfId="16710" xr:uid="{DAE96F9B-B399-4191-A67D-1E7FE46D7C44}"/>
    <cellStyle name="40% - Accent6 28 2 2 2" xfId="16711" xr:uid="{65F73F78-F0DA-4C16-B862-98EBD9E8F6E9}"/>
    <cellStyle name="40% - Accent6 28 2 2 2 2" xfId="16712" xr:uid="{A7290FF5-7B62-4D57-88AB-DE1C368799AE}"/>
    <cellStyle name="40% - Accent6 28 2 2 2 2 2" xfId="16713" xr:uid="{2649F56D-CBFB-46BE-916E-08321819F155}"/>
    <cellStyle name="40% - Accent6 28 2 2 2 3" xfId="16714" xr:uid="{6A2C809E-0C44-4031-AEFE-667BC41CC264}"/>
    <cellStyle name="40% - Accent6 28 2 2 3" xfId="16715" xr:uid="{6A49181F-0CF9-4161-A29D-A74DDE03CA56}"/>
    <cellStyle name="40% - Accent6 28 2 2 3 2" xfId="16716" xr:uid="{C6DDD09A-5579-4A7E-AD00-BF9A1C3154FD}"/>
    <cellStyle name="40% - Accent6 28 2 2 3 2 2" xfId="16717" xr:uid="{55249B26-CC98-4FCD-8C07-64A7424C4BDC}"/>
    <cellStyle name="40% - Accent6 28 2 2 3 3" xfId="16718" xr:uid="{A2B7069F-0395-4DB7-B762-DBC9B36FDCDA}"/>
    <cellStyle name="40% - Accent6 28 2 2 4" xfId="16719" xr:uid="{4C2B3DDD-63E1-48E9-B0A6-69EAD1242172}"/>
    <cellStyle name="40% - Accent6 28 2 2 4 2" xfId="16720" xr:uid="{7BE1F2EF-BEC3-42CF-A92B-7CDDCF69FCAE}"/>
    <cellStyle name="40% - Accent6 28 2 2 5" xfId="16721" xr:uid="{2139F3B3-183C-43C0-8441-1A2552DF23A6}"/>
    <cellStyle name="40% - Accent6 28 2 3" xfId="16722" xr:uid="{9453CCDA-B263-4565-ADAA-303DCB1FEE6E}"/>
    <cellStyle name="40% - Accent6 28 2 3 2" xfId="16723" xr:uid="{A2A45FA1-DD74-49A5-9CD6-665D09A9A27E}"/>
    <cellStyle name="40% - Accent6 28 2 3 2 2" xfId="16724" xr:uid="{18CA20AF-3B7D-4E71-B98B-A9ABB4371CA7}"/>
    <cellStyle name="40% - Accent6 28 2 3 3" xfId="16725" xr:uid="{28033492-38FC-4213-999D-9962AE535B93}"/>
    <cellStyle name="40% - Accent6 28 2 4" xfId="16726" xr:uid="{FBF32F6E-3F5D-4D2B-BB22-66605607466B}"/>
    <cellStyle name="40% - Accent6 28 2 4 2" xfId="16727" xr:uid="{B00303E4-5495-4666-9BBF-40F6CA58CD2F}"/>
    <cellStyle name="40% - Accent6 28 2 4 2 2" xfId="16728" xr:uid="{06491B18-0D7C-4DB5-84C9-2603517F9E1C}"/>
    <cellStyle name="40% - Accent6 28 2 4 3" xfId="16729" xr:uid="{7D400827-697E-411C-A9F9-94AE337289B8}"/>
    <cellStyle name="40% - Accent6 28 2 5" xfId="16730" xr:uid="{77586506-0CFD-488B-9313-2FCC4E9D59EF}"/>
    <cellStyle name="40% - Accent6 28 2 5 2" xfId="16731" xr:uid="{2085A84F-5A22-4855-B1FD-38AFDEAE19C8}"/>
    <cellStyle name="40% - Accent6 28 2 6" xfId="16732" xr:uid="{3106F492-3712-48A2-B0C5-339A6FB1C482}"/>
    <cellStyle name="40% - Accent6 28 3" xfId="16733" xr:uid="{62145C06-7716-41A9-8E66-1FB12A2C5E28}"/>
    <cellStyle name="40% - Accent6 28 3 2" xfId="16734" xr:uid="{5EFC394F-4642-4535-BD8A-240B028D8376}"/>
    <cellStyle name="40% - Accent6 28 3 2 2" xfId="16735" xr:uid="{2D06DF76-810D-4DDF-83F6-35C000497E4F}"/>
    <cellStyle name="40% - Accent6 28 3 2 2 2" xfId="16736" xr:uid="{7C0864CF-E965-4090-9F9E-D303893AF718}"/>
    <cellStyle name="40% - Accent6 28 3 2 2 2 2" xfId="16737" xr:uid="{F6B9C4AE-383C-464D-B5F8-98401A77DDDD}"/>
    <cellStyle name="40% - Accent6 28 3 2 2 3" xfId="16738" xr:uid="{9CBD3F71-3E4D-4FF2-B373-DFBA143E8F2D}"/>
    <cellStyle name="40% - Accent6 28 3 2 3" xfId="16739" xr:uid="{119CE0D1-84B5-4EDC-8088-2DA84D6F2317}"/>
    <cellStyle name="40% - Accent6 28 3 2 3 2" xfId="16740" xr:uid="{E84CDF63-547B-4331-BCD2-390109ABDC9C}"/>
    <cellStyle name="40% - Accent6 28 3 2 3 2 2" xfId="16741" xr:uid="{CE0E7554-0A63-46EB-8248-CE293B9CC209}"/>
    <cellStyle name="40% - Accent6 28 3 2 3 3" xfId="16742" xr:uid="{16EDB126-CEA5-4036-A672-595E53C01B37}"/>
    <cellStyle name="40% - Accent6 28 3 2 4" xfId="16743" xr:uid="{88F3A00A-EDCF-4345-A0DD-AAB899E8D8B1}"/>
    <cellStyle name="40% - Accent6 28 3 2 4 2" xfId="16744" xr:uid="{7DE9E49F-8223-48B6-A87D-2D2BDA6FFECD}"/>
    <cellStyle name="40% - Accent6 28 3 2 5" xfId="16745" xr:uid="{9D24F36E-7016-4F8A-8EB9-FA947D358968}"/>
    <cellStyle name="40% - Accent6 28 3 3" xfId="16746" xr:uid="{924FD7ED-B50E-477A-8990-3D638E879863}"/>
    <cellStyle name="40% - Accent6 28 3 3 2" xfId="16747" xr:uid="{0B077211-62AD-4A72-B31F-EB864E4C3017}"/>
    <cellStyle name="40% - Accent6 28 3 3 2 2" xfId="16748" xr:uid="{A2FA1BA7-B54A-4279-B7AF-2DFD1F6A87EF}"/>
    <cellStyle name="40% - Accent6 28 3 3 3" xfId="16749" xr:uid="{07FF1DC8-2220-4E37-9F7D-14EB26A4C5CA}"/>
    <cellStyle name="40% - Accent6 28 3 4" xfId="16750" xr:uid="{E114E7E3-25A5-444A-8EDC-F982D2893A68}"/>
    <cellStyle name="40% - Accent6 28 3 4 2" xfId="16751" xr:uid="{C8A7684B-27A8-424E-B9F8-B86DF5507BA1}"/>
    <cellStyle name="40% - Accent6 28 3 4 2 2" xfId="16752" xr:uid="{99D129D4-375E-4FAA-AC5C-72B3C767C491}"/>
    <cellStyle name="40% - Accent6 28 3 4 3" xfId="16753" xr:uid="{309B8BF8-72AD-4A91-AAEE-AD1DEC9EC0D1}"/>
    <cellStyle name="40% - Accent6 28 3 5" xfId="16754" xr:uid="{AFD3CEA5-995C-4B60-A6AB-4DA981556374}"/>
    <cellStyle name="40% - Accent6 28 3 5 2" xfId="16755" xr:uid="{904D0466-8FD7-465B-AAD5-CE49C70DFCAE}"/>
    <cellStyle name="40% - Accent6 28 3 6" xfId="16756" xr:uid="{5A7F45BB-095B-4662-9646-0D29E34851D3}"/>
    <cellStyle name="40% - Accent6 28 4" xfId="16757" xr:uid="{85146458-7751-4059-9720-2994FD7D864E}"/>
    <cellStyle name="40% - Accent6 28 4 2" xfId="16758" xr:uid="{61FA1D95-4757-4E05-AD48-03B403420F9F}"/>
    <cellStyle name="40% - Accent6 28 4 2 2" xfId="16759" xr:uid="{9667D0B5-55F6-4CE0-85A7-87AF2D6D2445}"/>
    <cellStyle name="40% - Accent6 28 4 2 2 2" xfId="16760" xr:uid="{CDC9AFBC-C017-423A-A4A5-0F8F15F52519}"/>
    <cellStyle name="40% - Accent6 28 4 2 2 2 2" xfId="16761" xr:uid="{A5BE494E-CAE3-4E1A-AD61-AA1472539331}"/>
    <cellStyle name="40% - Accent6 28 4 2 2 3" xfId="16762" xr:uid="{B32A0AE8-EEA0-4642-8D93-2B86F5F03A8F}"/>
    <cellStyle name="40% - Accent6 28 4 2 3" xfId="16763" xr:uid="{6B31A896-996E-4661-A323-06348EBBBDC9}"/>
    <cellStyle name="40% - Accent6 28 4 2 3 2" xfId="16764" xr:uid="{6AB5559B-C3CC-4134-8A2E-FACC72DFFAC0}"/>
    <cellStyle name="40% - Accent6 28 4 2 3 2 2" xfId="16765" xr:uid="{B0F49597-69A9-4E9D-8512-B5741810827D}"/>
    <cellStyle name="40% - Accent6 28 4 2 3 3" xfId="16766" xr:uid="{D0C1F57D-44CF-4985-A1A8-5FB6E7268296}"/>
    <cellStyle name="40% - Accent6 28 4 2 4" xfId="16767" xr:uid="{8F278DB9-2EF1-460B-8A23-CC5E6240E44A}"/>
    <cellStyle name="40% - Accent6 28 4 2 4 2" xfId="16768" xr:uid="{678D43EC-373E-4EDC-8176-F7B0FC377A74}"/>
    <cellStyle name="40% - Accent6 28 4 2 5" xfId="16769" xr:uid="{F0FA1E38-233A-4107-AFDC-D30A314EFD7C}"/>
    <cellStyle name="40% - Accent6 28 4 3" xfId="16770" xr:uid="{9E0C3D20-3EB8-41EF-8581-F7A93F2B3D6B}"/>
    <cellStyle name="40% - Accent6 28 4 3 2" xfId="16771" xr:uid="{385BB079-C586-4953-9E99-771C38B274AA}"/>
    <cellStyle name="40% - Accent6 28 4 3 2 2" xfId="16772" xr:uid="{E318A463-F879-431B-B286-40518E70C0DD}"/>
    <cellStyle name="40% - Accent6 28 4 3 3" xfId="16773" xr:uid="{7AB2B465-999D-4094-8F8F-F419A409BED3}"/>
    <cellStyle name="40% - Accent6 28 4 4" xfId="16774" xr:uid="{CBFF9634-A614-4A94-A6D6-4E2CE600F785}"/>
    <cellStyle name="40% - Accent6 28 4 4 2" xfId="16775" xr:uid="{662F14EC-D3D1-40F9-AE78-0FEA225952A3}"/>
    <cellStyle name="40% - Accent6 28 4 4 2 2" xfId="16776" xr:uid="{3FD69A63-239E-4A3B-A605-BC62CE53738F}"/>
    <cellStyle name="40% - Accent6 28 4 4 3" xfId="16777" xr:uid="{9F4BE5A3-5A87-44D2-851B-8A3341924A46}"/>
    <cellStyle name="40% - Accent6 28 4 5" xfId="16778" xr:uid="{FA8009DD-D56E-4157-AF17-6D0960480D83}"/>
    <cellStyle name="40% - Accent6 28 4 5 2" xfId="16779" xr:uid="{764BC7EE-7D12-4EF7-B3A3-2D16EF3CCC13}"/>
    <cellStyle name="40% - Accent6 28 4 6" xfId="16780" xr:uid="{FF3BC7EB-84A1-4695-AB58-6D7B1A02CD6A}"/>
    <cellStyle name="40% - Accent6 28 5" xfId="16781" xr:uid="{8E328E67-E0FA-4F58-92F0-4216A52340E7}"/>
    <cellStyle name="40% - Accent6 28 5 2" xfId="16782" xr:uid="{89943602-ED4E-43A9-B4C1-2E81137C9383}"/>
    <cellStyle name="40% - Accent6 28 5 2 2" xfId="16783" xr:uid="{7C74D8BD-2ECA-44E3-AFEF-C36D1FA82C51}"/>
    <cellStyle name="40% - Accent6 28 5 2 2 2" xfId="16784" xr:uid="{2D3857EF-44CC-4784-9304-B9D3AC34FA10}"/>
    <cellStyle name="40% - Accent6 28 5 2 2 2 2" xfId="16785" xr:uid="{15709E2F-9FB5-4FB8-A1C4-F5F35DE7D112}"/>
    <cellStyle name="40% - Accent6 28 5 2 2 3" xfId="16786" xr:uid="{A8BD4C6C-A108-44F8-A5DF-240EA9805067}"/>
    <cellStyle name="40% - Accent6 28 5 2 3" xfId="16787" xr:uid="{9CEDC61D-3ED9-47E5-9B2E-CA08B8AFBA6D}"/>
    <cellStyle name="40% - Accent6 28 5 2 3 2" xfId="16788" xr:uid="{5A664072-73B5-4352-B58D-CFEFDFA93CAD}"/>
    <cellStyle name="40% - Accent6 28 5 2 3 2 2" xfId="16789" xr:uid="{3A202892-B77C-4147-98AD-E1F83D092D4F}"/>
    <cellStyle name="40% - Accent6 28 5 2 3 3" xfId="16790" xr:uid="{214BF505-E819-4B5E-A31D-C70E38109AFD}"/>
    <cellStyle name="40% - Accent6 28 5 2 4" xfId="16791" xr:uid="{DCED63B4-A546-44E6-ABA7-A12FBF4F8D6B}"/>
    <cellStyle name="40% - Accent6 28 5 2 4 2" xfId="16792" xr:uid="{D13EF6A5-4A63-40A7-8BDD-0FB8AAF23C90}"/>
    <cellStyle name="40% - Accent6 28 5 2 5" xfId="16793" xr:uid="{2FAB13A6-4908-4425-BA76-7AE87AEBDD2F}"/>
    <cellStyle name="40% - Accent6 28 5 3" xfId="16794" xr:uid="{7BF337FD-0D34-46B5-A5A1-CCE3F1BFCAC3}"/>
    <cellStyle name="40% - Accent6 28 5 3 2" xfId="16795" xr:uid="{EA06E1C7-2A7F-4E10-A883-7FA827FEE2E5}"/>
    <cellStyle name="40% - Accent6 28 5 3 2 2" xfId="16796" xr:uid="{9B20B306-D9E0-4FE6-8412-895D7A80153B}"/>
    <cellStyle name="40% - Accent6 28 5 3 3" xfId="16797" xr:uid="{5860DC87-4886-4D45-BD3D-A8D3E71659AE}"/>
    <cellStyle name="40% - Accent6 28 5 4" xfId="16798" xr:uid="{66570DF0-364D-4736-8DC7-7D1E164DABA2}"/>
    <cellStyle name="40% - Accent6 28 5 4 2" xfId="16799" xr:uid="{FA050E14-D385-4C07-B5B1-1455A5EB2DE1}"/>
    <cellStyle name="40% - Accent6 28 5 4 2 2" xfId="16800" xr:uid="{787EF344-D50A-4E1B-8772-070ABCABD10A}"/>
    <cellStyle name="40% - Accent6 28 5 4 3" xfId="16801" xr:uid="{40CBCBD1-84D5-486E-B555-4A09E65C8451}"/>
    <cellStyle name="40% - Accent6 28 5 5" xfId="16802" xr:uid="{1979921B-1E70-4697-97B1-04493E03FCE1}"/>
    <cellStyle name="40% - Accent6 28 5 5 2" xfId="16803" xr:uid="{F02438A8-D047-48A4-9EAD-3310D67F65EC}"/>
    <cellStyle name="40% - Accent6 28 5 6" xfId="16804" xr:uid="{5BAE7918-81DA-4BC6-B360-0454830FA6E9}"/>
    <cellStyle name="40% - Accent6 28 6" xfId="16805" xr:uid="{46E48F29-663B-457F-82FD-2ED1CBDF1272}"/>
    <cellStyle name="40% - Accent6 28 6 2" xfId="16806" xr:uid="{B42FF3CA-825D-4AAF-ACC6-A3176E92A8CB}"/>
    <cellStyle name="40% - Accent6 28 6 2 2" xfId="16807" xr:uid="{52AED26D-B33C-43E0-B273-99E669DDE6B7}"/>
    <cellStyle name="40% - Accent6 28 6 2 2 2" xfId="16808" xr:uid="{1671FB1B-5029-4941-86ED-EBC057AA245A}"/>
    <cellStyle name="40% - Accent6 28 6 2 2 2 2" xfId="16809" xr:uid="{FA131038-E1B7-4C11-A7AC-2E926C12C645}"/>
    <cellStyle name="40% - Accent6 28 6 2 2 3" xfId="16810" xr:uid="{0A5FB362-FACF-4618-B225-811402558100}"/>
    <cellStyle name="40% - Accent6 28 6 2 3" xfId="16811" xr:uid="{823F07BD-3F3E-4FE2-BDC8-F19D5C6760AC}"/>
    <cellStyle name="40% - Accent6 28 6 2 3 2" xfId="16812" xr:uid="{CBFF7FF6-1952-43A7-BEB2-892FBFDA2CF5}"/>
    <cellStyle name="40% - Accent6 28 6 2 3 2 2" xfId="16813" xr:uid="{9F711BB2-49B1-4450-9441-DA37421DFF04}"/>
    <cellStyle name="40% - Accent6 28 6 2 3 3" xfId="16814" xr:uid="{AB3EDBA3-C01A-4CBE-B8A1-D85C2361AFFF}"/>
    <cellStyle name="40% - Accent6 28 6 2 4" xfId="16815" xr:uid="{16AFB3C1-1965-432A-99C6-E8A67F096326}"/>
    <cellStyle name="40% - Accent6 28 6 2 4 2" xfId="16816" xr:uid="{AC820D4C-CAB3-4774-9A63-87CF0CACED56}"/>
    <cellStyle name="40% - Accent6 28 6 2 5" xfId="16817" xr:uid="{E696B13C-C49A-4637-A50E-8CD7FDA62667}"/>
    <cellStyle name="40% - Accent6 28 6 3" xfId="16818" xr:uid="{E7FF5B4E-FAD2-4F9B-BE41-3AF06703EFA3}"/>
    <cellStyle name="40% - Accent6 28 6 3 2" xfId="16819" xr:uid="{9DCA8357-DE9B-4108-842E-D40214D5634D}"/>
    <cellStyle name="40% - Accent6 28 6 3 2 2" xfId="16820" xr:uid="{489B3D0F-65AE-43CD-A05F-6511422EB25D}"/>
    <cellStyle name="40% - Accent6 28 6 3 3" xfId="16821" xr:uid="{E64371A6-1A26-4206-80E5-CEB17FF21A53}"/>
    <cellStyle name="40% - Accent6 28 6 4" xfId="16822" xr:uid="{3DECD59F-C7EA-498A-A5B1-52B9797AA581}"/>
    <cellStyle name="40% - Accent6 28 6 4 2" xfId="16823" xr:uid="{01D6C6EB-3A0F-4BD7-9701-BC736F406EA6}"/>
    <cellStyle name="40% - Accent6 28 6 4 2 2" xfId="16824" xr:uid="{B8A87AC2-BDAB-4661-9EF9-9A61BD668DBA}"/>
    <cellStyle name="40% - Accent6 28 6 4 3" xfId="16825" xr:uid="{483ECBD2-E18A-4879-8027-ECFAFDEDECA7}"/>
    <cellStyle name="40% - Accent6 28 6 5" xfId="16826" xr:uid="{BD61694F-63DF-4588-8990-7E40703BE2B0}"/>
    <cellStyle name="40% - Accent6 28 6 5 2" xfId="16827" xr:uid="{288B5397-043C-4896-B10D-1D87129A6034}"/>
    <cellStyle name="40% - Accent6 28 6 6" xfId="16828" xr:uid="{3D972673-68C4-46BE-92D7-479FBA7D0D0F}"/>
    <cellStyle name="40% - Accent6 28 7" xfId="16829" xr:uid="{879BC0D4-C1FC-4573-A49E-2958B2B3C640}"/>
    <cellStyle name="40% - Accent6 28 7 2" xfId="16830" xr:uid="{0B607986-9FD7-418E-80D6-3BABD6BF7F27}"/>
    <cellStyle name="40% - Accent6 28 7 2 2" xfId="16831" xr:uid="{AC7D9ECF-0189-4BAD-8511-5B058B5F8687}"/>
    <cellStyle name="40% - Accent6 28 7 2 2 2" xfId="16832" xr:uid="{B6065415-AF3F-4CD7-BF70-0B52313A19B6}"/>
    <cellStyle name="40% - Accent6 28 7 2 2 2 2" xfId="16833" xr:uid="{40D3C695-C596-4B9D-8D4F-935BB79D1D5F}"/>
    <cellStyle name="40% - Accent6 28 7 2 2 3" xfId="16834" xr:uid="{C4C120DA-AA71-4673-8C92-998F07BAF7BB}"/>
    <cellStyle name="40% - Accent6 28 7 2 3" xfId="16835" xr:uid="{B48E870F-9DF7-42AA-BB17-D2757D8552A7}"/>
    <cellStyle name="40% - Accent6 28 7 2 3 2" xfId="16836" xr:uid="{343D9D10-DEC0-4552-BC3A-1A469E4FBF85}"/>
    <cellStyle name="40% - Accent6 28 7 2 3 2 2" xfId="16837" xr:uid="{362CEA46-6A8D-443E-830A-6A1D2F0D1489}"/>
    <cellStyle name="40% - Accent6 28 7 2 3 3" xfId="16838" xr:uid="{01B6BDF5-9F98-4105-A2E9-38C865D5A956}"/>
    <cellStyle name="40% - Accent6 28 7 2 4" xfId="16839" xr:uid="{E02C4788-64FC-40D1-B54D-D03FE71A0D65}"/>
    <cellStyle name="40% - Accent6 28 7 2 4 2" xfId="16840" xr:uid="{38389E05-499E-42A1-8E05-13B6A2D4B5F6}"/>
    <cellStyle name="40% - Accent6 28 7 2 5" xfId="16841" xr:uid="{383E32A7-9A62-49EE-97AF-46D88FBE1E02}"/>
    <cellStyle name="40% - Accent6 28 7 3" xfId="16842" xr:uid="{759D544E-E4AD-42BB-A6A3-38AC17228AA6}"/>
    <cellStyle name="40% - Accent6 28 7 3 2" xfId="16843" xr:uid="{3575651D-E3E1-4892-9421-0FC31B20D13B}"/>
    <cellStyle name="40% - Accent6 28 7 3 2 2" xfId="16844" xr:uid="{62C8DECC-AFAD-4612-8DEC-BC55BC05BFF6}"/>
    <cellStyle name="40% - Accent6 28 7 3 3" xfId="16845" xr:uid="{1E27CCE7-E27D-449F-B9EC-37A05EA151AD}"/>
    <cellStyle name="40% - Accent6 28 7 4" xfId="16846" xr:uid="{E5F95083-0A60-449A-BCF4-7D430CAD97C3}"/>
    <cellStyle name="40% - Accent6 28 7 4 2" xfId="16847" xr:uid="{BF23BD66-B7BE-4663-9228-5D3AF802164C}"/>
    <cellStyle name="40% - Accent6 28 7 4 2 2" xfId="16848" xr:uid="{7C5C6B99-BF93-4693-A7E5-3D5D865A858C}"/>
    <cellStyle name="40% - Accent6 28 7 4 3" xfId="16849" xr:uid="{ACCBE1F4-5503-474D-84D8-3DE7547017BC}"/>
    <cellStyle name="40% - Accent6 28 7 5" xfId="16850" xr:uid="{00D08CD8-2122-4C89-B04F-BE8A78FD00B1}"/>
    <cellStyle name="40% - Accent6 28 7 5 2" xfId="16851" xr:uid="{BDBE261F-CA57-4041-AD34-C4A4D3D3F943}"/>
    <cellStyle name="40% - Accent6 28 7 6" xfId="16852" xr:uid="{FC8338E7-B4EA-4D06-A93F-A4F2B0381EF9}"/>
    <cellStyle name="40% - Accent6 28 8" xfId="16853" xr:uid="{21852809-CEAD-4F3F-96AA-24706F2B74A0}"/>
    <cellStyle name="40% - Accent6 28 8 2" xfId="16854" xr:uid="{E3DFCDBB-BF4F-4DA1-B380-1B7C661C8A05}"/>
    <cellStyle name="40% - Accent6 28 8 2 2" xfId="16855" xr:uid="{BF4ADC0F-6554-475F-B981-516FB4B3D213}"/>
    <cellStyle name="40% - Accent6 28 8 2 2 2" xfId="16856" xr:uid="{A3ED857B-1B83-4917-97E6-E717C94325D1}"/>
    <cellStyle name="40% - Accent6 28 8 2 2 2 2" xfId="16857" xr:uid="{67DB1EA1-F512-464E-A92A-B60CB0B8A517}"/>
    <cellStyle name="40% - Accent6 28 8 2 2 3" xfId="16858" xr:uid="{BAB99270-A016-4741-BFF2-3172E3304C74}"/>
    <cellStyle name="40% - Accent6 28 8 2 3" xfId="16859" xr:uid="{E4DDAFCB-4F1C-41C2-AF46-EA2FBB8F08CF}"/>
    <cellStyle name="40% - Accent6 28 8 2 3 2" xfId="16860" xr:uid="{6A964D11-28B0-4EA7-BF6A-31E5E4F36023}"/>
    <cellStyle name="40% - Accent6 28 8 2 3 2 2" xfId="16861" xr:uid="{E17003A0-92F0-44C2-8435-5FCC56112A89}"/>
    <cellStyle name="40% - Accent6 28 8 2 3 3" xfId="16862" xr:uid="{E84D1915-0B59-4801-9E87-4ABEE3587448}"/>
    <cellStyle name="40% - Accent6 28 8 2 4" xfId="16863" xr:uid="{CD0F18FB-0C93-4C11-9A53-0B88E914B263}"/>
    <cellStyle name="40% - Accent6 28 8 2 4 2" xfId="16864" xr:uid="{55AB81A9-9143-4B30-A916-5E0B3A8FA0FA}"/>
    <cellStyle name="40% - Accent6 28 8 2 5" xfId="16865" xr:uid="{74178558-07B7-48AE-8547-2B71C936F935}"/>
    <cellStyle name="40% - Accent6 28 8 3" xfId="16866" xr:uid="{A836624E-3996-44E5-B5E3-F16FAFC8A9FF}"/>
    <cellStyle name="40% - Accent6 28 8 3 2" xfId="16867" xr:uid="{055FB46F-8A10-4361-A891-04E441F7F70C}"/>
    <cellStyle name="40% - Accent6 28 8 3 2 2" xfId="16868" xr:uid="{70631644-0E16-427C-AA64-D94C8C31089E}"/>
    <cellStyle name="40% - Accent6 28 8 3 3" xfId="16869" xr:uid="{2B5DB3C4-5D90-4636-85B5-83477AF4FED6}"/>
    <cellStyle name="40% - Accent6 28 8 4" xfId="16870" xr:uid="{FAF8D10E-49A0-4B30-BD03-93BAEAFEC08B}"/>
    <cellStyle name="40% - Accent6 28 8 4 2" xfId="16871" xr:uid="{A06EDAD6-2B90-4C72-872F-9640A72D4632}"/>
    <cellStyle name="40% - Accent6 28 8 4 2 2" xfId="16872" xr:uid="{404A823B-3F5F-401D-833F-62D8AF2B222F}"/>
    <cellStyle name="40% - Accent6 28 8 4 3" xfId="16873" xr:uid="{65112459-7B4C-48C0-A207-652059CE5B48}"/>
    <cellStyle name="40% - Accent6 28 8 5" xfId="16874" xr:uid="{8E161C67-8B70-44DB-94DE-47D76123E29B}"/>
    <cellStyle name="40% - Accent6 28 8 5 2" xfId="16875" xr:uid="{E9B09FFE-AC0D-4AC2-8BAC-6B412BB90AE3}"/>
    <cellStyle name="40% - Accent6 28 8 6" xfId="16876" xr:uid="{10B655B1-608A-4280-AA87-7F49A75359A5}"/>
    <cellStyle name="40% - Accent6 28 9" xfId="16877" xr:uid="{225CB03F-277F-4D36-93CE-83F97D79D73D}"/>
    <cellStyle name="40% - Accent6 28 9 2" xfId="16878" xr:uid="{E1E0D750-1644-457D-BE87-CE8ECF184AA7}"/>
    <cellStyle name="40% - Accent6 28 9 2 2" xfId="16879" xr:uid="{6130B48D-BBE0-4901-89C8-3B3C037409FF}"/>
    <cellStyle name="40% - Accent6 28 9 2 2 2" xfId="16880" xr:uid="{E7169C4B-41A1-460C-B9B4-F42D9A62EAA6}"/>
    <cellStyle name="40% - Accent6 28 9 2 2 2 2" xfId="16881" xr:uid="{012F881B-CA35-46F6-A9EF-23869E9B73FE}"/>
    <cellStyle name="40% - Accent6 28 9 2 2 3" xfId="16882" xr:uid="{1F1810C9-4918-4C81-96EA-170D70DA0841}"/>
    <cellStyle name="40% - Accent6 28 9 2 3" xfId="16883" xr:uid="{B03C6878-0F58-4264-8BD1-4E50ECFE53D1}"/>
    <cellStyle name="40% - Accent6 28 9 2 3 2" xfId="16884" xr:uid="{E64A80EE-E3B0-4447-B641-A92913EDEB8E}"/>
    <cellStyle name="40% - Accent6 28 9 2 3 2 2" xfId="16885" xr:uid="{13558876-8AB6-48BB-9C92-DD96486C6B33}"/>
    <cellStyle name="40% - Accent6 28 9 2 3 3" xfId="16886" xr:uid="{E349DEDD-A4ED-4E6E-A71D-5521A0B201E2}"/>
    <cellStyle name="40% - Accent6 28 9 2 4" xfId="16887" xr:uid="{2E9E5F4E-94C1-45D7-90B4-6D4BC20F3F37}"/>
    <cellStyle name="40% - Accent6 28 9 2 4 2" xfId="16888" xr:uid="{31CF6F3C-45D5-468A-B275-813346D1969D}"/>
    <cellStyle name="40% - Accent6 28 9 2 5" xfId="16889" xr:uid="{EA8B546A-ABE9-4E71-BC5B-7FCFD5DD96E0}"/>
    <cellStyle name="40% - Accent6 28 9 3" xfId="16890" xr:uid="{76F1BDED-703F-42C2-9768-ABEA66C5C79A}"/>
    <cellStyle name="40% - Accent6 28 9 3 2" xfId="16891" xr:uid="{C4081324-D754-41AF-823C-CDF0570EF4FC}"/>
    <cellStyle name="40% - Accent6 28 9 3 2 2" xfId="16892" xr:uid="{C3E4444A-1A09-43EB-88D3-F6641A19BDBC}"/>
    <cellStyle name="40% - Accent6 28 9 3 3" xfId="16893" xr:uid="{D955DC7A-5CD2-4F99-9187-B2A4D186DDE5}"/>
    <cellStyle name="40% - Accent6 28 9 4" xfId="16894" xr:uid="{A21205B4-DA23-4C94-B0C4-7681647D369B}"/>
    <cellStyle name="40% - Accent6 28 9 4 2" xfId="16895" xr:uid="{6D6A6319-CFF6-4A71-9AAA-1308037535DA}"/>
    <cellStyle name="40% - Accent6 28 9 4 2 2" xfId="16896" xr:uid="{4C61C1B0-F011-4BFE-B01B-10B2A793DC80}"/>
    <cellStyle name="40% - Accent6 28 9 4 3" xfId="16897" xr:uid="{536A85D3-5259-4704-B1C6-009968DF0406}"/>
    <cellStyle name="40% - Accent6 28 9 5" xfId="16898" xr:uid="{81237252-5599-4DA8-A0CE-F03456AA020F}"/>
    <cellStyle name="40% - Accent6 28 9 5 2" xfId="16899" xr:uid="{58CA5ECA-6893-45EC-B052-263D157ABA24}"/>
    <cellStyle name="40% - Accent6 28 9 6" xfId="16900" xr:uid="{B7AB0875-7E5B-419B-8467-250FC53B0C04}"/>
    <cellStyle name="40% - Accent6 29" xfId="16901" xr:uid="{94AE9B43-52EA-4302-9A39-319BA881AAF5}"/>
    <cellStyle name="40% - Accent6 29 10" xfId="16902" xr:uid="{78336265-B8D4-425E-A477-ACDEA1FCDE08}"/>
    <cellStyle name="40% - Accent6 29 10 2" xfId="16903" xr:uid="{E77125DB-F872-4463-826D-8FB75A139D5F}"/>
    <cellStyle name="40% - Accent6 29 10 2 2" xfId="16904" xr:uid="{731157F2-0EB0-4B09-9AE0-7408C60D6F10}"/>
    <cellStyle name="40% - Accent6 29 10 2 2 2" xfId="16905" xr:uid="{C75261BA-76B6-42E4-BC0D-B4B24FFCB511}"/>
    <cellStyle name="40% - Accent6 29 10 2 2 2 2" xfId="16906" xr:uid="{68A9A1EC-D498-4876-BA99-F741259AA0E9}"/>
    <cellStyle name="40% - Accent6 29 10 2 2 3" xfId="16907" xr:uid="{43CFC5FA-831B-446C-878D-91209F2EC64B}"/>
    <cellStyle name="40% - Accent6 29 10 2 3" xfId="16908" xr:uid="{982D0575-17E6-4424-80EE-2BB664AF735C}"/>
    <cellStyle name="40% - Accent6 29 10 2 3 2" xfId="16909" xr:uid="{1D60EC61-025B-4066-B7C3-9C4112CEAF6D}"/>
    <cellStyle name="40% - Accent6 29 10 2 3 2 2" xfId="16910" xr:uid="{89940F79-8BF1-40CE-A3DC-6765F81E6162}"/>
    <cellStyle name="40% - Accent6 29 10 2 3 3" xfId="16911" xr:uid="{C62B403C-32CB-4FDD-B47A-0BAE9BD60B10}"/>
    <cellStyle name="40% - Accent6 29 10 2 4" xfId="16912" xr:uid="{2D7CEB4A-2D1D-4C39-9A51-9D1D78A57F6C}"/>
    <cellStyle name="40% - Accent6 29 10 2 4 2" xfId="16913" xr:uid="{1C350DDD-A89F-40CC-A173-1A0AEED9056B}"/>
    <cellStyle name="40% - Accent6 29 10 2 5" xfId="16914" xr:uid="{10473BF4-D44B-44F9-89E9-57D58A6D92DA}"/>
    <cellStyle name="40% - Accent6 29 10 3" xfId="16915" xr:uid="{A03D23BE-BDEF-4084-93D1-825E93DCFD42}"/>
    <cellStyle name="40% - Accent6 29 10 3 2" xfId="16916" xr:uid="{A006407D-B1CA-49A8-9B9E-5BEC478CC78D}"/>
    <cellStyle name="40% - Accent6 29 10 3 2 2" xfId="16917" xr:uid="{7D12F731-D85E-4FE4-8AEC-E739A50ACB92}"/>
    <cellStyle name="40% - Accent6 29 10 3 3" xfId="16918" xr:uid="{6A6257F6-F557-46D1-9CAF-8FE36C667824}"/>
    <cellStyle name="40% - Accent6 29 10 4" xfId="16919" xr:uid="{E4C474E3-CE1A-44BD-8787-4E6C7A6A2F8A}"/>
    <cellStyle name="40% - Accent6 29 10 4 2" xfId="16920" xr:uid="{D5C6F781-F0BF-4AB5-AA5E-B46E8DB2599C}"/>
    <cellStyle name="40% - Accent6 29 10 4 2 2" xfId="16921" xr:uid="{03A076BB-012A-4FD8-BFA1-E3E9FE1FBD56}"/>
    <cellStyle name="40% - Accent6 29 10 4 3" xfId="16922" xr:uid="{9320CE5B-B739-465C-8815-C849F8DEB23B}"/>
    <cellStyle name="40% - Accent6 29 10 5" xfId="16923" xr:uid="{33500C46-0268-42A8-BF0D-FEFCC859FBD1}"/>
    <cellStyle name="40% - Accent6 29 10 5 2" xfId="16924" xr:uid="{154CD8DF-2953-44C0-9FC5-20C53EE9A0BD}"/>
    <cellStyle name="40% - Accent6 29 10 6" xfId="16925" xr:uid="{21056461-6B9F-49F0-8B95-A3471AC2C391}"/>
    <cellStyle name="40% - Accent6 29 11" xfId="16926" xr:uid="{94C0CC01-022A-48B8-AFAB-50D6ACF5B293}"/>
    <cellStyle name="40% - Accent6 29 11 2" xfId="16927" xr:uid="{5E62CEEF-E4E3-4F03-9A59-A255734E5F6A}"/>
    <cellStyle name="40% - Accent6 29 11 2 2" xfId="16928" xr:uid="{282C3C91-9020-49D3-A769-6A1FDB26EDC3}"/>
    <cellStyle name="40% - Accent6 29 11 2 2 2" xfId="16929" xr:uid="{39D180E5-EDA0-48BF-8C6B-53C5E65E067B}"/>
    <cellStyle name="40% - Accent6 29 11 2 3" xfId="16930" xr:uid="{4C45DEE2-7655-44E7-BF0A-5452A0E035C3}"/>
    <cellStyle name="40% - Accent6 29 11 3" xfId="16931" xr:uid="{7C48062B-7EE0-4FD3-A5B7-AAF6F4BB0A8B}"/>
    <cellStyle name="40% - Accent6 29 11 3 2" xfId="16932" xr:uid="{D2CA7465-A882-487A-A8DB-89185A653E3A}"/>
    <cellStyle name="40% - Accent6 29 11 3 2 2" xfId="16933" xr:uid="{B75F816C-843D-4BEA-8585-252C50F1C4EB}"/>
    <cellStyle name="40% - Accent6 29 11 3 3" xfId="16934" xr:uid="{DF70B66A-ED13-46E0-A47D-417A5BDF0D1A}"/>
    <cellStyle name="40% - Accent6 29 11 4" xfId="16935" xr:uid="{806F29BA-23E8-4CAB-A90F-A4402A587D20}"/>
    <cellStyle name="40% - Accent6 29 11 4 2" xfId="16936" xr:uid="{39533B2D-521F-42A3-B35D-B06CDDD40D31}"/>
    <cellStyle name="40% - Accent6 29 11 5" xfId="16937" xr:uid="{FE6D1C91-1590-4194-A479-C70428794280}"/>
    <cellStyle name="40% - Accent6 29 12" xfId="16938" xr:uid="{A26D10CE-A2F7-4FE9-B5C0-65CEBD7C205F}"/>
    <cellStyle name="40% - Accent6 29 12 2" xfId="16939" xr:uid="{17B19389-D864-4F5F-B7B8-A5E5459706C6}"/>
    <cellStyle name="40% - Accent6 29 12 2 2" xfId="16940" xr:uid="{6AC74EA8-79EA-488B-B53D-7C2942478CE2}"/>
    <cellStyle name="40% - Accent6 29 12 3" xfId="16941" xr:uid="{4255C01C-06A4-4987-9E30-E3954AD0653D}"/>
    <cellStyle name="40% - Accent6 29 13" xfId="16942" xr:uid="{BDA5C65E-C6F6-4B73-AFF6-0F31F3D821D4}"/>
    <cellStyle name="40% - Accent6 29 13 2" xfId="16943" xr:uid="{7EC37DE8-2D95-4BB8-BF1E-2116872363C2}"/>
    <cellStyle name="40% - Accent6 29 13 2 2" xfId="16944" xr:uid="{B4AD6A18-C060-45A6-8689-21323BE8768B}"/>
    <cellStyle name="40% - Accent6 29 13 3" xfId="16945" xr:uid="{B408960E-D6C3-484C-863A-38BF25C38869}"/>
    <cellStyle name="40% - Accent6 29 14" xfId="16946" xr:uid="{C3185611-48C0-4ABD-B76D-834DE666E505}"/>
    <cellStyle name="40% - Accent6 29 14 2" xfId="16947" xr:uid="{C1F47432-94D0-496F-BE16-FFE47D9D4B5E}"/>
    <cellStyle name="40% - Accent6 29 15" xfId="16948" xr:uid="{A3E25749-F1B9-44A3-A9D2-802D12D578AD}"/>
    <cellStyle name="40% - Accent6 29 16" xfId="37730" xr:uid="{334DDC32-FB3A-4119-8458-B326CBF62DB1}"/>
    <cellStyle name="40% - Accent6 29 2" xfId="16949" xr:uid="{F1C73231-8BEF-40AE-8DDE-DB7EA35C3998}"/>
    <cellStyle name="40% - Accent6 29 2 2" xfId="16950" xr:uid="{A1A70D88-18AF-4F1D-90A4-F7C955EF611A}"/>
    <cellStyle name="40% - Accent6 29 2 2 2" xfId="16951" xr:uid="{61FE2D97-A1C2-4E84-BB5B-CE1FF0897E93}"/>
    <cellStyle name="40% - Accent6 29 2 2 2 2" xfId="16952" xr:uid="{904C1896-DF4D-4984-AA35-2E8B60810F76}"/>
    <cellStyle name="40% - Accent6 29 2 2 2 2 2" xfId="16953" xr:uid="{CACCF950-3369-4B4C-8025-791E94D17142}"/>
    <cellStyle name="40% - Accent6 29 2 2 2 3" xfId="16954" xr:uid="{6277130C-1198-4691-8547-27CACFF30147}"/>
    <cellStyle name="40% - Accent6 29 2 2 3" xfId="16955" xr:uid="{3AF6F03E-42E2-42E2-A841-C648A3756CFB}"/>
    <cellStyle name="40% - Accent6 29 2 2 3 2" xfId="16956" xr:uid="{BDB3F137-6649-4DDD-953B-D5455E12D3BE}"/>
    <cellStyle name="40% - Accent6 29 2 2 3 2 2" xfId="16957" xr:uid="{0A865DE0-6078-4D95-9B8D-EAA04235897D}"/>
    <cellStyle name="40% - Accent6 29 2 2 3 3" xfId="16958" xr:uid="{F84B7098-2362-4897-A91D-B134140FB770}"/>
    <cellStyle name="40% - Accent6 29 2 2 4" xfId="16959" xr:uid="{15999BE8-53BC-4F54-9101-714A4E73FAAE}"/>
    <cellStyle name="40% - Accent6 29 2 2 4 2" xfId="16960" xr:uid="{01F8AA13-B484-440A-A99C-FC4428956C18}"/>
    <cellStyle name="40% - Accent6 29 2 2 5" xfId="16961" xr:uid="{747A3937-CE01-4032-A453-003B7FCA3F2C}"/>
    <cellStyle name="40% - Accent6 29 2 3" xfId="16962" xr:uid="{42DCE2FF-7FFD-4C16-9CD2-6D9B04F44A28}"/>
    <cellStyle name="40% - Accent6 29 2 3 2" xfId="16963" xr:uid="{E36F2EE5-3E19-40A6-A76F-678F4F647265}"/>
    <cellStyle name="40% - Accent6 29 2 3 2 2" xfId="16964" xr:uid="{5682BEA5-3F20-42B2-A1F8-33EA5B466C75}"/>
    <cellStyle name="40% - Accent6 29 2 3 3" xfId="16965" xr:uid="{AF106195-C9C1-453B-BF89-6656DE8637E5}"/>
    <cellStyle name="40% - Accent6 29 2 4" xfId="16966" xr:uid="{574964C6-27F7-4AB1-92FD-C66725FCD0E3}"/>
    <cellStyle name="40% - Accent6 29 2 4 2" xfId="16967" xr:uid="{3CBEEC5C-D1A9-4986-8026-959DB4630B05}"/>
    <cellStyle name="40% - Accent6 29 2 4 2 2" xfId="16968" xr:uid="{BFABE444-EF19-461A-B1D4-F7397906AC0E}"/>
    <cellStyle name="40% - Accent6 29 2 4 3" xfId="16969" xr:uid="{0B6C0A57-52DC-4B06-B157-7E9B594E2772}"/>
    <cellStyle name="40% - Accent6 29 2 5" xfId="16970" xr:uid="{F1D69EF7-5662-4724-B5BA-9335AE870841}"/>
    <cellStyle name="40% - Accent6 29 2 5 2" xfId="16971" xr:uid="{89E7194A-85FE-477E-8BAC-CC23635AEDF0}"/>
    <cellStyle name="40% - Accent6 29 2 6" xfId="16972" xr:uid="{3085A333-6763-4A1C-AE65-3919AA8DA740}"/>
    <cellStyle name="40% - Accent6 29 3" xfId="16973" xr:uid="{6D852806-057A-4C8E-AC74-2E99D6BB50DE}"/>
    <cellStyle name="40% - Accent6 29 3 2" xfId="16974" xr:uid="{1E954C0C-658B-4798-9BF9-A6CCAE6B2E74}"/>
    <cellStyle name="40% - Accent6 29 3 2 2" xfId="16975" xr:uid="{898F526E-8388-4DBE-9105-4B5D71F2772F}"/>
    <cellStyle name="40% - Accent6 29 3 2 2 2" xfId="16976" xr:uid="{6E9EE9D8-044C-4B8A-8972-A39D53433CAB}"/>
    <cellStyle name="40% - Accent6 29 3 2 2 2 2" xfId="16977" xr:uid="{1159DECE-8C82-401C-89B6-AAB271548717}"/>
    <cellStyle name="40% - Accent6 29 3 2 2 3" xfId="16978" xr:uid="{0FAD1B22-793E-4940-8545-BEB2B5318B65}"/>
    <cellStyle name="40% - Accent6 29 3 2 3" xfId="16979" xr:uid="{38639C4F-1FDA-424A-A567-44404509B8AC}"/>
    <cellStyle name="40% - Accent6 29 3 2 3 2" xfId="16980" xr:uid="{A2EA1446-1AED-4D54-888A-A4B83EA6197E}"/>
    <cellStyle name="40% - Accent6 29 3 2 3 2 2" xfId="16981" xr:uid="{DCC21463-E449-4172-BF8D-13EE5FBEAD15}"/>
    <cellStyle name="40% - Accent6 29 3 2 3 3" xfId="16982" xr:uid="{7CBB38A7-A775-4B1C-AD2E-A006775E4954}"/>
    <cellStyle name="40% - Accent6 29 3 2 4" xfId="16983" xr:uid="{E0E05786-1700-4596-B0CE-9890F07F0E30}"/>
    <cellStyle name="40% - Accent6 29 3 2 4 2" xfId="16984" xr:uid="{6A2A586C-66BF-41F6-8101-585DEEBAB507}"/>
    <cellStyle name="40% - Accent6 29 3 2 5" xfId="16985" xr:uid="{41299902-B7AA-43B5-8A39-D567336C08BE}"/>
    <cellStyle name="40% - Accent6 29 3 3" xfId="16986" xr:uid="{0CB6954C-C554-4A53-BD62-C51CC9F307F4}"/>
    <cellStyle name="40% - Accent6 29 3 3 2" xfId="16987" xr:uid="{89134AEB-7E64-4FA7-9837-DB85C0D67F43}"/>
    <cellStyle name="40% - Accent6 29 3 3 2 2" xfId="16988" xr:uid="{C0CF3E95-89FC-4FF3-AE70-78469E60C2C1}"/>
    <cellStyle name="40% - Accent6 29 3 3 3" xfId="16989" xr:uid="{B8EA6AC8-8670-4DCF-B5F9-290B58B14093}"/>
    <cellStyle name="40% - Accent6 29 3 4" xfId="16990" xr:uid="{D12351E7-31B1-473F-AA21-47EA40FD5F83}"/>
    <cellStyle name="40% - Accent6 29 3 4 2" xfId="16991" xr:uid="{281D2077-A44D-4CE4-94CC-B122622FC077}"/>
    <cellStyle name="40% - Accent6 29 3 4 2 2" xfId="16992" xr:uid="{3EE2CBAE-65C6-4958-8E16-A06032DDA1AA}"/>
    <cellStyle name="40% - Accent6 29 3 4 3" xfId="16993" xr:uid="{C535D865-7B42-4FC9-92DA-C4819CFE4694}"/>
    <cellStyle name="40% - Accent6 29 3 5" xfId="16994" xr:uid="{F27A49F3-39A7-4370-82ED-16590DB7AF3F}"/>
    <cellStyle name="40% - Accent6 29 3 5 2" xfId="16995" xr:uid="{2D7DF423-D063-4E8C-800F-C9CEC411814F}"/>
    <cellStyle name="40% - Accent6 29 3 6" xfId="16996" xr:uid="{A556E0BE-2BC6-45B4-BC92-50C30D64C777}"/>
    <cellStyle name="40% - Accent6 29 4" xfId="16997" xr:uid="{52A5679E-514E-4FC6-B64C-6742D759AF52}"/>
    <cellStyle name="40% - Accent6 29 4 2" xfId="16998" xr:uid="{8C013786-E7FF-4AC5-BDFF-901C71A19565}"/>
    <cellStyle name="40% - Accent6 29 4 2 2" xfId="16999" xr:uid="{21D4A0CE-9F18-4D12-9DA4-D2415FFAB50C}"/>
    <cellStyle name="40% - Accent6 29 4 2 2 2" xfId="17000" xr:uid="{9375540B-A62C-4184-A83A-8DE4065B4D12}"/>
    <cellStyle name="40% - Accent6 29 4 2 2 2 2" xfId="17001" xr:uid="{7829D9B2-D55C-4CE5-9C71-B246C822B370}"/>
    <cellStyle name="40% - Accent6 29 4 2 2 3" xfId="17002" xr:uid="{B3D5E7B7-F629-4A5B-B29B-AFF7BA17A4C0}"/>
    <cellStyle name="40% - Accent6 29 4 2 3" xfId="17003" xr:uid="{0464AF90-B429-4BE9-91CF-0F4314915F57}"/>
    <cellStyle name="40% - Accent6 29 4 2 3 2" xfId="17004" xr:uid="{E86093D7-814E-4F5E-8A9D-59E603A6746A}"/>
    <cellStyle name="40% - Accent6 29 4 2 3 2 2" xfId="17005" xr:uid="{542EFA85-CE8C-455E-850C-D4AD03EC2F5D}"/>
    <cellStyle name="40% - Accent6 29 4 2 3 3" xfId="17006" xr:uid="{452A6363-1D22-47A6-92F2-A948F1A484AA}"/>
    <cellStyle name="40% - Accent6 29 4 2 4" xfId="17007" xr:uid="{165C1FAE-5BDB-4DE8-BE22-FAC277A60EC3}"/>
    <cellStyle name="40% - Accent6 29 4 2 4 2" xfId="17008" xr:uid="{2821D4B9-0A16-4C00-9348-CAE03E57CDF6}"/>
    <cellStyle name="40% - Accent6 29 4 2 5" xfId="17009" xr:uid="{45D236A8-2FB2-4E11-ABB8-4024F817C410}"/>
    <cellStyle name="40% - Accent6 29 4 3" xfId="17010" xr:uid="{F480C857-21F6-4E0C-8A84-CEF426FAFB62}"/>
    <cellStyle name="40% - Accent6 29 4 3 2" xfId="17011" xr:uid="{B4894772-8982-4A88-A33A-CB81346D45BE}"/>
    <cellStyle name="40% - Accent6 29 4 3 2 2" xfId="17012" xr:uid="{D6183423-5078-49F0-A4D5-1D8827E68E37}"/>
    <cellStyle name="40% - Accent6 29 4 3 3" xfId="17013" xr:uid="{61B092B7-9775-4C01-B6CD-F4B9EB5D7DCE}"/>
    <cellStyle name="40% - Accent6 29 4 4" xfId="17014" xr:uid="{2BB31C19-884E-4178-8106-4417B1A0DE29}"/>
    <cellStyle name="40% - Accent6 29 4 4 2" xfId="17015" xr:uid="{6C76DFC8-B0EE-47EA-8214-E74042AB5436}"/>
    <cellStyle name="40% - Accent6 29 4 4 2 2" xfId="17016" xr:uid="{80E71664-A6E3-4821-AF7F-8AAC8CC0F3F0}"/>
    <cellStyle name="40% - Accent6 29 4 4 3" xfId="17017" xr:uid="{89E1E218-FEF4-46E9-929B-F674EB723BD3}"/>
    <cellStyle name="40% - Accent6 29 4 5" xfId="17018" xr:uid="{8B09834D-8CB3-4F49-883C-EBB876701261}"/>
    <cellStyle name="40% - Accent6 29 4 5 2" xfId="17019" xr:uid="{78BE4BA2-A1BA-4F14-80F7-DB09F07221FC}"/>
    <cellStyle name="40% - Accent6 29 4 6" xfId="17020" xr:uid="{45BF45D1-9A04-4A3A-A9F5-5316A2A396E9}"/>
    <cellStyle name="40% - Accent6 29 5" xfId="17021" xr:uid="{BA525DFD-EEC4-4E49-B355-9F6CED66C2B6}"/>
    <cellStyle name="40% - Accent6 29 5 2" xfId="17022" xr:uid="{9685A899-292E-464D-8B08-EC5DD5B010B9}"/>
    <cellStyle name="40% - Accent6 29 5 2 2" xfId="17023" xr:uid="{0C5E5A67-CCCA-4C4A-9996-0E6DCC9D0147}"/>
    <cellStyle name="40% - Accent6 29 5 2 2 2" xfId="17024" xr:uid="{C0C99469-9D06-4E0A-91C6-4D224A7BCD7D}"/>
    <cellStyle name="40% - Accent6 29 5 2 2 2 2" xfId="17025" xr:uid="{A99EE6F6-F45C-486D-AAE1-7F9E15650280}"/>
    <cellStyle name="40% - Accent6 29 5 2 2 3" xfId="17026" xr:uid="{A756DCF4-4068-48F3-A8B9-90868BB04759}"/>
    <cellStyle name="40% - Accent6 29 5 2 3" xfId="17027" xr:uid="{FD2FBE51-486F-45D5-8951-79444306E5B4}"/>
    <cellStyle name="40% - Accent6 29 5 2 3 2" xfId="17028" xr:uid="{8D050AF7-025E-48FB-BDB4-ED38AB78A783}"/>
    <cellStyle name="40% - Accent6 29 5 2 3 2 2" xfId="17029" xr:uid="{50C652EC-9CD0-40E8-AA7C-6CD41E3B5D66}"/>
    <cellStyle name="40% - Accent6 29 5 2 3 3" xfId="17030" xr:uid="{D6E7CB39-9DBD-465C-A3F3-CD9B3064155C}"/>
    <cellStyle name="40% - Accent6 29 5 2 4" xfId="17031" xr:uid="{47F1B9FC-47E6-43D5-A2BD-094C15F08136}"/>
    <cellStyle name="40% - Accent6 29 5 2 4 2" xfId="17032" xr:uid="{933B7F31-AA4B-4C2A-84E3-DE7432035FFF}"/>
    <cellStyle name="40% - Accent6 29 5 2 5" xfId="17033" xr:uid="{4EE35045-D5BC-4B32-A973-80AD830FF721}"/>
    <cellStyle name="40% - Accent6 29 5 3" xfId="17034" xr:uid="{0154E921-258B-4A48-ABF7-3927A5DDE858}"/>
    <cellStyle name="40% - Accent6 29 5 3 2" xfId="17035" xr:uid="{1D325B99-F7CA-47F8-A7C4-5A52B4B413BF}"/>
    <cellStyle name="40% - Accent6 29 5 3 2 2" xfId="17036" xr:uid="{BBB63F5F-16AB-4C7A-A4F1-36ABCA977A1E}"/>
    <cellStyle name="40% - Accent6 29 5 3 3" xfId="17037" xr:uid="{AC2C5872-38F1-4045-A7FC-B772D0D607F3}"/>
    <cellStyle name="40% - Accent6 29 5 4" xfId="17038" xr:uid="{E9679D2A-C4DE-41B5-B694-01019ADAAF7E}"/>
    <cellStyle name="40% - Accent6 29 5 4 2" xfId="17039" xr:uid="{86A7F4A3-4B47-4A3E-B705-465848EF8FAC}"/>
    <cellStyle name="40% - Accent6 29 5 4 2 2" xfId="17040" xr:uid="{2B480628-56EC-42DF-BE50-A1593114BF73}"/>
    <cellStyle name="40% - Accent6 29 5 4 3" xfId="17041" xr:uid="{FA3E14EE-51FF-4A62-AE9B-94D9480D32AA}"/>
    <cellStyle name="40% - Accent6 29 5 5" xfId="17042" xr:uid="{96513A3C-AA39-411E-8CAC-D718F9D8723A}"/>
    <cellStyle name="40% - Accent6 29 5 5 2" xfId="17043" xr:uid="{A2C41937-D006-43DE-A59B-1D1FC927DD65}"/>
    <cellStyle name="40% - Accent6 29 5 6" xfId="17044" xr:uid="{E02FAD14-9002-4FC0-8B7B-E2CB1FF10212}"/>
    <cellStyle name="40% - Accent6 29 6" xfId="17045" xr:uid="{BCF0806A-4804-4354-9375-98F2EB94F847}"/>
    <cellStyle name="40% - Accent6 29 6 2" xfId="17046" xr:uid="{62F81CC3-3338-4A64-9297-F4B924326893}"/>
    <cellStyle name="40% - Accent6 29 6 2 2" xfId="17047" xr:uid="{7D89D50E-58A6-43FC-9741-D9E129869B56}"/>
    <cellStyle name="40% - Accent6 29 6 2 2 2" xfId="17048" xr:uid="{EB9C2BD4-D5EE-4705-8AAC-424AB49DC5A3}"/>
    <cellStyle name="40% - Accent6 29 6 2 2 2 2" xfId="17049" xr:uid="{4AAD07DB-E6B9-46AE-A80C-69BB2936432C}"/>
    <cellStyle name="40% - Accent6 29 6 2 2 3" xfId="17050" xr:uid="{5D59D46D-7181-4696-89E6-11A2E5221595}"/>
    <cellStyle name="40% - Accent6 29 6 2 3" xfId="17051" xr:uid="{33CF7AC7-A117-4780-9C32-B373B8334AE1}"/>
    <cellStyle name="40% - Accent6 29 6 2 3 2" xfId="17052" xr:uid="{6D3FD579-BBC4-41D0-A3B7-E28818A82B8B}"/>
    <cellStyle name="40% - Accent6 29 6 2 3 2 2" xfId="17053" xr:uid="{BC29B087-8F93-4791-B8D1-5C402F070FBD}"/>
    <cellStyle name="40% - Accent6 29 6 2 3 3" xfId="17054" xr:uid="{E6275B44-99D8-4879-AFB9-DD4401A0B7CB}"/>
    <cellStyle name="40% - Accent6 29 6 2 4" xfId="17055" xr:uid="{FF6DD655-0E1C-4E1B-B40A-412CCFEF9FB8}"/>
    <cellStyle name="40% - Accent6 29 6 2 4 2" xfId="17056" xr:uid="{48BAD827-7F82-4B9D-B195-E8EF45EC6957}"/>
    <cellStyle name="40% - Accent6 29 6 2 5" xfId="17057" xr:uid="{96F480AF-F4A9-42E8-86F0-22C5A0CE7037}"/>
    <cellStyle name="40% - Accent6 29 6 3" xfId="17058" xr:uid="{978264BC-1105-4BEE-AB74-A7ADB9E480B4}"/>
    <cellStyle name="40% - Accent6 29 6 3 2" xfId="17059" xr:uid="{759D1152-673D-4D4F-8519-9B53DD78F921}"/>
    <cellStyle name="40% - Accent6 29 6 3 2 2" xfId="17060" xr:uid="{B2022E98-C4F2-4F9D-8921-82B682712717}"/>
    <cellStyle name="40% - Accent6 29 6 3 3" xfId="17061" xr:uid="{440DE277-7E9F-4571-ADA3-B8EFF5C3DFAA}"/>
    <cellStyle name="40% - Accent6 29 6 4" xfId="17062" xr:uid="{179708C5-9C82-4FE2-86A7-3AA0B84AE9CB}"/>
    <cellStyle name="40% - Accent6 29 6 4 2" xfId="17063" xr:uid="{5C455DEE-AD59-4B7C-BEBD-AC6F66AF4A96}"/>
    <cellStyle name="40% - Accent6 29 6 4 2 2" xfId="17064" xr:uid="{AE721B11-C789-49B5-A797-01F1D7440AB4}"/>
    <cellStyle name="40% - Accent6 29 6 4 3" xfId="17065" xr:uid="{645F5D57-F2E8-4F2D-8F63-1E4E50F1C427}"/>
    <cellStyle name="40% - Accent6 29 6 5" xfId="17066" xr:uid="{456E6047-D8DE-48FF-8B67-3C9EB88478BF}"/>
    <cellStyle name="40% - Accent6 29 6 5 2" xfId="17067" xr:uid="{64C86F28-F3A4-45EC-9F2C-D0A3627D3E02}"/>
    <cellStyle name="40% - Accent6 29 6 6" xfId="17068" xr:uid="{02EFCBBD-1E61-45B7-9372-C94DE182C71A}"/>
    <cellStyle name="40% - Accent6 29 7" xfId="17069" xr:uid="{B57BDCDF-56CF-42BB-8242-0F0BAEA65776}"/>
    <cellStyle name="40% - Accent6 29 7 2" xfId="17070" xr:uid="{E8BD9FCB-3165-4746-91E0-99EC8A55AE66}"/>
    <cellStyle name="40% - Accent6 29 7 2 2" xfId="17071" xr:uid="{7D3543C6-5844-40B7-8A80-3EFA405C76AC}"/>
    <cellStyle name="40% - Accent6 29 7 2 2 2" xfId="17072" xr:uid="{BE9DC5DE-26F4-44C8-9FD1-7A83E4FC0988}"/>
    <cellStyle name="40% - Accent6 29 7 2 2 2 2" xfId="17073" xr:uid="{A86CCFEB-1128-46FB-86BF-231791905D5F}"/>
    <cellStyle name="40% - Accent6 29 7 2 2 3" xfId="17074" xr:uid="{B81A5355-83E1-45E6-9A59-86A833A4C261}"/>
    <cellStyle name="40% - Accent6 29 7 2 3" xfId="17075" xr:uid="{E082243B-07DE-4320-929B-0A07898AE6B1}"/>
    <cellStyle name="40% - Accent6 29 7 2 3 2" xfId="17076" xr:uid="{194B4072-17C8-4238-B509-0B5DA0EA39C1}"/>
    <cellStyle name="40% - Accent6 29 7 2 3 2 2" xfId="17077" xr:uid="{445BB217-36C4-4163-B9BC-89E3CB195A4E}"/>
    <cellStyle name="40% - Accent6 29 7 2 3 3" xfId="17078" xr:uid="{E085BBD9-ACBE-41E7-B622-5D4DA2FE0DAD}"/>
    <cellStyle name="40% - Accent6 29 7 2 4" xfId="17079" xr:uid="{2A9265F7-66E5-459F-A003-AC17B5F17695}"/>
    <cellStyle name="40% - Accent6 29 7 2 4 2" xfId="17080" xr:uid="{B5B33D65-AE21-4511-9E73-D1622ECFA27A}"/>
    <cellStyle name="40% - Accent6 29 7 2 5" xfId="17081" xr:uid="{04421A90-CE30-4F7B-925C-0C21D734886D}"/>
    <cellStyle name="40% - Accent6 29 7 3" xfId="17082" xr:uid="{95CECBE6-AAAB-4996-8FE8-B586A91BA9DC}"/>
    <cellStyle name="40% - Accent6 29 7 3 2" xfId="17083" xr:uid="{0791BC83-1B5D-4C13-8F57-C7CCE1086263}"/>
    <cellStyle name="40% - Accent6 29 7 3 2 2" xfId="17084" xr:uid="{EA56836A-2EB0-4156-AE41-8857803E342E}"/>
    <cellStyle name="40% - Accent6 29 7 3 3" xfId="17085" xr:uid="{91812B96-E82E-48F8-A263-87E93316D2D7}"/>
    <cellStyle name="40% - Accent6 29 7 4" xfId="17086" xr:uid="{D9D18369-BF27-4345-B006-B2E106CCB6EB}"/>
    <cellStyle name="40% - Accent6 29 7 4 2" xfId="17087" xr:uid="{72A68EC8-312D-438D-9399-A5934BBB4F2F}"/>
    <cellStyle name="40% - Accent6 29 7 4 2 2" xfId="17088" xr:uid="{5DAFEA0E-AE3C-4294-82B1-01A7F44FA071}"/>
    <cellStyle name="40% - Accent6 29 7 4 3" xfId="17089" xr:uid="{2B692674-038A-43AC-B49C-1103BC68DC49}"/>
    <cellStyle name="40% - Accent6 29 7 5" xfId="17090" xr:uid="{9CE955A9-18BB-42B7-BDF1-78F924D5021A}"/>
    <cellStyle name="40% - Accent6 29 7 5 2" xfId="17091" xr:uid="{595C62DD-372B-407C-8779-14FD67DF0E5A}"/>
    <cellStyle name="40% - Accent6 29 7 6" xfId="17092" xr:uid="{253463C7-5F17-4547-9CB2-6E509B57C26D}"/>
    <cellStyle name="40% - Accent6 29 8" xfId="17093" xr:uid="{8E66156E-E566-4C08-8F49-4B541DC2CCFA}"/>
    <cellStyle name="40% - Accent6 29 8 2" xfId="17094" xr:uid="{1A70498D-0A2C-4E1F-934A-DCC1BED8B5C3}"/>
    <cellStyle name="40% - Accent6 29 8 2 2" xfId="17095" xr:uid="{81AFA5B8-396C-4BAC-8835-A226EF6B65A7}"/>
    <cellStyle name="40% - Accent6 29 8 2 2 2" xfId="17096" xr:uid="{30FB8871-43DB-44AB-9DEF-DFE704B9CF6C}"/>
    <cellStyle name="40% - Accent6 29 8 2 2 2 2" xfId="17097" xr:uid="{CF83AE97-1A34-49C6-B131-CED5A9160945}"/>
    <cellStyle name="40% - Accent6 29 8 2 2 3" xfId="17098" xr:uid="{48F6F39D-BE1C-47EA-B4B3-F79A82A6A2E3}"/>
    <cellStyle name="40% - Accent6 29 8 2 3" xfId="17099" xr:uid="{A9FC9808-6F9F-404F-864C-1A6EF69DB338}"/>
    <cellStyle name="40% - Accent6 29 8 2 3 2" xfId="17100" xr:uid="{F333E4CF-DD1D-4EB9-AAEA-C45FBF92FAC3}"/>
    <cellStyle name="40% - Accent6 29 8 2 3 2 2" xfId="17101" xr:uid="{8F598A1E-618F-4F6F-A2E5-22DCB69F29A6}"/>
    <cellStyle name="40% - Accent6 29 8 2 3 3" xfId="17102" xr:uid="{AF2E5D21-5B3E-4ACE-84EC-3DDCC6D910E9}"/>
    <cellStyle name="40% - Accent6 29 8 2 4" xfId="17103" xr:uid="{65168D08-D2B3-4A88-9CF3-C7FA121D3553}"/>
    <cellStyle name="40% - Accent6 29 8 2 4 2" xfId="17104" xr:uid="{88EE8F9F-AC87-4175-B004-CD77223A55E2}"/>
    <cellStyle name="40% - Accent6 29 8 2 5" xfId="17105" xr:uid="{4849B0AD-E42E-4778-AE36-C8D1521FFCB7}"/>
    <cellStyle name="40% - Accent6 29 8 3" xfId="17106" xr:uid="{9DE400FA-DF50-4AF3-A6FE-5C9C1A5C6536}"/>
    <cellStyle name="40% - Accent6 29 8 3 2" xfId="17107" xr:uid="{9A35B096-4FDE-4EE8-B06C-88838BF26C55}"/>
    <cellStyle name="40% - Accent6 29 8 3 2 2" xfId="17108" xr:uid="{4B431A03-88EC-41B7-A7AE-DC95B0E2348E}"/>
    <cellStyle name="40% - Accent6 29 8 3 3" xfId="17109" xr:uid="{132B28CB-3FCE-4965-A03F-2E2055994FD8}"/>
    <cellStyle name="40% - Accent6 29 8 4" xfId="17110" xr:uid="{EA31A38E-821E-4211-8E0A-EC0ACA57F252}"/>
    <cellStyle name="40% - Accent6 29 8 4 2" xfId="17111" xr:uid="{FBBC033A-1274-4A51-B13A-92BDCCEAA84D}"/>
    <cellStyle name="40% - Accent6 29 8 4 2 2" xfId="17112" xr:uid="{A046EA42-53AE-420D-A45A-D478FB386EAF}"/>
    <cellStyle name="40% - Accent6 29 8 4 3" xfId="17113" xr:uid="{F49C641D-8485-4831-9E11-74DB17C49C85}"/>
    <cellStyle name="40% - Accent6 29 8 5" xfId="17114" xr:uid="{C9B1E3D1-9E28-4E86-B4FD-4F62D7C0349C}"/>
    <cellStyle name="40% - Accent6 29 8 5 2" xfId="17115" xr:uid="{03BFCC4C-4473-4C55-B088-FE4BA5106AA8}"/>
    <cellStyle name="40% - Accent6 29 8 6" xfId="17116" xr:uid="{16C16086-9592-4869-8CBB-1097C52EC979}"/>
    <cellStyle name="40% - Accent6 29 9" xfId="17117" xr:uid="{BF9798AA-92DA-4BEB-9C5D-3187C63CC4FE}"/>
    <cellStyle name="40% - Accent6 29 9 2" xfId="17118" xr:uid="{952BC136-814A-4C06-84FD-9D62EDCEF67F}"/>
    <cellStyle name="40% - Accent6 29 9 2 2" xfId="17119" xr:uid="{D0EB3349-9E55-41A2-9A17-FE93D0CFCEED}"/>
    <cellStyle name="40% - Accent6 29 9 2 2 2" xfId="17120" xr:uid="{E880FA4C-2C2E-4210-AC14-693E4FA5069A}"/>
    <cellStyle name="40% - Accent6 29 9 2 2 2 2" xfId="17121" xr:uid="{23ECC9A4-2993-42AF-BD96-D5953CE0E393}"/>
    <cellStyle name="40% - Accent6 29 9 2 2 3" xfId="17122" xr:uid="{A451C819-6E50-4158-B5EA-4E5819A54D31}"/>
    <cellStyle name="40% - Accent6 29 9 2 3" xfId="17123" xr:uid="{4192CE39-2A08-4BDB-84F9-15938D5C1424}"/>
    <cellStyle name="40% - Accent6 29 9 2 3 2" xfId="17124" xr:uid="{67318DD5-A2B0-4BA7-866D-B485BBD469B8}"/>
    <cellStyle name="40% - Accent6 29 9 2 3 2 2" xfId="17125" xr:uid="{90FDF516-9E31-490C-ACAB-30E920A643F2}"/>
    <cellStyle name="40% - Accent6 29 9 2 3 3" xfId="17126" xr:uid="{4AF68E14-2619-424A-8C5F-05BA3AACC02D}"/>
    <cellStyle name="40% - Accent6 29 9 2 4" xfId="17127" xr:uid="{6412C717-B10B-4319-A992-A15E2C8913DB}"/>
    <cellStyle name="40% - Accent6 29 9 2 4 2" xfId="17128" xr:uid="{84C38F33-A824-4CEC-B1FF-DD382F4AAE9A}"/>
    <cellStyle name="40% - Accent6 29 9 2 5" xfId="17129" xr:uid="{C0E4FFE7-B8C0-4941-A26D-612718D5A980}"/>
    <cellStyle name="40% - Accent6 29 9 3" xfId="17130" xr:uid="{583E341E-2099-43D0-AC29-649CEF54DC55}"/>
    <cellStyle name="40% - Accent6 29 9 3 2" xfId="17131" xr:uid="{4F805818-07EB-4625-A4D8-B65A7C6D6487}"/>
    <cellStyle name="40% - Accent6 29 9 3 2 2" xfId="17132" xr:uid="{16048692-1493-4629-A17C-5BE6D9CEBD2A}"/>
    <cellStyle name="40% - Accent6 29 9 3 3" xfId="17133" xr:uid="{898A1D28-AF87-442C-9E66-9E0BAA438243}"/>
    <cellStyle name="40% - Accent6 29 9 4" xfId="17134" xr:uid="{E23655D8-AAA0-4B1A-9BB0-C7A04698A8E8}"/>
    <cellStyle name="40% - Accent6 29 9 4 2" xfId="17135" xr:uid="{69C93BF2-D507-4859-869B-902DA2F424BA}"/>
    <cellStyle name="40% - Accent6 29 9 4 2 2" xfId="17136" xr:uid="{139A9BB8-D1FB-4430-A4F8-CC6D2540E5D8}"/>
    <cellStyle name="40% - Accent6 29 9 4 3" xfId="17137" xr:uid="{50F77F6C-E4E6-497E-98AC-96BBC4BD7607}"/>
    <cellStyle name="40% - Accent6 29 9 5" xfId="17138" xr:uid="{611E2382-DBC8-4982-9A44-69071681088E}"/>
    <cellStyle name="40% - Accent6 29 9 5 2" xfId="17139" xr:uid="{5ECAC3BD-E7B2-48D7-84F9-62ABBE5F84A8}"/>
    <cellStyle name="40% - Accent6 29 9 6" xfId="17140" xr:uid="{B3860E26-2DBC-4806-ABE5-F64233E7D56D}"/>
    <cellStyle name="40% - Accent6 3" xfId="17141" xr:uid="{865CB138-237F-4152-B669-9D3013F63060}"/>
    <cellStyle name="40% - Accent6 3 2" xfId="17142" xr:uid="{796B5EB8-CC4C-41EA-88D9-31D894028F90}"/>
    <cellStyle name="40% - Accent6 3 2 2" xfId="17143" xr:uid="{3B16EB1B-023E-4246-B26F-E089F075C786}"/>
    <cellStyle name="40% - Accent6 3 2 2 2" xfId="37731" xr:uid="{6BBB7E33-B09C-472C-AE1C-E27DF4D5ECE1}"/>
    <cellStyle name="40% - Accent6 3 2 3" xfId="37732" xr:uid="{751D94C9-3D45-4FD8-B3F6-DC0262B4ABAF}"/>
    <cellStyle name="40% - Accent6 3 2 4" xfId="37733" xr:uid="{0ED41F1E-60EA-45A4-BE44-215B79B889FD}"/>
    <cellStyle name="40% - Accent6 3 3" xfId="17144" xr:uid="{94B8F9C5-2750-4F80-A72E-83F7108C78B2}"/>
    <cellStyle name="40% - Accent6 3 3 2" xfId="37734" xr:uid="{5E028D5E-D18F-4553-9017-781C7E8BCB63}"/>
    <cellStyle name="40% - Accent6 3 4" xfId="37735" xr:uid="{64954CCA-3E0A-4967-8D5A-9AABBCF1ECEB}"/>
    <cellStyle name="40% - Accent6 3 5" xfId="37736" xr:uid="{6013C3B3-FD33-4049-9503-7FEA1F783DA2}"/>
    <cellStyle name="40% - Accent6 3 6" xfId="37737" xr:uid="{2A4DB582-8DA7-48A7-B115-151B86B98976}"/>
    <cellStyle name="40% - Accent6 30" xfId="17145" xr:uid="{9E7EA756-C8DB-4D3E-9BDD-5CAAABDF181F}"/>
    <cellStyle name="40% - Accent6 30 10" xfId="17146" xr:uid="{A948DD6B-6CF4-4AD2-BEB6-666CF9E1AEA7}"/>
    <cellStyle name="40% - Accent6 30 10 2" xfId="17147" xr:uid="{677FE027-DA81-4830-9B02-D8224671616C}"/>
    <cellStyle name="40% - Accent6 30 10 2 2" xfId="17148" xr:uid="{3824E257-69D9-4780-A365-F98BB15557EE}"/>
    <cellStyle name="40% - Accent6 30 10 2 2 2" xfId="17149" xr:uid="{9905F8D7-E13C-486D-ACAE-24B5B8DAB523}"/>
    <cellStyle name="40% - Accent6 30 10 2 2 2 2" xfId="17150" xr:uid="{E184AD06-5FCC-4A15-B21A-BB3D602CA4F7}"/>
    <cellStyle name="40% - Accent6 30 10 2 2 3" xfId="17151" xr:uid="{65E1B7FE-A163-424E-9B62-32438179856A}"/>
    <cellStyle name="40% - Accent6 30 10 2 3" xfId="17152" xr:uid="{D37606EF-9917-4CC0-9A92-559B3BCBC716}"/>
    <cellStyle name="40% - Accent6 30 10 2 3 2" xfId="17153" xr:uid="{2C677B56-228A-46CC-B3AC-4122D31DCF8F}"/>
    <cellStyle name="40% - Accent6 30 10 2 3 2 2" xfId="17154" xr:uid="{BCEC76E0-9AD4-49F5-8BE9-EB5B46E7CB8A}"/>
    <cellStyle name="40% - Accent6 30 10 2 3 3" xfId="17155" xr:uid="{0890C41E-9633-442A-875E-CD4BCA9A1892}"/>
    <cellStyle name="40% - Accent6 30 10 2 4" xfId="17156" xr:uid="{3578A052-0337-4903-B08E-F9FE4B5E1212}"/>
    <cellStyle name="40% - Accent6 30 10 2 4 2" xfId="17157" xr:uid="{DCFBC537-E93B-45A8-8138-C6FD6E62A5D7}"/>
    <cellStyle name="40% - Accent6 30 10 2 5" xfId="17158" xr:uid="{5AB81E73-D822-4D78-B55E-FE9ED1B49FCB}"/>
    <cellStyle name="40% - Accent6 30 10 3" xfId="17159" xr:uid="{84807A99-39CE-4AA6-BD13-7070E77577CE}"/>
    <cellStyle name="40% - Accent6 30 10 3 2" xfId="17160" xr:uid="{50AE073D-84FB-4280-AB6A-0D319159CF2A}"/>
    <cellStyle name="40% - Accent6 30 10 3 2 2" xfId="17161" xr:uid="{2855FF5D-2DAE-465F-9E3E-D0F4A84DBF4F}"/>
    <cellStyle name="40% - Accent6 30 10 3 3" xfId="17162" xr:uid="{F8B02E8D-30BC-45CA-AF7B-F86C35DED652}"/>
    <cellStyle name="40% - Accent6 30 10 4" xfId="17163" xr:uid="{F628A400-2CA2-4F13-A2BF-5D6CEFEEED61}"/>
    <cellStyle name="40% - Accent6 30 10 4 2" xfId="17164" xr:uid="{CE64ABAB-2BCD-4FF7-B212-5D579E31F895}"/>
    <cellStyle name="40% - Accent6 30 10 4 2 2" xfId="17165" xr:uid="{79D37012-12A9-430B-8EAD-453955E10A82}"/>
    <cellStyle name="40% - Accent6 30 10 4 3" xfId="17166" xr:uid="{1F0A3D97-29B0-4227-AA8E-0B59AC6CA9F0}"/>
    <cellStyle name="40% - Accent6 30 10 5" xfId="17167" xr:uid="{439E6ED5-590B-4AB4-8821-7D5B2516B99C}"/>
    <cellStyle name="40% - Accent6 30 10 5 2" xfId="17168" xr:uid="{32579832-0F35-489A-AA64-84392D88B1F7}"/>
    <cellStyle name="40% - Accent6 30 10 6" xfId="17169" xr:uid="{857667BA-54C2-4039-BA6E-6772D9B37520}"/>
    <cellStyle name="40% - Accent6 30 11" xfId="17170" xr:uid="{4603ACA7-39C2-43ED-BCEB-889149CF36C4}"/>
    <cellStyle name="40% - Accent6 30 11 2" xfId="17171" xr:uid="{05C66525-C2C0-4D32-B133-BC0C84EAC28B}"/>
    <cellStyle name="40% - Accent6 30 11 2 2" xfId="17172" xr:uid="{03427B38-6137-40F9-B78B-0137A0CC3A2F}"/>
    <cellStyle name="40% - Accent6 30 11 2 2 2" xfId="17173" xr:uid="{3AB89645-9EF0-4862-8D48-8BAFDACB4BB3}"/>
    <cellStyle name="40% - Accent6 30 11 2 3" xfId="17174" xr:uid="{60F5847F-C0A2-41C8-A5E3-F5D7CFA685BF}"/>
    <cellStyle name="40% - Accent6 30 11 3" xfId="17175" xr:uid="{216627FC-E067-452E-B14F-4A5755CAF413}"/>
    <cellStyle name="40% - Accent6 30 11 3 2" xfId="17176" xr:uid="{6162BCBB-D53E-4F5B-8585-571F37285DE1}"/>
    <cellStyle name="40% - Accent6 30 11 3 2 2" xfId="17177" xr:uid="{07B6F96F-3117-4CDD-8BF6-AEE4C1CB71AD}"/>
    <cellStyle name="40% - Accent6 30 11 3 3" xfId="17178" xr:uid="{A4610491-C790-4851-8EAE-6C135F9BBE85}"/>
    <cellStyle name="40% - Accent6 30 11 4" xfId="17179" xr:uid="{04CE16EE-38A8-4DAF-84C4-CDEBF0F2EEC1}"/>
    <cellStyle name="40% - Accent6 30 11 4 2" xfId="17180" xr:uid="{08FA83CB-558B-464A-AC0D-CEA43084C26A}"/>
    <cellStyle name="40% - Accent6 30 11 5" xfId="17181" xr:uid="{D47601C1-642C-4B6E-AA65-0BBD8550FE84}"/>
    <cellStyle name="40% - Accent6 30 12" xfId="17182" xr:uid="{C8189767-F200-4B8D-BB43-AE2BF86AFF5B}"/>
    <cellStyle name="40% - Accent6 30 12 2" xfId="17183" xr:uid="{ADEADD81-BAC5-498B-A90A-074F4CE85435}"/>
    <cellStyle name="40% - Accent6 30 12 2 2" xfId="17184" xr:uid="{0E7541B8-1578-42F0-B99B-A92F8FE7D229}"/>
    <cellStyle name="40% - Accent6 30 12 3" xfId="17185" xr:uid="{F30000C2-E30A-4045-99AE-02E69DFF00C4}"/>
    <cellStyle name="40% - Accent6 30 13" xfId="17186" xr:uid="{0C09D714-87A8-402D-9883-6B5D4B1B7A8C}"/>
    <cellStyle name="40% - Accent6 30 13 2" xfId="17187" xr:uid="{FEBB5219-6363-4CCD-94E4-1D07D3C0E60A}"/>
    <cellStyle name="40% - Accent6 30 13 2 2" xfId="17188" xr:uid="{4F93EE54-16AB-40DB-8B24-137A540AEBED}"/>
    <cellStyle name="40% - Accent6 30 13 3" xfId="17189" xr:uid="{803223EB-E688-493B-8B33-FCCB4961D47B}"/>
    <cellStyle name="40% - Accent6 30 14" xfId="17190" xr:uid="{1182D234-42C6-4881-8963-0842A3EE5E4D}"/>
    <cellStyle name="40% - Accent6 30 14 2" xfId="17191" xr:uid="{D1758DD3-D346-4C07-91AD-D451786FFF60}"/>
    <cellStyle name="40% - Accent6 30 15" xfId="17192" xr:uid="{73C46AFF-9BC0-4FFC-8349-9123224813A5}"/>
    <cellStyle name="40% - Accent6 30 16" xfId="37738" xr:uid="{AD27FB56-AB35-4B27-A322-6E9E5BD24603}"/>
    <cellStyle name="40% - Accent6 30 2" xfId="17193" xr:uid="{5B232A1A-16A7-4691-9DBE-B51726F540F2}"/>
    <cellStyle name="40% - Accent6 30 2 2" xfId="17194" xr:uid="{78A25E52-AFBA-4AF1-B246-5C8583E20C09}"/>
    <cellStyle name="40% - Accent6 30 2 2 2" xfId="17195" xr:uid="{A8262F5A-DBC9-401D-8E1E-30D89A6F9C4A}"/>
    <cellStyle name="40% - Accent6 30 2 2 2 2" xfId="17196" xr:uid="{9FAB74F5-5395-4C9C-BDFF-92238FD98EEC}"/>
    <cellStyle name="40% - Accent6 30 2 2 2 2 2" xfId="17197" xr:uid="{BCDD4B50-076F-46AB-BF0A-6AFF0E986215}"/>
    <cellStyle name="40% - Accent6 30 2 2 2 3" xfId="17198" xr:uid="{E5C35E3C-D7D5-4922-BA9D-8627BBE2AA4A}"/>
    <cellStyle name="40% - Accent6 30 2 2 3" xfId="17199" xr:uid="{D4528B71-588F-496E-BEAE-177B50BD55A4}"/>
    <cellStyle name="40% - Accent6 30 2 2 3 2" xfId="17200" xr:uid="{A5AA344E-D267-4C12-A7A0-1AC0C2A70160}"/>
    <cellStyle name="40% - Accent6 30 2 2 3 2 2" xfId="17201" xr:uid="{8A809CA5-A5E0-4B8F-BAA2-A392B62CDCA7}"/>
    <cellStyle name="40% - Accent6 30 2 2 3 3" xfId="17202" xr:uid="{1C2D4459-B5F9-4755-BFB4-CE2FC74ECE0F}"/>
    <cellStyle name="40% - Accent6 30 2 2 4" xfId="17203" xr:uid="{8E48EBC7-C878-405C-86CD-1DC57BCEE256}"/>
    <cellStyle name="40% - Accent6 30 2 2 4 2" xfId="17204" xr:uid="{60E4990A-BDC8-48D0-A618-4E5CA63DB716}"/>
    <cellStyle name="40% - Accent6 30 2 2 5" xfId="17205" xr:uid="{5162E626-5583-4AC9-8A5C-357F42567AA6}"/>
    <cellStyle name="40% - Accent6 30 2 3" xfId="17206" xr:uid="{DA0034BE-CE80-47E8-ACE2-6428EEA43767}"/>
    <cellStyle name="40% - Accent6 30 2 3 2" xfId="17207" xr:uid="{8835DE86-F11F-4450-8A0F-6074EC8CA778}"/>
    <cellStyle name="40% - Accent6 30 2 3 2 2" xfId="17208" xr:uid="{9B0EFFCC-AE90-42DE-9F68-B77E4F5FF891}"/>
    <cellStyle name="40% - Accent6 30 2 3 3" xfId="17209" xr:uid="{D8BAA1A9-C201-4864-875B-782022A0CA4E}"/>
    <cellStyle name="40% - Accent6 30 2 4" xfId="17210" xr:uid="{FEB583AA-EDD2-4A50-B50D-C504DF7DD841}"/>
    <cellStyle name="40% - Accent6 30 2 4 2" xfId="17211" xr:uid="{712F7FC9-43A8-4BCD-B553-E473D9A1FC48}"/>
    <cellStyle name="40% - Accent6 30 2 4 2 2" xfId="17212" xr:uid="{CCCC3EF1-7683-426F-A195-6BAB15A58800}"/>
    <cellStyle name="40% - Accent6 30 2 4 3" xfId="17213" xr:uid="{B210EFD7-642B-44F4-B325-442A4F99A34F}"/>
    <cellStyle name="40% - Accent6 30 2 5" xfId="17214" xr:uid="{9C6239E4-246F-4E2D-9158-F1AF01C13767}"/>
    <cellStyle name="40% - Accent6 30 2 5 2" xfId="17215" xr:uid="{EE91FBEB-13CE-492A-9C71-5410A6302E25}"/>
    <cellStyle name="40% - Accent6 30 2 6" xfId="17216" xr:uid="{EE7112DB-7A2D-466F-A189-553B706C8BB3}"/>
    <cellStyle name="40% - Accent6 30 3" xfId="17217" xr:uid="{10475CB8-8242-49F4-BEA8-914076C26273}"/>
    <cellStyle name="40% - Accent6 30 3 2" xfId="17218" xr:uid="{7EAD57F1-1414-4A89-945E-F35F1C5CCD90}"/>
    <cellStyle name="40% - Accent6 30 3 2 2" xfId="17219" xr:uid="{5B686E9A-7542-447A-810F-BE609CB98D30}"/>
    <cellStyle name="40% - Accent6 30 3 2 2 2" xfId="17220" xr:uid="{95AC1A60-123F-40C6-9D16-DDE4CEA7C9FE}"/>
    <cellStyle name="40% - Accent6 30 3 2 2 2 2" xfId="17221" xr:uid="{FB4BB8BE-0159-472E-9495-D0428B00BDBD}"/>
    <cellStyle name="40% - Accent6 30 3 2 2 3" xfId="17222" xr:uid="{9B3CA308-CFCA-41A4-B0B9-06A090354B0D}"/>
    <cellStyle name="40% - Accent6 30 3 2 3" xfId="17223" xr:uid="{DBFE1908-D355-4BC7-BB4D-830CFEF18823}"/>
    <cellStyle name="40% - Accent6 30 3 2 3 2" xfId="17224" xr:uid="{E01D44E7-4A67-49AE-95AD-D16CBDD86486}"/>
    <cellStyle name="40% - Accent6 30 3 2 3 2 2" xfId="17225" xr:uid="{C6A32238-64BA-45B5-8202-1E87849396D1}"/>
    <cellStyle name="40% - Accent6 30 3 2 3 3" xfId="17226" xr:uid="{B17C6227-D66A-4F03-B4D9-62C2D01585B8}"/>
    <cellStyle name="40% - Accent6 30 3 2 4" xfId="17227" xr:uid="{6C96848D-B31E-423D-958F-503FE0184BFC}"/>
    <cellStyle name="40% - Accent6 30 3 2 4 2" xfId="17228" xr:uid="{867FAD68-E4C5-423F-B95C-8CEE8E864713}"/>
    <cellStyle name="40% - Accent6 30 3 2 5" xfId="17229" xr:uid="{93E403C0-3F61-4CAE-9E75-F79598E9F197}"/>
    <cellStyle name="40% - Accent6 30 3 3" xfId="17230" xr:uid="{FC90AD3F-E034-4445-A7BE-8E8D9996392A}"/>
    <cellStyle name="40% - Accent6 30 3 3 2" xfId="17231" xr:uid="{76E763C5-94A4-4B08-9116-B8184EF36762}"/>
    <cellStyle name="40% - Accent6 30 3 3 2 2" xfId="17232" xr:uid="{1F45CB46-C543-4B0E-B845-EFF2D507BB72}"/>
    <cellStyle name="40% - Accent6 30 3 3 3" xfId="17233" xr:uid="{11CF8DE0-E2CA-4802-A6E5-22F9C75BDABA}"/>
    <cellStyle name="40% - Accent6 30 3 4" xfId="17234" xr:uid="{2A6F6DF9-E3F7-4457-8A39-13B3051862BB}"/>
    <cellStyle name="40% - Accent6 30 3 4 2" xfId="17235" xr:uid="{9801CB7D-B5AC-40A8-843D-1E55272050A6}"/>
    <cellStyle name="40% - Accent6 30 3 4 2 2" xfId="17236" xr:uid="{3DB61CAB-B2C8-4B4D-B946-36D8CDCFDA4D}"/>
    <cellStyle name="40% - Accent6 30 3 4 3" xfId="17237" xr:uid="{7B031712-D659-4B4C-A8D7-BF746AF058CD}"/>
    <cellStyle name="40% - Accent6 30 3 5" xfId="17238" xr:uid="{1FA38C38-A8DC-4889-83F2-8A55C16E0198}"/>
    <cellStyle name="40% - Accent6 30 3 5 2" xfId="17239" xr:uid="{0B0E9C72-1592-4A6C-8DF8-60FB7CCF609A}"/>
    <cellStyle name="40% - Accent6 30 3 6" xfId="17240" xr:uid="{2282AF68-2C51-4299-8307-81AFF78374E6}"/>
    <cellStyle name="40% - Accent6 30 4" xfId="17241" xr:uid="{7759D88B-800C-48C7-A9CD-A4CC573224BC}"/>
    <cellStyle name="40% - Accent6 30 4 2" xfId="17242" xr:uid="{488963B8-40B7-405A-849E-51AE5DF2AD2B}"/>
    <cellStyle name="40% - Accent6 30 4 2 2" xfId="17243" xr:uid="{38339107-B69C-4880-B1A7-F10E2E84FD7B}"/>
    <cellStyle name="40% - Accent6 30 4 2 2 2" xfId="17244" xr:uid="{CBFE14DC-3172-4AC5-965E-7560455D2080}"/>
    <cellStyle name="40% - Accent6 30 4 2 2 2 2" xfId="17245" xr:uid="{E7ED8104-8CB9-4990-B720-D7BF50298EB1}"/>
    <cellStyle name="40% - Accent6 30 4 2 2 3" xfId="17246" xr:uid="{682E2C93-592E-4147-AFE6-5120BDD6E20C}"/>
    <cellStyle name="40% - Accent6 30 4 2 3" xfId="17247" xr:uid="{6D0533B2-830E-42A1-8EC3-2ED3566B5495}"/>
    <cellStyle name="40% - Accent6 30 4 2 3 2" xfId="17248" xr:uid="{B0947F8D-0134-486A-8B57-CEED5D76C3FB}"/>
    <cellStyle name="40% - Accent6 30 4 2 3 2 2" xfId="17249" xr:uid="{91711667-E73C-4FA8-8914-5103C49AAD92}"/>
    <cellStyle name="40% - Accent6 30 4 2 3 3" xfId="17250" xr:uid="{7CBF0B62-3EEF-4062-9F94-7DDAF804C520}"/>
    <cellStyle name="40% - Accent6 30 4 2 4" xfId="17251" xr:uid="{C16B2F61-76F9-4349-91E7-EB38705A8E43}"/>
    <cellStyle name="40% - Accent6 30 4 2 4 2" xfId="17252" xr:uid="{A4C47EFA-76C9-46FA-93AC-6FA9D02E546C}"/>
    <cellStyle name="40% - Accent6 30 4 2 5" xfId="17253" xr:uid="{C6793359-A6D0-4DA3-9368-71BC8600F3D6}"/>
    <cellStyle name="40% - Accent6 30 4 3" xfId="17254" xr:uid="{9CD6AF3F-2F59-4F1D-8AA0-A81D90B19825}"/>
    <cellStyle name="40% - Accent6 30 4 3 2" xfId="17255" xr:uid="{620D39BE-0595-497D-9DFA-99F736C163EF}"/>
    <cellStyle name="40% - Accent6 30 4 3 2 2" xfId="17256" xr:uid="{1420E91B-83AB-46FF-9B01-CAC28C1DB639}"/>
    <cellStyle name="40% - Accent6 30 4 3 3" xfId="17257" xr:uid="{FDDBD79B-EE07-4C3C-949E-36AD12D6945E}"/>
    <cellStyle name="40% - Accent6 30 4 4" xfId="17258" xr:uid="{61FEA20A-7213-4D32-931F-69740FA28EEE}"/>
    <cellStyle name="40% - Accent6 30 4 4 2" xfId="17259" xr:uid="{5DEA7DF2-BE22-4D18-A7EC-B5D859F07115}"/>
    <cellStyle name="40% - Accent6 30 4 4 2 2" xfId="17260" xr:uid="{D852AFFF-4E9B-4449-A98D-17926597A4EE}"/>
    <cellStyle name="40% - Accent6 30 4 4 3" xfId="17261" xr:uid="{5817EA3C-12AF-4CF6-8469-4F687E96D56E}"/>
    <cellStyle name="40% - Accent6 30 4 5" xfId="17262" xr:uid="{95924DDD-643E-482D-AE3B-401B82DDD7E6}"/>
    <cellStyle name="40% - Accent6 30 4 5 2" xfId="17263" xr:uid="{C5E13863-00EA-4407-B38B-8294F4FA7028}"/>
    <cellStyle name="40% - Accent6 30 4 6" xfId="17264" xr:uid="{706B7B3F-0C7F-452A-BD71-C0C344CD95A6}"/>
    <cellStyle name="40% - Accent6 30 5" xfId="17265" xr:uid="{CD8BF5F7-DCAA-41FE-98EA-095ACFFA8024}"/>
    <cellStyle name="40% - Accent6 30 5 2" xfId="17266" xr:uid="{3FFB7836-4B07-466A-A76C-ED11A0E4047C}"/>
    <cellStyle name="40% - Accent6 30 5 2 2" xfId="17267" xr:uid="{DAE7425B-4FEE-4973-8CF7-9993C4E4C126}"/>
    <cellStyle name="40% - Accent6 30 5 2 2 2" xfId="17268" xr:uid="{B3E1EA89-93F6-4E3B-90CD-00B02BC6B94E}"/>
    <cellStyle name="40% - Accent6 30 5 2 2 2 2" xfId="17269" xr:uid="{85CDE6C7-0A15-43FF-A3A2-B7BED4D9398C}"/>
    <cellStyle name="40% - Accent6 30 5 2 2 3" xfId="17270" xr:uid="{177C50BA-32F2-488F-AEEA-D2B709D23F23}"/>
    <cellStyle name="40% - Accent6 30 5 2 3" xfId="17271" xr:uid="{67E83520-EF17-4E64-912F-FFB21B380869}"/>
    <cellStyle name="40% - Accent6 30 5 2 3 2" xfId="17272" xr:uid="{7B100B22-F49F-4690-8A4D-3CDD38F8C6F6}"/>
    <cellStyle name="40% - Accent6 30 5 2 3 2 2" xfId="17273" xr:uid="{6DFF39BD-BE87-48E9-B6B9-1463D7F162C1}"/>
    <cellStyle name="40% - Accent6 30 5 2 3 3" xfId="17274" xr:uid="{09AE34F4-9ECC-447C-8296-E8088CA4C40E}"/>
    <cellStyle name="40% - Accent6 30 5 2 4" xfId="17275" xr:uid="{4830A4E8-3F9D-49DA-B724-4DA8B225ED6C}"/>
    <cellStyle name="40% - Accent6 30 5 2 4 2" xfId="17276" xr:uid="{0F8184D5-37D4-4757-846B-763DC7009255}"/>
    <cellStyle name="40% - Accent6 30 5 2 5" xfId="17277" xr:uid="{7E28393C-2DA2-454E-AC24-7179C3CD9D14}"/>
    <cellStyle name="40% - Accent6 30 5 3" xfId="17278" xr:uid="{3F2A9CA7-1CDE-41CB-B711-3481E7C311E9}"/>
    <cellStyle name="40% - Accent6 30 5 3 2" xfId="17279" xr:uid="{4533F4BB-B0D4-43B1-870C-89810999DFF3}"/>
    <cellStyle name="40% - Accent6 30 5 3 2 2" xfId="17280" xr:uid="{C3EC397C-DFAD-4D87-B3C3-30ABB96BBC9B}"/>
    <cellStyle name="40% - Accent6 30 5 3 3" xfId="17281" xr:uid="{8D2654E4-457F-4DD8-9EE8-9A4A06520B39}"/>
    <cellStyle name="40% - Accent6 30 5 4" xfId="17282" xr:uid="{1DB501E6-34D1-4BEE-8AD9-FBE4BE251A5D}"/>
    <cellStyle name="40% - Accent6 30 5 4 2" xfId="17283" xr:uid="{E8B0FD57-F796-418B-8019-55403EC9DEAE}"/>
    <cellStyle name="40% - Accent6 30 5 4 2 2" xfId="17284" xr:uid="{3D7D47E0-E713-461F-8934-DF50C7601CC3}"/>
    <cellStyle name="40% - Accent6 30 5 4 3" xfId="17285" xr:uid="{E22B24B8-EC9C-441C-A7DC-148724B267D5}"/>
    <cellStyle name="40% - Accent6 30 5 5" xfId="17286" xr:uid="{EEA12803-8806-455D-889A-DDF15D47D0E1}"/>
    <cellStyle name="40% - Accent6 30 5 5 2" xfId="17287" xr:uid="{5E93DC56-E7F3-476B-B6FB-3A40227B5B78}"/>
    <cellStyle name="40% - Accent6 30 5 6" xfId="17288" xr:uid="{4063898A-29B4-47DC-AA13-A5310DAB6B14}"/>
    <cellStyle name="40% - Accent6 30 6" xfId="17289" xr:uid="{365C0CC8-4B80-470A-9204-FF9B3467865B}"/>
    <cellStyle name="40% - Accent6 30 6 2" xfId="17290" xr:uid="{C10E7C26-5DC8-4085-A1C6-A0EC8ECE5077}"/>
    <cellStyle name="40% - Accent6 30 6 2 2" xfId="17291" xr:uid="{3A006602-F335-4950-AB98-17017FB4F857}"/>
    <cellStyle name="40% - Accent6 30 6 2 2 2" xfId="17292" xr:uid="{71864F6D-EB0C-4081-B9D4-AFFA0FA202F4}"/>
    <cellStyle name="40% - Accent6 30 6 2 2 2 2" xfId="17293" xr:uid="{2083177F-1970-47BC-A088-AE1EF340A3B6}"/>
    <cellStyle name="40% - Accent6 30 6 2 2 3" xfId="17294" xr:uid="{648E4E59-F8C8-4B1A-B4D4-9A5F0039F843}"/>
    <cellStyle name="40% - Accent6 30 6 2 3" xfId="17295" xr:uid="{C1EA13C5-051E-4C33-B0CE-A588F7810268}"/>
    <cellStyle name="40% - Accent6 30 6 2 3 2" xfId="17296" xr:uid="{D1D11C43-E43F-4F58-8B71-5FDB93DDE4CE}"/>
    <cellStyle name="40% - Accent6 30 6 2 3 2 2" xfId="17297" xr:uid="{005A66E6-0C4E-4999-A442-AC4D2F02A8B3}"/>
    <cellStyle name="40% - Accent6 30 6 2 3 3" xfId="17298" xr:uid="{8D8EA4E8-9864-4615-A039-3381D1F97C69}"/>
    <cellStyle name="40% - Accent6 30 6 2 4" xfId="17299" xr:uid="{C8684112-14C3-433B-A388-9A83D7DEF840}"/>
    <cellStyle name="40% - Accent6 30 6 2 4 2" xfId="17300" xr:uid="{BF89E7CA-821C-497E-B4C6-1BBC5D17B484}"/>
    <cellStyle name="40% - Accent6 30 6 2 5" xfId="17301" xr:uid="{0F5B0244-C0A2-4CFB-ADCE-96384585725B}"/>
    <cellStyle name="40% - Accent6 30 6 3" xfId="17302" xr:uid="{A1F54E1C-6415-4A7C-97EC-D73A8172CEE4}"/>
    <cellStyle name="40% - Accent6 30 6 3 2" xfId="17303" xr:uid="{B0CDFD02-02BA-435E-A85B-F3B502A10F82}"/>
    <cellStyle name="40% - Accent6 30 6 3 2 2" xfId="17304" xr:uid="{316812A1-DBF1-4F77-8B6E-296FD1B05AD0}"/>
    <cellStyle name="40% - Accent6 30 6 3 3" xfId="17305" xr:uid="{CF7D858E-1162-470F-B998-758DD0C3AD27}"/>
    <cellStyle name="40% - Accent6 30 6 4" xfId="17306" xr:uid="{22400C21-0108-4DD2-8B1F-B6030499941C}"/>
    <cellStyle name="40% - Accent6 30 6 4 2" xfId="17307" xr:uid="{38482878-9E80-404D-92A7-014FCDF2D8C4}"/>
    <cellStyle name="40% - Accent6 30 6 4 2 2" xfId="17308" xr:uid="{DBC19711-3C5A-4666-8274-AB0C79190095}"/>
    <cellStyle name="40% - Accent6 30 6 4 3" xfId="17309" xr:uid="{B92DF055-E0D9-4546-9F1A-19185BC80212}"/>
    <cellStyle name="40% - Accent6 30 6 5" xfId="17310" xr:uid="{FAB99F37-00E1-4CAC-A995-1A6E0E25A120}"/>
    <cellStyle name="40% - Accent6 30 6 5 2" xfId="17311" xr:uid="{04DB46D7-DD88-4D87-A8ED-0C8445F7D5AA}"/>
    <cellStyle name="40% - Accent6 30 6 6" xfId="17312" xr:uid="{A95EFE75-BC1C-4631-BB50-C1515E4B2573}"/>
    <cellStyle name="40% - Accent6 30 7" xfId="17313" xr:uid="{96B90A43-48DD-43E4-83A6-B3756AA79FAC}"/>
    <cellStyle name="40% - Accent6 30 7 2" xfId="17314" xr:uid="{326D1C3B-F9FC-4110-93F2-783302F14DC6}"/>
    <cellStyle name="40% - Accent6 30 7 2 2" xfId="17315" xr:uid="{01FDA28A-D7A6-4336-9D87-16FFF750DEA9}"/>
    <cellStyle name="40% - Accent6 30 7 2 2 2" xfId="17316" xr:uid="{2B2082BF-B579-429F-B58B-A07EF64E3934}"/>
    <cellStyle name="40% - Accent6 30 7 2 2 2 2" xfId="17317" xr:uid="{207E666A-468D-4C3E-BEC1-4951EC911F9A}"/>
    <cellStyle name="40% - Accent6 30 7 2 2 3" xfId="17318" xr:uid="{7D30E8E1-4AEA-47F1-A2A0-30CF077A9C95}"/>
    <cellStyle name="40% - Accent6 30 7 2 3" xfId="17319" xr:uid="{4738DC28-4A92-4885-9C55-1F9C812E6074}"/>
    <cellStyle name="40% - Accent6 30 7 2 3 2" xfId="17320" xr:uid="{4D06D2DB-8203-4D96-A9ED-241391AAEE8A}"/>
    <cellStyle name="40% - Accent6 30 7 2 3 2 2" xfId="17321" xr:uid="{552DAAC0-BC25-45F3-A323-ECE8A007746B}"/>
    <cellStyle name="40% - Accent6 30 7 2 3 3" xfId="17322" xr:uid="{0C7B7746-61AC-4864-AEA0-FA51E26DC707}"/>
    <cellStyle name="40% - Accent6 30 7 2 4" xfId="17323" xr:uid="{7A715D5E-3137-45D6-B884-96104851CD82}"/>
    <cellStyle name="40% - Accent6 30 7 2 4 2" xfId="17324" xr:uid="{8B268015-A753-4D8E-B086-431C11BCC7ED}"/>
    <cellStyle name="40% - Accent6 30 7 2 5" xfId="17325" xr:uid="{CA29BAEA-ABFC-4590-84E3-EC5DA959B89F}"/>
    <cellStyle name="40% - Accent6 30 7 3" xfId="17326" xr:uid="{4B7D3B3A-E19A-409C-9CAA-59F821094147}"/>
    <cellStyle name="40% - Accent6 30 7 3 2" xfId="17327" xr:uid="{C1C9C4D3-F67D-434C-9D73-F260431BC3F0}"/>
    <cellStyle name="40% - Accent6 30 7 3 2 2" xfId="17328" xr:uid="{35FEFE4F-C30D-4FEF-83D7-14FAD81B0E59}"/>
    <cellStyle name="40% - Accent6 30 7 3 3" xfId="17329" xr:uid="{7B1CE16F-B49C-4846-A08C-6B5AAEBCEEFF}"/>
    <cellStyle name="40% - Accent6 30 7 4" xfId="17330" xr:uid="{6ACA8810-0AE0-4FC9-AE0B-A0671307E08F}"/>
    <cellStyle name="40% - Accent6 30 7 4 2" xfId="17331" xr:uid="{49E6179D-BA53-4E92-A0A8-BAE19BF50782}"/>
    <cellStyle name="40% - Accent6 30 7 4 2 2" xfId="17332" xr:uid="{D8FD6B8A-EC2E-4AAD-8705-61CF36804AA7}"/>
    <cellStyle name="40% - Accent6 30 7 4 3" xfId="17333" xr:uid="{F9BFFA83-9712-4D7A-B916-2E186B376EE9}"/>
    <cellStyle name="40% - Accent6 30 7 5" xfId="17334" xr:uid="{78EA0966-BF77-45D5-832C-54018479C30B}"/>
    <cellStyle name="40% - Accent6 30 7 5 2" xfId="17335" xr:uid="{6CEE9EEA-4DB7-44F3-BEB5-81FFD4EBA262}"/>
    <cellStyle name="40% - Accent6 30 7 6" xfId="17336" xr:uid="{44632A95-73D9-4086-8AB8-0B4289ABB3EE}"/>
    <cellStyle name="40% - Accent6 30 8" xfId="17337" xr:uid="{52B5955D-4818-4C93-B52E-70481ECB132F}"/>
    <cellStyle name="40% - Accent6 30 8 2" xfId="17338" xr:uid="{357A2370-D88E-4932-B820-5A353211D91B}"/>
    <cellStyle name="40% - Accent6 30 8 2 2" xfId="17339" xr:uid="{7208FC48-29F9-4F8E-B20F-3E7D9E329926}"/>
    <cellStyle name="40% - Accent6 30 8 2 2 2" xfId="17340" xr:uid="{62A02596-31EF-4C69-B720-A9D0618754E9}"/>
    <cellStyle name="40% - Accent6 30 8 2 2 2 2" xfId="17341" xr:uid="{3DFC1A1D-4578-41E2-9916-FDCC4AF71E36}"/>
    <cellStyle name="40% - Accent6 30 8 2 2 3" xfId="17342" xr:uid="{3DA10487-C137-4A65-BC01-F750466F2742}"/>
    <cellStyle name="40% - Accent6 30 8 2 3" xfId="17343" xr:uid="{A5757AEF-8993-4F9E-A4D5-2DE742D723C0}"/>
    <cellStyle name="40% - Accent6 30 8 2 3 2" xfId="17344" xr:uid="{6B5D247A-C6F8-4C6B-9EDB-2F2F892A25E9}"/>
    <cellStyle name="40% - Accent6 30 8 2 3 2 2" xfId="17345" xr:uid="{6D04C0F2-A1DC-4CC8-BF1D-6FC24514205B}"/>
    <cellStyle name="40% - Accent6 30 8 2 3 3" xfId="17346" xr:uid="{9A94CD72-97F3-4E6A-AF99-BEAA64561C74}"/>
    <cellStyle name="40% - Accent6 30 8 2 4" xfId="17347" xr:uid="{104FF9F0-E112-44D8-92A8-B07CDD676358}"/>
    <cellStyle name="40% - Accent6 30 8 2 4 2" xfId="17348" xr:uid="{EC7643A6-9D40-4A42-8EAC-ADB692256467}"/>
    <cellStyle name="40% - Accent6 30 8 2 5" xfId="17349" xr:uid="{6B38D8E8-593E-47EF-AD3A-7D853694437C}"/>
    <cellStyle name="40% - Accent6 30 8 3" xfId="17350" xr:uid="{2664F76E-7644-4F2F-A2DD-6AD5A117AEE4}"/>
    <cellStyle name="40% - Accent6 30 8 3 2" xfId="17351" xr:uid="{83F96FFE-4C8A-4877-9ED1-1CECB1571466}"/>
    <cellStyle name="40% - Accent6 30 8 3 2 2" xfId="17352" xr:uid="{D1D064DD-73EC-497A-A83B-6AB5BAE3FE0E}"/>
    <cellStyle name="40% - Accent6 30 8 3 3" xfId="17353" xr:uid="{9836D117-3E41-4227-BBF6-49B70479AA34}"/>
    <cellStyle name="40% - Accent6 30 8 4" xfId="17354" xr:uid="{9B2A74AD-695F-4571-ACD1-D2CCF193BB2E}"/>
    <cellStyle name="40% - Accent6 30 8 4 2" xfId="17355" xr:uid="{638435F5-DC31-408A-BA35-EC3D47CF5284}"/>
    <cellStyle name="40% - Accent6 30 8 4 2 2" xfId="17356" xr:uid="{946CEEC7-CCF8-49EE-BBA8-27E4DFF663D4}"/>
    <cellStyle name="40% - Accent6 30 8 4 3" xfId="17357" xr:uid="{ADCA6EE6-DDC5-42F4-B6B3-C8E0827DB12B}"/>
    <cellStyle name="40% - Accent6 30 8 5" xfId="17358" xr:uid="{D60F0A85-CDA8-4B00-A62C-9765CD8E67EE}"/>
    <cellStyle name="40% - Accent6 30 8 5 2" xfId="17359" xr:uid="{32166E2F-0B68-4364-AD58-1BEE5793453E}"/>
    <cellStyle name="40% - Accent6 30 8 6" xfId="17360" xr:uid="{936C1CFE-656F-47D1-B4DA-9B359ED35300}"/>
    <cellStyle name="40% - Accent6 30 9" xfId="17361" xr:uid="{1CE0AB19-392F-4ED5-A34C-37E8DF45CC30}"/>
    <cellStyle name="40% - Accent6 30 9 2" xfId="17362" xr:uid="{ED3C5E81-148D-4F76-ACE9-90111BA7E0B6}"/>
    <cellStyle name="40% - Accent6 30 9 2 2" xfId="17363" xr:uid="{878C99E4-6875-4B5E-A797-C27D4A212677}"/>
    <cellStyle name="40% - Accent6 30 9 2 2 2" xfId="17364" xr:uid="{1E84AF18-1B98-4A57-AB73-415ABFB4BE37}"/>
    <cellStyle name="40% - Accent6 30 9 2 2 2 2" xfId="17365" xr:uid="{6440CFCC-C47B-48E4-840A-EE0E8E2F221E}"/>
    <cellStyle name="40% - Accent6 30 9 2 2 3" xfId="17366" xr:uid="{2E83C8E8-49D8-43CC-8CA0-0C838FB68722}"/>
    <cellStyle name="40% - Accent6 30 9 2 3" xfId="17367" xr:uid="{620A33C4-AA14-464E-BE9F-3295777790D6}"/>
    <cellStyle name="40% - Accent6 30 9 2 3 2" xfId="17368" xr:uid="{654459C4-563A-4AF5-8EDD-1BEA2E98C3C7}"/>
    <cellStyle name="40% - Accent6 30 9 2 3 2 2" xfId="17369" xr:uid="{720A2C4A-A46A-4FF6-BB91-0A67BB43D954}"/>
    <cellStyle name="40% - Accent6 30 9 2 3 3" xfId="17370" xr:uid="{F814FA22-2452-4E03-8B5E-9BCAE334FE68}"/>
    <cellStyle name="40% - Accent6 30 9 2 4" xfId="17371" xr:uid="{2B307C9D-FDC7-4961-BF1E-792177F8B52E}"/>
    <cellStyle name="40% - Accent6 30 9 2 4 2" xfId="17372" xr:uid="{AFF1B0B1-8525-40D7-8B4C-0784C035DA1E}"/>
    <cellStyle name="40% - Accent6 30 9 2 5" xfId="17373" xr:uid="{CA8B0D82-2AAD-4B95-B49A-4570C30C118F}"/>
    <cellStyle name="40% - Accent6 30 9 3" xfId="17374" xr:uid="{FE7A82D4-F0DD-4769-9ED2-78AFA9F6BBBF}"/>
    <cellStyle name="40% - Accent6 30 9 3 2" xfId="17375" xr:uid="{89A4D3AA-9E45-4E88-93B9-47C7B6948A8E}"/>
    <cellStyle name="40% - Accent6 30 9 3 2 2" xfId="17376" xr:uid="{C7F48C92-6DC4-4C53-AE90-7E3DF17D70E6}"/>
    <cellStyle name="40% - Accent6 30 9 3 3" xfId="17377" xr:uid="{FE22B85F-317B-446C-8BE9-62FB8AF5367F}"/>
    <cellStyle name="40% - Accent6 30 9 4" xfId="17378" xr:uid="{57251DC4-73A2-442E-A999-2B636FBDC921}"/>
    <cellStyle name="40% - Accent6 30 9 4 2" xfId="17379" xr:uid="{A77131CC-74EB-439D-89C1-39E190A9C067}"/>
    <cellStyle name="40% - Accent6 30 9 4 2 2" xfId="17380" xr:uid="{FC08FBFA-344C-407D-837A-BD9088912F15}"/>
    <cellStyle name="40% - Accent6 30 9 4 3" xfId="17381" xr:uid="{2EDE7215-94EC-4AD3-9E7D-D1DC05D7DDC3}"/>
    <cellStyle name="40% - Accent6 30 9 5" xfId="17382" xr:uid="{F37E5A19-D12E-4FBA-81C1-1F86939FF820}"/>
    <cellStyle name="40% - Accent6 30 9 5 2" xfId="17383" xr:uid="{8C5F29B8-42CE-4E15-A02D-8523150AB26E}"/>
    <cellStyle name="40% - Accent6 30 9 6" xfId="17384" xr:uid="{D24667B9-AB35-4DED-A208-87E8CAEF2267}"/>
    <cellStyle name="40% - Accent6 31" xfId="17385" xr:uid="{4A8577B0-21D1-428A-B42B-3A542FDDC210}"/>
    <cellStyle name="40% - Accent6 31 10" xfId="17386" xr:uid="{EFBDD8AF-E998-4EE9-A935-5B6B6DBC2CDB}"/>
    <cellStyle name="40% - Accent6 31 10 2" xfId="17387" xr:uid="{C220CB42-4E79-4C5B-82BA-D504C54CF83D}"/>
    <cellStyle name="40% - Accent6 31 10 2 2" xfId="17388" xr:uid="{18CBB6A2-C4CE-4A4F-8363-B34D3345B443}"/>
    <cellStyle name="40% - Accent6 31 10 2 2 2" xfId="17389" xr:uid="{E1D0C1B9-738A-40F3-9A69-B85F49DAA368}"/>
    <cellStyle name="40% - Accent6 31 10 2 2 2 2" xfId="17390" xr:uid="{F2448CEE-9688-49AD-B8D8-8C328228B42C}"/>
    <cellStyle name="40% - Accent6 31 10 2 2 3" xfId="17391" xr:uid="{76265291-5D9C-40B8-B755-7DCEF8F4ED38}"/>
    <cellStyle name="40% - Accent6 31 10 2 3" xfId="17392" xr:uid="{E9463293-4E73-44DD-9FAC-2CB6A271FE86}"/>
    <cellStyle name="40% - Accent6 31 10 2 3 2" xfId="17393" xr:uid="{9911651E-2006-4AD1-B1F2-FE494A59D386}"/>
    <cellStyle name="40% - Accent6 31 10 2 3 2 2" xfId="17394" xr:uid="{74B483A8-FFF1-49AC-9774-64FE169F7D75}"/>
    <cellStyle name="40% - Accent6 31 10 2 3 3" xfId="17395" xr:uid="{F665B05E-6F40-415F-8160-B22BE3A933CA}"/>
    <cellStyle name="40% - Accent6 31 10 2 4" xfId="17396" xr:uid="{75899B26-086F-4D98-9F66-2AA532E39B91}"/>
    <cellStyle name="40% - Accent6 31 10 2 4 2" xfId="17397" xr:uid="{9AB0E760-11B8-481C-B694-7988E202F46D}"/>
    <cellStyle name="40% - Accent6 31 10 2 5" xfId="17398" xr:uid="{F03E3136-057D-4920-9E0B-EE739241BC6C}"/>
    <cellStyle name="40% - Accent6 31 10 3" xfId="17399" xr:uid="{843740DE-FB8F-49C3-AF85-23B1C1E844BC}"/>
    <cellStyle name="40% - Accent6 31 10 3 2" xfId="17400" xr:uid="{83209DE8-CB8E-4D8B-9AE3-9CE81DE90D74}"/>
    <cellStyle name="40% - Accent6 31 10 3 2 2" xfId="17401" xr:uid="{7BD6202A-95EF-49D4-A611-6656910D3A68}"/>
    <cellStyle name="40% - Accent6 31 10 3 3" xfId="17402" xr:uid="{E36AEE36-7046-467B-BE9F-D1E5F29AD9C8}"/>
    <cellStyle name="40% - Accent6 31 10 4" xfId="17403" xr:uid="{4A94BE62-C6F9-4CBE-8CBC-92C9FE1827B8}"/>
    <cellStyle name="40% - Accent6 31 10 4 2" xfId="17404" xr:uid="{0442CF8E-4FE2-4F8E-B14D-ADCB4A750748}"/>
    <cellStyle name="40% - Accent6 31 10 4 2 2" xfId="17405" xr:uid="{735ADDBF-1D1A-4499-B542-5105CE0FA389}"/>
    <cellStyle name="40% - Accent6 31 10 4 3" xfId="17406" xr:uid="{FF9C7541-E4A8-46BF-AA0E-FC3EFEADF71E}"/>
    <cellStyle name="40% - Accent6 31 10 5" xfId="17407" xr:uid="{68714516-C0A1-4ECA-924A-46D4D87798E9}"/>
    <cellStyle name="40% - Accent6 31 10 5 2" xfId="17408" xr:uid="{D227E185-EF51-4F93-A68F-2B18A6B101D2}"/>
    <cellStyle name="40% - Accent6 31 10 6" xfId="17409" xr:uid="{19A508F7-F607-4686-8E22-49BABDA6C00D}"/>
    <cellStyle name="40% - Accent6 31 11" xfId="17410" xr:uid="{7F0EDFD3-69DB-46F4-99D1-8B7D76739CDC}"/>
    <cellStyle name="40% - Accent6 31 11 2" xfId="17411" xr:uid="{9DF2058B-129A-4375-B92A-42B5181531C7}"/>
    <cellStyle name="40% - Accent6 31 11 2 2" xfId="17412" xr:uid="{1943A361-99F8-4C50-BA50-7286320BFE67}"/>
    <cellStyle name="40% - Accent6 31 11 2 2 2" xfId="17413" xr:uid="{DDF926F7-0B38-4406-915A-1AE85535FF3D}"/>
    <cellStyle name="40% - Accent6 31 11 2 3" xfId="17414" xr:uid="{CEBC77A7-F24E-4D4A-A8E4-A0EF1BAE9B75}"/>
    <cellStyle name="40% - Accent6 31 11 3" xfId="17415" xr:uid="{EC41530E-F77B-472F-9772-DFBB88ACC44D}"/>
    <cellStyle name="40% - Accent6 31 11 3 2" xfId="17416" xr:uid="{FD7DE978-8DE2-49BD-90EB-EE6F5BA46395}"/>
    <cellStyle name="40% - Accent6 31 11 3 2 2" xfId="17417" xr:uid="{6BF0F99B-A5FD-45CC-B705-DF0CAB9FA548}"/>
    <cellStyle name="40% - Accent6 31 11 3 3" xfId="17418" xr:uid="{62F824FA-3B8B-4E7C-BF59-A4F6721A5970}"/>
    <cellStyle name="40% - Accent6 31 11 4" xfId="17419" xr:uid="{39FFD1DF-2291-4575-99AE-51BB0F723066}"/>
    <cellStyle name="40% - Accent6 31 11 4 2" xfId="17420" xr:uid="{FBDF65B2-C99A-4144-8C96-7526810807AD}"/>
    <cellStyle name="40% - Accent6 31 11 5" xfId="17421" xr:uid="{BB322F1D-CE37-49D7-8256-675A28463BB7}"/>
    <cellStyle name="40% - Accent6 31 12" xfId="17422" xr:uid="{064A3208-7651-47CA-B286-70EACABE2E51}"/>
    <cellStyle name="40% - Accent6 31 12 2" xfId="17423" xr:uid="{3BDFD412-E480-40AF-92BD-650BDA9FDBAB}"/>
    <cellStyle name="40% - Accent6 31 12 2 2" xfId="17424" xr:uid="{A44C8D19-8EBF-46B6-A92B-E7F9C047E2C6}"/>
    <cellStyle name="40% - Accent6 31 12 3" xfId="17425" xr:uid="{3C3AD2A5-51BC-4BAD-9E92-106485FBB86E}"/>
    <cellStyle name="40% - Accent6 31 13" xfId="17426" xr:uid="{96F77FB3-E870-4476-A5A1-ECBC48151EA8}"/>
    <cellStyle name="40% - Accent6 31 13 2" xfId="17427" xr:uid="{EC940311-3C90-4BD8-9060-8FF90C1F045A}"/>
    <cellStyle name="40% - Accent6 31 13 2 2" xfId="17428" xr:uid="{5CF4440F-C977-4A89-B823-B55940B0397E}"/>
    <cellStyle name="40% - Accent6 31 13 3" xfId="17429" xr:uid="{88B91075-D2D1-4832-A0ED-C2BA6070AAE7}"/>
    <cellStyle name="40% - Accent6 31 14" xfId="17430" xr:uid="{9F684067-329E-4EA0-BB5C-12E0DF2C7966}"/>
    <cellStyle name="40% - Accent6 31 14 2" xfId="17431" xr:uid="{CA058E0C-1EB8-4C00-92E5-6744E4FAA355}"/>
    <cellStyle name="40% - Accent6 31 15" xfId="17432" xr:uid="{EF1EC1B2-3EDD-4A6F-A418-916C7AA891B2}"/>
    <cellStyle name="40% - Accent6 31 16" xfId="37739" xr:uid="{03293020-E846-4A76-B3B2-D400040A6822}"/>
    <cellStyle name="40% - Accent6 31 2" xfId="17433" xr:uid="{C4ACD741-8273-4D86-8EB5-3E05AC7688B4}"/>
    <cellStyle name="40% - Accent6 31 2 2" xfId="17434" xr:uid="{5D928485-B48E-4920-BD84-819F861200F9}"/>
    <cellStyle name="40% - Accent6 31 2 2 2" xfId="17435" xr:uid="{D1DD09DF-5E60-4C0B-BB88-1B65C52D7C42}"/>
    <cellStyle name="40% - Accent6 31 2 2 2 2" xfId="17436" xr:uid="{FCD6C5E4-4190-49F6-A092-21C1D7866A85}"/>
    <cellStyle name="40% - Accent6 31 2 2 2 2 2" xfId="17437" xr:uid="{F2C76CF3-FEC0-4477-8803-F2B30A6A560C}"/>
    <cellStyle name="40% - Accent6 31 2 2 2 3" xfId="17438" xr:uid="{0E39EB49-E1C8-49F0-B554-8E8099D06F7D}"/>
    <cellStyle name="40% - Accent6 31 2 2 3" xfId="17439" xr:uid="{DB72B43A-5A26-443D-8766-3A56B56A54D6}"/>
    <cellStyle name="40% - Accent6 31 2 2 3 2" xfId="17440" xr:uid="{524F5480-4E72-4ED4-9B49-080D3E53C500}"/>
    <cellStyle name="40% - Accent6 31 2 2 3 2 2" xfId="17441" xr:uid="{B5842037-C0E6-4AE7-9AD7-507CF2F8493A}"/>
    <cellStyle name="40% - Accent6 31 2 2 3 3" xfId="17442" xr:uid="{F5F58A0E-2D99-4EEA-B2DA-9FAADBE0D8A5}"/>
    <cellStyle name="40% - Accent6 31 2 2 4" xfId="17443" xr:uid="{67E214DC-F24B-4A5D-8FF6-0CF2C324554C}"/>
    <cellStyle name="40% - Accent6 31 2 2 4 2" xfId="17444" xr:uid="{7E209C7C-05A1-4975-BBD5-6EF1CC621F7E}"/>
    <cellStyle name="40% - Accent6 31 2 2 5" xfId="17445" xr:uid="{CEFC02DA-2091-4BCC-A997-2CFF52CE6F59}"/>
    <cellStyle name="40% - Accent6 31 2 3" xfId="17446" xr:uid="{C9A88DCF-DAA9-4827-8C51-EB237D1DA6D3}"/>
    <cellStyle name="40% - Accent6 31 2 3 2" xfId="17447" xr:uid="{57FA00ED-CB71-45E4-A963-53B514239814}"/>
    <cellStyle name="40% - Accent6 31 2 3 2 2" xfId="17448" xr:uid="{0A5B1FCD-DFFF-4857-A01E-CB9E19AEBF97}"/>
    <cellStyle name="40% - Accent6 31 2 3 3" xfId="17449" xr:uid="{783DF70E-2191-497D-A6D6-607750EE2142}"/>
    <cellStyle name="40% - Accent6 31 2 4" xfId="17450" xr:uid="{7285A19C-A5DF-4BD3-8C35-F359691E53E1}"/>
    <cellStyle name="40% - Accent6 31 2 4 2" xfId="17451" xr:uid="{FB782596-DFAA-44C5-B974-7EAD4C8D969A}"/>
    <cellStyle name="40% - Accent6 31 2 4 2 2" xfId="17452" xr:uid="{275E35BF-F54A-4DF7-899F-724740B90147}"/>
    <cellStyle name="40% - Accent6 31 2 4 3" xfId="17453" xr:uid="{18DA65AE-CC9B-413B-8FE5-2320EDF0DC57}"/>
    <cellStyle name="40% - Accent6 31 2 5" xfId="17454" xr:uid="{F9124926-92E3-4ED4-B71F-AD5006C5CBA2}"/>
    <cellStyle name="40% - Accent6 31 2 5 2" xfId="17455" xr:uid="{CBCEFE27-74AA-42AF-81DD-9BE8FEBAE987}"/>
    <cellStyle name="40% - Accent6 31 2 6" xfId="17456" xr:uid="{09B347F6-902E-4BF8-A89A-FEFF875ED58C}"/>
    <cellStyle name="40% - Accent6 31 3" xfId="17457" xr:uid="{10223EC3-5769-47F1-9311-81097149FA26}"/>
    <cellStyle name="40% - Accent6 31 3 2" xfId="17458" xr:uid="{6FAE2363-F4BB-45FA-9412-66A3BE9EEDAF}"/>
    <cellStyle name="40% - Accent6 31 3 2 2" xfId="17459" xr:uid="{2B45F2C8-6757-43A0-B801-A71B45CC4930}"/>
    <cellStyle name="40% - Accent6 31 3 2 2 2" xfId="17460" xr:uid="{2BF49281-B1C1-49EF-B6FE-89237871F371}"/>
    <cellStyle name="40% - Accent6 31 3 2 2 2 2" xfId="17461" xr:uid="{30198A97-622E-4C42-B738-DBA7E021E0D0}"/>
    <cellStyle name="40% - Accent6 31 3 2 2 3" xfId="17462" xr:uid="{74014F38-FCBF-4DD1-B1E6-BA60CC4B153D}"/>
    <cellStyle name="40% - Accent6 31 3 2 3" xfId="17463" xr:uid="{A20F1D3F-9C4D-43EE-8FBD-11B9BAC4E9D3}"/>
    <cellStyle name="40% - Accent6 31 3 2 3 2" xfId="17464" xr:uid="{8F41EB28-CA1F-4CB6-96EC-FE4C460A179D}"/>
    <cellStyle name="40% - Accent6 31 3 2 3 2 2" xfId="17465" xr:uid="{D093C33E-625D-4FAD-9EC7-B998F948949D}"/>
    <cellStyle name="40% - Accent6 31 3 2 3 3" xfId="17466" xr:uid="{546DF1C7-A913-49D1-AF34-574B8C88436F}"/>
    <cellStyle name="40% - Accent6 31 3 2 4" xfId="17467" xr:uid="{AA75872A-7AC7-487C-B9F2-6EAE4FD669D0}"/>
    <cellStyle name="40% - Accent6 31 3 2 4 2" xfId="17468" xr:uid="{48F84291-20EE-4F58-9CDD-A200C87D256A}"/>
    <cellStyle name="40% - Accent6 31 3 2 5" xfId="17469" xr:uid="{48143EA3-8B3E-4276-B9B0-EDB9A0E988B0}"/>
    <cellStyle name="40% - Accent6 31 3 3" xfId="17470" xr:uid="{DB4D5081-40FE-4FEA-84CD-B958C9C69740}"/>
    <cellStyle name="40% - Accent6 31 3 3 2" xfId="17471" xr:uid="{D6A21AB9-1555-4506-BC40-4B8ACB9405C0}"/>
    <cellStyle name="40% - Accent6 31 3 3 2 2" xfId="17472" xr:uid="{AF8C4BBB-9797-4861-B9C8-A1E715AC6E59}"/>
    <cellStyle name="40% - Accent6 31 3 3 3" xfId="17473" xr:uid="{40083852-7EF9-48CB-93C5-1A2E878A42B9}"/>
    <cellStyle name="40% - Accent6 31 3 4" xfId="17474" xr:uid="{7E93D734-6790-4B3B-8D1B-FC3391EAB9A2}"/>
    <cellStyle name="40% - Accent6 31 3 4 2" xfId="17475" xr:uid="{02CD01C2-5441-41B1-AAD4-BA12F1805B0B}"/>
    <cellStyle name="40% - Accent6 31 3 4 2 2" xfId="17476" xr:uid="{974D5256-FB89-4E35-AA4B-524E09AFC74F}"/>
    <cellStyle name="40% - Accent6 31 3 4 3" xfId="17477" xr:uid="{C11D6FD6-8758-4A13-8F31-1C505F5171FA}"/>
    <cellStyle name="40% - Accent6 31 3 5" xfId="17478" xr:uid="{D126511B-786B-4566-8604-506DF5CC066A}"/>
    <cellStyle name="40% - Accent6 31 3 5 2" xfId="17479" xr:uid="{A82926B0-31C0-470C-A08F-5EC72A3F4E76}"/>
    <cellStyle name="40% - Accent6 31 3 6" xfId="17480" xr:uid="{8E8BF427-810C-4F1F-84B2-6155B7A67BDB}"/>
    <cellStyle name="40% - Accent6 31 4" xfId="17481" xr:uid="{0FFBC20C-934E-44BB-912F-BB538187249D}"/>
    <cellStyle name="40% - Accent6 31 4 2" xfId="17482" xr:uid="{99E1F683-9FA8-44B6-ADC0-0A8270236A29}"/>
    <cellStyle name="40% - Accent6 31 4 2 2" xfId="17483" xr:uid="{2C523E58-19EE-47EC-B66A-E44CE7511484}"/>
    <cellStyle name="40% - Accent6 31 4 2 2 2" xfId="17484" xr:uid="{B875576A-579E-4081-86D4-277EF34AC34B}"/>
    <cellStyle name="40% - Accent6 31 4 2 2 2 2" xfId="17485" xr:uid="{F8D88698-9B59-49B6-960D-E63E742010DB}"/>
    <cellStyle name="40% - Accent6 31 4 2 2 3" xfId="17486" xr:uid="{AE201413-8767-4E9D-9BFA-DE4912EED233}"/>
    <cellStyle name="40% - Accent6 31 4 2 3" xfId="17487" xr:uid="{DED77F62-4BEA-4C2E-9042-4F3D74F3F063}"/>
    <cellStyle name="40% - Accent6 31 4 2 3 2" xfId="17488" xr:uid="{65482303-9F41-4477-A1FF-63A855E684BB}"/>
    <cellStyle name="40% - Accent6 31 4 2 3 2 2" xfId="17489" xr:uid="{59208346-F46F-47D8-B0E4-F6EFA5209E87}"/>
    <cellStyle name="40% - Accent6 31 4 2 3 3" xfId="17490" xr:uid="{3C7DB337-B763-449B-8162-45F46D1D8D7D}"/>
    <cellStyle name="40% - Accent6 31 4 2 4" xfId="17491" xr:uid="{584C9DBC-BDAD-4DB5-8355-DBE335AD1069}"/>
    <cellStyle name="40% - Accent6 31 4 2 4 2" xfId="17492" xr:uid="{1FDC5C10-0EEF-4462-9412-24E0D91DD6F3}"/>
    <cellStyle name="40% - Accent6 31 4 2 5" xfId="17493" xr:uid="{EFF81C62-6A07-49E1-8E2B-AD19F37787FD}"/>
    <cellStyle name="40% - Accent6 31 4 3" xfId="17494" xr:uid="{83F7B283-7206-4F3E-BAAD-978DD432658E}"/>
    <cellStyle name="40% - Accent6 31 4 3 2" xfId="17495" xr:uid="{13F1E413-95B9-40E0-BD85-7DF2BF31AEA1}"/>
    <cellStyle name="40% - Accent6 31 4 3 2 2" xfId="17496" xr:uid="{A4A6BCC3-552F-47D1-8C84-B8FCC7190221}"/>
    <cellStyle name="40% - Accent6 31 4 3 3" xfId="17497" xr:uid="{582AF78A-2E6F-43AB-A06D-D0F4F83F1BF5}"/>
    <cellStyle name="40% - Accent6 31 4 4" xfId="17498" xr:uid="{821A6F7F-0B22-4815-B495-76D5B4CABF1C}"/>
    <cellStyle name="40% - Accent6 31 4 4 2" xfId="17499" xr:uid="{665C44BE-2528-4CA5-B710-FE347F9DF27C}"/>
    <cellStyle name="40% - Accent6 31 4 4 2 2" xfId="17500" xr:uid="{4EF1E94F-23A1-4A3B-BAAF-85FFD01D0E93}"/>
    <cellStyle name="40% - Accent6 31 4 4 3" xfId="17501" xr:uid="{892D0F46-0734-49C5-9269-E025A2C28BF2}"/>
    <cellStyle name="40% - Accent6 31 4 5" xfId="17502" xr:uid="{603F20C6-755A-49BD-BB19-B0EB94F8AC72}"/>
    <cellStyle name="40% - Accent6 31 4 5 2" xfId="17503" xr:uid="{39632B32-2CB4-4C02-A02A-63506F417437}"/>
    <cellStyle name="40% - Accent6 31 4 6" xfId="17504" xr:uid="{31AA577D-9152-48CE-A5A8-C5D9BE2F6D46}"/>
    <cellStyle name="40% - Accent6 31 5" xfId="17505" xr:uid="{CCC03256-6D33-4D33-9BF8-F7146E6C41DA}"/>
    <cellStyle name="40% - Accent6 31 5 2" xfId="17506" xr:uid="{64EAA28B-D4AA-458C-9DB7-9EF0FC7479DE}"/>
    <cellStyle name="40% - Accent6 31 5 2 2" xfId="17507" xr:uid="{70CCD057-F9A6-4969-87B2-CEE8EE7E8EAE}"/>
    <cellStyle name="40% - Accent6 31 5 2 2 2" xfId="17508" xr:uid="{0D619869-0BEF-43F3-B458-4D516DF6AB24}"/>
    <cellStyle name="40% - Accent6 31 5 2 2 2 2" xfId="17509" xr:uid="{3995A42B-F6EC-4A13-A5B6-2C2740263F20}"/>
    <cellStyle name="40% - Accent6 31 5 2 2 3" xfId="17510" xr:uid="{F21B4A8B-E59E-4438-A64A-30A33408BEF3}"/>
    <cellStyle name="40% - Accent6 31 5 2 3" xfId="17511" xr:uid="{5D43A472-C167-45F4-983C-734413649A6F}"/>
    <cellStyle name="40% - Accent6 31 5 2 3 2" xfId="17512" xr:uid="{669B1651-F0EE-4A71-A523-8BF5C566BAE9}"/>
    <cellStyle name="40% - Accent6 31 5 2 3 2 2" xfId="17513" xr:uid="{12C3E521-5542-4187-B1CC-47850B950DCC}"/>
    <cellStyle name="40% - Accent6 31 5 2 3 3" xfId="17514" xr:uid="{E41E2811-8E0F-4FC7-ACE9-DAE1F71EB279}"/>
    <cellStyle name="40% - Accent6 31 5 2 4" xfId="17515" xr:uid="{3EECE5D8-E4AF-4B54-8AEC-7EF0933DA1DA}"/>
    <cellStyle name="40% - Accent6 31 5 2 4 2" xfId="17516" xr:uid="{B1764769-171B-4161-A485-226EA41A1705}"/>
    <cellStyle name="40% - Accent6 31 5 2 5" xfId="17517" xr:uid="{EA85CD95-6D3E-4422-B0FF-518C96FD3452}"/>
    <cellStyle name="40% - Accent6 31 5 3" xfId="17518" xr:uid="{CBDD5F43-CE84-4F70-9519-259E76039E89}"/>
    <cellStyle name="40% - Accent6 31 5 3 2" xfId="17519" xr:uid="{E15FECAD-7CE5-44BE-80FB-D167D7E8DBF3}"/>
    <cellStyle name="40% - Accent6 31 5 3 2 2" xfId="17520" xr:uid="{0194A38A-B1B4-4C6A-85E5-170DCBCD2CBC}"/>
    <cellStyle name="40% - Accent6 31 5 3 3" xfId="17521" xr:uid="{E578BAFE-59B1-4F55-87CE-1912D1E97ED3}"/>
    <cellStyle name="40% - Accent6 31 5 4" xfId="17522" xr:uid="{99B50274-86EA-4C97-8362-477AFF559610}"/>
    <cellStyle name="40% - Accent6 31 5 4 2" xfId="17523" xr:uid="{DDAEA7E3-04B9-4098-A5CE-A712FD06666F}"/>
    <cellStyle name="40% - Accent6 31 5 4 2 2" xfId="17524" xr:uid="{DEF43CA0-B920-4D22-A374-947E0C162B20}"/>
    <cellStyle name="40% - Accent6 31 5 4 3" xfId="17525" xr:uid="{88D27C8D-AF7C-4206-8CA4-AD393E322C28}"/>
    <cellStyle name="40% - Accent6 31 5 5" xfId="17526" xr:uid="{28FCB87E-E4A8-4B4C-9382-B9F3CB64354E}"/>
    <cellStyle name="40% - Accent6 31 5 5 2" xfId="17527" xr:uid="{78488935-88F0-4E7B-99CC-C574E85BD128}"/>
    <cellStyle name="40% - Accent6 31 5 6" xfId="17528" xr:uid="{BF577C3F-4831-49EC-AB1D-1A604D7A4D2C}"/>
    <cellStyle name="40% - Accent6 31 6" xfId="17529" xr:uid="{2253C17E-3A5B-4194-9FB4-BCFDB39F15AF}"/>
    <cellStyle name="40% - Accent6 31 6 2" xfId="17530" xr:uid="{3D2D6948-4B9B-4691-B776-861B3EA8B7B9}"/>
    <cellStyle name="40% - Accent6 31 6 2 2" xfId="17531" xr:uid="{746A637D-AB2C-4F1C-B4BB-F9C491AB8B42}"/>
    <cellStyle name="40% - Accent6 31 6 2 2 2" xfId="17532" xr:uid="{2844F534-075C-45EF-A856-CF356092C752}"/>
    <cellStyle name="40% - Accent6 31 6 2 2 2 2" xfId="17533" xr:uid="{76C1016B-DD2D-4B6F-BAB6-D74D5C7B36A5}"/>
    <cellStyle name="40% - Accent6 31 6 2 2 3" xfId="17534" xr:uid="{9DDD0063-81AE-435C-BD67-0B71AF1F6551}"/>
    <cellStyle name="40% - Accent6 31 6 2 3" xfId="17535" xr:uid="{61C28A28-B2E6-4AE8-9592-82E51AACB0C5}"/>
    <cellStyle name="40% - Accent6 31 6 2 3 2" xfId="17536" xr:uid="{150323A0-B1CA-4A62-9B45-E2B97397D26A}"/>
    <cellStyle name="40% - Accent6 31 6 2 3 2 2" xfId="17537" xr:uid="{2C24176B-AB1E-4401-9D6E-C5BB802F5F58}"/>
    <cellStyle name="40% - Accent6 31 6 2 3 3" xfId="17538" xr:uid="{C4B6D74C-5ACB-443B-868D-66D9D39CECD9}"/>
    <cellStyle name="40% - Accent6 31 6 2 4" xfId="17539" xr:uid="{F7F259B7-FE8D-4DB2-9A49-F4C8DFC1F30B}"/>
    <cellStyle name="40% - Accent6 31 6 2 4 2" xfId="17540" xr:uid="{2358F3B1-9359-4FE4-8C62-6DEBC51768CE}"/>
    <cellStyle name="40% - Accent6 31 6 2 5" xfId="17541" xr:uid="{5FE4BF7A-E6FD-43DC-B4A5-457732B7A4CF}"/>
    <cellStyle name="40% - Accent6 31 6 3" xfId="17542" xr:uid="{4B039E0B-AC52-43FC-B0DF-DA8F93C2C8A9}"/>
    <cellStyle name="40% - Accent6 31 6 3 2" xfId="17543" xr:uid="{ECDB2AF9-162A-4EBB-8A11-DDACAD8909C4}"/>
    <cellStyle name="40% - Accent6 31 6 3 2 2" xfId="17544" xr:uid="{BEF01F75-F80F-4E0C-800C-953E1FDA1635}"/>
    <cellStyle name="40% - Accent6 31 6 3 3" xfId="17545" xr:uid="{5792444A-61A8-41F9-819E-CED417435B3B}"/>
    <cellStyle name="40% - Accent6 31 6 4" xfId="17546" xr:uid="{7A3ED845-59CD-4718-8B11-B022421185AF}"/>
    <cellStyle name="40% - Accent6 31 6 4 2" xfId="17547" xr:uid="{B7A10ED2-B542-48C2-9102-8033990F0293}"/>
    <cellStyle name="40% - Accent6 31 6 4 2 2" xfId="17548" xr:uid="{D45AFF2A-E2A6-46C7-AAFD-6487D334F9E2}"/>
    <cellStyle name="40% - Accent6 31 6 4 3" xfId="17549" xr:uid="{281A7D59-B729-47B0-A062-EA875B2E1155}"/>
    <cellStyle name="40% - Accent6 31 6 5" xfId="17550" xr:uid="{6DAD01A6-96ED-40E9-82C5-ABE5C910683F}"/>
    <cellStyle name="40% - Accent6 31 6 5 2" xfId="17551" xr:uid="{73A5F147-ED79-4BA9-AE02-6A0C8797235D}"/>
    <cellStyle name="40% - Accent6 31 6 6" xfId="17552" xr:uid="{FD799E29-46C6-4F85-A800-9C4AF2948B5D}"/>
    <cellStyle name="40% - Accent6 31 7" xfId="17553" xr:uid="{2BFD0BA0-D99A-4E91-9FA3-73049B2AED49}"/>
    <cellStyle name="40% - Accent6 31 7 2" xfId="17554" xr:uid="{28012792-1731-4D4A-A9D8-C341AAB2D34A}"/>
    <cellStyle name="40% - Accent6 31 7 2 2" xfId="17555" xr:uid="{770B01DF-1980-4216-AA87-C70A8C908C3C}"/>
    <cellStyle name="40% - Accent6 31 7 2 2 2" xfId="17556" xr:uid="{4D37CCAE-22AD-4A28-8F2C-6845EB0F140D}"/>
    <cellStyle name="40% - Accent6 31 7 2 2 2 2" xfId="17557" xr:uid="{50B82037-418B-441D-9072-E4D04D3D4D89}"/>
    <cellStyle name="40% - Accent6 31 7 2 2 3" xfId="17558" xr:uid="{FB4F4F0E-E361-4AA1-BAB9-4830A42AC4A8}"/>
    <cellStyle name="40% - Accent6 31 7 2 3" xfId="17559" xr:uid="{F3CC5195-3658-4045-98CF-95D33CF015FE}"/>
    <cellStyle name="40% - Accent6 31 7 2 3 2" xfId="17560" xr:uid="{1D6F2A25-71AE-4DAC-9EAD-25D2378397C7}"/>
    <cellStyle name="40% - Accent6 31 7 2 3 2 2" xfId="17561" xr:uid="{9899EBFA-8BD0-449D-A025-335BE6266226}"/>
    <cellStyle name="40% - Accent6 31 7 2 3 3" xfId="17562" xr:uid="{5556DFF6-06CB-42EC-8760-002228EB9201}"/>
    <cellStyle name="40% - Accent6 31 7 2 4" xfId="17563" xr:uid="{8DDC866D-7D9B-4620-9593-98D950220A31}"/>
    <cellStyle name="40% - Accent6 31 7 2 4 2" xfId="17564" xr:uid="{766D25BD-7C5D-407A-A97B-1DC5E62B611B}"/>
    <cellStyle name="40% - Accent6 31 7 2 5" xfId="17565" xr:uid="{F7FDC3DD-04FF-43B4-B886-3C73A914469B}"/>
    <cellStyle name="40% - Accent6 31 7 3" xfId="17566" xr:uid="{72E8F560-6782-4804-9AED-8C0D3B064DA2}"/>
    <cellStyle name="40% - Accent6 31 7 3 2" xfId="17567" xr:uid="{BE9318A9-92F2-45F7-8900-B79C918F07EB}"/>
    <cellStyle name="40% - Accent6 31 7 3 2 2" xfId="17568" xr:uid="{BE435336-8FD6-491C-B282-60B402C20088}"/>
    <cellStyle name="40% - Accent6 31 7 3 3" xfId="17569" xr:uid="{E5D4BEEA-DB3A-4872-995E-84A697818DDA}"/>
    <cellStyle name="40% - Accent6 31 7 4" xfId="17570" xr:uid="{D0512E04-F339-4CCF-AF23-D8923D1890A3}"/>
    <cellStyle name="40% - Accent6 31 7 4 2" xfId="17571" xr:uid="{51128929-96AC-4570-954C-084D507A1620}"/>
    <cellStyle name="40% - Accent6 31 7 4 2 2" xfId="17572" xr:uid="{90F76C9D-2470-4797-BFCD-651B0A9EC727}"/>
    <cellStyle name="40% - Accent6 31 7 4 3" xfId="17573" xr:uid="{34F47243-C3F4-4757-9BE2-8F112495D811}"/>
    <cellStyle name="40% - Accent6 31 7 5" xfId="17574" xr:uid="{B958799C-16C7-4048-B012-45804B081BE5}"/>
    <cellStyle name="40% - Accent6 31 7 5 2" xfId="17575" xr:uid="{4A6F1899-C75B-4F8B-A710-A7612F504988}"/>
    <cellStyle name="40% - Accent6 31 7 6" xfId="17576" xr:uid="{7A8ADCED-0C9D-45E3-9F41-98AB812CB105}"/>
    <cellStyle name="40% - Accent6 31 8" xfId="17577" xr:uid="{2C95E95D-9367-4E9B-95F9-F7667D3AF96A}"/>
    <cellStyle name="40% - Accent6 31 8 2" xfId="17578" xr:uid="{42BFD339-0D82-4FB1-A521-1366953F243D}"/>
    <cellStyle name="40% - Accent6 31 8 2 2" xfId="17579" xr:uid="{FCEBF2C0-C733-4BC3-A8AE-0884599ED7BA}"/>
    <cellStyle name="40% - Accent6 31 8 2 2 2" xfId="17580" xr:uid="{0A917A7C-2416-44B3-9FF1-35E5FC6D025A}"/>
    <cellStyle name="40% - Accent6 31 8 2 2 2 2" xfId="17581" xr:uid="{4955080D-804B-473F-830E-A39091F9C195}"/>
    <cellStyle name="40% - Accent6 31 8 2 2 3" xfId="17582" xr:uid="{EE220CBF-056A-4470-9FD2-A9E737EB6069}"/>
    <cellStyle name="40% - Accent6 31 8 2 3" xfId="17583" xr:uid="{A81C46B5-13EA-47C9-A1E3-25992DEBEB1F}"/>
    <cellStyle name="40% - Accent6 31 8 2 3 2" xfId="17584" xr:uid="{EEA7B0A9-D535-4DE8-8E90-049E57649CBB}"/>
    <cellStyle name="40% - Accent6 31 8 2 3 2 2" xfId="17585" xr:uid="{390C0DD8-0E2F-4E40-8E3C-5D2312B8D9A3}"/>
    <cellStyle name="40% - Accent6 31 8 2 3 3" xfId="17586" xr:uid="{DCBAEB93-60F5-4B19-B6EB-739DD71FFEA1}"/>
    <cellStyle name="40% - Accent6 31 8 2 4" xfId="17587" xr:uid="{4E497514-6FC8-4FCB-BEA3-F5CE5F913CBC}"/>
    <cellStyle name="40% - Accent6 31 8 2 4 2" xfId="17588" xr:uid="{817DA082-DD99-4654-BA6A-A9707687C398}"/>
    <cellStyle name="40% - Accent6 31 8 2 5" xfId="17589" xr:uid="{C89C80AC-98DB-42F0-B475-8CF7F119911E}"/>
    <cellStyle name="40% - Accent6 31 8 3" xfId="17590" xr:uid="{11A12008-1F3F-4334-BC94-8B4D776944FB}"/>
    <cellStyle name="40% - Accent6 31 8 3 2" xfId="17591" xr:uid="{1EAEFB4A-629E-49EF-85C7-D1E3981F7AE4}"/>
    <cellStyle name="40% - Accent6 31 8 3 2 2" xfId="17592" xr:uid="{167DC4F3-7F44-4486-AD0A-CC08F8EAF9A4}"/>
    <cellStyle name="40% - Accent6 31 8 3 3" xfId="17593" xr:uid="{17455149-39FE-4D54-B8E3-6461BBF00464}"/>
    <cellStyle name="40% - Accent6 31 8 4" xfId="17594" xr:uid="{D8B50BD2-341F-48CA-B79B-1A4005CE77D0}"/>
    <cellStyle name="40% - Accent6 31 8 4 2" xfId="17595" xr:uid="{05ABD4A7-D52A-4373-8E95-E0ECA1AD0A15}"/>
    <cellStyle name="40% - Accent6 31 8 4 2 2" xfId="17596" xr:uid="{EAB1584A-49DF-4E62-9D85-62B39F6B0225}"/>
    <cellStyle name="40% - Accent6 31 8 4 3" xfId="17597" xr:uid="{44AFA8E7-33BA-46D7-8C76-B1EC49535C8A}"/>
    <cellStyle name="40% - Accent6 31 8 5" xfId="17598" xr:uid="{7B1D2781-74CD-439A-A0F6-E14D8FE2ECC5}"/>
    <cellStyle name="40% - Accent6 31 8 5 2" xfId="17599" xr:uid="{98D4ED3B-E40A-4C8D-89AA-3D9A5A37C54A}"/>
    <cellStyle name="40% - Accent6 31 8 6" xfId="17600" xr:uid="{04A07666-5076-4DB8-B8E7-C60913F3DEF6}"/>
    <cellStyle name="40% - Accent6 31 9" xfId="17601" xr:uid="{685706C7-961E-416D-A23D-47B62131EB36}"/>
    <cellStyle name="40% - Accent6 31 9 2" xfId="17602" xr:uid="{F4197F0D-8207-442D-B106-92DDC255E32E}"/>
    <cellStyle name="40% - Accent6 31 9 2 2" xfId="17603" xr:uid="{B8B36E44-5A54-4DC1-8C5C-03253674F150}"/>
    <cellStyle name="40% - Accent6 31 9 2 2 2" xfId="17604" xr:uid="{0045F9B2-DE26-4AD4-938F-B86FBA09C5BF}"/>
    <cellStyle name="40% - Accent6 31 9 2 2 2 2" xfId="17605" xr:uid="{CD49B306-759E-4BAF-BE32-CAA6537B970D}"/>
    <cellStyle name="40% - Accent6 31 9 2 2 3" xfId="17606" xr:uid="{B64E565E-BEE2-45D8-8679-5DA93E40E7E3}"/>
    <cellStyle name="40% - Accent6 31 9 2 3" xfId="17607" xr:uid="{D1C97607-9969-4739-B39D-C39019A7843D}"/>
    <cellStyle name="40% - Accent6 31 9 2 3 2" xfId="17608" xr:uid="{B26363DF-3CA2-453D-B437-CA4EC67C8E27}"/>
    <cellStyle name="40% - Accent6 31 9 2 3 2 2" xfId="17609" xr:uid="{513E387E-0886-4556-9829-50C78369AFA5}"/>
    <cellStyle name="40% - Accent6 31 9 2 3 3" xfId="17610" xr:uid="{66FA4964-D93B-4A29-8949-69F17F7D6B2C}"/>
    <cellStyle name="40% - Accent6 31 9 2 4" xfId="17611" xr:uid="{E2C13DD3-4861-4EA5-A7C5-E5CF4FBBB69B}"/>
    <cellStyle name="40% - Accent6 31 9 2 4 2" xfId="17612" xr:uid="{3B1B6430-C12E-47D8-976F-DD1EFAAEC8E7}"/>
    <cellStyle name="40% - Accent6 31 9 2 5" xfId="17613" xr:uid="{D9F7B61F-764F-42AF-99C0-E99F8DE98C8E}"/>
    <cellStyle name="40% - Accent6 31 9 3" xfId="17614" xr:uid="{D243FF28-194F-4C2C-96BE-9B4D5B6DDF79}"/>
    <cellStyle name="40% - Accent6 31 9 3 2" xfId="17615" xr:uid="{16D243A1-B2DA-4BEB-947D-4C854C9837A8}"/>
    <cellStyle name="40% - Accent6 31 9 3 2 2" xfId="17616" xr:uid="{493733CE-9FBC-42E3-A75C-1161C47FEBFA}"/>
    <cellStyle name="40% - Accent6 31 9 3 3" xfId="17617" xr:uid="{7FB0152D-A8DF-4558-95E0-ADAAE74BAA0D}"/>
    <cellStyle name="40% - Accent6 31 9 4" xfId="17618" xr:uid="{76FF274C-B0D0-4301-8D91-66EC90201044}"/>
    <cellStyle name="40% - Accent6 31 9 4 2" xfId="17619" xr:uid="{7E4AACAA-C907-4837-9855-7AAC10128859}"/>
    <cellStyle name="40% - Accent6 31 9 4 2 2" xfId="17620" xr:uid="{8C8B074C-ED5D-4616-9E97-BFC486BB2894}"/>
    <cellStyle name="40% - Accent6 31 9 4 3" xfId="17621" xr:uid="{6E7C7107-D4BA-48C6-A24D-5B101A90E5D2}"/>
    <cellStyle name="40% - Accent6 31 9 5" xfId="17622" xr:uid="{17563C72-EF72-44A6-B0EF-0063ABBEAB21}"/>
    <cellStyle name="40% - Accent6 31 9 5 2" xfId="17623" xr:uid="{6D39715A-D0AF-4C90-99FD-164BDDC085EE}"/>
    <cellStyle name="40% - Accent6 31 9 6" xfId="17624" xr:uid="{EC59D90A-7B19-43A2-8580-86970D7A08BE}"/>
    <cellStyle name="40% - Accent6 32" xfId="17625" xr:uid="{D01A538F-E40C-446C-9FD0-EA543C0E549E}"/>
    <cellStyle name="40% - Accent6 32 2" xfId="17626" xr:uid="{1D649B91-78BA-4DCB-BB67-CDE0887AD94C}"/>
    <cellStyle name="40% - Accent6 32 2 2" xfId="17627" xr:uid="{40F7AA7C-5C95-4151-B484-1B0321551F60}"/>
    <cellStyle name="40% - Accent6 32 2 2 2" xfId="17628" xr:uid="{03E8F30B-DBB5-4F80-8F88-B0D792EE0280}"/>
    <cellStyle name="40% - Accent6 32 2 2 2 2" xfId="17629" xr:uid="{6BDF3C9E-07F3-4CBE-A5C7-1DCA873F7A4C}"/>
    <cellStyle name="40% - Accent6 32 2 2 3" xfId="17630" xr:uid="{141B9F4B-D71A-4F7C-A0BB-0594F0685D4D}"/>
    <cellStyle name="40% - Accent6 32 2 3" xfId="17631" xr:uid="{FD539733-6BF3-4426-A0FA-1A2E4524C894}"/>
    <cellStyle name="40% - Accent6 32 2 3 2" xfId="17632" xr:uid="{B05778A3-F058-4287-B707-02127F67D0F8}"/>
    <cellStyle name="40% - Accent6 32 2 3 2 2" xfId="17633" xr:uid="{F906FD8F-8958-4BCF-B577-23E81C629591}"/>
    <cellStyle name="40% - Accent6 32 2 3 3" xfId="17634" xr:uid="{016EEA95-A949-4B2A-99C5-58C2346E2AA1}"/>
    <cellStyle name="40% - Accent6 32 2 4" xfId="17635" xr:uid="{C0EE4D95-84A9-43BC-9864-B98BC424F3A4}"/>
    <cellStyle name="40% - Accent6 32 2 4 2" xfId="17636" xr:uid="{5A310D30-590C-4634-8344-26161A64E98A}"/>
    <cellStyle name="40% - Accent6 32 2 5" xfId="17637" xr:uid="{74B6AC42-F16C-4CAF-A3D5-2435D37EED1A}"/>
    <cellStyle name="40% - Accent6 32 3" xfId="17638" xr:uid="{8CB3C29E-FBB9-4AE5-9D7F-72F38BDF5AC1}"/>
    <cellStyle name="40% - Accent6 32 3 2" xfId="17639" xr:uid="{9CC667A1-6827-4BC7-9A47-03060E5F2D65}"/>
    <cellStyle name="40% - Accent6 32 3 2 2" xfId="17640" xr:uid="{DC0A5AA7-14DE-4133-805B-9AEC70585D74}"/>
    <cellStyle name="40% - Accent6 32 3 3" xfId="17641" xr:uid="{227AC322-7282-4BB5-AA57-95DB358F4B0B}"/>
    <cellStyle name="40% - Accent6 32 4" xfId="17642" xr:uid="{EF377562-B6DC-43F7-A3B3-398A4FAE9927}"/>
    <cellStyle name="40% - Accent6 32 4 2" xfId="17643" xr:uid="{B28DA75A-2EF0-490D-99DF-4E826A38197B}"/>
    <cellStyle name="40% - Accent6 32 4 2 2" xfId="17644" xr:uid="{C846D89E-C11C-46D1-B938-CA27FE19871B}"/>
    <cellStyle name="40% - Accent6 32 4 3" xfId="17645" xr:uid="{2167C58D-3335-458A-9B50-41CC05CAE003}"/>
    <cellStyle name="40% - Accent6 32 5" xfId="17646" xr:uid="{3076AF2E-99FD-4CD9-8154-F9F18614168C}"/>
    <cellStyle name="40% - Accent6 32 5 2" xfId="17647" xr:uid="{8B6FB5F0-C5B8-49A1-AD9D-069907B45DFD}"/>
    <cellStyle name="40% - Accent6 32 6" xfId="17648" xr:uid="{8C6DFDB3-01F7-4A35-B8DB-66B270DD5A52}"/>
    <cellStyle name="40% - Accent6 32 7" xfId="37740" xr:uid="{BA951E9C-0C21-4B88-B5E5-29AB973E72F1}"/>
    <cellStyle name="40% - Accent6 33" xfId="17649" xr:uid="{D041D4BA-E245-474C-AEB3-A789C80C43FE}"/>
    <cellStyle name="40% - Accent6 33 2" xfId="17650" xr:uid="{A06E1AAE-EE42-4AEC-A253-123718546097}"/>
    <cellStyle name="40% - Accent6 33 2 2" xfId="17651" xr:uid="{DA633F8D-FAEC-4D0E-A1DB-B91DFE1763A6}"/>
    <cellStyle name="40% - Accent6 33 2 2 2" xfId="17652" xr:uid="{3FCCF2DD-B7DC-41AE-8BB6-C5B1CE80B35C}"/>
    <cellStyle name="40% - Accent6 33 2 2 2 2" xfId="17653" xr:uid="{5AB94044-0E11-497D-AFEF-69CA89355C99}"/>
    <cellStyle name="40% - Accent6 33 2 2 3" xfId="17654" xr:uid="{7B5154F2-06DE-4F26-AD11-FAF5FCF3BFB0}"/>
    <cellStyle name="40% - Accent6 33 2 3" xfId="17655" xr:uid="{BCB376DD-2841-4D8C-B7F6-9EB5A9BFE11E}"/>
    <cellStyle name="40% - Accent6 33 2 3 2" xfId="17656" xr:uid="{12121FF2-DD6A-4685-819E-BB2259A96B46}"/>
    <cellStyle name="40% - Accent6 33 2 3 2 2" xfId="17657" xr:uid="{0D2009E8-EC1D-4B98-A010-EF6668D137D0}"/>
    <cellStyle name="40% - Accent6 33 2 3 3" xfId="17658" xr:uid="{84378AC0-274A-445F-B408-80353D8A0A87}"/>
    <cellStyle name="40% - Accent6 33 2 4" xfId="17659" xr:uid="{2D62125A-EED5-41F3-A5AA-326B22DFB637}"/>
    <cellStyle name="40% - Accent6 33 2 4 2" xfId="17660" xr:uid="{48C2DF62-98F6-4A6B-885A-226E13599200}"/>
    <cellStyle name="40% - Accent6 33 2 5" xfId="17661" xr:uid="{588B1698-FFA4-454E-BCEA-F243804B2919}"/>
    <cellStyle name="40% - Accent6 33 3" xfId="17662" xr:uid="{2724C7DE-D5D0-416F-8D6F-B7D65261DD55}"/>
    <cellStyle name="40% - Accent6 33 3 2" xfId="17663" xr:uid="{2FE83A8C-1EE7-4E9D-8CD5-04C327528AF3}"/>
    <cellStyle name="40% - Accent6 33 3 2 2" xfId="17664" xr:uid="{285D34E5-A8A7-4620-BACB-09BFA3688197}"/>
    <cellStyle name="40% - Accent6 33 3 3" xfId="17665" xr:uid="{C8DCE3AA-85FE-4315-83F8-468D43128FF6}"/>
    <cellStyle name="40% - Accent6 33 4" xfId="17666" xr:uid="{739FFE7E-1402-4639-8E5E-B2F39EB75261}"/>
    <cellStyle name="40% - Accent6 33 4 2" xfId="17667" xr:uid="{33836DBC-B287-45B1-88A6-2F9EF1CA7F04}"/>
    <cellStyle name="40% - Accent6 33 4 2 2" xfId="17668" xr:uid="{B0011472-6F05-4718-83A1-335D073BDC00}"/>
    <cellStyle name="40% - Accent6 33 4 3" xfId="17669" xr:uid="{07E3D5B1-39A3-4A8C-AF1B-FAC4D37AFC54}"/>
    <cellStyle name="40% - Accent6 33 5" xfId="17670" xr:uid="{2E691E03-258A-415B-9EB6-92678EF12C4B}"/>
    <cellStyle name="40% - Accent6 33 5 2" xfId="17671" xr:uid="{7FDEA55E-D7E9-4F3E-9F92-42563D59002C}"/>
    <cellStyle name="40% - Accent6 33 6" xfId="37741" xr:uid="{01613403-0023-45E5-ABA6-A6D00E407103}"/>
    <cellStyle name="40% - Accent6 34" xfId="17672" xr:uid="{C22641DC-C547-462C-913D-FCB5E07AE50F}"/>
    <cellStyle name="40% - Accent6 34 2" xfId="17673" xr:uid="{EEBDF537-48AC-44E4-B242-A843BA7137DF}"/>
    <cellStyle name="40% - Accent6 34 2 2" xfId="17674" xr:uid="{F721C6B0-A2AC-4E84-99C5-42A6D75D5FE9}"/>
    <cellStyle name="40% - Accent6 34 2 2 2" xfId="17675" xr:uid="{9A1506BE-F342-4E5A-8AC4-192305BCF56F}"/>
    <cellStyle name="40% - Accent6 34 2 2 2 2" xfId="17676" xr:uid="{156D0501-151A-440F-86A8-0D5842F9BBA0}"/>
    <cellStyle name="40% - Accent6 34 2 2 3" xfId="17677" xr:uid="{ABF9EC2A-1920-4CBD-ABEC-10C096EECB87}"/>
    <cellStyle name="40% - Accent6 34 2 3" xfId="17678" xr:uid="{C08F4B17-A187-4C98-8D50-65ECEBE4D726}"/>
    <cellStyle name="40% - Accent6 34 2 3 2" xfId="17679" xr:uid="{DD889352-EEE3-4E40-9AD9-251C81D62308}"/>
    <cellStyle name="40% - Accent6 34 2 3 2 2" xfId="17680" xr:uid="{49EDC84D-1B19-4835-9A25-E529ADACFB34}"/>
    <cellStyle name="40% - Accent6 34 2 3 3" xfId="17681" xr:uid="{381162FA-65CE-4619-BF9A-855F42E8D2BF}"/>
    <cellStyle name="40% - Accent6 34 2 4" xfId="17682" xr:uid="{BB504D6F-7620-4E1D-8209-2A9BE59EA76E}"/>
    <cellStyle name="40% - Accent6 34 2 4 2" xfId="17683" xr:uid="{56E3373E-95B4-424D-8025-15106D23C02C}"/>
    <cellStyle name="40% - Accent6 34 2 5" xfId="17684" xr:uid="{99399824-0E6A-4004-B910-18783ED5D5B3}"/>
    <cellStyle name="40% - Accent6 34 3" xfId="17685" xr:uid="{DA20F129-3D21-4C45-8650-BF6C57AB7DA2}"/>
    <cellStyle name="40% - Accent6 34 3 2" xfId="17686" xr:uid="{846C190D-8318-4CA4-9F1E-F16915D9BD94}"/>
    <cellStyle name="40% - Accent6 34 3 2 2" xfId="17687" xr:uid="{16650E81-7970-4DF2-B464-ACCCF258DF34}"/>
    <cellStyle name="40% - Accent6 34 3 3" xfId="17688" xr:uid="{DBC2FB13-46C4-4A29-9AA3-52D6BAB44C78}"/>
    <cellStyle name="40% - Accent6 34 4" xfId="17689" xr:uid="{B505A2F5-678D-482C-816C-351CD5407106}"/>
    <cellStyle name="40% - Accent6 34 4 2" xfId="17690" xr:uid="{B7D0B9B3-C9FD-4499-A7D6-1FCE3071C6BF}"/>
    <cellStyle name="40% - Accent6 34 4 2 2" xfId="17691" xr:uid="{14EC66A3-AED5-4DFD-BFE7-711A8009964C}"/>
    <cellStyle name="40% - Accent6 34 4 3" xfId="17692" xr:uid="{602D6075-F5F4-444C-8DFA-9E8B1618CB61}"/>
    <cellStyle name="40% - Accent6 34 5" xfId="17693" xr:uid="{D3896C17-93AA-4158-A6BD-72B6EAD70A43}"/>
    <cellStyle name="40% - Accent6 34 5 2" xfId="17694" xr:uid="{40D75154-1595-469B-80B6-CA9475341525}"/>
    <cellStyle name="40% - Accent6 34 6" xfId="37742" xr:uid="{5F87CC4A-9C9F-4DB7-B19E-57EBFB2EEBEA}"/>
    <cellStyle name="40% - Accent6 35" xfId="17695" xr:uid="{8E3D61E8-745D-4813-9E35-BFF53362585D}"/>
    <cellStyle name="40% - Accent6 35 2" xfId="17696" xr:uid="{5DD00F69-54A2-4FAA-8718-CE9D0FC84BF9}"/>
    <cellStyle name="40% - Accent6 35 2 2" xfId="17697" xr:uid="{A768D8FE-EB5B-4B30-992C-A64AE6C9A2DC}"/>
    <cellStyle name="40% - Accent6 35 2 2 2" xfId="17698" xr:uid="{B0933167-BC89-44B7-B257-C7DC620F5D0B}"/>
    <cellStyle name="40% - Accent6 35 2 2 2 2" xfId="17699" xr:uid="{87A2ED47-A1CF-4266-B3C4-8FEFDC7AD1A6}"/>
    <cellStyle name="40% - Accent6 35 2 2 3" xfId="17700" xr:uid="{FB6B401D-4947-41D3-B3F0-1D7EEEE6F4B9}"/>
    <cellStyle name="40% - Accent6 35 2 3" xfId="17701" xr:uid="{4D3E77AF-1EF3-4C67-AE57-C6C2177E23F3}"/>
    <cellStyle name="40% - Accent6 35 2 3 2" xfId="17702" xr:uid="{79BF2A63-5285-4244-8B4B-F771D7FBBC1E}"/>
    <cellStyle name="40% - Accent6 35 2 3 2 2" xfId="17703" xr:uid="{740C4854-73C1-42EC-9130-C54E965FA389}"/>
    <cellStyle name="40% - Accent6 35 2 3 3" xfId="17704" xr:uid="{04B78C4F-36F8-4C29-917D-E3D188FA9558}"/>
    <cellStyle name="40% - Accent6 35 2 4" xfId="17705" xr:uid="{0C68396B-A061-449D-BC5D-C413B34F2A8A}"/>
    <cellStyle name="40% - Accent6 35 2 4 2" xfId="17706" xr:uid="{1235B1E2-7E82-47B2-9EAE-E5423C6C8DCF}"/>
    <cellStyle name="40% - Accent6 35 2 5" xfId="17707" xr:uid="{24988727-C561-4F9C-84C3-8FC9DB0F1F39}"/>
    <cellStyle name="40% - Accent6 35 3" xfId="17708" xr:uid="{B983577F-FFA5-48E3-B927-F5322FCE9288}"/>
    <cellStyle name="40% - Accent6 35 3 2" xfId="17709" xr:uid="{37A1630B-1236-46AF-8951-59C47BF3650E}"/>
    <cellStyle name="40% - Accent6 35 3 2 2" xfId="17710" xr:uid="{9FD5E0F7-BD79-4C47-8426-E4C132C08034}"/>
    <cellStyle name="40% - Accent6 35 3 3" xfId="17711" xr:uid="{956A102F-1C2A-4A83-9E52-8A4EE1A3FFDC}"/>
    <cellStyle name="40% - Accent6 35 4" xfId="17712" xr:uid="{5B3DCBFB-ABE0-482D-B1A9-CE4BA2AB8236}"/>
    <cellStyle name="40% - Accent6 35 4 2" xfId="17713" xr:uid="{BFF530C5-1BCF-4315-B92D-5CA740316431}"/>
    <cellStyle name="40% - Accent6 35 4 2 2" xfId="17714" xr:uid="{C5F6F6D6-C04A-46A5-82F9-5F4AAFDD15E7}"/>
    <cellStyle name="40% - Accent6 35 4 3" xfId="17715" xr:uid="{5BA0C827-8863-448B-809C-7493F3195835}"/>
    <cellStyle name="40% - Accent6 35 5" xfId="17716" xr:uid="{7FF7A4AA-C44D-4DB8-975C-532145227536}"/>
    <cellStyle name="40% - Accent6 35 5 2" xfId="17717" xr:uid="{EBE33370-A0F3-4345-83DE-D4B3EC358B49}"/>
    <cellStyle name="40% - Accent6 35 6" xfId="37743" xr:uid="{7F587A42-DC39-4AD8-ADBA-481F43E6BB6B}"/>
    <cellStyle name="40% - Accent6 36" xfId="17718" xr:uid="{13309C4B-4A95-4710-B532-8E1EA011EA36}"/>
    <cellStyle name="40% - Accent6 36 2" xfId="17719" xr:uid="{392B2B8A-3882-4B59-AB94-29D086C00CA8}"/>
    <cellStyle name="40% - Accent6 36 2 2" xfId="17720" xr:uid="{7DF367FC-1F6A-4F8F-9FBA-35921C4F879E}"/>
    <cellStyle name="40% - Accent6 36 2 2 2" xfId="17721" xr:uid="{9FB475F3-03AD-4679-BFF5-58C91CBBAA1A}"/>
    <cellStyle name="40% - Accent6 36 2 2 2 2" xfId="17722" xr:uid="{9AF06D66-2E15-46C5-BF3F-B635CD2CE2A4}"/>
    <cellStyle name="40% - Accent6 36 2 2 3" xfId="17723" xr:uid="{880E6FEF-C3BD-45B4-8CCB-3E8261E32614}"/>
    <cellStyle name="40% - Accent6 36 2 3" xfId="17724" xr:uid="{E1912711-0264-4554-980C-7B1C2601DF83}"/>
    <cellStyle name="40% - Accent6 36 2 3 2" xfId="17725" xr:uid="{72C5131E-7432-4016-A044-B49D335C2426}"/>
    <cellStyle name="40% - Accent6 36 2 3 2 2" xfId="17726" xr:uid="{B507FFE2-AD00-429C-ADBB-D6AE1E698D31}"/>
    <cellStyle name="40% - Accent6 36 2 3 3" xfId="17727" xr:uid="{DCA2C922-356A-4F44-AC2B-E6F2144CD243}"/>
    <cellStyle name="40% - Accent6 36 2 4" xfId="17728" xr:uid="{A5CD00CB-6E4B-432F-AE1C-BA9B6968DAC6}"/>
    <cellStyle name="40% - Accent6 36 2 4 2" xfId="17729" xr:uid="{AA968632-B8DE-4E47-85E9-EE821E55DB1E}"/>
    <cellStyle name="40% - Accent6 36 2 5" xfId="17730" xr:uid="{7D0ED215-F257-4B1C-A7BA-4AE96681E717}"/>
    <cellStyle name="40% - Accent6 36 3" xfId="17731" xr:uid="{5E0E681B-71DC-427E-9E05-1F0BE8BC2302}"/>
    <cellStyle name="40% - Accent6 36 3 2" xfId="17732" xr:uid="{0822A371-62E3-4A88-80EE-BCDD5A091FEE}"/>
    <cellStyle name="40% - Accent6 36 3 2 2" xfId="17733" xr:uid="{665DD9B1-16A4-40C7-B3C7-D9AF9E7B99BD}"/>
    <cellStyle name="40% - Accent6 36 3 3" xfId="17734" xr:uid="{5ADC2494-EBB2-4077-B5CC-9E693711C8DB}"/>
    <cellStyle name="40% - Accent6 36 4" xfId="17735" xr:uid="{D6B8FDF6-47A1-4B68-A84D-CE24065380D8}"/>
    <cellStyle name="40% - Accent6 36 4 2" xfId="17736" xr:uid="{322FB756-8B5E-4158-A690-EC12D44C0D25}"/>
    <cellStyle name="40% - Accent6 36 4 2 2" xfId="17737" xr:uid="{07580F00-7DF4-4631-A777-379AED8557E5}"/>
    <cellStyle name="40% - Accent6 36 4 3" xfId="17738" xr:uid="{CADC1676-092D-4FFB-9A94-FE2CF84745F5}"/>
    <cellStyle name="40% - Accent6 36 5" xfId="17739" xr:uid="{7A1EB3DD-ABBD-41B3-9196-286741EC7978}"/>
    <cellStyle name="40% - Accent6 36 5 2" xfId="17740" xr:uid="{08DC838E-B443-4151-8EEA-9151A8174BD5}"/>
    <cellStyle name="40% - Accent6 36 6" xfId="37744" xr:uid="{DAEE4CDC-DEE8-47E2-8B25-193AE133114E}"/>
    <cellStyle name="40% - Accent6 37" xfId="17741" xr:uid="{B8DE3571-DE92-45AE-B270-F7560CFB2386}"/>
    <cellStyle name="40% - Accent6 37 2" xfId="17742" xr:uid="{0CE73CC8-53E5-4A0B-B91D-48967EFB0D3E}"/>
    <cellStyle name="40% - Accent6 37 2 2" xfId="17743" xr:uid="{DF36B936-C759-472C-87E8-37FED56865DD}"/>
    <cellStyle name="40% - Accent6 37 2 2 2" xfId="17744" xr:uid="{95DDE089-DF4A-46A3-B975-187BC33F4AF3}"/>
    <cellStyle name="40% - Accent6 37 2 2 2 2" xfId="17745" xr:uid="{E44D1A34-CC78-4940-8D82-A5053DFB4E06}"/>
    <cellStyle name="40% - Accent6 37 2 2 3" xfId="17746" xr:uid="{0732B007-DD83-45D8-BE0A-6271E89A8691}"/>
    <cellStyle name="40% - Accent6 37 2 3" xfId="17747" xr:uid="{4FAB9BF3-30CF-4F0C-BF79-454781FDD487}"/>
    <cellStyle name="40% - Accent6 37 2 3 2" xfId="17748" xr:uid="{65C91D00-D279-4056-8D80-72D09725AA8A}"/>
    <cellStyle name="40% - Accent6 37 2 3 2 2" xfId="17749" xr:uid="{DCCE621F-96AD-4F57-B387-A969CA6FF261}"/>
    <cellStyle name="40% - Accent6 37 2 3 3" xfId="17750" xr:uid="{9CED8EA7-1590-4E34-A9E1-B673B838D721}"/>
    <cellStyle name="40% - Accent6 37 2 4" xfId="17751" xr:uid="{0E7E996C-D8CF-4461-B6CC-C6BFB0449002}"/>
    <cellStyle name="40% - Accent6 37 2 4 2" xfId="17752" xr:uid="{CCBE920F-F861-4E92-A9C9-48E1FE1E388B}"/>
    <cellStyle name="40% - Accent6 37 2 5" xfId="17753" xr:uid="{321CC561-DDBF-44D3-9644-D8BE16639CC0}"/>
    <cellStyle name="40% - Accent6 37 3" xfId="17754" xr:uid="{053B2B33-3DA4-45E4-B999-9E2DE0A4ED23}"/>
    <cellStyle name="40% - Accent6 37 3 2" xfId="17755" xr:uid="{F0AE8EE2-B431-4D4A-B603-426609DCBF33}"/>
    <cellStyle name="40% - Accent6 37 3 2 2" xfId="17756" xr:uid="{7AD15F64-3DAD-46A5-BD6A-EBBD88BF0AB0}"/>
    <cellStyle name="40% - Accent6 37 3 3" xfId="17757" xr:uid="{31904B0D-A095-4942-B055-72DEDBAB8062}"/>
    <cellStyle name="40% - Accent6 37 4" xfId="17758" xr:uid="{89C34C39-2EAD-42A5-BDD9-33AEAF2F97CA}"/>
    <cellStyle name="40% - Accent6 37 4 2" xfId="17759" xr:uid="{77427322-1D00-4629-9B12-2B0B8E4F5C28}"/>
    <cellStyle name="40% - Accent6 37 4 2 2" xfId="17760" xr:uid="{0D0E5791-0F7F-44CC-AF21-8268A0F62BAD}"/>
    <cellStyle name="40% - Accent6 37 4 3" xfId="17761" xr:uid="{87D1DE5D-B863-44E4-B66E-AFBE825476F0}"/>
    <cellStyle name="40% - Accent6 37 5" xfId="17762" xr:uid="{9790D11C-6AD3-4C54-AA4C-96B386DE4A63}"/>
    <cellStyle name="40% - Accent6 37 5 2" xfId="17763" xr:uid="{F531A7B9-0F28-4D0C-A8C4-55DED2AE69E3}"/>
    <cellStyle name="40% - Accent6 37 6" xfId="37745" xr:uid="{87310122-F8FF-4FF1-9FEF-7DA73F78D702}"/>
    <cellStyle name="40% - Accent6 38" xfId="17764" xr:uid="{08ABEFF4-AD44-4CC3-9B4D-EB0DF6F768C0}"/>
    <cellStyle name="40% - Accent6 38 2" xfId="17765" xr:uid="{E8178441-BAC8-42C6-A459-AFD808FFC73F}"/>
    <cellStyle name="40% - Accent6 38 2 2" xfId="17766" xr:uid="{86A5A36A-7F8E-473C-8320-6BFB0C4A5DE7}"/>
    <cellStyle name="40% - Accent6 38 2 2 2" xfId="17767" xr:uid="{0A5E4374-7176-4EFD-B63A-29FF1C51248A}"/>
    <cellStyle name="40% - Accent6 38 2 2 2 2" xfId="17768" xr:uid="{67CA2D1F-CF7B-4EB9-92F1-2150D5C558C5}"/>
    <cellStyle name="40% - Accent6 38 2 2 3" xfId="17769" xr:uid="{7F37A230-1C0E-4B13-A0D2-8C7F533D7EB8}"/>
    <cellStyle name="40% - Accent6 38 2 3" xfId="17770" xr:uid="{BD9F324C-D747-4DAF-ABD6-E59D3DC7A652}"/>
    <cellStyle name="40% - Accent6 38 2 3 2" xfId="17771" xr:uid="{29361EB3-8F9F-4BB9-A83C-C5E1708D5FA3}"/>
    <cellStyle name="40% - Accent6 38 2 3 2 2" xfId="17772" xr:uid="{C094483D-DFC2-4ECF-8A39-FBDA345BC0EE}"/>
    <cellStyle name="40% - Accent6 38 2 3 3" xfId="17773" xr:uid="{BB516ADE-153A-4794-8A4B-F92B2677ED72}"/>
    <cellStyle name="40% - Accent6 38 2 4" xfId="17774" xr:uid="{B98B5867-997B-4FDF-B9FB-64D7E4A09BC2}"/>
    <cellStyle name="40% - Accent6 38 2 4 2" xfId="17775" xr:uid="{1AE3E3FB-C221-4664-83C7-7454AF3DC0AB}"/>
    <cellStyle name="40% - Accent6 38 2 5" xfId="17776" xr:uid="{0DF5DDFA-9FBF-48A0-BA37-6877CD2C20A2}"/>
    <cellStyle name="40% - Accent6 38 3" xfId="17777" xr:uid="{A68FCC4D-F180-4864-8BF8-4461A81C0EEA}"/>
    <cellStyle name="40% - Accent6 38 3 2" xfId="17778" xr:uid="{238EE68C-1814-40B4-A7E8-B8A826444ADD}"/>
    <cellStyle name="40% - Accent6 38 3 2 2" xfId="17779" xr:uid="{A3729247-E396-4E9B-BDE6-992037D73F3F}"/>
    <cellStyle name="40% - Accent6 38 3 3" xfId="17780" xr:uid="{B7C1E502-5FCD-4DAC-947B-A3FB557CE7EC}"/>
    <cellStyle name="40% - Accent6 38 4" xfId="17781" xr:uid="{03CD3603-0739-4051-ABD0-3B55D984BB31}"/>
    <cellStyle name="40% - Accent6 38 4 2" xfId="17782" xr:uid="{44370359-B9D7-41FB-AEEB-6D6DBCEE919E}"/>
    <cellStyle name="40% - Accent6 38 4 2 2" xfId="17783" xr:uid="{E6A2F894-BB43-46D8-9D88-D1463591E324}"/>
    <cellStyle name="40% - Accent6 38 4 3" xfId="17784" xr:uid="{1E64160D-DEC6-4189-97B7-A929547C0DA1}"/>
    <cellStyle name="40% - Accent6 38 5" xfId="17785" xr:uid="{AF59D113-506B-497A-9C50-F13E5F52DF9D}"/>
    <cellStyle name="40% - Accent6 38 5 2" xfId="17786" xr:uid="{0765BD2D-43DD-43D0-A615-55E32068F752}"/>
    <cellStyle name="40% - Accent6 38 6" xfId="37746" xr:uid="{DC47F8F8-C33D-4BC8-962F-D1742576A193}"/>
    <cellStyle name="40% - Accent6 39" xfId="17787" xr:uid="{349C0DEF-B9FF-4CAE-BA53-DF32F845CF45}"/>
    <cellStyle name="40% - Accent6 39 2" xfId="17788" xr:uid="{6479AC06-7D9C-4A27-A5F0-9FE7A1B20E32}"/>
    <cellStyle name="40% - Accent6 39 2 2" xfId="17789" xr:uid="{6C048D3D-6E4F-458E-9887-7D251E4C51F7}"/>
    <cellStyle name="40% - Accent6 39 2 2 2" xfId="17790" xr:uid="{597AD2FA-F42E-40EC-A3C8-7281BE6DCA1C}"/>
    <cellStyle name="40% - Accent6 39 2 2 2 2" xfId="17791" xr:uid="{2D894792-10A5-4CC1-A3D6-F522E8E37D57}"/>
    <cellStyle name="40% - Accent6 39 2 2 3" xfId="17792" xr:uid="{AFFBC3AB-2B39-49ED-B291-EE4665F632DE}"/>
    <cellStyle name="40% - Accent6 39 2 3" xfId="17793" xr:uid="{C1A14392-AFAF-4D9C-BC01-153CEEADE42B}"/>
    <cellStyle name="40% - Accent6 39 2 3 2" xfId="17794" xr:uid="{2284DDC4-2B0A-41E7-B612-AE84053581F5}"/>
    <cellStyle name="40% - Accent6 39 2 3 2 2" xfId="17795" xr:uid="{D6F08A77-CF52-487F-A66F-64995E1E282F}"/>
    <cellStyle name="40% - Accent6 39 2 3 3" xfId="17796" xr:uid="{D890DCB2-76B2-436F-BD02-76F719A39055}"/>
    <cellStyle name="40% - Accent6 39 2 4" xfId="17797" xr:uid="{34AFF501-C066-4967-B7BD-0DC4E756E626}"/>
    <cellStyle name="40% - Accent6 39 2 4 2" xfId="17798" xr:uid="{4E9271A2-2605-4832-BA99-1422822417B4}"/>
    <cellStyle name="40% - Accent6 39 2 5" xfId="17799" xr:uid="{27B6E2AE-94A2-4313-8492-0360C83B3F9D}"/>
    <cellStyle name="40% - Accent6 39 3" xfId="17800" xr:uid="{987A0F45-C81F-411C-ABE7-7D0C4CDC2467}"/>
    <cellStyle name="40% - Accent6 39 3 2" xfId="17801" xr:uid="{8BD8EE03-94D1-4EB8-989E-837A54C39B13}"/>
    <cellStyle name="40% - Accent6 39 3 2 2" xfId="17802" xr:uid="{46852B8A-FFBA-4291-ACCA-E1D7B4376F3C}"/>
    <cellStyle name="40% - Accent6 39 3 3" xfId="17803" xr:uid="{B7A13CD1-65C1-413F-9A2F-9B93DF188F66}"/>
    <cellStyle name="40% - Accent6 39 4" xfId="17804" xr:uid="{988D13B0-936A-4B8C-B02F-B6BE0A9CA873}"/>
    <cellStyle name="40% - Accent6 39 4 2" xfId="17805" xr:uid="{0A81EEF9-16D2-46D9-969C-6F8C465AC12E}"/>
    <cellStyle name="40% - Accent6 39 4 2 2" xfId="17806" xr:uid="{E147BC2C-11F6-4481-995D-5D3E49C1C1F9}"/>
    <cellStyle name="40% - Accent6 39 4 3" xfId="17807" xr:uid="{C7055C09-82F5-4863-90BB-06ADB4490236}"/>
    <cellStyle name="40% - Accent6 39 5" xfId="17808" xr:uid="{0833DD48-EDED-4A01-AEA0-BDD5700EEDE7}"/>
    <cellStyle name="40% - Accent6 39 5 2" xfId="17809" xr:uid="{092F8D56-26FE-49B1-8922-2AD0D8BD5FD3}"/>
    <cellStyle name="40% - Accent6 39 6" xfId="37747" xr:uid="{068D4F29-D1A3-40F8-A532-B8FC945F33BB}"/>
    <cellStyle name="40% - Accent6 4" xfId="17810" xr:uid="{53BD618A-0A6A-42EF-9DB7-20949193C819}"/>
    <cellStyle name="40% - Accent6 4 2" xfId="17811" xr:uid="{FA318811-B375-474A-AEFF-8F8B030D7BC6}"/>
    <cellStyle name="40% - Accent6 4 2 2" xfId="17812" xr:uid="{6578F689-8ED5-46E7-BFC7-8C9B1688C839}"/>
    <cellStyle name="40% - Accent6 4 2 2 2" xfId="37748" xr:uid="{8EE6C38E-C0B3-4D38-8B06-651FEEC5BB94}"/>
    <cellStyle name="40% - Accent6 4 2 3" xfId="37749" xr:uid="{1D959930-FDF2-4402-B964-EFAAD8BD503A}"/>
    <cellStyle name="40% - Accent6 4 2 4" xfId="37750" xr:uid="{5C4876A2-2FA0-4056-90EA-D2E91EA8362F}"/>
    <cellStyle name="40% - Accent6 4 3" xfId="17813" xr:uid="{1251DF78-1C68-4079-9ACA-E1ED63FFEAAA}"/>
    <cellStyle name="40% - Accent6 4 3 2" xfId="37751" xr:uid="{E29F1DAF-BFA0-45BC-A48F-FF724EBFBE22}"/>
    <cellStyle name="40% - Accent6 4 4" xfId="37752" xr:uid="{07FDC495-E42C-4901-BE7D-E23B60D193FC}"/>
    <cellStyle name="40% - Accent6 4 5" xfId="37753" xr:uid="{CAA26480-C75D-464E-8F14-CD05DFE5CE29}"/>
    <cellStyle name="40% - Accent6 40" xfId="17814" xr:uid="{6B83BA85-32A9-4D28-B6A8-C8CA5374F686}"/>
    <cellStyle name="40% - Accent6 40 2" xfId="17815" xr:uid="{0EF0C777-CC1E-466F-8F13-3EB75434CB8A}"/>
    <cellStyle name="40% - Accent6 40 2 2" xfId="17816" xr:uid="{C47C1593-B32D-459C-93AA-552A09F168DA}"/>
    <cellStyle name="40% - Accent6 40 2 2 2" xfId="17817" xr:uid="{2D71CBD1-3577-4EB0-9449-325CC05EE87C}"/>
    <cellStyle name="40% - Accent6 40 2 2 2 2" xfId="17818" xr:uid="{CD6143D3-77AE-4F97-B26F-01293DB11289}"/>
    <cellStyle name="40% - Accent6 40 2 2 3" xfId="17819" xr:uid="{1DC1F2B2-5287-4E66-BC52-0DD757B4ADAB}"/>
    <cellStyle name="40% - Accent6 40 2 3" xfId="17820" xr:uid="{C06146D4-2854-47DA-BFF7-58BFC0262F29}"/>
    <cellStyle name="40% - Accent6 40 2 3 2" xfId="17821" xr:uid="{BDEBED84-7D22-450E-93A9-96985825B366}"/>
    <cellStyle name="40% - Accent6 40 2 3 2 2" xfId="17822" xr:uid="{838DF5B5-1C9B-4C35-914F-9814D50355F0}"/>
    <cellStyle name="40% - Accent6 40 2 3 3" xfId="17823" xr:uid="{094F46AA-8CA3-4409-8892-A41681FC2044}"/>
    <cellStyle name="40% - Accent6 40 2 4" xfId="17824" xr:uid="{25920C62-EACC-4E7B-89FA-8BCDB4F4F360}"/>
    <cellStyle name="40% - Accent6 40 2 4 2" xfId="17825" xr:uid="{D8415C27-D42D-40EE-A6C6-36F9B94F9BCA}"/>
    <cellStyle name="40% - Accent6 40 2 5" xfId="17826" xr:uid="{83A0C893-1185-4E82-BE66-D395F3355DF9}"/>
    <cellStyle name="40% - Accent6 40 3" xfId="17827" xr:uid="{87DF6FF5-18B1-4951-81DE-549DAD3B7C86}"/>
    <cellStyle name="40% - Accent6 40 3 2" xfId="17828" xr:uid="{B68E577B-4F07-4DF9-A821-9CA8C210FA98}"/>
    <cellStyle name="40% - Accent6 40 3 2 2" xfId="17829" xr:uid="{FF8E8901-3D61-40BF-8243-9BF15908EC77}"/>
    <cellStyle name="40% - Accent6 40 3 3" xfId="17830" xr:uid="{35BC74EE-8FE0-495D-926C-60D919D442CC}"/>
    <cellStyle name="40% - Accent6 40 4" xfId="17831" xr:uid="{F0E8B229-6C41-44D7-9E93-14104BAADB3E}"/>
    <cellStyle name="40% - Accent6 40 4 2" xfId="17832" xr:uid="{ECCA81F8-CD67-4E5A-8913-FA993B679AA6}"/>
    <cellStyle name="40% - Accent6 40 4 2 2" xfId="17833" xr:uid="{B70699D6-E352-4558-B795-8073F4A6A3EC}"/>
    <cellStyle name="40% - Accent6 40 4 3" xfId="17834" xr:uid="{8AE169B5-0E3A-4C4F-8517-FFE33565B5A1}"/>
    <cellStyle name="40% - Accent6 40 5" xfId="17835" xr:uid="{6464A2E8-7A8D-4F4B-B376-416268720464}"/>
    <cellStyle name="40% - Accent6 40 5 2" xfId="17836" xr:uid="{6542D2C5-4563-4259-BE4A-B182C459FCC0}"/>
    <cellStyle name="40% - Accent6 40 6" xfId="37754" xr:uid="{E7F2A493-9895-4CE8-8D5D-5B60CD87A295}"/>
    <cellStyle name="40% - Accent6 41" xfId="17837" xr:uid="{B70EFB1C-5BB5-42EE-8102-9CF61B35D472}"/>
    <cellStyle name="40% - Accent6 41 2" xfId="17838" xr:uid="{891821A4-BE41-4014-8326-419BDED3D33C}"/>
    <cellStyle name="40% - Accent6 41 2 2" xfId="17839" xr:uid="{5AB03539-9FF2-4724-93E5-31D52190D79E}"/>
    <cellStyle name="40% - Accent6 41 2 2 2" xfId="17840" xr:uid="{22DD01CA-D68A-4A96-ABF6-F295DD40F8DC}"/>
    <cellStyle name="40% - Accent6 41 2 2 2 2" xfId="17841" xr:uid="{3190ECC0-46E5-4D23-BDAF-1C0F831A6BCD}"/>
    <cellStyle name="40% - Accent6 41 2 2 3" xfId="17842" xr:uid="{0DB8FCF1-5A29-44C4-95F5-EB1CF1A0368A}"/>
    <cellStyle name="40% - Accent6 41 2 3" xfId="17843" xr:uid="{BD7EA774-8441-4E7D-9737-10E6EED81AA0}"/>
    <cellStyle name="40% - Accent6 41 2 3 2" xfId="17844" xr:uid="{F308104F-57A2-48BA-9BC1-AEEFD44FBDA5}"/>
    <cellStyle name="40% - Accent6 41 2 3 2 2" xfId="17845" xr:uid="{0D437728-FB55-4311-BD26-B04F79324779}"/>
    <cellStyle name="40% - Accent6 41 2 3 3" xfId="17846" xr:uid="{43A76EB7-0CA4-4617-A722-00FA59A50E30}"/>
    <cellStyle name="40% - Accent6 41 2 4" xfId="17847" xr:uid="{1E71CAB3-631A-4806-B9FF-BA28F6623C11}"/>
    <cellStyle name="40% - Accent6 41 2 4 2" xfId="17848" xr:uid="{0551B38E-0A15-4508-9436-5C9B2C7B4634}"/>
    <cellStyle name="40% - Accent6 41 2 5" xfId="17849" xr:uid="{74D710F7-1E4D-48D4-A82A-31048928B3F4}"/>
    <cellStyle name="40% - Accent6 41 3" xfId="17850" xr:uid="{B6A093B5-65C5-46AD-95E9-98F722A33AF2}"/>
    <cellStyle name="40% - Accent6 41 3 2" xfId="17851" xr:uid="{E2A87959-D85E-4939-B22D-C9600D1F6279}"/>
    <cellStyle name="40% - Accent6 41 3 2 2" xfId="17852" xr:uid="{6F648BD5-2360-4ED7-9D77-55D53E6BB8B2}"/>
    <cellStyle name="40% - Accent6 41 3 3" xfId="17853" xr:uid="{BAA9FA85-452A-440D-869B-E675CE48005B}"/>
    <cellStyle name="40% - Accent6 41 4" xfId="17854" xr:uid="{F779DF14-15CF-4021-9AE0-89DDDB0EFB9E}"/>
    <cellStyle name="40% - Accent6 41 4 2" xfId="17855" xr:uid="{D275DD4D-39DC-4F79-8EB0-3D408F29633E}"/>
    <cellStyle name="40% - Accent6 41 4 2 2" xfId="17856" xr:uid="{AFA0346F-7708-4DEA-BD25-F1DCF11EA1C9}"/>
    <cellStyle name="40% - Accent6 41 4 3" xfId="17857" xr:uid="{537EA08B-653B-4D8B-96B9-5F9B422B00E3}"/>
    <cellStyle name="40% - Accent6 41 5" xfId="17858" xr:uid="{16DF0D7C-470C-48F5-B684-3D340894D720}"/>
    <cellStyle name="40% - Accent6 41 5 2" xfId="17859" xr:uid="{7429A13B-9793-4E52-8FF3-C87747598FA0}"/>
    <cellStyle name="40% - Accent6 41 6" xfId="37755" xr:uid="{58FA4243-AEB6-4FAF-B7BF-EC65731A7631}"/>
    <cellStyle name="40% - Accent6 42" xfId="17860" xr:uid="{30809A41-47E1-4165-976F-2529A1B71FE1}"/>
    <cellStyle name="40% - Accent6 42 2" xfId="17861" xr:uid="{3D3C725C-ED16-4C3D-982E-833C99862312}"/>
    <cellStyle name="40% - Accent6 42 2 2" xfId="17862" xr:uid="{2208EE5A-B527-47E6-A2B0-1C91DC092A7B}"/>
    <cellStyle name="40% - Accent6 42 2 2 2" xfId="17863" xr:uid="{3294EC76-9F56-4005-8A34-90C8CB708908}"/>
    <cellStyle name="40% - Accent6 42 2 2 2 2" xfId="17864" xr:uid="{300FC8F6-2055-473C-A853-E313FE3376AB}"/>
    <cellStyle name="40% - Accent6 42 2 2 3" xfId="17865" xr:uid="{FEEB9155-A9E8-420E-A6A5-060AA7C05849}"/>
    <cellStyle name="40% - Accent6 42 2 3" xfId="17866" xr:uid="{52D46F54-278D-4B84-9CC4-E8778C356C4C}"/>
    <cellStyle name="40% - Accent6 42 2 3 2" xfId="17867" xr:uid="{BF9185FF-35F2-4654-9625-0BC127CBDC2B}"/>
    <cellStyle name="40% - Accent6 42 2 3 2 2" xfId="17868" xr:uid="{3444433B-759F-4A61-BC48-390E2C542D41}"/>
    <cellStyle name="40% - Accent6 42 2 3 3" xfId="17869" xr:uid="{723C8C60-A851-4DD9-87C8-A2DFA6E7DFA1}"/>
    <cellStyle name="40% - Accent6 42 2 4" xfId="17870" xr:uid="{F62BAB08-BBC9-4012-BAFA-890D3C68966C}"/>
    <cellStyle name="40% - Accent6 42 2 4 2" xfId="17871" xr:uid="{04439AC6-FF48-4D20-A104-0A755D2F7635}"/>
    <cellStyle name="40% - Accent6 42 2 5" xfId="17872" xr:uid="{36D6F37B-35FF-41C8-A12E-8734030C2018}"/>
    <cellStyle name="40% - Accent6 42 3" xfId="17873" xr:uid="{787A596C-28A6-461D-B692-BDBDE530EE34}"/>
    <cellStyle name="40% - Accent6 42 3 2" xfId="17874" xr:uid="{5F16E9C7-D8DB-410C-86E4-9F72EE7E6626}"/>
    <cellStyle name="40% - Accent6 42 3 2 2" xfId="17875" xr:uid="{1CD13A4F-FCFF-4C13-B701-D682B8AFB1E2}"/>
    <cellStyle name="40% - Accent6 42 3 3" xfId="17876" xr:uid="{4AE5B75C-5982-4675-A4F2-77E728B4175E}"/>
    <cellStyle name="40% - Accent6 42 4" xfId="17877" xr:uid="{A60F846A-0546-4148-B776-CD51B4000F29}"/>
    <cellStyle name="40% - Accent6 42 4 2" xfId="17878" xr:uid="{C91CAF5F-5A2D-48C5-9D2F-39D1D30741C8}"/>
    <cellStyle name="40% - Accent6 42 4 2 2" xfId="17879" xr:uid="{6F5C7634-C38D-4F11-9FF9-385E305E57A1}"/>
    <cellStyle name="40% - Accent6 42 4 3" xfId="17880" xr:uid="{3A49823D-2E11-4317-9983-2C6A4D2636C4}"/>
    <cellStyle name="40% - Accent6 42 5" xfId="17881" xr:uid="{E9E8D493-7C42-4A6D-9AEE-93668A8ADA03}"/>
    <cellStyle name="40% - Accent6 42 5 2" xfId="17882" xr:uid="{ACE212D6-CEB2-4123-9A3C-00B5596276D2}"/>
    <cellStyle name="40% - Accent6 42 6" xfId="37756" xr:uid="{C2AF1098-2D6D-4E45-ABE7-5D4AF7BD2DEA}"/>
    <cellStyle name="40% - Accent6 43" xfId="17883" xr:uid="{6068CD77-0C16-40E7-B1A0-C7E215B1709A}"/>
    <cellStyle name="40% - Accent6 43 2" xfId="17884" xr:uid="{00C9C108-74D3-4FD5-A2E7-D983764FFD24}"/>
    <cellStyle name="40% - Accent6 43 3" xfId="37757" xr:uid="{80F72292-B523-4172-9B9F-67D7B6E0D47E}"/>
    <cellStyle name="40% - Accent6 44" xfId="17885" xr:uid="{36D00365-A5E0-4422-A7EC-9A169BB13338}"/>
    <cellStyle name="40% - Accent6 44 2" xfId="17886" xr:uid="{FFBF6E3E-1B37-4045-B482-9D13602BE676}"/>
    <cellStyle name="40% - Accent6 44 3" xfId="37758" xr:uid="{984AD615-6858-4B1E-85C5-147F201B8640}"/>
    <cellStyle name="40% - Accent6 45" xfId="17887" xr:uid="{87F10135-C3C9-4934-99E5-FB95E25818D7}"/>
    <cellStyle name="40% - Accent6 45 2" xfId="17888" xr:uid="{302A49EB-E9CF-43A7-B943-5297CC1AD362}"/>
    <cellStyle name="40% - Accent6 45 3" xfId="37759" xr:uid="{BB81933F-223E-4354-B6AC-9040384ADE05}"/>
    <cellStyle name="40% - Accent6 46" xfId="17889" xr:uid="{DD9C8523-0FF4-4781-91E1-A246CB1276B3}"/>
    <cellStyle name="40% - Accent6 46 2" xfId="17890" xr:uid="{2F83EC93-C613-4B18-B55E-F1B59027CFEF}"/>
    <cellStyle name="40% - Accent6 46 3" xfId="37760" xr:uid="{7A87C705-720E-4300-8939-30D5082ECCC8}"/>
    <cellStyle name="40% - Accent6 47" xfId="17891" xr:uid="{6DED4BDE-9BE6-4E70-B6F2-F6C4AE9340F2}"/>
    <cellStyle name="40% - Accent6 47 2" xfId="17892" xr:uid="{F1EF46A4-3272-4DE5-B7FD-2A8B976FDC0E}"/>
    <cellStyle name="40% - Accent6 47 3" xfId="37761" xr:uid="{A8C64B07-863A-4F3E-BD21-BB29461B97BD}"/>
    <cellStyle name="40% - Accent6 48" xfId="17893" xr:uid="{08A4813A-F038-4B90-9DFC-3489A776087A}"/>
    <cellStyle name="40% - Accent6 48 2" xfId="17894" xr:uid="{E1979C06-4D9E-49EA-B3B3-BDDDFF49E9D5}"/>
    <cellStyle name="40% - Accent6 48 3" xfId="37762" xr:uid="{E0B45A0A-1F60-4B81-AA4B-8A240332457D}"/>
    <cellStyle name="40% - Accent6 49" xfId="17895" xr:uid="{FFD8AED4-E5E2-484D-A872-4C031968BFDC}"/>
    <cellStyle name="40% - Accent6 49 2" xfId="17896" xr:uid="{68C76516-C7B3-4BCD-B461-0257F3E6F1EF}"/>
    <cellStyle name="40% - Accent6 49 3" xfId="37763" xr:uid="{61ED6C3C-4B4B-4A65-AD54-F37E86A6884C}"/>
    <cellStyle name="40% - Accent6 5" xfId="17897" xr:uid="{451AA09D-C58A-446D-A10E-3AD0F69E81FF}"/>
    <cellStyle name="40% - Accent6 5 2" xfId="17898" xr:uid="{F01F69ED-B723-4997-B514-46514674EEB0}"/>
    <cellStyle name="40% - Accent6 5 2 2" xfId="17899" xr:uid="{A3229FC5-8943-4E5B-B2DB-52E8C9FFD5E1}"/>
    <cellStyle name="40% - Accent6 5 2 2 2" xfId="37764" xr:uid="{4A21E67D-E274-4EFA-89F6-10A807E723A5}"/>
    <cellStyle name="40% - Accent6 5 2 3" xfId="37765" xr:uid="{0EA0CEC4-3661-47BC-88E4-4892F39B1BEA}"/>
    <cellStyle name="40% - Accent6 5 2 4" xfId="37766" xr:uid="{B0EBE0B4-2452-4801-BCE1-2A1B4BF5D3EE}"/>
    <cellStyle name="40% - Accent6 5 3" xfId="17900" xr:uid="{A62FB63E-5ACB-434B-8873-15220D5C4B29}"/>
    <cellStyle name="40% - Accent6 5 3 2" xfId="37767" xr:uid="{EC1FDEFE-B96D-49C7-808F-289BE3DB0E47}"/>
    <cellStyle name="40% - Accent6 5 4" xfId="37768" xr:uid="{888843C4-85F5-48D2-BC94-6A87B64D018E}"/>
    <cellStyle name="40% - Accent6 5 5" xfId="37769" xr:uid="{8F11F4DA-FDAF-4C25-B723-50EA05B4E0F0}"/>
    <cellStyle name="40% - Accent6 50" xfId="17901" xr:uid="{D92B94DF-EC20-4EC9-8C7C-A1F78EFD5727}"/>
    <cellStyle name="40% - Accent6 50 2" xfId="17902" xr:uid="{6C81B671-EB8D-43F6-AC24-0BE93AFED3F6}"/>
    <cellStyle name="40% - Accent6 50 3" xfId="37770" xr:uid="{AD53DE8A-9E92-4F8A-964A-55E217A88685}"/>
    <cellStyle name="40% - Accent6 51" xfId="17903" xr:uid="{30D04C8B-8FA4-48D5-B9B5-FE6896D78556}"/>
    <cellStyle name="40% - Accent6 51 2" xfId="37771" xr:uid="{BBD5D169-A9A8-4677-9C99-12EBA8851F9B}"/>
    <cellStyle name="40% - Accent6 52" xfId="17904" xr:uid="{4A392C30-1BA7-455E-8949-A8D6595B2943}"/>
    <cellStyle name="40% - Accent6 52 2" xfId="37772" xr:uid="{009E3D8C-D55A-4A15-9795-559E9C7F7644}"/>
    <cellStyle name="40% - Accent6 53" xfId="17905" xr:uid="{B8418013-02CC-4B3B-B7D0-77A46A30F4E1}"/>
    <cellStyle name="40% - Accent6 53 2" xfId="37773" xr:uid="{DD50933D-1420-4BBA-B6C5-9D90B797211F}"/>
    <cellStyle name="40% - Accent6 54" xfId="17906" xr:uid="{1F3F1F71-8A36-434D-B532-791BCDA06976}"/>
    <cellStyle name="40% - Accent6 54 2" xfId="37774" xr:uid="{BC2F5317-2D29-4DB1-952F-A23F6A27ADA5}"/>
    <cellStyle name="40% - Accent6 55" xfId="17907" xr:uid="{65F89670-10E7-46DA-8EC1-96509C4A1BF7}"/>
    <cellStyle name="40% - Accent6 55 2" xfId="37775" xr:uid="{6B032F64-FA9D-4BEF-9A14-E5B7FB90DA10}"/>
    <cellStyle name="40% - Accent6 56" xfId="17908" xr:uid="{2B0DF076-0B34-48CA-9792-450BC32131BC}"/>
    <cellStyle name="40% - Accent6 56 2" xfId="37776" xr:uid="{F79F2C2B-04B7-4A4F-B1F5-BAE5B891E321}"/>
    <cellStyle name="40% - Accent6 57" xfId="17909" xr:uid="{761B824C-A312-47C0-BE26-39615D6E3142}"/>
    <cellStyle name="40% - Accent6 57 2" xfId="37777" xr:uid="{4F028A1B-4B9F-489D-AB35-126B30758D8B}"/>
    <cellStyle name="40% - Accent6 58" xfId="17910" xr:uid="{097C97DC-BE7A-48BC-8A83-FBAACC55E99B}"/>
    <cellStyle name="40% - Accent6 58 2" xfId="37778" xr:uid="{92AF53DD-17C2-468D-B3C9-26A4ACE61FC4}"/>
    <cellStyle name="40% - Accent6 59" xfId="17911" xr:uid="{046D73AA-C8ED-4897-A541-F00F07C1F4AE}"/>
    <cellStyle name="40% - Accent6 59 2" xfId="37779" xr:uid="{A1A372EC-1391-4892-A2CD-E66240943C4E}"/>
    <cellStyle name="40% - Accent6 6" xfId="17912" xr:uid="{853472AA-446F-4BEE-8F76-C14BF145BFAE}"/>
    <cellStyle name="40% - Accent6 6 2" xfId="17913" xr:uid="{3B0D110F-2D9F-481F-9706-A95AF8557C7A}"/>
    <cellStyle name="40% - Accent6 6 2 2" xfId="17914" xr:uid="{DA43143B-250F-4255-86C7-F8AE2A4FA926}"/>
    <cellStyle name="40% - Accent6 6 2 2 2" xfId="37780" xr:uid="{D630740B-BED2-4AA5-A8FE-C3B01614CDEB}"/>
    <cellStyle name="40% - Accent6 6 2 3" xfId="37781" xr:uid="{AC83511B-C1CA-48CA-B0D0-7B3B8A18B5A1}"/>
    <cellStyle name="40% - Accent6 6 2 4" xfId="37782" xr:uid="{5B96A6EF-DAF7-4D60-BEC6-57D814ED6F1D}"/>
    <cellStyle name="40% - Accent6 6 3" xfId="17915" xr:uid="{52BFEC47-8E29-45FD-A11C-F6B8B6E72003}"/>
    <cellStyle name="40% - Accent6 6 3 2" xfId="37783" xr:uid="{9766F266-DEE7-4F48-A5E8-4B2F9C150054}"/>
    <cellStyle name="40% - Accent6 6 4" xfId="37784" xr:uid="{55990379-4279-4C68-A50B-A7944709C4F3}"/>
    <cellStyle name="40% - Accent6 6 5" xfId="37785" xr:uid="{9F382972-6151-49E5-B85B-62C9ED606C2C}"/>
    <cellStyle name="40% - Accent6 60" xfId="17916" xr:uid="{FB191797-43AA-42C5-9794-02ADC34AB969}"/>
    <cellStyle name="40% - Accent6 60 2" xfId="37786" xr:uid="{F97E3815-422D-4672-BF1C-DCE4CC1699D5}"/>
    <cellStyle name="40% - Accent6 61" xfId="17917" xr:uid="{8F9B1C7A-AD76-44B2-B8BF-E1047E15B59A}"/>
    <cellStyle name="40% - Accent6 61 2" xfId="37787" xr:uid="{992FE9A5-6D56-4F78-B489-E57CD411BAD9}"/>
    <cellStyle name="40% - Accent6 62" xfId="17918" xr:uid="{9B98C135-A1B8-4B23-B3B8-18A114F0C82A}"/>
    <cellStyle name="40% - Accent6 62 2" xfId="37788" xr:uid="{737AB591-C8C7-40F8-B529-7B3FA7304F40}"/>
    <cellStyle name="40% - Accent6 63" xfId="17919" xr:uid="{61AE0CBA-8B32-4E2E-AAF3-B3AFC362FB57}"/>
    <cellStyle name="40% - Accent6 63 2" xfId="37789" xr:uid="{535053B3-0666-4FC8-8E2C-2220CFF0A11F}"/>
    <cellStyle name="40% - Accent6 64" xfId="17920" xr:uid="{B89A07C8-FC78-4FF4-A232-B874A9E73A35}"/>
    <cellStyle name="40% - Accent6 64 2" xfId="37790" xr:uid="{19A67AC5-AE74-4D44-9A19-524752181767}"/>
    <cellStyle name="40% - Accent6 65" xfId="17921" xr:uid="{BCC5F333-E8D0-42FF-9A3A-B89CE2429333}"/>
    <cellStyle name="40% - Accent6 65 2" xfId="37791" xr:uid="{BE6C4BC1-2AF5-41FD-A74F-50847362632F}"/>
    <cellStyle name="40% - Accent6 66" xfId="17922" xr:uid="{B0D2ACC5-E570-49C9-9C3A-D51CE60CEAD7}"/>
    <cellStyle name="40% - Accent6 66 2" xfId="17923" xr:uid="{902F224E-903B-4476-9DE4-AEAA4B3962E5}"/>
    <cellStyle name="40% - Accent6 66 2 2" xfId="17924" xr:uid="{072F537C-40AC-453E-98D4-B1B3F31FF794}"/>
    <cellStyle name="40% - Accent6 66 3" xfId="17925" xr:uid="{45671930-25EB-4184-8028-6DD8FB8AB641}"/>
    <cellStyle name="40% - Accent6 66 3 2" xfId="17926" xr:uid="{568CD12F-DE14-4DAE-806A-342D99FF8332}"/>
    <cellStyle name="40% - Accent6 66 4" xfId="17927" xr:uid="{F81B19C6-FB19-4602-890C-F746F0964CA2}"/>
    <cellStyle name="40% - Accent6 66 5" xfId="37792" xr:uid="{612B6921-1F04-4462-96FB-995B5F33709C}"/>
    <cellStyle name="40% - Accent6 67" xfId="17928" xr:uid="{DC72006A-80AC-42C1-A8F2-65D1821A2873}"/>
    <cellStyle name="40% - Accent6 67 2" xfId="17929" xr:uid="{8AF543DE-EE90-4C35-8DE8-F4BB6FEC0C5C}"/>
    <cellStyle name="40% - Accent6 67 2 2" xfId="17930" xr:uid="{7299C7C4-F1E6-406C-83CA-17F2A99B7D04}"/>
    <cellStyle name="40% - Accent6 67 3" xfId="17931" xr:uid="{AE57AFD3-2281-4458-A13E-BB5EADF753D0}"/>
    <cellStyle name="40% - Accent6 67 3 2" xfId="17932" xr:uid="{398610E5-1B46-4BF1-86F4-B54B81F3C99E}"/>
    <cellStyle name="40% - Accent6 67 4" xfId="17933" xr:uid="{EDAF2F5B-C49B-4E01-87B0-C3B5DD93DCA7}"/>
    <cellStyle name="40% - Accent6 67 5" xfId="37793" xr:uid="{90D3A85D-81FB-49D1-BF84-7DE20C93B11F}"/>
    <cellStyle name="40% - Accent6 68" xfId="17934" xr:uid="{84657A8A-2370-4FCB-9059-B25EE1D6141D}"/>
    <cellStyle name="40% - Accent6 68 2" xfId="17935" xr:uid="{7ACCF52F-4AF6-4B11-84FC-A4C0C8EB7E9A}"/>
    <cellStyle name="40% - Accent6 68 2 2" xfId="17936" xr:uid="{E45AD7F3-5C7B-4C0A-86E9-32D246D6183E}"/>
    <cellStyle name="40% - Accent6 68 3" xfId="17937" xr:uid="{6EF497F7-4EA8-4088-B6E0-6C417B183B5E}"/>
    <cellStyle name="40% - Accent6 68 3 2" xfId="17938" xr:uid="{71C51252-5DAB-4E9C-8BD7-6E6B2BBE2E2F}"/>
    <cellStyle name="40% - Accent6 68 4" xfId="17939" xr:uid="{54C937EC-3798-4E31-B2E7-5361D8F3B5E2}"/>
    <cellStyle name="40% - Accent6 68 5" xfId="37794" xr:uid="{76526731-76AB-497C-BF4F-CA6AE31E14E5}"/>
    <cellStyle name="40% - Accent6 69" xfId="17940" xr:uid="{CDC7A35F-1FC7-4E59-B9B1-51FAA1321D2E}"/>
    <cellStyle name="40% - Accent6 69 2" xfId="17941" xr:uid="{1EA6CA96-3D7A-465D-944B-5D71DF540555}"/>
    <cellStyle name="40% - Accent6 69 2 2" xfId="17942" xr:uid="{1DD80AFB-07B4-433F-94E2-C10AF9824505}"/>
    <cellStyle name="40% - Accent6 69 3" xfId="17943" xr:uid="{A349016B-486A-4B9C-AEAE-2FE6534E411E}"/>
    <cellStyle name="40% - Accent6 69 4" xfId="37795" xr:uid="{18A06066-47AB-41BC-9C00-3E61E360843A}"/>
    <cellStyle name="40% - Accent6 7" xfId="17944" xr:uid="{BE1C7B72-6C98-47AB-AADD-F7347B8AD507}"/>
    <cellStyle name="40% - Accent6 7 2" xfId="17945" xr:uid="{6DFF8932-336D-4F0A-8E9B-0363C3D5B698}"/>
    <cellStyle name="40% - Accent6 7 2 2" xfId="17946" xr:uid="{8B6B4534-EA29-4088-806B-F7C1612AD345}"/>
    <cellStyle name="40% - Accent6 7 2 2 2" xfId="37796" xr:uid="{AE475658-83AF-4AAE-AB82-99F6FBF5EF52}"/>
    <cellStyle name="40% - Accent6 7 2 3" xfId="37797" xr:uid="{63DB7371-2A0D-4545-8165-53435C71C16C}"/>
    <cellStyle name="40% - Accent6 7 2 4" xfId="37798" xr:uid="{E422FD99-4A9D-4F7A-B41A-AB779CF1DE98}"/>
    <cellStyle name="40% - Accent6 7 3" xfId="17947" xr:uid="{27C71860-F2CF-46B2-9B01-095F1B5F1103}"/>
    <cellStyle name="40% - Accent6 7 3 2" xfId="37799" xr:uid="{4FF8BDDD-E0F9-4DA9-9FA2-F3B14F5A20C6}"/>
    <cellStyle name="40% - Accent6 7 4" xfId="37800" xr:uid="{7D25E602-48E7-4A9B-BEA1-5AB41512F017}"/>
    <cellStyle name="40% - Accent6 7 5" xfId="37801" xr:uid="{89D33136-04B0-4901-8286-A895635F96AB}"/>
    <cellStyle name="40% - Accent6 70" xfId="17948" xr:uid="{77E4CDE4-DA2D-46ED-A5BF-436B2A63CECC}"/>
    <cellStyle name="40% - Accent6 70 2" xfId="17949" xr:uid="{7260FE45-3236-4600-A720-ADE4614AC02E}"/>
    <cellStyle name="40% - Accent6 70 2 2" xfId="17950" xr:uid="{5545D03E-26A1-4A81-B5B6-80628368A202}"/>
    <cellStyle name="40% - Accent6 70 3" xfId="17951" xr:uid="{5634653F-8749-4413-8C08-9F5131DE099A}"/>
    <cellStyle name="40% - Accent6 70 4" xfId="37802" xr:uid="{D5794314-A3F7-4F89-A27E-A5DB75F19627}"/>
    <cellStyle name="40% - Accent6 71" xfId="17952" xr:uid="{779BF443-FF96-43D8-96B5-5AD52222B07B}"/>
    <cellStyle name="40% - Accent6 71 2" xfId="17953" xr:uid="{F65D12B4-C1B9-4B73-B988-36470385D6F5}"/>
    <cellStyle name="40% - Accent6 71 2 2" xfId="17954" xr:uid="{3CE9D50E-FF40-4F63-91A2-461F0FECAA09}"/>
    <cellStyle name="40% - Accent6 71 3" xfId="17955" xr:uid="{83D7CA0F-3963-4CEB-AECC-AA92F05BEF0E}"/>
    <cellStyle name="40% - Accent6 71 4" xfId="37803" xr:uid="{7823C9A2-0466-4F10-9901-286A8AB366B7}"/>
    <cellStyle name="40% - Accent6 72" xfId="17956" xr:uid="{7C9EE25A-C897-458A-9310-701DB09A1649}"/>
    <cellStyle name="40% - Accent6 72 2" xfId="17957" xr:uid="{0099E8E2-BD58-49FB-809D-C4CC4424F087}"/>
    <cellStyle name="40% - Accent6 72 2 2" xfId="17958" xr:uid="{9DB555CD-B9C5-47A8-8368-29FF2D5ABE47}"/>
    <cellStyle name="40% - Accent6 72 3" xfId="17959" xr:uid="{521D1C16-63F9-49D0-B7FD-ADDAC2CC4615}"/>
    <cellStyle name="40% - Accent6 72 4" xfId="37804" xr:uid="{4ABDF318-E767-40AD-A5DE-6123D8BD3DAD}"/>
    <cellStyle name="40% - Accent6 73" xfId="17960" xr:uid="{E58284E2-C24B-4365-90FE-1C763350D145}"/>
    <cellStyle name="40% - Accent6 73 2" xfId="17961" xr:uid="{CAA693C1-7581-449E-825E-3AEFBA406B8D}"/>
    <cellStyle name="40% - Accent6 73 2 2" xfId="17962" xr:uid="{57DB6CA2-33A3-4334-B80C-F685EEDD576A}"/>
    <cellStyle name="40% - Accent6 73 3" xfId="17963" xr:uid="{B1E44DD7-224A-4FE8-A4D0-577B97DE9F8B}"/>
    <cellStyle name="40% - Accent6 73 4" xfId="37805" xr:uid="{35349264-3B3E-4B8F-BCAC-D0B3541000EA}"/>
    <cellStyle name="40% - Accent6 74" xfId="17964" xr:uid="{DB4F8C21-6EC2-44E4-8674-15A65323241F}"/>
    <cellStyle name="40% - Accent6 74 2" xfId="17965" xr:uid="{4B22981E-E5A1-4DD5-8506-57CB50E34329}"/>
    <cellStyle name="40% - Accent6 74 2 2" xfId="17966" xr:uid="{BFB80643-612D-4E0E-830B-2EB69E75B038}"/>
    <cellStyle name="40% - Accent6 74 3" xfId="17967" xr:uid="{02C768C0-297A-4145-AC60-06FBADECD4B7}"/>
    <cellStyle name="40% - Accent6 74 4" xfId="37806" xr:uid="{142FAF37-D9B0-42DD-BF62-9B5AF618843C}"/>
    <cellStyle name="40% - Accent6 75" xfId="17968" xr:uid="{85988504-E12F-413E-AB8C-7CD5E20D3018}"/>
    <cellStyle name="40% - Accent6 75 2" xfId="17969" xr:uid="{52511B5C-D088-4629-BA68-818BE59249D8}"/>
    <cellStyle name="40% - Accent6 75 2 2" xfId="17970" xr:uid="{FA976DD5-3F3E-46F0-B2C4-41E3D55ED7DF}"/>
    <cellStyle name="40% - Accent6 75 3" xfId="17971" xr:uid="{F2E2EFE6-950D-4163-9E56-941C443E5204}"/>
    <cellStyle name="40% - Accent6 75 4" xfId="37807" xr:uid="{263090ED-3C36-41BF-AC67-D29FB940A024}"/>
    <cellStyle name="40% - Accent6 76" xfId="17972" xr:uid="{C4078F53-2CC7-4120-A242-C97CB81B1B25}"/>
    <cellStyle name="40% - Accent6 76 2" xfId="17973" xr:uid="{72E670EC-7FD3-43E5-9C7E-B2BD59019F7B}"/>
    <cellStyle name="40% - Accent6 76 2 2" xfId="17974" xr:uid="{E69B5EBF-DE95-40C7-8D9C-F22B537897FF}"/>
    <cellStyle name="40% - Accent6 76 3" xfId="17975" xr:uid="{91A4FD32-91DC-4B4F-A467-90C88E11B00C}"/>
    <cellStyle name="40% - Accent6 76 4" xfId="37808" xr:uid="{88704921-C49F-4847-81FB-4B14DA9E36D4}"/>
    <cellStyle name="40% - Accent6 77" xfId="17976" xr:uid="{EBDBAEB2-DA10-4246-B531-97ABDA4B1624}"/>
    <cellStyle name="40% - Accent6 77 2" xfId="17977" xr:uid="{489FFBED-D313-4246-89B0-485E6D156FA0}"/>
    <cellStyle name="40% - Accent6 77 2 2" xfId="17978" xr:uid="{2D276199-0139-48F6-A37F-11372B61DDB3}"/>
    <cellStyle name="40% - Accent6 77 3" xfId="17979" xr:uid="{DF863752-F4B9-4C77-9B22-228E5724F08B}"/>
    <cellStyle name="40% - Accent6 77 4" xfId="37809" xr:uid="{9105AEE7-CF19-4BB9-9E63-895D7AB77482}"/>
    <cellStyle name="40% - Accent6 78" xfId="17980" xr:uid="{12A825CC-E364-41DE-A70E-F45D6CD72449}"/>
    <cellStyle name="40% - Accent6 78 2" xfId="17981" xr:uid="{7088C8C8-3A4E-43B1-B91F-4B805122D2E5}"/>
    <cellStyle name="40% - Accent6 78 2 2" xfId="17982" xr:uid="{479044E8-F78F-4A45-9163-8F5ABBCBB643}"/>
    <cellStyle name="40% - Accent6 78 3" xfId="17983" xr:uid="{85500C7C-9B2E-45E7-A568-914D550E22B5}"/>
    <cellStyle name="40% - Accent6 78 4" xfId="37810" xr:uid="{5686B8F3-0C8B-4353-B4C1-B43D5F0C85F0}"/>
    <cellStyle name="40% - Accent6 79" xfId="17984" xr:uid="{D88F9102-D9DD-4E62-9B68-12E88EC03215}"/>
    <cellStyle name="40% - Accent6 79 2" xfId="17985" xr:uid="{D0F6B0DD-9896-4A62-8668-80E1E71B47C7}"/>
    <cellStyle name="40% - Accent6 79 3" xfId="37811" xr:uid="{9AA6F4EB-37FE-4403-BC59-843082E6EB20}"/>
    <cellStyle name="40% - Accent6 8" xfId="17986" xr:uid="{5784B9A9-EC23-48C2-8620-814A76BCB436}"/>
    <cellStyle name="40% - Accent6 8 2" xfId="17987" xr:uid="{A02D9132-FA57-457E-A97A-CF4987C76D71}"/>
    <cellStyle name="40% - Accent6 8 2 2" xfId="17988" xr:uid="{4D4F0153-9598-4C30-8567-319FB90D6577}"/>
    <cellStyle name="40% - Accent6 8 2 2 2" xfId="37812" xr:uid="{B8878AF4-3F12-4C31-B6B2-12E6CB63A326}"/>
    <cellStyle name="40% - Accent6 8 2 3" xfId="37813" xr:uid="{470A69C8-76A4-4795-B5AF-0E0C368064AC}"/>
    <cellStyle name="40% - Accent6 8 3" xfId="17989" xr:uid="{A0B2962A-6019-4F88-ABCD-00E4A89A612D}"/>
    <cellStyle name="40% - Accent6 8 3 2" xfId="37814" xr:uid="{A1B20893-7B62-459F-98A3-7495E2279C04}"/>
    <cellStyle name="40% - Accent6 8 4" xfId="37815" xr:uid="{D558AD08-06FC-4BA4-AC6C-3ED23DD06CF3}"/>
    <cellStyle name="40% - Accent6 8 5" xfId="37816" xr:uid="{EFDA24C7-6AC3-4E55-BD8C-066D8B0C60F6}"/>
    <cellStyle name="40% - Accent6 8 6" xfId="37817" xr:uid="{DDFC06E9-6B49-423A-8A04-355900ABA4E6}"/>
    <cellStyle name="40% - Accent6 8 7" xfId="37818" xr:uid="{9FB199B4-9C9C-4E89-B5F1-5A5A11BBEB4D}"/>
    <cellStyle name="40% - Accent6 80" xfId="17990" xr:uid="{D2169AAB-D7E2-4476-B276-0EA167BC5542}"/>
    <cellStyle name="40% - Accent6 80 2" xfId="17991" xr:uid="{4DA33A7D-6BA1-45E4-8BD2-EB5088C51BD1}"/>
    <cellStyle name="40% - Accent6 80 3" xfId="37819" xr:uid="{187F3F60-D509-41D6-AF1C-8C875E91508D}"/>
    <cellStyle name="40% - Accent6 81" xfId="17992" xr:uid="{87B7AB70-E8EA-4CC7-A993-1B33F1C268F1}"/>
    <cellStyle name="40% - Accent6 81 2" xfId="17993" xr:uid="{05B56527-9451-462C-8C42-59F6A0537465}"/>
    <cellStyle name="40% - Accent6 81 3" xfId="37820" xr:uid="{DABCF794-D37B-43B1-BA06-1D9066D1504B}"/>
    <cellStyle name="40% - Accent6 82" xfId="17994" xr:uid="{07F9D765-1AC4-4238-87FE-423BD33BA450}"/>
    <cellStyle name="40% - Accent6 82 2" xfId="17995" xr:uid="{55A90005-0A77-4B09-892E-1FEF8128F798}"/>
    <cellStyle name="40% - Accent6 82 3" xfId="37821" xr:uid="{7A01A4C6-5547-469D-942B-AC8194FC9043}"/>
    <cellStyle name="40% - Accent6 83" xfId="17996" xr:uid="{23863EF5-A32F-4400-A414-46639830F7E4}"/>
    <cellStyle name="40% - Accent6 83 2" xfId="17997" xr:uid="{B78907DE-C4B5-4F35-B7D2-1482E67D97BC}"/>
    <cellStyle name="40% - Accent6 83 3" xfId="37822" xr:uid="{64DC3A04-0C18-42F3-A636-B65D66935AC3}"/>
    <cellStyle name="40% - Accent6 84" xfId="17998" xr:uid="{780C435F-121B-4DBA-87B0-A01F92ED10D2}"/>
    <cellStyle name="40% - Accent6 84 2" xfId="17999" xr:uid="{D9A3F41C-0A29-4C71-8919-AD896F38A8E9}"/>
    <cellStyle name="40% - Accent6 84 3" xfId="37823" xr:uid="{56280334-CA1F-4E39-8C16-8A12E98F484B}"/>
    <cellStyle name="40% - Accent6 85" xfId="18000" xr:uid="{24B9970F-D7ED-4D0C-A1C0-03F17AADEFBA}"/>
    <cellStyle name="40% - Accent6 85 2" xfId="18001" xr:uid="{19861CC9-C86E-4C6E-BDE0-CF1CD2630E82}"/>
    <cellStyle name="40% - Accent6 85 3" xfId="37824" xr:uid="{6EB204E5-AA19-4AAD-8498-43B1C99D64B6}"/>
    <cellStyle name="40% - Accent6 86" xfId="18002" xr:uid="{0BAE390D-FAD3-4899-A2AB-70562103EC39}"/>
    <cellStyle name="40% - Accent6 86 2" xfId="18003" xr:uid="{72638989-93C9-4B26-8D27-998CD1F6C8B4}"/>
    <cellStyle name="40% - Accent6 86 3" xfId="37825" xr:uid="{1E9684A7-3ECB-4133-887F-C3598E673BED}"/>
    <cellStyle name="40% - Accent6 87" xfId="18004" xr:uid="{E4D1A457-BC2F-49C9-8EB2-7B3A1A34AE57}"/>
    <cellStyle name="40% - Accent6 87 2" xfId="18005" xr:uid="{48FBF33D-6421-46D0-8C6D-423C6C524791}"/>
    <cellStyle name="40% - Accent6 87 3" xfId="37826" xr:uid="{C2746FED-BF1D-40E8-AA71-7A3F5241C44F}"/>
    <cellStyle name="40% - Accent6 88" xfId="18006" xr:uid="{9A4ACB8E-FE04-433C-8D82-BAC5E4FECDDD}"/>
    <cellStyle name="40% - Accent6 88 2" xfId="18007" xr:uid="{F5378C4C-452C-4801-B3B7-FFE6A13C3251}"/>
    <cellStyle name="40% - Accent6 88 3" xfId="37827" xr:uid="{AEDD486E-D47C-4D21-9BBD-ACCCCC04748E}"/>
    <cellStyle name="40% - Accent6 89" xfId="18008" xr:uid="{35266618-F6E7-4D35-AE23-1E51C688E980}"/>
    <cellStyle name="40% - Accent6 89 2" xfId="18009" xr:uid="{8C97F367-D237-4D69-9217-9AFB9BE13C30}"/>
    <cellStyle name="40% - Accent6 89 3" xfId="37828" xr:uid="{483AAAE7-7067-4B6F-AE50-D0E552A34CF7}"/>
    <cellStyle name="40% - Accent6 9" xfId="18010" xr:uid="{1E47BB28-19C7-47DF-8FFA-DB7DC8042455}"/>
    <cellStyle name="40% - Accent6 9 2" xfId="18011" xr:uid="{5E223E3D-4203-44F2-9768-8E90CE6E304C}"/>
    <cellStyle name="40% - Accent6 9 2 2" xfId="18012" xr:uid="{F33E248A-8E9F-4F31-9D2B-44C844474A8F}"/>
    <cellStyle name="40% - Accent6 9 2 2 2" xfId="37829" xr:uid="{7C19A71B-DD20-4A6E-A889-067FE9D752BF}"/>
    <cellStyle name="40% - Accent6 9 2 3" xfId="37830" xr:uid="{F705A0DC-8BC3-4FFD-833A-B6689AEBECCB}"/>
    <cellStyle name="40% - Accent6 9 3" xfId="18013" xr:uid="{A8B4DDF9-6EFB-4A1B-8698-67BFA9A1B413}"/>
    <cellStyle name="40% - Accent6 9 3 2" xfId="37831" xr:uid="{DBA248D8-1A7D-4A42-91D9-6B154472D5E3}"/>
    <cellStyle name="40% - Accent6 9 4" xfId="37832" xr:uid="{477065A6-5C8A-4592-B294-87F08764D27F}"/>
    <cellStyle name="40% - Accent6 9 5" xfId="37833" xr:uid="{1DC64A5F-FBC3-4BD9-A9A8-B8D6BD005168}"/>
    <cellStyle name="40% - Accent6 9 6" xfId="37834" xr:uid="{20D1DD61-852C-42FA-BB01-3C9AEE1D39CA}"/>
    <cellStyle name="40% - Accent6 90" xfId="18014" xr:uid="{FDE769D8-22A6-40AB-960C-ADE52D74241B}"/>
    <cellStyle name="40% - Accent6 90 2" xfId="18015" xr:uid="{C908BB11-BC0A-4697-BD2B-10199556124B}"/>
    <cellStyle name="40% - Accent6 90 3" xfId="37835" xr:uid="{973803BF-B9FD-44B1-8F88-173B359FDC49}"/>
    <cellStyle name="40% - Accent6 91" xfId="18016" xr:uid="{6C88048A-C367-4560-8CFF-01C6D6CD3991}"/>
    <cellStyle name="40% - Accent6 91 2" xfId="18017" xr:uid="{EEEFB79B-EF47-4586-B53B-7BE0F7BA0AD7}"/>
    <cellStyle name="40% - Accent6 91 3" xfId="37836" xr:uid="{706D0CC9-839E-4ED1-A7E9-B14A5D67AAAF}"/>
    <cellStyle name="40% - Accent6 92" xfId="18018" xr:uid="{702BFB19-35A8-44E1-980F-1A146D55DB4A}"/>
    <cellStyle name="40% - Accent6 92 2" xfId="18019" xr:uid="{BE0912F6-3AF7-4DCC-858C-2E0EE61C8034}"/>
    <cellStyle name="40% - Accent6 92 3" xfId="37837" xr:uid="{34AA8FE2-CE9B-4DAF-96DB-46CD199D644F}"/>
    <cellStyle name="40% - Accent6 93" xfId="18020" xr:uid="{0D7587B2-B1B9-40B7-90BB-D303609107C4}"/>
    <cellStyle name="40% - Accent6 93 2" xfId="18021" xr:uid="{24F4282C-EDDE-4F78-AC28-33C74160A6C5}"/>
    <cellStyle name="40% - Accent6 93 3" xfId="37838" xr:uid="{84DD1C8F-BD8E-45F3-A1F9-7166ACF089BB}"/>
    <cellStyle name="40% - Accent6 94" xfId="18022" xr:uid="{727CDBA6-7C02-4453-B1C9-71C84937704F}"/>
    <cellStyle name="40% - Accent6 94 2" xfId="18023" xr:uid="{BB4635E5-C67B-4B26-8A88-5168FCCD0C7A}"/>
    <cellStyle name="40% - Accent6 94 3" xfId="37839" xr:uid="{876E3DE1-6CE0-4586-912A-4DF385CB296F}"/>
    <cellStyle name="40% - Accent6 95" xfId="18024" xr:uid="{46ED3896-7B2E-4E1B-A85A-7924F3F115C1}"/>
    <cellStyle name="40% - Accent6 95 2" xfId="18025" xr:uid="{0F2CE853-EDBA-4F4A-B60D-963084834915}"/>
    <cellStyle name="40% - Accent6 95 3" xfId="37840" xr:uid="{4395D9D0-D024-45D4-AF95-61C520DC70EC}"/>
    <cellStyle name="40% - Accent6 96" xfId="18026" xr:uid="{0EA83E8B-0803-4887-970E-CD76525F947D}"/>
    <cellStyle name="40% - Accent6 96 2" xfId="18027" xr:uid="{A4FC4E1B-4185-4946-A5DD-5A2872D40030}"/>
    <cellStyle name="40% - Accent6 96 3" xfId="37841" xr:uid="{C39D1BC8-967D-48E3-A803-88226FB697D7}"/>
    <cellStyle name="40% - Accent6 97" xfId="18028" xr:uid="{6FF16C38-D6B3-4A27-8A5E-923139A103E0}"/>
    <cellStyle name="40% - Accent6 97 2" xfId="18029" xr:uid="{3DEE02AD-7504-4B08-944F-9E022876CF6F}"/>
    <cellStyle name="40% - Accent6 97 3" xfId="37842" xr:uid="{9E85B98C-51C7-44C6-AE8E-1ABA4C8DEB60}"/>
    <cellStyle name="40% - Accent6 98" xfId="18030" xr:uid="{6FD24BDA-198D-4292-A3A0-57FCE0B85847}"/>
    <cellStyle name="40% - Accent6 98 2" xfId="18031" xr:uid="{72E86236-3827-48B5-864B-BB4A9158B671}"/>
    <cellStyle name="40% - Accent6 98 3" xfId="37843" xr:uid="{EB03AD6D-A862-4630-9878-0EEA7541A604}"/>
    <cellStyle name="40% - Accent6 99" xfId="18032" xr:uid="{E141BB5D-95A4-4E50-9699-0E9195CDA60A}"/>
    <cellStyle name="40% - Accent6 99 2" xfId="18033" xr:uid="{7AA4F4FF-BC19-4DEB-B8BF-DADDCBACA5FD}"/>
    <cellStyle name="40% - Accent6 99 3" xfId="37844" xr:uid="{4FF50A62-3570-4328-8F66-442B36BBCBEF}"/>
    <cellStyle name="40% - Ênfase1" xfId="18034" xr:uid="{67C32E81-9FFB-44A8-A9A5-A7492039A7F4}"/>
    <cellStyle name="40% - Ênfase2" xfId="18035" xr:uid="{583B2F0E-20EC-4BBE-BD26-6DAAA68CD2DA}"/>
    <cellStyle name="40% - Ênfase3" xfId="18036" xr:uid="{DE7271F6-A826-4116-86F3-CEFC342AD0A3}"/>
    <cellStyle name="40% - Ênfase4" xfId="18037" xr:uid="{E955A69C-156B-4825-A2D2-CA382774B753}"/>
    <cellStyle name="40% - Ênfase5" xfId="18038" xr:uid="{45671552-ED18-432F-B9A6-ECC2C3868300}"/>
    <cellStyle name="40% - Ênfase6" xfId="18039" xr:uid="{708473E3-70A3-4077-A11A-5441B9562AAB}"/>
    <cellStyle name="60% - Accent1" xfId="33" builtinId="32" hidden="1"/>
    <cellStyle name="60% - Accent1" xfId="107" builtinId="32" customBuiltin="1"/>
    <cellStyle name="60% - Accent1 10" xfId="18040" xr:uid="{6EBC1643-C249-4B7E-85C8-42C7BCAD3A67}"/>
    <cellStyle name="60% - Accent1 10 2" xfId="37845" xr:uid="{B989EA07-BB20-4919-BEFA-45791F02045C}"/>
    <cellStyle name="60% - Accent1 10 3" xfId="37846" xr:uid="{85B937E3-61E9-4A45-8CC4-E9C7ADAF64F1}"/>
    <cellStyle name="60% - Accent1 100" xfId="18041" xr:uid="{F24A2FCD-4A07-4C18-BAF0-E96114761D37}"/>
    <cellStyle name="60% - Accent1 101" xfId="18042" xr:uid="{470D313B-2A73-4240-BA5B-3C6D2D913C6F}"/>
    <cellStyle name="60% - Accent1 102" xfId="18043" xr:uid="{64FE8AD3-26D2-4B9E-87D3-168196E35C0A}"/>
    <cellStyle name="60% - Accent1 103" xfId="18044" xr:uid="{1B691744-EB2F-48A1-8B4D-451A24978ADE}"/>
    <cellStyle name="60% - Accent1 104" xfId="18045" xr:uid="{96289BD7-A2DF-4AAF-8301-EC7E9F824160}"/>
    <cellStyle name="60% - Accent1 105" xfId="18046" xr:uid="{0333F245-EF85-4E4D-9A7D-341FCC7F61B0}"/>
    <cellStyle name="60% - Accent1 106" xfId="18047" xr:uid="{97B226A5-777C-4AFC-A976-B33F06F39431}"/>
    <cellStyle name="60% - Accent1 107" xfId="18048" xr:uid="{09CECCCE-6B2C-4DE8-8667-91E750BFD342}"/>
    <cellStyle name="60% - Accent1 108" xfId="18049" xr:uid="{8199D34D-6C38-4054-B6B5-4D547A7EA576}"/>
    <cellStyle name="60% - Accent1 109" xfId="18050" xr:uid="{6083F1A8-5F52-4B46-A467-A00244A6245D}"/>
    <cellStyle name="60% - Accent1 11" xfId="18051" xr:uid="{DC9AB93A-D3CB-449A-B863-E2BBA75F97A8}"/>
    <cellStyle name="60% - Accent1 11 2" xfId="37847" xr:uid="{CB5CE491-6F72-4A32-9C87-08DEA3B4B0DA}"/>
    <cellStyle name="60% - Accent1 11 3" xfId="37848" xr:uid="{D101F928-7F9F-4423-A46B-085B7DF4BCF2}"/>
    <cellStyle name="60% - Accent1 110" xfId="18052" xr:uid="{0426D0D7-4F8E-41D3-A86C-A4E968066828}"/>
    <cellStyle name="60% - Accent1 111" xfId="18053" xr:uid="{9437D963-14FC-417B-A221-6264531DCE29}"/>
    <cellStyle name="60% - Accent1 112" xfId="18054" xr:uid="{CEE3A497-0788-4840-80C1-72715436D437}"/>
    <cellStyle name="60% - Accent1 113" xfId="18055" xr:uid="{BDB1A459-0383-45DE-B696-7A55A24BCA0C}"/>
    <cellStyle name="60% - Accent1 114" xfId="18056" xr:uid="{0A789988-9C2B-4CCF-8B79-14659AA488B0}"/>
    <cellStyle name="60% - Accent1 115" xfId="18057" xr:uid="{8DAE249D-EA2C-476B-805D-67245B9FA6C5}"/>
    <cellStyle name="60% - Accent1 116" xfId="18058" xr:uid="{B7AB751C-71E9-440E-9943-B1359C62788E}"/>
    <cellStyle name="60% - Accent1 117" xfId="18059" xr:uid="{46800103-DC40-43D6-A8B2-E5E29FA476EA}"/>
    <cellStyle name="60% - Accent1 118" xfId="18060" xr:uid="{159CF34D-94DA-4DEA-877D-ACE6BD71F4AB}"/>
    <cellStyle name="60% - Accent1 119" xfId="18061" xr:uid="{A5167B4D-85E1-4340-B2C8-0996A5283423}"/>
    <cellStyle name="60% - Accent1 12" xfId="18062" xr:uid="{8BA140FB-13D9-4619-BD6B-408FA8352C27}"/>
    <cellStyle name="60% - Accent1 12 2" xfId="37849" xr:uid="{B22FE747-EF84-4ECB-9D6C-07EBCC0F5792}"/>
    <cellStyle name="60% - Accent1 12 3" xfId="37850" xr:uid="{BBEC4F0A-0332-48B1-88B7-830A2D6A5007}"/>
    <cellStyle name="60% - Accent1 120" xfId="18063" xr:uid="{DF1E98CE-5BFC-4627-A27B-BE0542C4745A}"/>
    <cellStyle name="60% - Accent1 121" xfId="18064" xr:uid="{D502DCAA-10FC-48C1-945A-5B7A2F969AC7}"/>
    <cellStyle name="60% - Accent1 122" xfId="18065" xr:uid="{E2A598B5-AF54-40EF-AE8E-C645D69CDA44}"/>
    <cellStyle name="60% - Accent1 123" xfId="18066" xr:uid="{CCF3B541-6674-4038-BC24-01E386109B64}"/>
    <cellStyle name="60% - Accent1 124" xfId="18067" xr:uid="{88BB6AB9-7E89-43ED-973F-C03F01CA6EA0}"/>
    <cellStyle name="60% - Accent1 125" xfId="18068" xr:uid="{5AAA7A1C-63E1-41B3-89EA-509BC5ADC5BF}"/>
    <cellStyle name="60% - Accent1 126" xfId="18069" xr:uid="{B40B20DD-395D-4232-8E66-DD39F8EB25FB}"/>
    <cellStyle name="60% - Accent1 127" xfId="18070" xr:uid="{C4E6DFF7-7176-42EE-914D-9B71AE51CDA7}"/>
    <cellStyle name="60% - Accent1 128" xfId="18071" xr:uid="{8857BA82-8F07-41E9-A212-469C356630CD}"/>
    <cellStyle name="60% - Accent1 129" xfId="18072" xr:uid="{CA01F227-261A-41AD-87B5-5551614E1CE7}"/>
    <cellStyle name="60% - Accent1 13" xfId="18073" xr:uid="{E0C144BD-88F5-4D05-8C52-AB7316DDA52E}"/>
    <cellStyle name="60% - Accent1 13 2" xfId="37851" xr:uid="{9460CF30-9D0F-42F9-8216-60059CD7DD8F}"/>
    <cellStyle name="60% - Accent1 13 3" xfId="37852" xr:uid="{1A31967E-AD70-4872-82D6-25A317E9AB4B}"/>
    <cellStyle name="60% - Accent1 130" xfId="18074" xr:uid="{532E6482-37D3-4CC0-837C-4447A6D71BFC}"/>
    <cellStyle name="60% - Accent1 131" xfId="18075" xr:uid="{27C9E297-CA42-4582-9F26-D4A1838363D2}"/>
    <cellStyle name="60% - Accent1 132" xfId="18076" xr:uid="{888A259E-1D5A-4C1C-A4F0-4D8397EB9996}"/>
    <cellStyle name="60% - Accent1 133" xfId="18077" xr:uid="{6EB29A5A-566A-42E1-BB9E-77857C68CD98}"/>
    <cellStyle name="60% - Accent1 134" xfId="18078" xr:uid="{4D09D6C2-9C97-4154-96FE-D32DC17AFEC4}"/>
    <cellStyle name="60% - Accent1 135" xfId="18079" xr:uid="{E9F3721C-374C-445A-89A1-145D74678482}"/>
    <cellStyle name="60% - Accent1 136" xfId="18080" xr:uid="{3944C75D-7EF1-430D-9DCB-DDB894EE5E41}"/>
    <cellStyle name="60% - Accent1 137" xfId="18081" xr:uid="{51D20497-5666-4A37-BF6D-623CEEEF0F7B}"/>
    <cellStyle name="60% - Accent1 138" xfId="18082" xr:uid="{E62D224F-8F76-44EF-9127-7E9405AC6224}"/>
    <cellStyle name="60% - Accent1 139" xfId="18083" xr:uid="{56A3F6E9-CF42-42C2-A3EC-4A4EB6E232A2}"/>
    <cellStyle name="60% - Accent1 14" xfId="18084" xr:uid="{0FBAC549-C239-4DCA-BBE8-86F0E4E714CE}"/>
    <cellStyle name="60% - Accent1 14 2" xfId="37853" xr:uid="{96E6B425-BF73-45EC-AA02-F658F648F409}"/>
    <cellStyle name="60% - Accent1 14 3" xfId="37854" xr:uid="{8ED4C061-A79C-4BAE-B3DA-3F81632A1BBD}"/>
    <cellStyle name="60% - Accent1 140" xfId="18085" xr:uid="{BDB55666-D4CA-40B9-B8A8-F899AC5F946B}"/>
    <cellStyle name="60% - Accent1 141" xfId="18086" xr:uid="{4AFFE705-D864-4302-AC0B-F75AF691D994}"/>
    <cellStyle name="60% - Accent1 142" xfId="18087" xr:uid="{C12976F5-4726-4972-952E-45239FFACD89}"/>
    <cellStyle name="60% - Accent1 143" xfId="18088" xr:uid="{95342756-7143-45FC-BDF1-E7CC49EDC358}"/>
    <cellStyle name="60% - Accent1 144" xfId="18089" xr:uid="{89DC465A-D2B6-4D2E-985A-F1CE88C85A33}"/>
    <cellStyle name="60% - Accent1 145" xfId="18090" xr:uid="{30CB34D7-9F98-443D-989A-FE0298986829}"/>
    <cellStyle name="60% - Accent1 146" xfId="18091" xr:uid="{EFC65EA8-3CB9-4C1B-956B-94D880A11F53}"/>
    <cellStyle name="60% - Accent1 147" xfId="18092" xr:uid="{DA237A1B-CEEE-4CAC-89AE-F43094A2E0D9}"/>
    <cellStyle name="60% - Accent1 148" xfId="18093" xr:uid="{9AFA7C83-6F30-4353-9B0D-679249263C21}"/>
    <cellStyle name="60% - Accent1 149" xfId="18094" xr:uid="{95E858EC-A478-41D3-A1BC-65AEBCE72045}"/>
    <cellStyle name="60% - Accent1 15" xfId="18095" xr:uid="{618B1076-B652-4FDE-BC39-BBB2CAA78D82}"/>
    <cellStyle name="60% - Accent1 15 2" xfId="37855" xr:uid="{00F15511-DACF-4008-992A-8041B807AB63}"/>
    <cellStyle name="60% - Accent1 15 3" xfId="37856" xr:uid="{CCACAA90-A50D-4D8F-A0B3-B02947132B40}"/>
    <cellStyle name="60% - Accent1 150" xfId="18096" xr:uid="{AF9F3FC8-C320-4515-A3B8-C76C77CDB3D7}"/>
    <cellStyle name="60% - Accent1 151" xfId="18097" xr:uid="{5CA60D71-60D7-4E87-97B4-DD5F34699F27}"/>
    <cellStyle name="60% - Accent1 152" xfId="18098" xr:uid="{15BD9F80-3780-41F7-8F27-2278400B2699}"/>
    <cellStyle name="60% - Accent1 153" xfId="18099" xr:uid="{C41CA22B-FF94-4F8F-84FA-405EE4449109}"/>
    <cellStyle name="60% - Accent1 154" xfId="18100" xr:uid="{2CC3C182-9C39-4E17-B858-C75B19102281}"/>
    <cellStyle name="60% - Accent1 155" xfId="18101" xr:uid="{48ED0CC3-BF03-4437-A2B0-ED4F6DE428A7}"/>
    <cellStyle name="60% - Accent1 156" xfId="18102" xr:uid="{2A2BD262-59EE-4D3D-80BC-4F4E0C201DDD}"/>
    <cellStyle name="60% - Accent1 157" xfId="18103" xr:uid="{471571FA-3BB3-41E5-A69F-1DB62BA5C60B}"/>
    <cellStyle name="60% - Accent1 158" xfId="18104" xr:uid="{5CEF1A3D-0B1C-4146-B96E-8B87F226B1A1}"/>
    <cellStyle name="60% - Accent1 159" xfId="18105" xr:uid="{EEEDBF6A-1D32-4A4B-856E-131F628BF275}"/>
    <cellStyle name="60% - Accent1 16" xfId="18106" xr:uid="{1E7EE8E4-05F9-437D-BC29-88809E457E80}"/>
    <cellStyle name="60% - Accent1 16 2" xfId="37857" xr:uid="{48D79392-FE81-4430-BD50-18838D37FC2F}"/>
    <cellStyle name="60% - Accent1 16 3" xfId="37858" xr:uid="{E59C9FE5-71B9-4BE0-AD1B-C5FC92147873}"/>
    <cellStyle name="60% - Accent1 160" xfId="18107" xr:uid="{16AFFC5D-EAB7-4A19-94E6-AC86D9A21C3A}"/>
    <cellStyle name="60% - Accent1 17" xfId="18108" xr:uid="{9BD238D4-2B65-438B-9C91-CA5A0B01B774}"/>
    <cellStyle name="60% - Accent1 17 2" xfId="37859" xr:uid="{353DAEA3-0A14-4347-9003-784066DD83E3}"/>
    <cellStyle name="60% - Accent1 17 3" xfId="37860" xr:uid="{22E06446-2B5A-4BE0-9206-8C9DA26350E0}"/>
    <cellStyle name="60% - Accent1 18" xfId="18109" xr:uid="{F05C1CA5-CCDE-45BB-B462-1C54AB1C2BC3}"/>
    <cellStyle name="60% - Accent1 18 2" xfId="37861" xr:uid="{3F81CAEB-126C-46BC-A1A6-9BD410354E71}"/>
    <cellStyle name="60% - Accent1 18 3" xfId="37862" xr:uid="{8AFCED02-8F76-4E8D-908A-F0C34DA1279A}"/>
    <cellStyle name="60% - Accent1 19" xfId="18110" xr:uid="{3C222709-5F38-49BF-819F-0CCB14FF014A}"/>
    <cellStyle name="60% - Accent1 19 2" xfId="37863" xr:uid="{746B0A41-E324-4042-BCC9-3E3C49EFDEBE}"/>
    <cellStyle name="60% - Accent1 2" xfId="18111" xr:uid="{2339BF55-AE6D-478B-A2B6-E743E3310318}"/>
    <cellStyle name="60% - Accent1 2 2" xfId="18112" xr:uid="{7A0C7AEA-A3B5-44C5-A85C-4ED163625102}"/>
    <cellStyle name="60% - Accent1 2 3" xfId="37864" xr:uid="{A5246DC2-2554-48F4-9858-3172DEAC2B90}"/>
    <cellStyle name="60% - Accent1 2 4" xfId="37865" xr:uid="{F6135456-1920-4F06-98B3-098404DD7CAB}"/>
    <cellStyle name="60% - Accent1 2 5" xfId="37866" xr:uid="{82CF36A5-9ABE-4775-A12C-DF3DEC9C112F}"/>
    <cellStyle name="60% - Accent1 20" xfId="18113" xr:uid="{61E3B61B-C53E-4C9B-8E75-C3672B15BF20}"/>
    <cellStyle name="60% - Accent1 20 2" xfId="37867" xr:uid="{459F11B5-D8DB-465A-A8BC-94D3D53B344B}"/>
    <cellStyle name="60% - Accent1 21" xfId="18114" xr:uid="{E8730C60-9D02-4ED5-91BE-75F9FF9F7B28}"/>
    <cellStyle name="60% - Accent1 21 2" xfId="37868" xr:uid="{5044EE02-B26A-43C9-B067-58ADEB3C65C2}"/>
    <cellStyle name="60% - Accent1 22" xfId="18115" xr:uid="{3D87A5BF-0096-4438-B019-AC1B49BD4A52}"/>
    <cellStyle name="60% - Accent1 22 2" xfId="37869" xr:uid="{18A21DFB-EFBB-4340-A733-544A12263BA0}"/>
    <cellStyle name="60% - Accent1 23" xfId="18116" xr:uid="{9B47D207-47F5-4A39-B360-47F24858BA31}"/>
    <cellStyle name="60% - Accent1 23 2" xfId="37870" xr:uid="{BBF0932C-2E8B-4530-92DF-381E64585CF2}"/>
    <cellStyle name="60% - Accent1 24" xfId="18117" xr:uid="{D6AA84B0-6AE5-4FE9-ADF0-BF12730D7AB2}"/>
    <cellStyle name="60% - Accent1 24 2" xfId="37871" xr:uid="{E3BB20BE-9F02-49EB-B981-4D717FD2A0F1}"/>
    <cellStyle name="60% - Accent1 25" xfId="18118" xr:uid="{DCA30591-0D3C-4133-BB11-C9AC52731C62}"/>
    <cellStyle name="60% - Accent1 25 2" xfId="37872" xr:uid="{E7B0EFD9-82A4-489F-9D51-A11D864E06EF}"/>
    <cellStyle name="60% - Accent1 26" xfId="18119" xr:uid="{9052A437-DC73-4367-BDC7-413F2F78D40F}"/>
    <cellStyle name="60% - Accent1 26 2" xfId="37873" xr:uid="{15B1228C-E82C-4111-9244-C04A7DAFDEAC}"/>
    <cellStyle name="60% - Accent1 27" xfId="18120" xr:uid="{A965F177-E085-43DF-8F22-D70009A8188E}"/>
    <cellStyle name="60% - Accent1 27 2" xfId="37874" xr:uid="{A983A3E9-3F26-42DE-85CB-77ED7BC6B9B4}"/>
    <cellStyle name="60% - Accent1 28" xfId="18121" xr:uid="{5282DB33-4FCD-4A61-9013-9739A449CD19}"/>
    <cellStyle name="60% - Accent1 28 2" xfId="37875" xr:uid="{0E6EE8E3-7AC2-4099-A0D0-A83EE99B293B}"/>
    <cellStyle name="60% - Accent1 29" xfId="18122" xr:uid="{FDBFD345-B69B-41CB-9005-D79C180383A7}"/>
    <cellStyle name="60% - Accent1 29 2" xfId="18123" xr:uid="{A778EBFE-ABF1-4BAE-81D5-F19AC2464FA4}"/>
    <cellStyle name="60% - Accent1 29 3" xfId="37876" xr:uid="{33E2049C-D0EF-45A5-A491-25D826059120}"/>
    <cellStyle name="60% - Accent1 3" xfId="18124" xr:uid="{8180F4FC-CC6D-4F2A-AA17-147E657B417E}"/>
    <cellStyle name="60% - Accent1 3 2" xfId="18125" xr:uid="{BBFEA2B4-B7DC-46BF-904F-76CAD31B6968}"/>
    <cellStyle name="60% - Accent1 3 3" xfId="37877" xr:uid="{951701EA-1BD7-42B8-8DC4-EAC540695441}"/>
    <cellStyle name="60% - Accent1 3 4" xfId="37878" xr:uid="{75B81E02-F5B8-42D8-99E1-56911D71E859}"/>
    <cellStyle name="60% - Accent1 30" xfId="18126" xr:uid="{5EEC60EF-ECE8-4815-BD01-E4DD87E69CCD}"/>
    <cellStyle name="60% - Accent1 30 2" xfId="37879" xr:uid="{D1EA76F7-D11A-42EC-97C9-0F8E363144E9}"/>
    <cellStyle name="60% - Accent1 31" xfId="18127" xr:uid="{4134BB1B-44D7-4BCA-A5EC-7CF4B5D1C61C}"/>
    <cellStyle name="60% - Accent1 32" xfId="18128" xr:uid="{33602C76-AEA4-4F74-B2E2-D0EBF4A9BAB0}"/>
    <cellStyle name="60% - Accent1 33" xfId="18129" xr:uid="{700CCD48-D381-421F-8EAA-818907F20C90}"/>
    <cellStyle name="60% - Accent1 34" xfId="18130" xr:uid="{7783F1DF-3428-4A6A-81E8-001AF30EBA4F}"/>
    <cellStyle name="60% - Accent1 35" xfId="18131" xr:uid="{24F5A2EA-4678-46CC-889B-991262F3B5CF}"/>
    <cellStyle name="60% - Accent1 36" xfId="18132" xr:uid="{63A4DFBF-2BCC-418A-81E4-0C290C3BBCA3}"/>
    <cellStyle name="60% - Accent1 37" xfId="18133" xr:uid="{3B7FDD02-64C5-467B-A263-446123A9B04D}"/>
    <cellStyle name="60% - Accent1 38" xfId="18134" xr:uid="{9284C74C-4A53-4C9E-AC7C-4E6E3CC88226}"/>
    <cellStyle name="60% - Accent1 39" xfId="18135" xr:uid="{5EFBA383-5FA5-468E-8D01-8547769DCD70}"/>
    <cellStyle name="60% - Accent1 4" xfId="18136" xr:uid="{173088F9-CB2F-4B65-A8BD-C9C6FB7E1407}"/>
    <cellStyle name="60% - Accent1 4 2" xfId="37880" xr:uid="{140B2CDE-AFCB-4118-901E-DACC149262BD}"/>
    <cellStyle name="60% - Accent1 4 3" xfId="37881" xr:uid="{9D2ADC2B-A331-4DCF-A919-B24045ABBA0D}"/>
    <cellStyle name="60% - Accent1 40" xfId="18137" xr:uid="{3B29CC92-BB23-44BC-8CBE-3A8FBFE55874}"/>
    <cellStyle name="60% - Accent1 41" xfId="18138" xr:uid="{AB852AC8-D49D-4BDB-8440-0097B9B988B6}"/>
    <cellStyle name="60% - Accent1 42" xfId="18139" xr:uid="{CC1F1462-7467-453E-8EE6-E3D8049A776A}"/>
    <cellStyle name="60% - Accent1 43" xfId="18140" xr:uid="{563B8FE8-D2AD-479C-A927-6E0A84DD382B}"/>
    <cellStyle name="60% - Accent1 44" xfId="18141" xr:uid="{69D3FB05-9D77-4A53-9DFF-D082C8120299}"/>
    <cellStyle name="60% - Accent1 45" xfId="18142" xr:uid="{FC672C24-E5E5-4BD4-80DF-6B95543BCC11}"/>
    <cellStyle name="60% - Accent1 46" xfId="18143" xr:uid="{A40443A5-AF2E-4B92-B036-FA48035C8FAD}"/>
    <cellStyle name="60% - Accent1 47" xfId="18144" xr:uid="{20271BC4-3D15-4314-A46B-2841D130D01D}"/>
    <cellStyle name="60% - Accent1 48" xfId="18145" xr:uid="{64210530-63CF-40CC-9C7E-E3AEC7784E28}"/>
    <cellStyle name="60% - Accent1 49" xfId="18146" xr:uid="{7A117C21-36D5-4834-8B5A-6AF154F89B90}"/>
    <cellStyle name="60% - Accent1 5" xfId="18147" xr:uid="{7AB5B770-CF6E-4F25-B963-F622DE43C18A}"/>
    <cellStyle name="60% - Accent1 5 2" xfId="37882" xr:uid="{36E7096E-46A0-4D7F-B647-225C5ECB42D0}"/>
    <cellStyle name="60% - Accent1 5 3" xfId="37883" xr:uid="{AF856D61-7064-453C-8D6D-9469F6F0727D}"/>
    <cellStyle name="60% - Accent1 50" xfId="18148" xr:uid="{141D1BA8-5E17-4042-A12D-A67DDBBC7474}"/>
    <cellStyle name="60% - Accent1 51" xfId="18149" xr:uid="{D5CD6274-A533-437D-825A-496524D0B404}"/>
    <cellStyle name="60% - Accent1 52" xfId="18150" xr:uid="{F47C0C73-3D25-42A5-BC60-57D015038061}"/>
    <cellStyle name="60% - Accent1 53" xfId="18151" xr:uid="{BE629622-2875-42F5-BA97-FE4CD122A4B3}"/>
    <cellStyle name="60% - Accent1 54" xfId="18152" xr:uid="{B9B32194-01FA-4FCA-82E4-D6A06FC0434B}"/>
    <cellStyle name="60% - Accent1 55" xfId="18153" xr:uid="{375AB676-A57C-439C-A27C-626E926ACA28}"/>
    <cellStyle name="60% - Accent1 56" xfId="18154" xr:uid="{27E50867-7F5B-4B7C-B439-7467192819AF}"/>
    <cellStyle name="60% - Accent1 57" xfId="18155" xr:uid="{E93193CA-5A7B-464C-A1BF-E4D5C985430D}"/>
    <cellStyle name="60% - Accent1 58" xfId="18156" xr:uid="{6CA7CA53-C2CD-4FFA-869E-AE7C77CAC92B}"/>
    <cellStyle name="60% - Accent1 59" xfId="18157" xr:uid="{A5D15BDF-FC65-45A9-8DA9-31DE15864349}"/>
    <cellStyle name="60% - Accent1 6" xfId="18158" xr:uid="{B0395E55-B71E-47E4-9E6B-F7088B7720E7}"/>
    <cellStyle name="60% - Accent1 6 2" xfId="37884" xr:uid="{4BD45FD9-4154-422A-B33D-94C274DC452F}"/>
    <cellStyle name="60% - Accent1 6 3" xfId="37885" xr:uid="{7EFCF1D7-9128-47C1-AB35-360455FDECAE}"/>
    <cellStyle name="60% - Accent1 60" xfId="18159" xr:uid="{DECF1FCB-DF8E-4E47-AD69-B67DC545D8F7}"/>
    <cellStyle name="60% - Accent1 61" xfId="18160" xr:uid="{57886A1F-C9D0-4771-BD89-3908F19B3B65}"/>
    <cellStyle name="60% - Accent1 62" xfId="18161" xr:uid="{9C247F07-24A8-48D7-99B7-FA6EBB57EFDD}"/>
    <cellStyle name="60% - Accent1 63" xfId="18162" xr:uid="{5759FC30-52BE-4D13-B50A-E3721DA93E33}"/>
    <cellStyle name="60% - Accent1 64" xfId="18163" xr:uid="{FC961B5D-715B-4288-A870-38B1C6136D1D}"/>
    <cellStyle name="60% - Accent1 65" xfId="18164" xr:uid="{767B7E70-4ACB-4AEC-A560-5C6ECAA2A8A3}"/>
    <cellStyle name="60% - Accent1 66" xfId="18165" xr:uid="{8EADF410-60A4-49AE-9234-D83908EE3EE0}"/>
    <cellStyle name="60% - Accent1 67" xfId="18166" xr:uid="{FFC9F863-52AC-482E-9105-CDECD64FD5F2}"/>
    <cellStyle name="60% - Accent1 68" xfId="18167" xr:uid="{C4672173-5CF5-4BBF-9975-9111E3784C71}"/>
    <cellStyle name="60% - Accent1 69" xfId="18168" xr:uid="{1A4DF05D-B4E9-4053-8EA9-1D1226C8E297}"/>
    <cellStyle name="60% - Accent1 7" xfId="18169" xr:uid="{8E05CF53-5293-478D-B72C-4953E03ADCF9}"/>
    <cellStyle name="60% - Accent1 7 2" xfId="37886" xr:uid="{A31C2624-A846-464E-A489-10CCB3E4E9F5}"/>
    <cellStyle name="60% - Accent1 7 3" xfId="37887" xr:uid="{B91E566B-6223-4145-B055-6776CAB14BE4}"/>
    <cellStyle name="60% - Accent1 70" xfId="18170" xr:uid="{17FE98B4-1CA9-4534-B554-87DA07EC7BDF}"/>
    <cellStyle name="60% - Accent1 71" xfId="18171" xr:uid="{BBB9DC41-D2D2-4460-B0D3-4D9F88F86CC1}"/>
    <cellStyle name="60% - Accent1 72" xfId="18172" xr:uid="{40377117-F4C1-4980-A2ED-87873CE45137}"/>
    <cellStyle name="60% - Accent1 73" xfId="18173" xr:uid="{E5174EDB-446E-4E3E-90A3-E17C1445EB93}"/>
    <cellStyle name="60% - Accent1 74" xfId="18174" xr:uid="{2258D483-8ECC-4C34-ACEC-F74D573BFDD9}"/>
    <cellStyle name="60% - Accent1 75" xfId="18175" xr:uid="{4239CBC2-11E2-49FC-9059-F2AEBCF7F5CF}"/>
    <cellStyle name="60% - Accent1 76" xfId="18176" xr:uid="{95ED2D47-1E74-42B6-B4AF-50F03069AC28}"/>
    <cellStyle name="60% - Accent1 77" xfId="18177" xr:uid="{744B47B9-9EB2-4E94-BF82-EE9CC63A22CF}"/>
    <cellStyle name="60% - Accent1 78" xfId="18178" xr:uid="{D5FE3DCF-AA84-4336-84D4-15DF145D81C5}"/>
    <cellStyle name="60% - Accent1 79" xfId="18179" xr:uid="{6E13FC9B-ABCF-416D-B945-B4AFD56080E9}"/>
    <cellStyle name="60% - Accent1 8" xfId="18180" xr:uid="{0FECCDC5-2119-4173-9046-777B4E93CFD9}"/>
    <cellStyle name="60% - Accent1 8 2" xfId="37888" xr:uid="{E25DF33C-08B4-4F1C-8D7E-1B22A36B7B1A}"/>
    <cellStyle name="60% - Accent1 8 3" xfId="37889" xr:uid="{62AD3777-F53E-4B15-BC61-DCF3F4382F54}"/>
    <cellStyle name="60% - Accent1 80" xfId="18181" xr:uid="{CCCA78EB-B3EC-42D8-8629-DDD1910DA8BB}"/>
    <cellStyle name="60% - Accent1 81" xfId="18182" xr:uid="{4310582B-DB23-43DA-94CE-5D3FA115C69B}"/>
    <cellStyle name="60% - Accent1 82" xfId="18183" xr:uid="{C5A0A53F-1680-4624-AE88-4402ED39F9F9}"/>
    <cellStyle name="60% - Accent1 83" xfId="18184" xr:uid="{8BB511C0-56AD-456C-8E6E-BEB212CE3DC8}"/>
    <cellStyle name="60% - Accent1 84" xfId="18185" xr:uid="{B9138DEC-B617-41A5-9EF0-05F5E4B120F7}"/>
    <cellStyle name="60% - Accent1 85" xfId="18186" xr:uid="{51361265-8A18-4F6A-82AE-26090D33EF04}"/>
    <cellStyle name="60% - Accent1 86" xfId="18187" xr:uid="{1CE7F131-1147-4332-8404-57F4F1DF07EB}"/>
    <cellStyle name="60% - Accent1 87" xfId="18188" xr:uid="{3EA04ACD-3DB7-4317-A3E5-7E4B9D1B9104}"/>
    <cellStyle name="60% - Accent1 88" xfId="18189" xr:uid="{43AFAF7C-A743-4A15-AB24-58B4C7E742C8}"/>
    <cellStyle name="60% - Accent1 89" xfId="18190" xr:uid="{F5093EFC-C4F6-49E6-BFF3-F9707E3630E1}"/>
    <cellStyle name="60% - Accent1 9" xfId="18191" xr:uid="{EC3C5FF1-B3FA-4EF5-8E01-253EF65AF8A4}"/>
    <cellStyle name="60% - Accent1 9 2" xfId="37890" xr:uid="{D51BEB14-6257-4DC4-93DB-086FBE939E08}"/>
    <cellStyle name="60% - Accent1 9 3" xfId="37891" xr:uid="{2E114C54-1AB7-48A9-B161-BC88FB8C04EA}"/>
    <cellStyle name="60% - Accent1 90" xfId="18192" xr:uid="{BD65D103-91C0-4B18-87FC-1471DDD20EB7}"/>
    <cellStyle name="60% - Accent1 91" xfId="18193" xr:uid="{C8C7D507-14B8-404B-BCA2-1EDA3BA4CC20}"/>
    <cellStyle name="60% - Accent1 92" xfId="18194" xr:uid="{D21679DC-8A76-46E7-9329-BD79573586D2}"/>
    <cellStyle name="60% - Accent1 93" xfId="18195" xr:uid="{39C4F76F-9EF8-4CB1-9A96-13991C6B7CF2}"/>
    <cellStyle name="60% - Accent1 94" xfId="18196" xr:uid="{561EE6E9-723A-419C-A1BD-979534818634}"/>
    <cellStyle name="60% - Accent1 95" xfId="18197" xr:uid="{C629B337-4733-4BEC-A90A-EAE4B48AD3D8}"/>
    <cellStyle name="60% - Accent1 96" xfId="18198" xr:uid="{2F901FB8-8032-4FA5-B341-094CBD53F1B6}"/>
    <cellStyle name="60% - Accent1 97" xfId="18199" xr:uid="{F01679A5-018C-44C2-BB2A-967C463BCC57}"/>
    <cellStyle name="60% - Accent1 98" xfId="18200" xr:uid="{B65F7E55-CAF0-48E4-8D34-EFDFD456C563}"/>
    <cellStyle name="60% - Accent1 99" xfId="18201" xr:uid="{55DDA99D-4819-45C1-AABB-2EE41E6DFB57}"/>
    <cellStyle name="60% - Accent2" xfId="37" builtinId="36" hidden="1"/>
    <cellStyle name="60% - Accent2" xfId="111" builtinId="36" customBuiltin="1"/>
    <cellStyle name="60% - Accent2 10" xfId="18202" xr:uid="{800EBA74-E38D-41B5-9CA7-B0B2BEC0D89C}"/>
    <cellStyle name="60% - Accent2 10 2" xfId="37892" xr:uid="{E96E1E55-E9F1-46AA-BE56-FBE3E8697DAE}"/>
    <cellStyle name="60% - Accent2 10 3" xfId="37893" xr:uid="{A419A0BD-A94F-4C9C-A7C1-6D6326B20404}"/>
    <cellStyle name="60% - Accent2 100" xfId="18203" xr:uid="{463366AC-2350-466F-ABAE-5694B17A005B}"/>
    <cellStyle name="60% - Accent2 101" xfId="18204" xr:uid="{D5E06A12-7CCB-456B-AC5A-39300074F361}"/>
    <cellStyle name="60% - Accent2 102" xfId="18205" xr:uid="{94290D61-C7D0-4BD5-BAA8-93634FB713F0}"/>
    <cellStyle name="60% - Accent2 103" xfId="18206" xr:uid="{60EBB037-DFC5-44CC-A099-E108D738AC9C}"/>
    <cellStyle name="60% - Accent2 104" xfId="18207" xr:uid="{B1671794-F3C5-4012-90A1-11644EC4A43D}"/>
    <cellStyle name="60% - Accent2 105" xfId="18208" xr:uid="{19AB7054-AF63-4B5C-93C7-1173BD0B8F8A}"/>
    <cellStyle name="60% - Accent2 106" xfId="18209" xr:uid="{B0285A58-C781-4FEB-BFD8-32A086E57696}"/>
    <cellStyle name="60% - Accent2 107" xfId="18210" xr:uid="{947E0838-1A19-4D90-AAF6-A813864E4900}"/>
    <cellStyle name="60% - Accent2 108" xfId="18211" xr:uid="{3F2E85CC-E1B5-4026-AB17-F292C6B5FCC9}"/>
    <cellStyle name="60% - Accent2 109" xfId="18212" xr:uid="{F6156A4E-784E-4655-9C54-788C71F83894}"/>
    <cellStyle name="60% - Accent2 11" xfId="18213" xr:uid="{B6EC141A-6552-4B8C-9C9E-166148A6B139}"/>
    <cellStyle name="60% - Accent2 11 2" xfId="37894" xr:uid="{306370D9-EB5E-490C-BCC4-FDE1C225B037}"/>
    <cellStyle name="60% - Accent2 11 3" xfId="37895" xr:uid="{748BA23A-4158-4677-8FEB-708CE02FB45B}"/>
    <cellStyle name="60% - Accent2 110" xfId="18214" xr:uid="{3A33454D-AA79-4E32-86D3-94855A1AD08D}"/>
    <cellStyle name="60% - Accent2 111" xfId="18215" xr:uid="{CA775315-CEE2-4D6A-AFEF-DE5267FB8972}"/>
    <cellStyle name="60% - Accent2 112" xfId="18216" xr:uid="{221D4FFC-206F-4F32-8714-3C615CA0EFC3}"/>
    <cellStyle name="60% - Accent2 113" xfId="18217" xr:uid="{B6375E52-B10A-480A-AF63-B5333750E94D}"/>
    <cellStyle name="60% - Accent2 114" xfId="18218" xr:uid="{DD931380-ADAF-4391-A5AB-058EBDE068AA}"/>
    <cellStyle name="60% - Accent2 115" xfId="18219" xr:uid="{8C671115-161F-486F-A432-DD9955AC0A3F}"/>
    <cellStyle name="60% - Accent2 116" xfId="18220" xr:uid="{33BBE936-B11C-43B4-B4F0-EF2D3C012838}"/>
    <cellStyle name="60% - Accent2 117" xfId="18221" xr:uid="{B42F9FA6-67D0-4228-8B6A-E22672D6D43F}"/>
    <cellStyle name="60% - Accent2 118" xfId="18222" xr:uid="{1B1896D8-178F-4189-878B-04BAFE153CDC}"/>
    <cellStyle name="60% - Accent2 119" xfId="18223" xr:uid="{36BC9255-EB5F-4C77-B776-74967B61D998}"/>
    <cellStyle name="60% - Accent2 12" xfId="18224" xr:uid="{ED39919B-D8B1-42FF-BAF2-2715DEEA2093}"/>
    <cellStyle name="60% - Accent2 12 2" xfId="37896" xr:uid="{52CF81D7-E8A3-4C39-BA0D-22B5BA007835}"/>
    <cellStyle name="60% - Accent2 12 3" xfId="37897" xr:uid="{7075F8B6-3485-4067-A232-42E05E0536D4}"/>
    <cellStyle name="60% - Accent2 120" xfId="18225" xr:uid="{1F1B31FA-981E-42AA-9042-0F82FD419549}"/>
    <cellStyle name="60% - Accent2 121" xfId="18226" xr:uid="{5F280983-D3AC-44D9-85F6-2F30E571F565}"/>
    <cellStyle name="60% - Accent2 122" xfId="18227" xr:uid="{97B65199-1DD0-49E5-884E-935172541B9D}"/>
    <cellStyle name="60% - Accent2 123" xfId="18228" xr:uid="{89C95B35-A634-4C4B-9A0E-8E7E79AE6446}"/>
    <cellStyle name="60% - Accent2 124" xfId="18229" xr:uid="{25A741EE-EA57-4206-9E97-5E2490DA2D5D}"/>
    <cellStyle name="60% - Accent2 125" xfId="18230" xr:uid="{918B0BF6-D00E-4C65-ABD4-86D7E6C2193F}"/>
    <cellStyle name="60% - Accent2 126" xfId="18231" xr:uid="{19BEAC57-B50A-47C5-99BA-0C5EEF9634CE}"/>
    <cellStyle name="60% - Accent2 127" xfId="18232" xr:uid="{8F205B97-BDDB-4B34-AFF3-7FE1D8F50FC1}"/>
    <cellStyle name="60% - Accent2 128" xfId="18233" xr:uid="{2656BF40-E2DE-4C40-82F4-AACB95783ECA}"/>
    <cellStyle name="60% - Accent2 129" xfId="18234" xr:uid="{2239CB25-583D-4F1C-AC59-7AB5BB3733C0}"/>
    <cellStyle name="60% - Accent2 13" xfId="18235" xr:uid="{71A220A3-23DB-4804-9FE7-34C94534C425}"/>
    <cellStyle name="60% - Accent2 13 2" xfId="37898" xr:uid="{FEEBF641-E1D6-43C0-B489-C7644F75A519}"/>
    <cellStyle name="60% - Accent2 13 3" xfId="37899" xr:uid="{0AE0562C-06EE-46AA-A128-D15ADD8024E6}"/>
    <cellStyle name="60% - Accent2 130" xfId="18236" xr:uid="{54542B9E-286B-4110-997C-ED8FF49786FB}"/>
    <cellStyle name="60% - Accent2 131" xfId="18237" xr:uid="{64A13F85-ADCA-4783-A21F-8546D3434EAD}"/>
    <cellStyle name="60% - Accent2 132" xfId="18238" xr:uid="{48DF8C52-F627-463B-93E2-0B14378543A5}"/>
    <cellStyle name="60% - Accent2 133" xfId="18239" xr:uid="{2FFFB896-6021-4A61-B5C7-3D5CB237A018}"/>
    <cellStyle name="60% - Accent2 134" xfId="18240" xr:uid="{E86763D0-6FCF-4248-A313-C5F687B73CA7}"/>
    <cellStyle name="60% - Accent2 135" xfId="18241" xr:uid="{96A7C116-08A8-4D52-9F2F-8376E1718C20}"/>
    <cellStyle name="60% - Accent2 136" xfId="18242" xr:uid="{B96CDD31-B360-4CA5-9E39-C50CDE5DAE73}"/>
    <cellStyle name="60% - Accent2 137" xfId="18243" xr:uid="{94EE20D3-C8D0-45CD-920F-D9931932955A}"/>
    <cellStyle name="60% - Accent2 138" xfId="18244" xr:uid="{0DB5C8D2-8CBB-4829-8F44-4D3D9249BBB9}"/>
    <cellStyle name="60% - Accent2 139" xfId="18245" xr:uid="{75D39120-B6C8-4E14-A3A7-9F5B9E37226D}"/>
    <cellStyle name="60% - Accent2 14" xfId="18246" xr:uid="{9CE5CE70-7CC5-4CC7-9732-A65BF90D2371}"/>
    <cellStyle name="60% - Accent2 14 2" xfId="37900" xr:uid="{FF5C3EA8-A875-449B-9A71-5BBB006C69A4}"/>
    <cellStyle name="60% - Accent2 14 3" xfId="37901" xr:uid="{F041F0B5-E1EB-4BBA-A18B-F1D84A985D7A}"/>
    <cellStyle name="60% - Accent2 140" xfId="18247" xr:uid="{3433B3BA-971C-4D48-B496-229810A7063A}"/>
    <cellStyle name="60% - Accent2 141" xfId="18248" xr:uid="{522B3C93-8874-405E-AFAF-D9A24CB6AAFD}"/>
    <cellStyle name="60% - Accent2 142" xfId="18249" xr:uid="{58F962C9-DE62-4499-9033-416AA9334448}"/>
    <cellStyle name="60% - Accent2 143" xfId="18250" xr:uid="{98F31474-DB69-4415-8F6B-6F6507FD8B9F}"/>
    <cellStyle name="60% - Accent2 144" xfId="18251" xr:uid="{56127E6F-9012-4F10-AF68-A6F5414D3FE7}"/>
    <cellStyle name="60% - Accent2 145" xfId="18252" xr:uid="{36F600F6-B0C4-49B2-96A2-4A47DDB940C5}"/>
    <cellStyle name="60% - Accent2 146" xfId="18253" xr:uid="{63F7C014-94D5-4539-AD40-870445FE1A9B}"/>
    <cellStyle name="60% - Accent2 147" xfId="18254" xr:uid="{28BE9AB9-5966-4D0B-AC53-AC9CE79D1755}"/>
    <cellStyle name="60% - Accent2 148" xfId="18255" xr:uid="{565CFDC5-DD89-4298-B799-B429B4AAB51C}"/>
    <cellStyle name="60% - Accent2 149" xfId="18256" xr:uid="{BA2CBA71-F724-4E3B-863D-ADCC37AB7C82}"/>
    <cellStyle name="60% - Accent2 15" xfId="18257" xr:uid="{E8A58393-37D8-4127-A58D-D505043BF2EA}"/>
    <cellStyle name="60% - Accent2 15 2" xfId="37902" xr:uid="{76B70FE9-F2B8-43B9-AFDA-5046BB938318}"/>
    <cellStyle name="60% - Accent2 15 3" xfId="37903" xr:uid="{47880796-6B51-4847-9508-524342BD2169}"/>
    <cellStyle name="60% - Accent2 150" xfId="18258" xr:uid="{E9718237-04C9-461E-B6E6-17D00C2CBD84}"/>
    <cellStyle name="60% - Accent2 151" xfId="18259" xr:uid="{A18FE5F5-4859-407C-BD8D-EBF23E9691E8}"/>
    <cellStyle name="60% - Accent2 152" xfId="18260" xr:uid="{75BD43BC-340F-49FB-A339-D1AAAE1D07D3}"/>
    <cellStyle name="60% - Accent2 153" xfId="18261" xr:uid="{995A1AB2-49AD-49DA-9F0A-ADB5020F403E}"/>
    <cellStyle name="60% - Accent2 154" xfId="18262" xr:uid="{F010F368-73F1-40FA-ADB2-9569D17BAB00}"/>
    <cellStyle name="60% - Accent2 155" xfId="18263" xr:uid="{0FC20F27-1080-4B45-BE40-3B29926B5616}"/>
    <cellStyle name="60% - Accent2 156" xfId="18264" xr:uid="{9DA20724-5B45-4BB3-B8B7-2BFEF7A7913C}"/>
    <cellStyle name="60% - Accent2 157" xfId="18265" xr:uid="{639071D6-ED4A-4377-83A4-14CFBB39A42D}"/>
    <cellStyle name="60% - Accent2 158" xfId="18266" xr:uid="{29F11D7B-DC27-4CE7-8C78-9C9A66053300}"/>
    <cellStyle name="60% - Accent2 159" xfId="18267" xr:uid="{3E6FA02E-1CE7-48C9-A8A3-781E73C2FDE5}"/>
    <cellStyle name="60% - Accent2 16" xfId="18268" xr:uid="{08C858C1-618C-466D-B5FD-86F7A5BE7DA5}"/>
    <cellStyle name="60% - Accent2 16 2" xfId="37904" xr:uid="{59E7C0A9-3305-4C0C-8535-5C1A7DA2400A}"/>
    <cellStyle name="60% - Accent2 16 3" xfId="37905" xr:uid="{AC152D39-8122-4D41-AE0E-6F708BD49800}"/>
    <cellStyle name="60% - Accent2 160" xfId="18269" xr:uid="{36C57827-BB39-49DC-9669-017EB17919E7}"/>
    <cellStyle name="60% - Accent2 17" xfId="18270" xr:uid="{DF12BB58-55D2-44C6-9406-82BB3BE67289}"/>
    <cellStyle name="60% - Accent2 17 2" xfId="37906" xr:uid="{9529748F-D30E-41C4-B9A2-8A22D30FFA7F}"/>
    <cellStyle name="60% - Accent2 17 3" xfId="37907" xr:uid="{976C1D8C-1977-4B2C-92B2-1DC257A0EBD3}"/>
    <cellStyle name="60% - Accent2 18" xfId="18271" xr:uid="{BB651579-9209-4F01-94E0-AD2EF9BA1A67}"/>
    <cellStyle name="60% - Accent2 18 2" xfId="37908" xr:uid="{ACA4C827-89FC-4C3F-8A1D-943660844326}"/>
    <cellStyle name="60% - Accent2 18 3" xfId="37909" xr:uid="{B8ED1E8B-DF53-4DB6-9FC8-7AEDDCECD21F}"/>
    <cellStyle name="60% - Accent2 19" xfId="18272" xr:uid="{A700CC71-E554-4DA5-93CF-59847FF96E15}"/>
    <cellStyle name="60% - Accent2 19 2" xfId="37910" xr:uid="{E01242BD-6059-4563-B006-175B5095598A}"/>
    <cellStyle name="60% - Accent2 2" xfId="18273" xr:uid="{54E51E3B-6563-4F0E-98B1-11733F972640}"/>
    <cellStyle name="60% - Accent2 2 2" xfId="18274" xr:uid="{AC9AAB01-6FA5-4625-9D5A-9E36A4CD4EE4}"/>
    <cellStyle name="60% - Accent2 2 3" xfId="37911" xr:uid="{D621ED58-B3D4-45A1-BE72-115603F62012}"/>
    <cellStyle name="60% - Accent2 2 4" xfId="37912" xr:uid="{A7CF5B9C-4255-4F91-839E-F55428822D11}"/>
    <cellStyle name="60% - Accent2 2 5" xfId="37913" xr:uid="{E2D06367-EBCA-4524-8BC2-DD9AF585ECA2}"/>
    <cellStyle name="60% - Accent2 20" xfId="18275" xr:uid="{14FBAA22-0CF6-4F90-8C91-869206F42FD1}"/>
    <cellStyle name="60% - Accent2 20 2" xfId="37914" xr:uid="{D1C41165-50CA-4373-9C57-CB00E47AC71E}"/>
    <cellStyle name="60% - Accent2 21" xfId="18276" xr:uid="{33BC540F-7041-429B-A58A-C9EDAE33980B}"/>
    <cellStyle name="60% - Accent2 21 2" xfId="37915" xr:uid="{5880591C-FB14-4B56-A979-AA6CB8D2FBC2}"/>
    <cellStyle name="60% - Accent2 22" xfId="18277" xr:uid="{018129E1-F663-4132-ABBB-96A97233BB26}"/>
    <cellStyle name="60% - Accent2 22 2" xfId="37916" xr:uid="{A997ECB0-3055-4A7B-BDCF-43FBB7D58274}"/>
    <cellStyle name="60% - Accent2 23" xfId="18278" xr:uid="{735DA90B-326F-43D0-BCAF-F257E3286F92}"/>
    <cellStyle name="60% - Accent2 23 2" xfId="37917" xr:uid="{C897B9E1-489E-437E-ACF1-FAD20E75D51B}"/>
    <cellStyle name="60% - Accent2 24" xfId="18279" xr:uid="{87F7B4EA-E9EE-4B43-ACB7-6BDDA8EFAD05}"/>
    <cellStyle name="60% - Accent2 24 2" xfId="37918" xr:uid="{524EBD34-53AF-4D21-83BE-3AF3065EBE24}"/>
    <cellStyle name="60% - Accent2 25" xfId="18280" xr:uid="{83D57371-F702-4C21-B4A1-B04B7438833A}"/>
    <cellStyle name="60% - Accent2 25 2" xfId="37919" xr:uid="{ED1E72EA-CF97-49B0-BA40-EF2C8248EE43}"/>
    <cellStyle name="60% - Accent2 26" xfId="18281" xr:uid="{6B4D4CE3-C983-4F43-A722-AB4CCB0314CC}"/>
    <cellStyle name="60% - Accent2 26 2" xfId="37920" xr:uid="{C1BF35C6-F37C-419B-BC62-940E80C85B7D}"/>
    <cellStyle name="60% - Accent2 27" xfId="18282" xr:uid="{59343A5D-7BC2-467A-B22F-02231BE0836B}"/>
    <cellStyle name="60% - Accent2 27 2" xfId="37921" xr:uid="{0CF7B111-4BD0-44FE-AA7F-D00B1175250E}"/>
    <cellStyle name="60% - Accent2 28" xfId="18283" xr:uid="{6AB034BB-0FA2-4486-9603-4BDE6F8C88BC}"/>
    <cellStyle name="60% - Accent2 28 2" xfId="37922" xr:uid="{1478E366-AA3A-4F55-93D2-8749A1AE00C1}"/>
    <cellStyle name="60% - Accent2 29" xfId="18284" xr:uid="{69512C4E-97A2-4A77-B363-F3BAEBAFC63A}"/>
    <cellStyle name="60% - Accent2 29 2" xfId="18285" xr:uid="{BF53C57F-415F-44E1-9065-065CE430C619}"/>
    <cellStyle name="60% - Accent2 29 3" xfId="37923" xr:uid="{B7DC46A7-71D2-408C-9757-2BCDB6E64149}"/>
    <cellStyle name="60% - Accent2 3" xfId="18286" xr:uid="{9581275B-820A-4DA0-8BA1-7F7CE3B33456}"/>
    <cellStyle name="60% - Accent2 3 2" xfId="18287" xr:uid="{FC7586FA-8B5B-4E16-AA0A-DE725153B670}"/>
    <cellStyle name="60% - Accent2 3 3" xfId="37924" xr:uid="{84EFBE48-31C2-4E21-B518-85B146289E98}"/>
    <cellStyle name="60% - Accent2 3 4" xfId="37925" xr:uid="{2ABC3FB6-4976-47A4-8FF1-C12E4278377D}"/>
    <cellStyle name="60% - Accent2 30" xfId="18288" xr:uid="{A1B584AA-6186-4F14-935D-CA44B192A2B4}"/>
    <cellStyle name="60% - Accent2 30 2" xfId="37926" xr:uid="{FBDABB95-825F-4909-8001-B926A67119A7}"/>
    <cellStyle name="60% - Accent2 31" xfId="18289" xr:uid="{7BBB8392-D11F-464B-B4FF-BFAF0A11F3B0}"/>
    <cellStyle name="60% - Accent2 32" xfId="18290" xr:uid="{36DA9F6E-EA89-4A9E-9995-DB0721C836F2}"/>
    <cellStyle name="60% - Accent2 33" xfId="18291" xr:uid="{E1A4E773-2FE8-4E3E-AE0E-5686E52F776C}"/>
    <cellStyle name="60% - Accent2 34" xfId="18292" xr:uid="{2232ED1B-E46F-4405-9E0A-CE756CBC1E89}"/>
    <cellStyle name="60% - Accent2 35" xfId="18293" xr:uid="{6BB50FC5-8407-4DEF-AED9-19C9D67ED3C7}"/>
    <cellStyle name="60% - Accent2 36" xfId="18294" xr:uid="{29206131-B2AF-4E52-BCD3-60D4EF058F09}"/>
    <cellStyle name="60% - Accent2 37" xfId="18295" xr:uid="{C4E16632-7527-4C0C-889F-3EB2B33A9358}"/>
    <cellStyle name="60% - Accent2 38" xfId="18296" xr:uid="{1DA3653C-FB0D-452C-8216-1AAB9AC19575}"/>
    <cellStyle name="60% - Accent2 39" xfId="18297" xr:uid="{D6DCEB46-03CD-4C2B-B6DE-AC97B1F98D61}"/>
    <cellStyle name="60% - Accent2 4" xfId="18298" xr:uid="{313F54BE-3577-42F7-BB88-4FE0C3C54648}"/>
    <cellStyle name="60% - Accent2 4 2" xfId="37927" xr:uid="{345A5C14-A834-4826-A22C-96E5CA40DA2E}"/>
    <cellStyle name="60% - Accent2 4 3" xfId="37928" xr:uid="{770A882C-4B3A-4BBE-A3B6-C90A8A41C312}"/>
    <cellStyle name="60% - Accent2 40" xfId="18299" xr:uid="{6D767F56-7AC1-4B40-AEA9-1FF1AB8FECAA}"/>
    <cellStyle name="60% - Accent2 41" xfId="18300" xr:uid="{49A788B9-BCB9-4ECA-8FD8-41934A71CB35}"/>
    <cellStyle name="60% - Accent2 42" xfId="18301" xr:uid="{23B44101-25C1-4464-A3FA-53411210B422}"/>
    <cellStyle name="60% - Accent2 43" xfId="18302" xr:uid="{305ABD89-9800-4696-866D-C996D13A7061}"/>
    <cellStyle name="60% - Accent2 44" xfId="18303" xr:uid="{64301DCF-4AB4-4B5B-B72B-8BE6F4A119A6}"/>
    <cellStyle name="60% - Accent2 45" xfId="18304" xr:uid="{DA2D3D21-6D00-48E2-AA12-35EA2C41E73B}"/>
    <cellStyle name="60% - Accent2 46" xfId="18305" xr:uid="{FF0FBF9F-B6BF-43AA-876F-70D174D99438}"/>
    <cellStyle name="60% - Accent2 47" xfId="18306" xr:uid="{E4C35391-62B1-4C64-BA5D-2F39AEC57CD1}"/>
    <cellStyle name="60% - Accent2 48" xfId="18307" xr:uid="{D7F703FA-EC10-4147-94A7-693630E454CE}"/>
    <cellStyle name="60% - Accent2 49" xfId="18308" xr:uid="{97E19B71-48D8-4570-86C3-0B38AC4A8B3B}"/>
    <cellStyle name="60% - Accent2 5" xfId="18309" xr:uid="{4EAAA30D-B69D-475E-A235-DF97B7D13294}"/>
    <cellStyle name="60% - Accent2 5 2" xfId="37929" xr:uid="{8A267285-A0C8-4E6B-B13F-2BD65FAA78BF}"/>
    <cellStyle name="60% - Accent2 5 3" xfId="37930" xr:uid="{2C767E7F-ED3B-4AA6-9ABF-1CB7204E9FC3}"/>
    <cellStyle name="60% - Accent2 50" xfId="18310" xr:uid="{8044AB0A-F431-4A26-B4AF-C8F217963254}"/>
    <cellStyle name="60% - Accent2 51" xfId="18311" xr:uid="{AA0EBBEB-1B98-4A21-9FAA-F0BB88DE7F9F}"/>
    <cellStyle name="60% - Accent2 52" xfId="18312" xr:uid="{2F4327BB-1C49-438D-B705-DEB0512B8091}"/>
    <cellStyle name="60% - Accent2 53" xfId="18313" xr:uid="{AACE296A-8508-4516-997C-E21F4010929E}"/>
    <cellStyle name="60% - Accent2 54" xfId="18314" xr:uid="{4D0D4307-DD5A-4C70-BD76-A57757305201}"/>
    <cellStyle name="60% - Accent2 55" xfId="18315" xr:uid="{CDACF3B2-4DAB-4582-8163-80137CA08FA0}"/>
    <cellStyle name="60% - Accent2 56" xfId="18316" xr:uid="{9A64E938-D9D7-40A7-90C8-0C2680D9FC00}"/>
    <cellStyle name="60% - Accent2 57" xfId="18317" xr:uid="{3F5AC51A-CFD1-44EE-8AF4-577DFCDC329E}"/>
    <cellStyle name="60% - Accent2 58" xfId="18318" xr:uid="{8CD2893A-CC95-4BB6-8AFE-E9C54B607153}"/>
    <cellStyle name="60% - Accent2 59" xfId="18319" xr:uid="{0084E740-034C-401C-BE32-EBE3F913E2DA}"/>
    <cellStyle name="60% - Accent2 6" xfId="18320" xr:uid="{98490BE0-C332-4712-9DE1-9A447476BA22}"/>
    <cellStyle name="60% - Accent2 6 2" xfId="37931" xr:uid="{179136CE-262C-4E9A-B10B-7DE2227FA5F7}"/>
    <cellStyle name="60% - Accent2 6 3" xfId="37932" xr:uid="{922799EA-022B-4196-B8E8-90D48825AE5D}"/>
    <cellStyle name="60% - Accent2 60" xfId="18321" xr:uid="{37EB0104-4B4B-4728-ADD0-8935A61E93FA}"/>
    <cellStyle name="60% - Accent2 61" xfId="18322" xr:uid="{8CB6B201-B093-44E7-974D-A605C3CCCEC5}"/>
    <cellStyle name="60% - Accent2 62" xfId="18323" xr:uid="{0190D6C9-827F-4DFD-8799-29C63276ED0B}"/>
    <cellStyle name="60% - Accent2 63" xfId="18324" xr:uid="{AEB43426-05BD-4343-869E-44BF83B70C2A}"/>
    <cellStyle name="60% - Accent2 64" xfId="18325" xr:uid="{6F9E815B-8BB9-4F63-9BFF-BC5CB81A0440}"/>
    <cellStyle name="60% - Accent2 65" xfId="18326" xr:uid="{D0B1FBFC-03B9-4FEF-BF17-20957038CFDB}"/>
    <cellStyle name="60% - Accent2 66" xfId="18327" xr:uid="{B509399C-C0F2-42E0-B081-4F4CF58F98CF}"/>
    <cellStyle name="60% - Accent2 67" xfId="18328" xr:uid="{5E671E61-C39A-4687-81BF-EFC784ECFB6B}"/>
    <cellStyle name="60% - Accent2 68" xfId="18329" xr:uid="{9411EA24-D441-4B70-A771-3C32129B6270}"/>
    <cellStyle name="60% - Accent2 69" xfId="18330" xr:uid="{DC08E109-8F6A-48F8-9AAB-BD3DC5D45F97}"/>
    <cellStyle name="60% - Accent2 7" xfId="18331" xr:uid="{22CFAD6B-8939-4899-95DF-51D11F337A4A}"/>
    <cellStyle name="60% - Accent2 7 2" xfId="37933" xr:uid="{6D52DECD-96B6-4C11-B6A8-7B0D3A5008B5}"/>
    <cellStyle name="60% - Accent2 7 3" xfId="37934" xr:uid="{6391300D-C798-49A3-9DB5-81BDAADCE63B}"/>
    <cellStyle name="60% - Accent2 70" xfId="18332" xr:uid="{EFF408E4-ABBB-471D-BAE3-574C02684114}"/>
    <cellStyle name="60% - Accent2 71" xfId="18333" xr:uid="{864AFFD5-91B8-4E89-BCAD-4482F296F615}"/>
    <cellStyle name="60% - Accent2 72" xfId="18334" xr:uid="{38854B96-ED07-48DB-A435-A3F149C5F897}"/>
    <cellStyle name="60% - Accent2 73" xfId="18335" xr:uid="{DB4D0465-F4CF-40FD-96F1-CA9C61B7AF93}"/>
    <cellStyle name="60% - Accent2 74" xfId="18336" xr:uid="{DDF5B333-4C46-4DF6-996B-815B35619DE5}"/>
    <cellStyle name="60% - Accent2 75" xfId="18337" xr:uid="{58D64389-1923-4BCE-AE21-CC2C4449E7F7}"/>
    <cellStyle name="60% - Accent2 76" xfId="18338" xr:uid="{EA67C765-A560-4DC1-97B5-7FE1BFB66B78}"/>
    <cellStyle name="60% - Accent2 77" xfId="18339" xr:uid="{91992701-215B-451B-8DB8-E9FE5E13DCBF}"/>
    <cellStyle name="60% - Accent2 78" xfId="18340" xr:uid="{1A2790D1-A96C-4801-BE84-0B9D99021470}"/>
    <cellStyle name="60% - Accent2 79" xfId="18341" xr:uid="{C5EF258D-D62E-4348-BD05-E94427ECBA1A}"/>
    <cellStyle name="60% - Accent2 8" xfId="18342" xr:uid="{C337B310-D89D-4C1D-B04F-411FAB77DDA3}"/>
    <cellStyle name="60% - Accent2 8 2" xfId="37935" xr:uid="{290050B6-1188-46DC-A2F7-9472546ABC9D}"/>
    <cellStyle name="60% - Accent2 8 3" xfId="37936" xr:uid="{6D511DB5-8CCC-4CCB-A2B8-AE570E675CDB}"/>
    <cellStyle name="60% - Accent2 80" xfId="18343" xr:uid="{E0461FB3-7819-475A-A129-5C6B13F47990}"/>
    <cellStyle name="60% - Accent2 81" xfId="18344" xr:uid="{7B7232BA-BDFC-4346-B043-6A24CF9F1596}"/>
    <cellStyle name="60% - Accent2 82" xfId="18345" xr:uid="{67CAFA1B-EB62-4666-9ABB-7B3DDE38FCFB}"/>
    <cellStyle name="60% - Accent2 83" xfId="18346" xr:uid="{65D8F5BA-7C58-412E-A7AD-78BC749CE86D}"/>
    <cellStyle name="60% - Accent2 84" xfId="18347" xr:uid="{87C6AA21-5EF0-4D60-9550-62D6906D96D3}"/>
    <cellStyle name="60% - Accent2 85" xfId="18348" xr:uid="{D40B5AD2-C965-4AD7-9F13-0B575F55F870}"/>
    <cellStyle name="60% - Accent2 86" xfId="18349" xr:uid="{2C2C283A-C464-474F-88DD-835F4130B284}"/>
    <cellStyle name="60% - Accent2 87" xfId="18350" xr:uid="{A6065F59-C187-4897-AA43-583E9352D051}"/>
    <cellStyle name="60% - Accent2 88" xfId="18351" xr:uid="{FF5AD619-6CB0-4479-9A63-EAFC66788B84}"/>
    <cellStyle name="60% - Accent2 89" xfId="18352" xr:uid="{9A0B7F97-E726-4E7D-85BF-F7F9084B90C5}"/>
    <cellStyle name="60% - Accent2 9" xfId="18353" xr:uid="{A0EDEC53-C07F-4EFA-991D-E3BF88693C21}"/>
    <cellStyle name="60% - Accent2 9 2" xfId="37937" xr:uid="{2251CA5E-A9B3-4362-891A-4D5434EF1B02}"/>
    <cellStyle name="60% - Accent2 9 3" xfId="37938" xr:uid="{391C0581-AD7B-4FE7-9DDA-80E6C2B7B4D7}"/>
    <cellStyle name="60% - Accent2 90" xfId="18354" xr:uid="{6B47DFC8-022A-41FC-BE16-18ABED263DEB}"/>
    <cellStyle name="60% - Accent2 91" xfId="18355" xr:uid="{FC0EC6B7-1FB7-45D0-AB1F-ED99B2C5051A}"/>
    <cellStyle name="60% - Accent2 92" xfId="18356" xr:uid="{EE26887C-403A-4662-8381-4ECBF9ED8906}"/>
    <cellStyle name="60% - Accent2 93" xfId="18357" xr:uid="{D2EBCE65-217F-487C-8660-3A2D3A75FC23}"/>
    <cellStyle name="60% - Accent2 94" xfId="18358" xr:uid="{9037FC65-43B5-4879-A3CA-7AC8C6B17F0D}"/>
    <cellStyle name="60% - Accent2 95" xfId="18359" xr:uid="{2F093465-B4B8-45CA-B28C-8A836FEB19A6}"/>
    <cellStyle name="60% - Accent2 96" xfId="18360" xr:uid="{1C3AF894-B22B-4DCB-BA90-3E90617CCE8F}"/>
    <cellStyle name="60% - Accent2 97" xfId="18361" xr:uid="{5A9F65AA-74FF-4EB2-8BE0-201980C82ED6}"/>
    <cellStyle name="60% - Accent2 98" xfId="18362" xr:uid="{063919CE-9B77-47DC-9190-4FEC2B4A3C77}"/>
    <cellStyle name="60% - Accent2 99" xfId="18363" xr:uid="{1E95DEA7-0054-4F86-9CED-17F3B3AC895E}"/>
    <cellStyle name="60% - Accent3" xfId="41" builtinId="40" hidden="1"/>
    <cellStyle name="60% - Accent3" xfId="115" builtinId="40" customBuiltin="1"/>
    <cellStyle name="60% - Accent3 10" xfId="18364" xr:uid="{582F9340-B1F4-4267-A4CC-FA64541321DC}"/>
    <cellStyle name="60% - Accent3 10 2" xfId="37939" xr:uid="{BAE1A359-5109-4A78-96B0-D234ED715893}"/>
    <cellStyle name="60% - Accent3 10 3" xfId="37940" xr:uid="{229A8F80-F014-4CE4-A8C3-8F8A9CB5F5CB}"/>
    <cellStyle name="60% - Accent3 100" xfId="18365" xr:uid="{CCEBE079-1527-4CCB-9AF8-9CA5993E21FF}"/>
    <cellStyle name="60% - Accent3 101" xfId="18366" xr:uid="{A3B39E46-EFC4-41CE-9C4E-6CCEA158CE78}"/>
    <cellStyle name="60% - Accent3 102" xfId="18367" xr:uid="{987B6088-A211-4156-B65B-A2037181A20B}"/>
    <cellStyle name="60% - Accent3 103" xfId="18368" xr:uid="{101A5D4B-75A5-49BA-B37B-08749B94B4FA}"/>
    <cellStyle name="60% - Accent3 104" xfId="18369" xr:uid="{9084F31F-B2E3-4258-810E-FBB63063F16F}"/>
    <cellStyle name="60% - Accent3 105" xfId="18370" xr:uid="{29C03450-452B-4335-AA36-429A6F2AD8C7}"/>
    <cellStyle name="60% - Accent3 106" xfId="18371" xr:uid="{F05B0AC6-D0A4-4140-B728-41E272381BD9}"/>
    <cellStyle name="60% - Accent3 107" xfId="18372" xr:uid="{4B9950EB-4718-4FA6-B4A0-845EA416264A}"/>
    <cellStyle name="60% - Accent3 108" xfId="18373" xr:uid="{E9F76E7D-1431-4242-A4DF-3AAEDFB67EA2}"/>
    <cellStyle name="60% - Accent3 109" xfId="18374" xr:uid="{2D40A504-5B43-4C6B-808D-C3A9012E41B4}"/>
    <cellStyle name="60% - Accent3 11" xfId="18375" xr:uid="{247183AF-515A-43FA-88FF-468A9A4A15D7}"/>
    <cellStyle name="60% - Accent3 11 2" xfId="37941" xr:uid="{D2B4FA69-0B1C-44F9-906A-E140780C046A}"/>
    <cellStyle name="60% - Accent3 11 3" xfId="37942" xr:uid="{B9E81BBE-48E5-4A69-B9EE-3F80BBA9F13D}"/>
    <cellStyle name="60% - Accent3 110" xfId="18376" xr:uid="{A62E961E-8248-4258-897C-35EFC520D1BD}"/>
    <cellStyle name="60% - Accent3 111" xfId="18377" xr:uid="{1802EA1C-0E3E-422F-A476-13CCF82FDFAF}"/>
    <cellStyle name="60% - Accent3 112" xfId="18378" xr:uid="{E55EFCAB-7BA1-44A0-A897-3999F6009DED}"/>
    <cellStyle name="60% - Accent3 113" xfId="18379" xr:uid="{F696E2AF-CD32-41B2-9BD0-3B2F24F7E822}"/>
    <cellStyle name="60% - Accent3 114" xfId="18380" xr:uid="{071908D6-69A9-46B2-B1D9-184160414426}"/>
    <cellStyle name="60% - Accent3 115" xfId="18381" xr:uid="{C52776C6-DCBE-45B4-B03D-DE985137BF82}"/>
    <cellStyle name="60% - Accent3 116" xfId="18382" xr:uid="{2CFEAA1F-B4A9-4F69-9F1A-F2DD5CAB8E3D}"/>
    <cellStyle name="60% - Accent3 117" xfId="18383" xr:uid="{8D683C64-82D7-408B-AFF4-52368A2AA333}"/>
    <cellStyle name="60% - Accent3 118" xfId="18384" xr:uid="{72111DFE-D989-4D5A-8F81-035387727BEF}"/>
    <cellStyle name="60% - Accent3 119" xfId="18385" xr:uid="{5C1C011E-365C-409C-A7FF-A6AB407A0224}"/>
    <cellStyle name="60% - Accent3 12" xfId="18386" xr:uid="{797E1BB3-BF6D-4C3A-80DF-26AF326F691C}"/>
    <cellStyle name="60% - Accent3 12 2" xfId="37943" xr:uid="{A8466AD4-B387-4D09-B42F-0EECF9020A25}"/>
    <cellStyle name="60% - Accent3 12 3" xfId="37944" xr:uid="{B252E3D8-7220-4034-A821-A5678CFABAE9}"/>
    <cellStyle name="60% - Accent3 120" xfId="18387" xr:uid="{5A48E78A-6574-4BF9-8BCD-ED1F967DC4BA}"/>
    <cellStyle name="60% - Accent3 121" xfId="18388" xr:uid="{4A3BFA75-ACC5-4B77-A719-1DE0F0CEE79C}"/>
    <cellStyle name="60% - Accent3 122" xfId="18389" xr:uid="{776D9A84-3F52-4530-B768-3D6AD94F0CF7}"/>
    <cellStyle name="60% - Accent3 123" xfId="18390" xr:uid="{8F63BBA3-A49F-4040-B1F6-319119891923}"/>
    <cellStyle name="60% - Accent3 124" xfId="18391" xr:uid="{F6AD1A9C-B6C1-444D-8A36-1D21DD8924CE}"/>
    <cellStyle name="60% - Accent3 125" xfId="18392" xr:uid="{33DD47A1-94F9-48D0-BD25-06658C4B2A5C}"/>
    <cellStyle name="60% - Accent3 126" xfId="18393" xr:uid="{253A1AD1-16BB-4407-B01C-234E084A760F}"/>
    <cellStyle name="60% - Accent3 127" xfId="18394" xr:uid="{8AE7BF69-E048-42BE-974B-2D3F8121108A}"/>
    <cellStyle name="60% - Accent3 128" xfId="18395" xr:uid="{8D325F80-A623-4F77-9FFE-39E2A59B5E19}"/>
    <cellStyle name="60% - Accent3 129" xfId="18396" xr:uid="{A3F47055-A14E-4B89-BB9B-6650A7A13394}"/>
    <cellStyle name="60% - Accent3 13" xfId="18397" xr:uid="{4C85E17B-A6C6-4235-87A0-4DF9725E84AB}"/>
    <cellStyle name="60% - Accent3 13 2" xfId="37945" xr:uid="{81DB1FCB-E703-4138-9B77-A608AFCBE0CF}"/>
    <cellStyle name="60% - Accent3 13 3" xfId="37946" xr:uid="{3605760A-84B0-4D0E-A060-6A157992F5ED}"/>
    <cellStyle name="60% - Accent3 130" xfId="18398" xr:uid="{8199B9CC-88C0-4B84-A1F9-51A37B4391C0}"/>
    <cellStyle name="60% - Accent3 131" xfId="18399" xr:uid="{42EC934D-98B7-4CFA-9092-AA056FE98CD7}"/>
    <cellStyle name="60% - Accent3 132" xfId="18400" xr:uid="{27196E3F-647A-4CE2-807F-295E135F0E8F}"/>
    <cellStyle name="60% - Accent3 133" xfId="18401" xr:uid="{7BF9B952-BB3A-4718-B056-990D4419F072}"/>
    <cellStyle name="60% - Accent3 134" xfId="18402" xr:uid="{00546B39-1732-465F-852A-B75F8CC7B6E8}"/>
    <cellStyle name="60% - Accent3 135" xfId="18403" xr:uid="{DEC8B53E-7FDC-4FE4-AC01-1BDFF0DA5DC3}"/>
    <cellStyle name="60% - Accent3 136" xfId="18404" xr:uid="{119ECC6F-E54D-408F-AB71-A57D0F84EABB}"/>
    <cellStyle name="60% - Accent3 137" xfId="18405" xr:uid="{0320BE00-1EB3-480B-9DA5-1A9878BC6B26}"/>
    <cellStyle name="60% - Accent3 138" xfId="18406" xr:uid="{C1D012E7-9A8C-4DD4-86A8-2142E08BC5C3}"/>
    <cellStyle name="60% - Accent3 139" xfId="18407" xr:uid="{97342475-4D54-4393-BA1F-9EC9EE618747}"/>
    <cellStyle name="60% - Accent3 14" xfId="18408" xr:uid="{1C1D2754-F214-460B-9479-CC6DC37725B4}"/>
    <cellStyle name="60% - Accent3 14 2" xfId="37947" xr:uid="{EE344C30-07FE-4F43-9F19-7BDBCDBDA881}"/>
    <cellStyle name="60% - Accent3 14 3" xfId="37948" xr:uid="{D97FE955-00D3-4EFE-B044-98DEBEB98472}"/>
    <cellStyle name="60% - Accent3 140" xfId="18409" xr:uid="{5367BDB3-41B0-4731-88BC-19C3EBB36E35}"/>
    <cellStyle name="60% - Accent3 141" xfId="18410" xr:uid="{FA358C5D-15AA-41F0-BBC7-A674742CCF37}"/>
    <cellStyle name="60% - Accent3 142" xfId="18411" xr:uid="{E3D81666-400F-426F-B275-23DBF78037C5}"/>
    <cellStyle name="60% - Accent3 143" xfId="18412" xr:uid="{418C1BD7-7057-47FF-AD58-463DD38ED4E1}"/>
    <cellStyle name="60% - Accent3 144" xfId="18413" xr:uid="{E0E5F757-FAF7-43AB-8EA2-A68F0389AD5B}"/>
    <cellStyle name="60% - Accent3 145" xfId="18414" xr:uid="{E51DAD56-B81D-4D43-ABA0-84636F4060FD}"/>
    <cellStyle name="60% - Accent3 146" xfId="18415" xr:uid="{1BCCF652-FDA8-45D3-B071-EF5E4E51CACA}"/>
    <cellStyle name="60% - Accent3 147" xfId="18416" xr:uid="{38C365D4-A54E-4730-B6AE-0E19E47EC7AF}"/>
    <cellStyle name="60% - Accent3 148" xfId="18417" xr:uid="{91D69562-0114-4E2D-9EE3-958A2AE81EB2}"/>
    <cellStyle name="60% - Accent3 149" xfId="18418" xr:uid="{CEAE85DC-4504-40EA-83F9-19E4EF7451E5}"/>
    <cellStyle name="60% - Accent3 15" xfId="18419" xr:uid="{248A2A82-5DC1-4929-B095-B53D7151CBC7}"/>
    <cellStyle name="60% - Accent3 15 2" xfId="37949" xr:uid="{E87FFEAA-9DD0-4571-BC1F-AABC9E911963}"/>
    <cellStyle name="60% - Accent3 15 3" xfId="37950" xr:uid="{B3745C68-4AD5-42A9-BC28-91387E0C5EAA}"/>
    <cellStyle name="60% - Accent3 150" xfId="18420" xr:uid="{956A39BD-B5C6-4CC8-B3E1-42CAD4EC7894}"/>
    <cellStyle name="60% - Accent3 151" xfId="18421" xr:uid="{715646C7-B889-4A9B-B354-3AED138BA8DD}"/>
    <cellStyle name="60% - Accent3 152" xfId="18422" xr:uid="{5565619C-C5CB-47B6-B9D2-B9EF409F5100}"/>
    <cellStyle name="60% - Accent3 153" xfId="18423" xr:uid="{04A2C4F5-93AE-47BF-910E-3BAB76350A6C}"/>
    <cellStyle name="60% - Accent3 154" xfId="18424" xr:uid="{1BA9E373-D2FD-43EF-9C39-D4C58F9ED633}"/>
    <cellStyle name="60% - Accent3 155" xfId="18425" xr:uid="{771852D4-EB52-4BDF-B62E-5F356017FAE6}"/>
    <cellStyle name="60% - Accent3 156" xfId="18426" xr:uid="{55E3892D-9FE0-4AA0-985D-D705992AC883}"/>
    <cellStyle name="60% - Accent3 157" xfId="18427" xr:uid="{053B19F0-7462-4BBE-8C4B-E4A44D048427}"/>
    <cellStyle name="60% - Accent3 158" xfId="18428" xr:uid="{857FE001-015F-45D8-9B1E-F0333D9E1FCE}"/>
    <cellStyle name="60% - Accent3 159" xfId="18429" xr:uid="{D066FF70-FB1E-40D4-B97F-A5BDE342CD70}"/>
    <cellStyle name="60% - Accent3 16" xfId="18430" xr:uid="{71A3EA1D-3668-4724-A07D-949A3088716C}"/>
    <cellStyle name="60% - Accent3 16 2" xfId="37951" xr:uid="{AE2395E0-A9EB-4E0C-A41C-F703CE4ABB87}"/>
    <cellStyle name="60% - Accent3 16 3" xfId="37952" xr:uid="{A4F22A76-5366-4508-B19A-3ACDD63C1C55}"/>
    <cellStyle name="60% - Accent3 160" xfId="18431" xr:uid="{2C26511B-4ED9-4013-BC17-D650C171BE0E}"/>
    <cellStyle name="60% - Accent3 17" xfId="18432" xr:uid="{20B4A8FD-0758-4715-BFC1-9C22A165B8CA}"/>
    <cellStyle name="60% - Accent3 17 2" xfId="37953" xr:uid="{5DEB40A0-510E-4559-909B-E6EF11980504}"/>
    <cellStyle name="60% - Accent3 17 3" xfId="37954" xr:uid="{5F894DD6-3237-4A23-A58E-9185C5E823C9}"/>
    <cellStyle name="60% - Accent3 18" xfId="18433" xr:uid="{F3A21370-6F43-4713-A65F-D121943D7B5A}"/>
    <cellStyle name="60% - Accent3 18 2" xfId="37955" xr:uid="{99B6A55C-10DF-401A-90BE-931D9573B090}"/>
    <cellStyle name="60% - Accent3 18 3" xfId="37956" xr:uid="{6FC64119-9682-40C8-8D88-F229953F7371}"/>
    <cellStyle name="60% - Accent3 19" xfId="18434" xr:uid="{344089F0-E22A-4DC7-8C55-0A9434869AB1}"/>
    <cellStyle name="60% - Accent3 19 2" xfId="37957" xr:uid="{4875AF53-F4FC-4094-A9A2-524D8235BCE6}"/>
    <cellStyle name="60% - Accent3 2" xfId="18435" xr:uid="{30477BBF-4A50-4492-9795-1DCDCB08D874}"/>
    <cellStyle name="60% - Accent3 2 2" xfId="18436" xr:uid="{498A86C8-14A6-473F-A5B0-32BD1C19B1E8}"/>
    <cellStyle name="60% - Accent3 2 3" xfId="37958" xr:uid="{0DED90ED-F8C3-4099-A5D3-E07C10BF3510}"/>
    <cellStyle name="60% - Accent3 2 4" xfId="37959" xr:uid="{9798C356-D014-4E8D-AA49-FF8AD9A3CA8A}"/>
    <cellStyle name="60% - Accent3 2 5" xfId="37960" xr:uid="{4B9696DE-575F-4A9C-9AA9-C05BE21EF0B0}"/>
    <cellStyle name="60% - Accent3 20" xfId="18437" xr:uid="{54B30DAC-FA33-4CEE-9FAE-C1992F569E3A}"/>
    <cellStyle name="60% - Accent3 20 2" xfId="37961" xr:uid="{B419C942-B639-4707-862A-670C1F33BF6E}"/>
    <cellStyle name="60% - Accent3 21" xfId="18438" xr:uid="{F60B650B-D02A-41B9-8506-8651E2A1A90B}"/>
    <cellStyle name="60% - Accent3 21 2" xfId="37962" xr:uid="{5370D0AE-6E39-4375-814C-A85B7D169AA3}"/>
    <cellStyle name="60% - Accent3 22" xfId="18439" xr:uid="{B59B1FF9-8E2D-4361-810F-2FB673922C2F}"/>
    <cellStyle name="60% - Accent3 22 2" xfId="37963" xr:uid="{E5631FD9-ECAC-4DE9-BCB1-35B7F3DA0D3C}"/>
    <cellStyle name="60% - Accent3 23" xfId="18440" xr:uid="{22EB69C0-BE80-4A72-A55A-306BDD95ACDE}"/>
    <cellStyle name="60% - Accent3 23 2" xfId="37964" xr:uid="{69EEF69F-6746-48C4-B067-02AC2535AEFB}"/>
    <cellStyle name="60% - Accent3 24" xfId="18441" xr:uid="{A641BC07-687D-4EB5-A4CE-BB8B8118F439}"/>
    <cellStyle name="60% - Accent3 24 2" xfId="37965" xr:uid="{2490E884-A066-4205-AE24-4EF46092F8B6}"/>
    <cellStyle name="60% - Accent3 25" xfId="18442" xr:uid="{A9E7B0F8-A55A-4C57-AD7E-4E5100685CE1}"/>
    <cellStyle name="60% - Accent3 25 2" xfId="37966" xr:uid="{7940CF91-8347-41C7-99EB-B25DAF977FEB}"/>
    <cellStyle name="60% - Accent3 26" xfId="18443" xr:uid="{346FA125-43AA-4FF4-B34D-82007CBBD3E1}"/>
    <cellStyle name="60% - Accent3 26 2" xfId="37967" xr:uid="{1D453CDD-1A58-4CCE-AC01-FD2B11852A7D}"/>
    <cellStyle name="60% - Accent3 27" xfId="18444" xr:uid="{DF2BF3BA-780B-4FEE-B076-09F43CAB575C}"/>
    <cellStyle name="60% - Accent3 27 2" xfId="37968" xr:uid="{B1228526-D728-408C-8477-D54A162381A1}"/>
    <cellStyle name="60% - Accent3 28" xfId="18445" xr:uid="{477A2F7E-AB33-4FF9-9D21-DAA5171F918F}"/>
    <cellStyle name="60% - Accent3 28 2" xfId="37969" xr:uid="{798B7B36-8809-46B6-8A8B-55D0C72C4102}"/>
    <cellStyle name="60% - Accent3 29" xfId="18446" xr:uid="{53DD4931-DA0F-49F0-BBD9-760DF7363716}"/>
    <cellStyle name="60% - Accent3 29 2" xfId="18447" xr:uid="{167C36CA-F5A4-40C4-9537-E98B398F4C5C}"/>
    <cellStyle name="60% - Accent3 29 3" xfId="37970" xr:uid="{E28E8C9D-EB56-4889-B575-A8A8B573433C}"/>
    <cellStyle name="60% - Accent3 3" xfId="18448" xr:uid="{23D1A5EE-F7CA-47D6-9B81-DDD9879A20D6}"/>
    <cellStyle name="60% - Accent3 3 2" xfId="18449" xr:uid="{8BBAB2FC-2C20-493E-8824-4F66424B6E49}"/>
    <cellStyle name="60% - Accent3 3 3" xfId="37971" xr:uid="{4107304E-7ECD-432A-9CDC-A897E3046D4E}"/>
    <cellStyle name="60% - Accent3 3 4" xfId="37972" xr:uid="{6C884E1B-54FF-4016-A70A-3382AEA1B0B4}"/>
    <cellStyle name="60% - Accent3 30" xfId="18450" xr:uid="{62465126-51EA-4913-A2B3-7814344245DC}"/>
    <cellStyle name="60% - Accent3 30 2" xfId="37973" xr:uid="{8CCDDEAD-8BFB-49E5-8512-D496654ABDCE}"/>
    <cellStyle name="60% - Accent3 31" xfId="18451" xr:uid="{59A5EDEB-D8A6-4625-ACF5-0016CA225022}"/>
    <cellStyle name="60% - Accent3 32" xfId="18452" xr:uid="{595B830E-4CC9-43F7-9BD1-1C176209718F}"/>
    <cellStyle name="60% - Accent3 33" xfId="18453" xr:uid="{CE26FDCB-2B7F-412B-A5E7-EAA473D038B6}"/>
    <cellStyle name="60% - Accent3 34" xfId="18454" xr:uid="{8DA41719-C4DE-46B0-B924-33F0DE950C8B}"/>
    <cellStyle name="60% - Accent3 35" xfId="18455" xr:uid="{5E9AAF11-2F28-4C73-9038-3FE82A517182}"/>
    <cellStyle name="60% - Accent3 36" xfId="18456" xr:uid="{DFA363E7-FA57-4A27-8221-F955A024799A}"/>
    <cellStyle name="60% - Accent3 37" xfId="18457" xr:uid="{7ABBD3E9-4010-4A32-BB94-3952D549A01D}"/>
    <cellStyle name="60% - Accent3 38" xfId="18458" xr:uid="{9C5B4648-2F76-479A-AC99-26DD5401C1E7}"/>
    <cellStyle name="60% - Accent3 39" xfId="18459" xr:uid="{C7F6718C-34BF-4AB1-9420-3156FD896F89}"/>
    <cellStyle name="60% - Accent3 4" xfId="18460" xr:uid="{E20CEEE1-D58D-43A1-BB18-C16413B64312}"/>
    <cellStyle name="60% - Accent3 4 2" xfId="37974" xr:uid="{90B3C735-E61B-48CD-8E1F-22A2DCD6E7FF}"/>
    <cellStyle name="60% - Accent3 4 3" xfId="37975" xr:uid="{2826CD98-5F32-4870-9555-E4259232C4F3}"/>
    <cellStyle name="60% - Accent3 40" xfId="18461" xr:uid="{829492D8-346D-41DE-B804-4EC67729C259}"/>
    <cellStyle name="60% - Accent3 41" xfId="18462" xr:uid="{EAE05DE6-09DD-41B7-BED4-D5DFCBEA499E}"/>
    <cellStyle name="60% - Accent3 42" xfId="18463" xr:uid="{6EC32377-F5B8-485F-8CB0-7C4C24E00837}"/>
    <cellStyle name="60% - Accent3 43" xfId="18464" xr:uid="{C8BCEFD8-55E8-49DF-9FD9-AEBB23072230}"/>
    <cellStyle name="60% - Accent3 44" xfId="18465" xr:uid="{615051CC-ED7E-4019-90D8-15E1CA4D8A49}"/>
    <cellStyle name="60% - Accent3 45" xfId="18466" xr:uid="{497DF58F-0B3A-42DC-A763-4CEF6D95FA24}"/>
    <cellStyle name="60% - Accent3 46" xfId="18467" xr:uid="{ACCC5AAB-7186-4155-925E-1A03A09C8D40}"/>
    <cellStyle name="60% - Accent3 47" xfId="18468" xr:uid="{8B1BFD24-CA9C-4FA1-9C3A-BF56EB756906}"/>
    <cellStyle name="60% - Accent3 48" xfId="18469" xr:uid="{A46026C6-BAA8-40C9-8F05-B7E34B6FA4D5}"/>
    <cellStyle name="60% - Accent3 49" xfId="18470" xr:uid="{4413649B-73AA-451A-9F4B-B39D3221E47D}"/>
    <cellStyle name="60% - Accent3 5" xfId="18471" xr:uid="{E6B45011-9977-4883-912C-08F6AECB5C5E}"/>
    <cellStyle name="60% - Accent3 5 2" xfId="37976" xr:uid="{B792C7E4-7E34-4ED3-BC45-83545E31E351}"/>
    <cellStyle name="60% - Accent3 5 3" xfId="37977" xr:uid="{25588F43-FD2C-4628-A040-368F8F620B1A}"/>
    <cellStyle name="60% - Accent3 50" xfId="18472" xr:uid="{D809242C-CD17-4527-9CE9-4E5D5FDD1DE2}"/>
    <cellStyle name="60% - Accent3 51" xfId="18473" xr:uid="{52A4EE34-D4E7-44A9-9C2F-D3C64316FABB}"/>
    <cellStyle name="60% - Accent3 52" xfId="18474" xr:uid="{F15337C3-8F6B-4C80-AC6F-AA18E883C00D}"/>
    <cellStyle name="60% - Accent3 53" xfId="18475" xr:uid="{D632F0FA-45E1-4652-8CAB-848F808E2761}"/>
    <cellStyle name="60% - Accent3 54" xfId="18476" xr:uid="{DF238AF5-6FB1-42B2-B2A9-EDF9EDB310A7}"/>
    <cellStyle name="60% - Accent3 55" xfId="18477" xr:uid="{F52F9A65-C7AF-40B3-9D3F-D2A48C5AED48}"/>
    <cellStyle name="60% - Accent3 56" xfId="18478" xr:uid="{8370AA88-B0A1-4BBB-8995-8F7933E24345}"/>
    <cellStyle name="60% - Accent3 57" xfId="18479" xr:uid="{5650C071-7154-4015-8613-4F44FA24C6DE}"/>
    <cellStyle name="60% - Accent3 58" xfId="18480" xr:uid="{ABB41E0A-6CA8-4B63-9E28-C9EB079DBDC6}"/>
    <cellStyle name="60% - Accent3 59" xfId="18481" xr:uid="{F8F56480-5CDF-4156-B914-F12B81D76B1B}"/>
    <cellStyle name="60% - Accent3 6" xfId="18482" xr:uid="{1953DDFC-4272-4028-B643-70B76C45E13F}"/>
    <cellStyle name="60% - Accent3 6 2" xfId="37978" xr:uid="{9ADE110A-87AA-4B6C-B80C-6576077B3BF5}"/>
    <cellStyle name="60% - Accent3 6 3" xfId="37979" xr:uid="{C2DA9174-FC05-4FB3-9DE6-33EB0D23BFCB}"/>
    <cellStyle name="60% - Accent3 60" xfId="18483" xr:uid="{D2C72F8E-AE1E-4605-9289-26457C654E27}"/>
    <cellStyle name="60% - Accent3 61" xfId="18484" xr:uid="{F80F4FAF-45A8-4462-B261-602C99A12C24}"/>
    <cellStyle name="60% - Accent3 62" xfId="18485" xr:uid="{F04A94F4-F465-4C14-867E-8330943285C1}"/>
    <cellStyle name="60% - Accent3 63" xfId="18486" xr:uid="{8ED879C9-E0B7-43B2-9FF2-7C23D15B62EC}"/>
    <cellStyle name="60% - Accent3 64" xfId="18487" xr:uid="{B2E1FA3A-B3CE-484E-B92E-E105D8FDB5F5}"/>
    <cellStyle name="60% - Accent3 65" xfId="18488" xr:uid="{41BCE2A8-1D1C-44CB-A47D-4A6B3C17741D}"/>
    <cellStyle name="60% - Accent3 66" xfId="18489" xr:uid="{915CCCAD-10B9-43E2-8022-D8AC556006EB}"/>
    <cellStyle name="60% - Accent3 67" xfId="18490" xr:uid="{FBD062DD-A132-4884-A26C-2CBEF8F85B77}"/>
    <cellStyle name="60% - Accent3 68" xfId="18491" xr:uid="{AB584171-3960-49D2-9524-5899F54292BB}"/>
    <cellStyle name="60% - Accent3 69" xfId="18492" xr:uid="{F817DE33-370B-417E-9179-1E9CC04A718A}"/>
    <cellStyle name="60% - Accent3 7" xfId="18493" xr:uid="{D9E52AC3-4901-4C03-B292-D626F8E4FF28}"/>
    <cellStyle name="60% - Accent3 7 2" xfId="37980" xr:uid="{3C7B9C90-5A80-4996-8CFA-6BAA00D7B41B}"/>
    <cellStyle name="60% - Accent3 7 3" xfId="37981" xr:uid="{C3BF1BD6-A9C9-4F4D-A697-F93070AF16B4}"/>
    <cellStyle name="60% - Accent3 70" xfId="18494" xr:uid="{E4B576A4-906D-41EA-8889-2A7C1EB1B2B3}"/>
    <cellStyle name="60% - Accent3 71" xfId="18495" xr:uid="{C9DD92E1-D2A5-4BF0-844E-800F9E113840}"/>
    <cellStyle name="60% - Accent3 72" xfId="18496" xr:uid="{33ECD12B-21C1-46AC-9744-FBA85357F3F2}"/>
    <cellStyle name="60% - Accent3 73" xfId="18497" xr:uid="{39EE2EB9-980C-42C4-B48C-F837E2A671E0}"/>
    <cellStyle name="60% - Accent3 74" xfId="18498" xr:uid="{BFCD01DC-2EC3-4AB9-85CF-E71B1A954486}"/>
    <cellStyle name="60% - Accent3 75" xfId="18499" xr:uid="{F6D71311-EDB0-4239-B521-ED3B8425D576}"/>
    <cellStyle name="60% - Accent3 76" xfId="18500" xr:uid="{09E389D2-6A65-486D-B083-88131DACD967}"/>
    <cellStyle name="60% - Accent3 77" xfId="18501" xr:uid="{2DDDD6DB-ED6A-4700-85B3-336B8D3466DD}"/>
    <cellStyle name="60% - Accent3 78" xfId="18502" xr:uid="{9422EBED-E107-4E51-8AF9-B6272AC4CA95}"/>
    <cellStyle name="60% - Accent3 79" xfId="18503" xr:uid="{1A84B5DB-83EC-44C3-B92C-925D404C3B58}"/>
    <cellStyle name="60% - Accent3 8" xfId="18504" xr:uid="{57082BBB-3472-47A4-A787-EBDDF90978EA}"/>
    <cellStyle name="60% - Accent3 8 2" xfId="37982" xr:uid="{B828015D-552F-4C5B-87B8-82FA4D029679}"/>
    <cellStyle name="60% - Accent3 8 3" xfId="37983" xr:uid="{1C5F7435-C65B-4BE5-96FA-B5E83275AD08}"/>
    <cellStyle name="60% - Accent3 80" xfId="18505" xr:uid="{3418D9F4-EAE6-427D-B36C-F452A0D11486}"/>
    <cellStyle name="60% - Accent3 81" xfId="18506" xr:uid="{5D9001A5-30C7-4FF4-B652-160C3B949320}"/>
    <cellStyle name="60% - Accent3 82" xfId="18507" xr:uid="{9C445A81-31CC-47A4-AC81-9CFC76936288}"/>
    <cellStyle name="60% - Accent3 83" xfId="18508" xr:uid="{50215D3E-E1DC-4963-A866-B03DE779C42E}"/>
    <cellStyle name="60% - Accent3 84" xfId="18509" xr:uid="{67094BBB-0B40-4BB6-A438-C03D8B691167}"/>
    <cellStyle name="60% - Accent3 85" xfId="18510" xr:uid="{B7731277-0035-4FC4-9050-C7273F11C75E}"/>
    <cellStyle name="60% - Accent3 86" xfId="18511" xr:uid="{86B55B81-482F-4D3E-9A57-B7209657A761}"/>
    <cellStyle name="60% - Accent3 87" xfId="18512" xr:uid="{F9973254-5FF6-41D9-9041-992A2F08B6A3}"/>
    <cellStyle name="60% - Accent3 88" xfId="18513" xr:uid="{1BA1ECFB-FD67-4219-B885-72420A5D8070}"/>
    <cellStyle name="60% - Accent3 89" xfId="18514" xr:uid="{3EF46FEF-F2FC-4D04-A797-BFF284B2A22F}"/>
    <cellStyle name="60% - Accent3 9" xfId="18515" xr:uid="{F5C1F07F-2605-4696-8A6D-D7EC3B1FE155}"/>
    <cellStyle name="60% - Accent3 9 2" xfId="37984" xr:uid="{AF6FDF8A-C234-422B-8C66-A4366A8A7E7F}"/>
    <cellStyle name="60% - Accent3 9 3" xfId="37985" xr:uid="{306D22F6-FE68-4F15-BDA6-CFC8AB66DDF2}"/>
    <cellStyle name="60% - Accent3 90" xfId="18516" xr:uid="{4451C88F-CD31-4BCD-A744-D9698F3E60AC}"/>
    <cellStyle name="60% - Accent3 91" xfId="18517" xr:uid="{81DF311B-A1FC-4141-9B90-13B287C1CDB9}"/>
    <cellStyle name="60% - Accent3 92" xfId="18518" xr:uid="{35FEC328-3842-4D2E-AE67-3B9F561A1AF5}"/>
    <cellStyle name="60% - Accent3 93" xfId="18519" xr:uid="{36BCA4E1-2C0A-41A5-9EB8-9588A5F8D7D0}"/>
    <cellStyle name="60% - Accent3 94" xfId="18520" xr:uid="{2003BBA3-185B-4C45-856B-7680BC387019}"/>
    <cellStyle name="60% - Accent3 95" xfId="18521" xr:uid="{2E75347B-C60E-4DD4-AA84-23AB6C028056}"/>
    <cellStyle name="60% - Accent3 96" xfId="18522" xr:uid="{2FED84AA-5D21-49F1-81F7-0B00E29D0377}"/>
    <cellStyle name="60% - Accent3 97" xfId="18523" xr:uid="{17C70C00-AAC1-40E7-B771-E30EB05F9273}"/>
    <cellStyle name="60% - Accent3 98" xfId="18524" xr:uid="{22C112E0-67EC-4B1D-BB1E-EE3FE5FA4BE3}"/>
    <cellStyle name="60% - Accent3 99" xfId="18525" xr:uid="{54DAD6D6-5CB0-4F2F-829B-A2907190BCCF}"/>
    <cellStyle name="60% - Accent4" xfId="45" builtinId="44" hidden="1"/>
    <cellStyle name="60% - Accent4" xfId="119" builtinId="44" customBuiltin="1"/>
    <cellStyle name="60% - Accent4 10" xfId="18526" xr:uid="{1E291647-79B7-4602-B8C7-E58A0B777189}"/>
    <cellStyle name="60% - Accent4 10 2" xfId="37986" xr:uid="{F9AF2FC4-EC42-4AA8-ADDD-6884BE2C4AA1}"/>
    <cellStyle name="60% - Accent4 10 3" xfId="37987" xr:uid="{4AB0DDD9-F0AA-4FD1-9ED7-2025BFEE4BC4}"/>
    <cellStyle name="60% - Accent4 100" xfId="18527" xr:uid="{457849C0-D209-4E6B-936C-6C4D0827FF37}"/>
    <cellStyle name="60% - Accent4 101" xfId="18528" xr:uid="{424F35F6-FB24-4EE8-AAED-AB54BADA020A}"/>
    <cellStyle name="60% - Accent4 102" xfId="18529" xr:uid="{1181EAE8-47EA-4AF8-8861-5385BE232F97}"/>
    <cellStyle name="60% - Accent4 103" xfId="18530" xr:uid="{2CB712EE-78A6-4925-95C0-C3990B78F254}"/>
    <cellStyle name="60% - Accent4 104" xfId="18531" xr:uid="{F8E29304-4170-4273-B5F9-1CC660AA1E13}"/>
    <cellStyle name="60% - Accent4 105" xfId="18532" xr:uid="{2CC20D04-46F2-4C70-8C97-378E889C71DF}"/>
    <cellStyle name="60% - Accent4 106" xfId="18533" xr:uid="{FDA6A69F-5C58-40C6-B423-137AE1892CEF}"/>
    <cellStyle name="60% - Accent4 107" xfId="18534" xr:uid="{31E8BE51-27D7-4486-9090-55EE4EA6D628}"/>
    <cellStyle name="60% - Accent4 108" xfId="18535" xr:uid="{230F78A5-0DA1-4735-A2C2-DB5C22C105BE}"/>
    <cellStyle name="60% - Accent4 109" xfId="18536" xr:uid="{411E5DC4-3347-4269-AF1B-73CFE7C04B64}"/>
    <cellStyle name="60% - Accent4 11" xfId="18537" xr:uid="{9EC74385-2CF4-4FA3-B867-C456183507CA}"/>
    <cellStyle name="60% - Accent4 11 2" xfId="37988" xr:uid="{7947F318-3038-45EF-9B3B-3E14F058E8B4}"/>
    <cellStyle name="60% - Accent4 11 3" xfId="37989" xr:uid="{A2473E4A-C001-4E4E-A7F8-137939D7583A}"/>
    <cellStyle name="60% - Accent4 110" xfId="18538" xr:uid="{7A96EF91-E7A4-4F94-95BA-C42B6EDB88FE}"/>
    <cellStyle name="60% - Accent4 111" xfId="18539" xr:uid="{81B8EC82-3568-4CCD-897C-967D99802E84}"/>
    <cellStyle name="60% - Accent4 112" xfId="18540" xr:uid="{FE04ACD6-E07E-4BC3-B5C7-2866DDE9EBCA}"/>
    <cellStyle name="60% - Accent4 113" xfId="18541" xr:uid="{21E1B930-DED5-4B8D-B503-83023D25249F}"/>
    <cellStyle name="60% - Accent4 114" xfId="18542" xr:uid="{2E6416A1-9127-4512-8BD2-7D51803BE4B5}"/>
    <cellStyle name="60% - Accent4 115" xfId="18543" xr:uid="{88AC2958-FEA7-46C5-8829-D9A51F9A4109}"/>
    <cellStyle name="60% - Accent4 116" xfId="18544" xr:uid="{7ABEFD55-1774-41CF-A7CB-E1D9906D1ED5}"/>
    <cellStyle name="60% - Accent4 117" xfId="18545" xr:uid="{CB8FCCAD-DEDB-4AFC-9F68-03242FE5E7DB}"/>
    <cellStyle name="60% - Accent4 118" xfId="18546" xr:uid="{C8585B9D-4F31-470E-B317-3C640FBE180E}"/>
    <cellStyle name="60% - Accent4 119" xfId="18547" xr:uid="{7724F922-9063-4521-9D0A-BDE21B62FC1E}"/>
    <cellStyle name="60% - Accent4 12" xfId="18548" xr:uid="{364CB535-E13A-49BD-BE71-E03BB33390B0}"/>
    <cellStyle name="60% - Accent4 12 2" xfId="37990" xr:uid="{053588CC-3E15-4765-8679-494D4F6B5D69}"/>
    <cellStyle name="60% - Accent4 12 3" xfId="37991" xr:uid="{F9266775-B2A5-49A0-9138-D0FD61650E0D}"/>
    <cellStyle name="60% - Accent4 120" xfId="18549" xr:uid="{C00E2305-CF58-45E5-AD1A-81F4492EF0C6}"/>
    <cellStyle name="60% - Accent4 121" xfId="18550" xr:uid="{4F28D1C5-80BB-4A3A-A3B8-EFDE79BE14D2}"/>
    <cellStyle name="60% - Accent4 122" xfId="18551" xr:uid="{0D7A49FB-0F4B-4967-A926-3805F0404668}"/>
    <cellStyle name="60% - Accent4 123" xfId="18552" xr:uid="{D603FFAC-A246-40D4-B4FB-93BA7F523BFD}"/>
    <cellStyle name="60% - Accent4 124" xfId="18553" xr:uid="{7A73D07E-C6B0-48CF-9B55-652E2B5B4123}"/>
    <cellStyle name="60% - Accent4 125" xfId="18554" xr:uid="{A47AB65E-BB8E-4812-8BD8-031BD25323AE}"/>
    <cellStyle name="60% - Accent4 126" xfId="18555" xr:uid="{030023CF-E375-4C76-BCEE-2111AA0517B2}"/>
    <cellStyle name="60% - Accent4 127" xfId="18556" xr:uid="{ADF894BA-1953-40C4-8470-5BA3ED2E792F}"/>
    <cellStyle name="60% - Accent4 128" xfId="18557" xr:uid="{EBD67CE0-6F23-408A-B154-8137CB9DF7D2}"/>
    <cellStyle name="60% - Accent4 129" xfId="18558" xr:uid="{CD2FC34B-7F6B-4579-9B53-7A29E9899539}"/>
    <cellStyle name="60% - Accent4 13" xfId="18559" xr:uid="{DCDA8CA5-DDC3-4ACF-8E68-7BC5DBB9C2A8}"/>
    <cellStyle name="60% - Accent4 13 2" xfId="37992" xr:uid="{CB58D64C-A293-4E00-ADFB-7CE0DA3E1184}"/>
    <cellStyle name="60% - Accent4 13 3" xfId="37993" xr:uid="{9AD4A027-53B6-40C9-A008-98D385A82DA9}"/>
    <cellStyle name="60% - Accent4 130" xfId="18560" xr:uid="{815E7F85-FA95-4076-ACC3-49FE616772E0}"/>
    <cellStyle name="60% - Accent4 131" xfId="18561" xr:uid="{477198F3-F4D0-41A7-9142-79D510137149}"/>
    <cellStyle name="60% - Accent4 132" xfId="18562" xr:uid="{E0DF3DF8-2DFF-47E1-9670-1C91F25063B4}"/>
    <cellStyle name="60% - Accent4 133" xfId="18563" xr:uid="{4DD6545E-6B00-4352-B52F-885E6AC5B239}"/>
    <cellStyle name="60% - Accent4 134" xfId="18564" xr:uid="{F36F553F-8041-43C7-8149-4E89D0565646}"/>
    <cellStyle name="60% - Accent4 135" xfId="18565" xr:uid="{6DAE3FB0-A03D-4C77-B545-8B8AC4AFBC60}"/>
    <cellStyle name="60% - Accent4 136" xfId="18566" xr:uid="{656E987B-B605-4AE9-8DC9-9FDCD50618CE}"/>
    <cellStyle name="60% - Accent4 137" xfId="18567" xr:uid="{7BEF286A-C4A0-4C68-A388-3BC10F3AA276}"/>
    <cellStyle name="60% - Accent4 138" xfId="18568" xr:uid="{E81AC337-6F79-4EBE-9EE9-A670142112CC}"/>
    <cellStyle name="60% - Accent4 139" xfId="18569" xr:uid="{1D56A286-1963-46EF-94AF-7ABDE34BB0A8}"/>
    <cellStyle name="60% - Accent4 14" xfId="18570" xr:uid="{4EBF4763-5758-4DA9-9093-85C481525940}"/>
    <cellStyle name="60% - Accent4 14 2" xfId="37994" xr:uid="{36471745-0334-4980-BC10-9C27ECC2CA22}"/>
    <cellStyle name="60% - Accent4 14 3" xfId="37995" xr:uid="{7113D776-6555-43AD-8CD7-8A69D64CE5ED}"/>
    <cellStyle name="60% - Accent4 140" xfId="18571" xr:uid="{A4C49C47-112C-4635-8616-1DECF92C9D5F}"/>
    <cellStyle name="60% - Accent4 141" xfId="18572" xr:uid="{594EF8C9-A09E-4581-84E7-55B2D5325E62}"/>
    <cellStyle name="60% - Accent4 142" xfId="18573" xr:uid="{21D52096-B6D5-4A10-8355-1753DB6158E8}"/>
    <cellStyle name="60% - Accent4 143" xfId="18574" xr:uid="{00CE3585-2C25-43FB-9EDE-0A3D0429F50A}"/>
    <cellStyle name="60% - Accent4 144" xfId="18575" xr:uid="{F4646937-A274-4A51-8F40-9CFCA5BF0D9C}"/>
    <cellStyle name="60% - Accent4 145" xfId="18576" xr:uid="{8632CFE5-8E33-4E11-AC4D-7809A8A63616}"/>
    <cellStyle name="60% - Accent4 146" xfId="18577" xr:uid="{03C3DA11-947D-48BF-B6D3-570638BF9E82}"/>
    <cellStyle name="60% - Accent4 147" xfId="18578" xr:uid="{3F6303B5-A8AB-4BF0-B404-85FAD99EFF97}"/>
    <cellStyle name="60% - Accent4 148" xfId="18579" xr:uid="{E7C489F2-43A8-4B6F-BE86-019DBB086785}"/>
    <cellStyle name="60% - Accent4 149" xfId="18580" xr:uid="{81C4A241-B16D-49C9-AF6E-88DAA1842F04}"/>
    <cellStyle name="60% - Accent4 15" xfId="18581" xr:uid="{7BF8BDEF-F06E-4816-81CA-92DAF87E0D6D}"/>
    <cellStyle name="60% - Accent4 15 2" xfId="37996" xr:uid="{08886D48-226F-45FE-8D32-DC46795AEBAF}"/>
    <cellStyle name="60% - Accent4 15 3" xfId="37997" xr:uid="{A89F0EE0-D555-4F81-A6B9-86E3CB0B1F28}"/>
    <cellStyle name="60% - Accent4 150" xfId="18582" xr:uid="{2A801AE3-C480-4EEC-AC50-3600395DF268}"/>
    <cellStyle name="60% - Accent4 151" xfId="18583" xr:uid="{DEFB28E2-BDB2-4B51-9D26-9431BB3EBAB7}"/>
    <cellStyle name="60% - Accent4 152" xfId="18584" xr:uid="{7A965014-C30A-4051-857F-6CA27AEDAFEA}"/>
    <cellStyle name="60% - Accent4 153" xfId="18585" xr:uid="{BE97C290-112D-4DEF-85DF-5A6AC4BC30DE}"/>
    <cellStyle name="60% - Accent4 154" xfId="18586" xr:uid="{96797F0D-F315-405A-B9FF-AA0F06E88515}"/>
    <cellStyle name="60% - Accent4 155" xfId="18587" xr:uid="{314A2B20-2736-41B2-BDD7-ECFEFB29F502}"/>
    <cellStyle name="60% - Accent4 156" xfId="18588" xr:uid="{46433A2E-044B-4A90-A6FD-684B697AD7D5}"/>
    <cellStyle name="60% - Accent4 157" xfId="18589" xr:uid="{0F7B72BA-33F9-4A8A-9171-94A24D1C4663}"/>
    <cellStyle name="60% - Accent4 158" xfId="18590" xr:uid="{F904D41F-7A1A-408D-963E-7E7F5E18A2C5}"/>
    <cellStyle name="60% - Accent4 159" xfId="18591" xr:uid="{EA7CBE6A-5EE2-4274-B48C-394FF585EB87}"/>
    <cellStyle name="60% - Accent4 16" xfId="18592" xr:uid="{AC9CBBF5-B7C4-4BB2-9F7B-A4C77706E5BD}"/>
    <cellStyle name="60% - Accent4 16 2" xfId="37998" xr:uid="{C6812557-0095-4F7E-A77E-880E26910E0A}"/>
    <cellStyle name="60% - Accent4 16 3" xfId="37999" xr:uid="{F52D94DF-766A-4E1A-BF05-EC54D75A7728}"/>
    <cellStyle name="60% - Accent4 160" xfId="18593" xr:uid="{93EF6BA9-196B-4E51-9D90-FF756A4CE6B4}"/>
    <cellStyle name="60% - Accent4 17" xfId="18594" xr:uid="{40DDCF7C-A706-4936-8C04-18EE156DA436}"/>
    <cellStyle name="60% - Accent4 17 2" xfId="38000" xr:uid="{06114D3A-0750-4836-BE75-2CC98F1FE0BA}"/>
    <cellStyle name="60% - Accent4 17 3" xfId="38001" xr:uid="{D1635A10-8983-4D7D-81FB-422D78A79966}"/>
    <cellStyle name="60% - Accent4 18" xfId="18595" xr:uid="{329DB3B9-8A9A-4E09-9733-73F8CF35C17D}"/>
    <cellStyle name="60% - Accent4 18 2" xfId="38002" xr:uid="{7D4BC953-0AF7-4A15-8E68-7081D73B3F55}"/>
    <cellStyle name="60% - Accent4 18 3" xfId="38003" xr:uid="{3D38DE04-5BBE-4E2C-8536-3545D54CDD84}"/>
    <cellStyle name="60% - Accent4 19" xfId="18596" xr:uid="{4479473A-6765-4826-BB94-98D9F926F3DC}"/>
    <cellStyle name="60% - Accent4 19 2" xfId="38004" xr:uid="{4D491E1A-0ABB-4CEC-BE34-6139024E149A}"/>
    <cellStyle name="60% - Accent4 2" xfId="18597" xr:uid="{D1049B01-89C6-475B-8824-811D8BFE7C24}"/>
    <cellStyle name="60% - Accent4 2 2" xfId="18598" xr:uid="{6E18098F-A956-4A61-B4FF-B18B8C17FB5C}"/>
    <cellStyle name="60% - Accent4 2 3" xfId="38005" xr:uid="{1CBB6065-AD58-40E5-8843-F4E1562EE077}"/>
    <cellStyle name="60% - Accent4 2 4" xfId="38006" xr:uid="{84EFF9C7-D838-415C-ABD6-3AE7DD5EBB12}"/>
    <cellStyle name="60% - Accent4 2 5" xfId="38007" xr:uid="{406B5278-AE6D-4CFF-A379-02865D197846}"/>
    <cellStyle name="60% - Accent4 20" xfId="18599" xr:uid="{D452A6BB-2759-4C33-8823-172801251C17}"/>
    <cellStyle name="60% - Accent4 20 2" xfId="38008" xr:uid="{FFFEC2D5-92DF-4AEB-9312-2BCE79BDF9AE}"/>
    <cellStyle name="60% - Accent4 21" xfId="18600" xr:uid="{85CCAA40-30A3-47AE-8BF0-364DEEB89B2A}"/>
    <cellStyle name="60% - Accent4 21 2" xfId="38009" xr:uid="{D69BED1C-9E67-4FA0-8E25-F99365C3F9FF}"/>
    <cellStyle name="60% - Accent4 22" xfId="18601" xr:uid="{3336401F-F2BC-4C1C-B530-D3C3BF7A8C05}"/>
    <cellStyle name="60% - Accent4 22 2" xfId="38010" xr:uid="{8C732AD2-C368-4E4C-A921-30A00200373F}"/>
    <cellStyle name="60% - Accent4 23" xfId="18602" xr:uid="{71E7EB3D-2790-4700-A7E3-6DC9FE3974F1}"/>
    <cellStyle name="60% - Accent4 23 2" xfId="38011" xr:uid="{12F6C4B6-60A5-437C-97FA-2B9E6075F4D2}"/>
    <cellStyle name="60% - Accent4 24" xfId="18603" xr:uid="{DE49AE68-0F97-4770-B966-F6AAF46FA376}"/>
    <cellStyle name="60% - Accent4 24 2" xfId="38012" xr:uid="{6D50BF40-608C-4085-9002-16DE01890798}"/>
    <cellStyle name="60% - Accent4 25" xfId="18604" xr:uid="{7E013182-A049-4962-9353-B4ABAB0D5EFC}"/>
    <cellStyle name="60% - Accent4 25 2" xfId="38013" xr:uid="{2AC4ABED-69EB-4B6A-A56C-743DB08AA674}"/>
    <cellStyle name="60% - Accent4 26" xfId="18605" xr:uid="{32E284B9-B398-4F74-9AA0-18E90F70A628}"/>
    <cellStyle name="60% - Accent4 26 2" xfId="38014" xr:uid="{9A39B203-733C-4DE3-94AF-2738932E3C81}"/>
    <cellStyle name="60% - Accent4 27" xfId="18606" xr:uid="{B221DDD2-2A05-49AE-9BE0-058A2F60290A}"/>
    <cellStyle name="60% - Accent4 27 2" xfId="38015" xr:uid="{6B47A648-C483-4102-A782-2371C83BB5F2}"/>
    <cellStyle name="60% - Accent4 28" xfId="18607" xr:uid="{76B8F7C2-8469-48DF-ACE9-6FFAABD72D23}"/>
    <cellStyle name="60% - Accent4 28 2" xfId="38016" xr:uid="{D80709EE-84C2-49DE-A7B4-F8E782D631AC}"/>
    <cellStyle name="60% - Accent4 29" xfId="18608" xr:uid="{05EF401B-7341-475A-845F-29B6119E82AC}"/>
    <cellStyle name="60% - Accent4 29 2" xfId="18609" xr:uid="{AE775843-2472-4D74-91BC-C05B39D0672B}"/>
    <cellStyle name="60% - Accent4 29 3" xfId="38017" xr:uid="{B410B3B0-2FF5-488D-A489-42FB7579866E}"/>
    <cellStyle name="60% - Accent4 3" xfId="18610" xr:uid="{8D802344-1F83-4365-B3C7-FA17F7B0896D}"/>
    <cellStyle name="60% - Accent4 3 2" xfId="18611" xr:uid="{82857D76-E2A9-4C94-814B-D2FF1B470866}"/>
    <cellStyle name="60% - Accent4 3 3" xfId="38018" xr:uid="{EBDCA298-1F8F-446E-BB8E-0FD62E6E900D}"/>
    <cellStyle name="60% - Accent4 3 4" xfId="38019" xr:uid="{448FF8DF-0025-4D20-ABB1-492522D25EC9}"/>
    <cellStyle name="60% - Accent4 30" xfId="18612" xr:uid="{FF2DB361-E0C6-456A-B6F4-1CEB1DFA9904}"/>
    <cellStyle name="60% - Accent4 30 2" xfId="38020" xr:uid="{949C1A80-6A2C-4407-B670-CF81ED3C1BE5}"/>
    <cellStyle name="60% - Accent4 31" xfId="18613" xr:uid="{BD699FF5-D1D0-4819-B7BA-7135448D18FA}"/>
    <cellStyle name="60% - Accent4 32" xfId="18614" xr:uid="{E4F5684D-29A3-4371-87D3-9075EE552FDD}"/>
    <cellStyle name="60% - Accent4 33" xfId="18615" xr:uid="{96F490AA-FB9B-466C-BE6C-426004298FEF}"/>
    <cellStyle name="60% - Accent4 34" xfId="18616" xr:uid="{EA9071A0-016C-403A-A17F-CCFE64B540CD}"/>
    <cellStyle name="60% - Accent4 35" xfId="18617" xr:uid="{035D2D5A-50A4-459B-9C83-EFAE4E1F3436}"/>
    <cellStyle name="60% - Accent4 36" xfId="18618" xr:uid="{8B72B646-4AFB-46A9-AFAD-0E590C0504CE}"/>
    <cellStyle name="60% - Accent4 37" xfId="18619" xr:uid="{1B164E34-41AB-462B-8C32-DF2130DCA940}"/>
    <cellStyle name="60% - Accent4 38" xfId="18620" xr:uid="{6121EB2A-57E2-4359-BFC9-634C5E771B70}"/>
    <cellStyle name="60% - Accent4 39" xfId="18621" xr:uid="{61CE6269-C777-4EA8-907E-4B44D87F8B4F}"/>
    <cellStyle name="60% - Accent4 4" xfId="18622" xr:uid="{70C3E79C-8731-476F-B1CB-8CF329B9029D}"/>
    <cellStyle name="60% - Accent4 4 2" xfId="38021" xr:uid="{ADBFB933-FCF7-4258-B7F3-1257DDFCCA07}"/>
    <cellStyle name="60% - Accent4 4 3" xfId="38022" xr:uid="{9C204311-B27B-465F-9723-34E5D4C9EBA9}"/>
    <cellStyle name="60% - Accent4 40" xfId="18623" xr:uid="{3A6B6622-7F86-424B-802F-165F21153BAE}"/>
    <cellStyle name="60% - Accent4 41" xfId="18624" xr:uid="{99B576F5-E58B-49F3-B4B4-4ECB5FB2DD74}"/>
    <cellStyle name="60% - Accent4 42" xfId="18625" xr:uid="{A3D45BDE-D4F6-425E-BDC0-0C08214B95F2}"/>
    <cellStyle name="60% - Accent4 43" xfId="18626" xr:uid="{D7A5692A-DBB9-4C36-BC1E-8FA398F5BD35}"/>
    <cellStyle name="60% - Accent4 44" xfId="18627" xr:uid="{E015E699-D845-4C7A-A170-3E0F9B546573}"/>
    <cellStyle name="60% - Accent4 45" xfId="18628" xr:uid="{276FDB13-F9E0-42EE-8793-D9E935222EC3}"/>
    <cellStyle name="60% - Accent4 46" xfId="18629" xr:uid="{D90D4411-640B-41CE-B00E-845C63FC8137}"/>
    <cellStyle name="60% - Accent4 47" xfId="18630" xr:uid="{B8A91D5B-F127-4D8F-BF33-4C3028BA003F}"/>
    <cellStyle name="60% - Accent4 48" xfId="18631" xr:uid="{488AB2C9-7555-468A-9F52-F80703F4CBCD}"/>
    <cellStyle name="60% - Accent4 49" xfId="18632" xr:uid="{4E0D5D29-A120-40B6-B82D-458A5C979A31}"/>
    <cellStyle name="60% - Accent4 5" xfId="18633" xr:uid="{119F098C-784E-49B7-AE47-94EB1195ED53}"/>
    <cellStyle name="60% - Accent4 5 2" xfId="38023" xr:uid="{C470B159-F467-45FC-BD6E-F23095EF306F}"/>
    <cellStyle name="60% - Accent4 5 3" xfId="38024" xr:uid="{682A6B17-425C-4A22-BDF9-2837131F83B4}"/>
    <cellStyle name="60% - Accent4 50" xfId="18634" xr:uid="{1225E30D-B1ED-4E02-B80F-A8FBD64A0D87}"/>
    <cellStyle name="60% - Accent4 51" xfId="18635" xr:uid="{9D7ECF07-12A0-419A-9612-029EDE7860A1}"/>
    <cellStyle name="60% - Accent4 52" xfId="18636" xr:uid="{47CA515F-F105-49EC-93A9-905593EC21FE}"/>
    <cellStyle name="60% - Accent4 53" xfId="18637" xr:uid="{EF6CC2B4-4B52-490B-AD7E-CACD6F4F9D04}"/>
    <cellStyle name="60% - Accent4 54" xfId="18638" xr:uid="{1298512A-AAC2-4FC0-A9C5-ED4FBE6D41BC}"/>
    <cellStyle name="60% - Accent4 55" xfId="18639" xr:uid="{2BE4C3CC-C20A-4F14-874D-25519C8D121B}"/>
    <cellStyle name="60% - Accent4 56" xfId="18640" xr:uid="{65F93CA2-60BC-41F1-AA42-AD4208380424}"/>
    <cellStyle name="60% - Accent4 57" xfId="18641" xr:uid="{04549BEB-7846-4C2F-B624-D0C10929577B}"/>
    <cellStyle name="60% - Accent4 58" xfId="18642" xr:uid="{12C18828-81A1-4FA9-BB51-845FA454AEB9}"/>
    <cellStyle name="60% - Accent4 59" xfId="18643" xr:uid="{C12EF8A5-40F1-4BB8-A57A-14A47B595919}"/>
    <cellStyle name="60% - Accent4 6" xfId="18644" xr:uid="{DD193F91-2542-474C-A8D3-317FF1468B62}"/>
    <cellStyle name="60% - Accent4 6 2" xfId="38025" xr:uid="{BCDE4B80-8944-449D-9506-42D08E9B052C}"/>
    <cellStyle name="60% - Accent4 6 3" xfId="38026" xr:uid="{942932C9-E5EF-4EA9-A571-DEFEE31CF36F}"/>
    <cellStyle name="60% - Accent4 60" xfId="18645" xr:uid="{A65CEA34-7B30-4683-A9F6-87ADDC0557A2}"/>
    <cellStyle name="60% - Accent4 61" xfId="18646" xr:uid="{0237B402-BAE4-4935-89B4-FD630586AEF2}"/>
    <cellStyle name="60% - Accent4 62" xfId="18647" xr:uid="{9E73473D-3D86-4E76-9580-4EDE30548DC2}"/>
    <cellStyle name="60% - Accent4 63" xfId="18648" xr:uid="{A4559EBB-F0F7-4AD6-81D8-EAAF0AD5CB12}"/>
    <cellStyle name="60% - Accent4 64" xfId="18649" xr:uid="{4135D3DF-1895-4748-87B6-3EC35728E488}"/>
    <cellStyle name="60% - Accent4 65" xfId="18650" xr:uid="{2777FC47-569A-44F2-A830-670EC273CC7B}"/>
    <cellStyle name="60% - Accent4 66" xfId="18651" xr:uid="{DB89F69A-44AE-4863-9043-64306B4788E5}"/>
    <cellStyle name="60% - Accent4 67" xfId="18652" xr:uid="{884570CD-0144-4F98-8A42-9347C4074775}"/>
    <cellStyle name="60% - Accent4 68" xfId="18653" xr:uid="{36ABB373-E4CC-49FC-8E6F-78AA9579FD7E}"/>
    <cellStyle name="60% - Accent4 69" xfId="18654" xr:uid="{18F0C20B-1003-4D52-A3E7-74D0393ED1DC}"/>
    <cellStyle name="60% - Accent4 7" xfId="18655" xr:uid="{B5958EB8-6627-4FDA-8990-F00893897DB5}"/>
    <cellStyle name="60% - Accent4 7 2" xfId="38027" xr:uid="{691B717C-79EA-4D1F-961E-E786FC61E70E}"/>
    <cellStyle name="60% - Accent4 7 3" xfId="38028" xr:uid="{FD591D27-A0B1-4BFA-B26E-E7749562E3DB}"/>
    <cellStyle name="60% - Accent4 70" xfId="18656" xr:uid="{3626BB83-3E32-4DBF-9640-AA1C366519A8}"/>
    <cellStyle name="60% - Accent4 71" xfId="18657" xr:uid="{66545D27-DF98-406E-9313-23C85D44F295}"/>
    <cellStyle name="60% - Accent4 72" xfId="18658" xr:uid="{5EAF14AF-98A4-4282-994F-28E55FF8D119}"/>
    <cellStyle name="60% - Accent4 73" xfId="18659" xr:uid="{DC8F2F06-269D-462C-91E0-EAE7B88452AF}"/>
    <cellStyle name="60% - Accent4 74" xfId="18660" xr:uid="{3F96CB78-7EBF-4D6B-82FF-DBB683D51DAD}"/>
    <cellStyle name="60% - Accent4 75" xfId="18661" xr:uid="{86BE8491-6858-44CB-BF01-CDA50EAE20E0}"/>
    <cellStyle name="60% - Accent4 76" xfId="18662" xr:uid="{1E478EFD-6A75-400D-8B06-3B46A65EE311}"/>
    <cellStyle name="60% - Accent4 77" xfId="18663" xr:uid="{2A3B09D9-04AC-4D08-886B-9043FF5BFA71}"/>
    <cellStyle name="60% - Accent4 78" xfId="18664" xr:uid="{102960F3-BD09-43BD-91C6-B79B339D0855}"/>
    <cellStyle name="60% - Accent4 79" xfId="18665" xr:uid="{261FDA10-47C4-41CC-A444-435658CEAA1E}"/>
    <cellStyle name="60% - Accent4 8" xfId="18666" xr:uid="{1177C4D2-BC6B-46E9-B4D2-9B907B8F9A91}"/>
    <cellStyle name="60% - Accent4 8 2" xfId="38029" xr:uid="{C17D009C-9D5E-4A9D-AF13-439DFFCC2E21}"/>
    <cellStyle name="60% - Accent4 8 3" xfId="38030" xr:uid="{BD59EDC5-10DC-4BB9-9EFC-363F5524E8D9}"/>
    <cellStyle name="60% - Accent4 80" xfId="18667" xr:uid="{2E38F826-CFFA-4B09-B66E-B597BC75FD87}"/>
    <cellStyle name="60% - Accent4 81" xfId="18668" xr:uid="{D4B7CE0E-5380-4875-8358-76A52988355D}"/>
    <cellStyle name="60% - Accent4 82" xfId="18669" xr:uid="{91B63BBE-9C2F-490A-B5C0-B755FC713372}"/>
    <cellStyle name="60% - Accent4 83" xfId="18670" xr:uid="{BDC080E1-A80E-4C3F-AD54-F4B74DBCA81B}"/>
    <cellStyle name="60% - Accent4 84" xfId="18671" xr:uid="{959CF270-216A-416F-AB79-26F65354FCD6}"/>
    <cellStyle name="60% - Accent4 85" xfId="18672" xr:uid="{E2ED960A-8215-417B-A917-164A7237A785}"/>
    <cellStyle name="60% - Accent4 86" xfId="18673" xr:uid="{BB684412-DC19-4C77-B940-58418EC2D496}"/>
    <cellStyle name="60% - Accent4 87" xfId="18674" xr:uid="{D0D53C66-5E15-4413-858D-B611E8CD1945}"/>
    <cellStyle name="60% - Accent4 88" xfId="18675" xr:uid="{F58BAE27-45D0-463F-BDF1-E5191571358D}"/>
    <cellStyle name="60% - Accent4 89" xfId="18676" xr:uid="{1CE9F7C8-31E2-456F-96CE-882667063392}"/>
    <cellStyle name="60% - Accent4 9" xfId="18677" xr:uid="{1452F669-9A98-4200-A2D8-57A790EB508C}"/>
    <cellStyle name="60% - Accent4 9 2" xfId="38031" xr:uid="{13CD57A8-EBFB-44CC-81CC-06D539336CF2}"/>
    <cellStyle name="60% - Accent4 9 3" xfId="38032" xr:uid="{5C0B265B-C104-4788-B429-AE019A1F4102}"/>
    <cellStyle name="60% - Accent4 90" xfId="18678" xr:uid="{641C8A5C-4506-4ED9-A5E4-A5567598A4A2}"/>
    <cellStyle name="60% - Accent4 91" xfId="18679" xr:uid="{27086B00-6277-4BFB-ACD5-901DDDE15F57}"/>
    <cellStyle name="60% - Accent4 92" xfId="18680" xr:uid="{0D13F450-DA95-4A43-8A5D-A0C63D150665}"/>
    <cellStyle name="60% - Accent4 93" xfId="18681" xr:uid="{FCC5400B-F426-4D16-BF89-E6816300716F}"/>
    <cellStyle name="60% - Accent4 94" xfId="18682" xr:uid="{F5EA1E75-78B4-4B6F-97C9-8C91AC6983CB}"/>
    <cellStyle name="60% - Accent4 95" xfId="18683" xr:uid="{9F57A6F6-B3DC-4508-AA5B-74BF74FA1ECC}"/>
    <cellStyle name="60% - Accent4 96" xfId="18684" xr:uid="{3ED98E73-6C20-4361-A571-9358E0545061}"/>
    <cellStyle name="60% - Accent4 97" xfId="18685" xr:uid="{014687A5-B235-43C5-8FFA-424C47EB10B3}"/>
    <cellStyle name="60% - Accent4 98" xfId="18686" xr:uid="{8662AF82-DD52-456F-B819-FAB833838287}"/>
    <cellStyle name="60% - Accent4 99" xfId="18687" xr:uid="{0EBF9E6C-1990-4321-A38E-547989F31702}"/>
    <cellStyle name="60% - Accent5" xfId="49" builtinId="48" hidden="1"/>
    <cellStyle name="60% - Accent5" xfId="123" builtinId="48" customBuiltin="1"/>
    <cellStyle name="60% - Accent5 10" xfId="18688" xr:uid="{66EB28C1-3C2B-49A8-BCD4-B228CDBF05EF}"/>
    <cellStyle name="60% - Accent5 10 2" xfId="38033" xr:uid="{A1A7A4BC-5ED2-4F06-9678-1F3D5691A77B}"/>
    <cellStyle name="60% - Accent5 10 3" xfId="38034" xr:uid="{36F5E82F-461B-43FD-8E4D-543E5F08AF85}"/>
    <cellStyle name="60% - Accent5 100" xfId="18689" xr:uid="{C76A162E-1751-4526-AF62-CAB539644043}"/>
    <cellStyle name="60% - Accent5 101" xfId="18690" xr:uid="{5F201168-C8B5-4D7B-9432-F5B8B216A5A5}"/>
    <cellStyle name="60% - Accent5 102" xfId="18691" xr:uid="{095D184D-36E9-4BA5-94EE-5FAB78EF3133}"/>
    <cellStyle name="60% - Accent5 103" xfId="18692" xr:uid="{89AF943A-3A39-4BDA-B27D-25787EA83069}"/>
    <cellStyle name="60% - Accent5 104" xfId="18693" xr:uid="{70379BE9-79C4-4597-BAD2-9F79D0F3929A}"/>
    <cellStyle name="60% - Accent5 105" xfId="18694" xr:uid="{CFE2547C-D733-4E68-B952-09DA1BF192C7}"/>
    <cellStyle name="60% - Accent5 106" xfId="18695" xr:uid="{3B4DA21B-E161-43F1-8CDE-B207B2C0060F}"/>
    <cellStyle name="60% - Accent5 107" xfId="18696" xr:uid="{6E869302-05EA-44EA-8AD2-8EA248316304}"/>
    <cellStyle name="60% - Accent5 108" xfId="18697" xr:uid="{47C45942-8F24-4C6C-AE81-773EC1383C79}"/>
    <cellStyle name="60% - Accent5 109" xfId="18698" xr:uid="{2DC7F6BE-4699-480C-8C0D-7A408F373712}"/>
    <cellStyle name="60% - Accent5 11" xfId="18699" xr:uid="{A6FF4AB6-1504-43BF-BBE5-5AD66EDD092D}"/>
    <cellStyle name="60% - Accent5 11 2" xfId="38035" xr:uid="{BE7935D5-D752-49B5-A992-7A3F7CECCF0F}"/>
    <cellStyle name="60% - Accent5 11 3" xfId="38036" xr:uid="{010EF9E2-30B7-420E-91A1-EC39BFABDF97}"/>
    <cellStyle name="60% - Accent5 110" xfId="18700" xr:uid="{0D5F9E6F-62B1-45CD-ACE5-DD0208EBF8B5}"/>
    <cellStyle name="60% - Accent5 111" xfId="18701" xr:uid="{46239FD7-CF1B-452E-8356-B7C3ACCC7C38}"/>
    <cellStyle name="60% - Accent5 112" xfId="18702" xr:uid="{2FB863A2-B91F-470A-930F-F218C0AE7F5F}"/>
    <cellStyle name="60% - Accent5 113" xfId="18703" xr:uid="{0B308DBF-5A39-4182-B80A-7FCFE85C8B9E}"/>
    <cellStyle name="60% - Accent5 114" xfId="18704" xr:uid="{36682184-08B5-4BB6-8EC7-4BC1430BD93D}"/>
    <cellStyle name="60% - Accent5 115" xfId="18705" xr:uid="{093D91F0-5B00-4947-9028-811CD3BAF4A3}"/>
    <cellStyle name="60% - Accent5 116" xfId="18706" xr:uid="{64897C65-0EF4-4D1C-8BA5-DCE14C1BA575}"/>
    <cellStyle name="60% - Accent5 117" xfId="18707" xr:uid="{CAED6C49-320B-446E-9CC5-87DB0ABCEF88}"/>
    <cellStyle name="60% - Accent5 118" xfId="18708" xr:uid="{AFA485CC-7148-4683-B5D9-40DF777F23BC}"/>
    <cellStyle name="60% - Accent5 119" xfId="18709" xr:uid="{175A907E-4F33-4230-9C4C-6B7C6BF9EA7E}"/>
    <cellStyle name="60% - Accent5 12" xfId="18710" xr:uid="{EE0C872C-1B06-4D68-8847-638EC922D336}"/>
    <cellStyle name="60% - Accent5 12 2" xfId="38037" xr:uid="{696828EF-1573-41CD-93A4-02DBFAF400E2}"/>
    <cellStyle name="60% - Accent5 12 3" xfId="38038" xr:uid="{9BCC5B1F-DFC6-4C73-94E8-90FF9EF8B493}"/>
    <cellStyle name="60% - Accent5 120" xfId="18711" xr:uid="{CF8E7B2A-E3AA-4307-8C41-F6AC7D7118C4}"/>
    <cellStyle name="60% - Accent5 121" xfId="18712" xr:uid="{ABF21CE9-C60A-4849-B369-736B0F6C2623}"/>
    <cellStyle name="60% - Accent5 122" xfId="18713" xr:uid="{ED9909DA-8496-405D-B690-0B95538C8D82}"/>
    <cellStyle name="60% - Accent5 123" xfId="18714" xr:uid="{D4DB6FA3-A63B-4F7F-9E7A-946DEA94E16F}"/>
    <cellStyle name="60% - Accent5 124" xfId="18715" xr:uid="{35084A74-0BCE-426D-BABE-77179CED9281}"/>
    <cellStyle name="60% - Accent5 125" xfId="18716" xr:uid="{60A36353-B2B6-4066-8A78-1C49DE4061F7}"/>
    <cellStyle name="60% - Accent5 126" xfId="18717" xr:uid="{28A58CA8-01C1-47AB-B251-BF5841DA54F1}"/>
    <cellStyle name="60% - Accent5 127" xfId="18718" xr:uid="{7E144C0A-FFFA-444A-8D5B-336BD59A336E}"/>
    <cellStyle name="60% - Accent5 128" xfId="18719" xr:uid="{6D8CC6A4-522C-483E-A8F7-AFE1A1252615}"/>
    <cellStyle name="60% - Accent5 129" xfId="18720" xr:uid="{D606CDDE-08FF-430E-BDD0-CD7E384566CE}"/>
    <cellStyle name="60% - Accent5 13" xfId="18721" xr:uid="{651D7F4B-2CDF-438B-AA0A-FF3061106C16}"/>
    <cellStyle name="60% - Accent5 13 2" xfId="38039" xr:uid="{6621710E-0CAA-4F6A-8759-275C06D8289F}"/>
    <cellStyle name="60% - Accent5 13 3" xfId="38040" xr:uid="{08ACEFBC-84C4-42C3-BD01-46381B6FA83E}"/>
    <cellStyle name="60% - Accent5 130" xfId="18722" xr:uid="{2606F0E2-BDE9-4D1F-B108-66A7A3628BEA}"/>
    <cellStyle name="60% - Accent5 131" xfId="18723" xr:uid="{3524A22F-7B84-45CF-BF0C-DBC7102374B2}"/>
    <cellStyle name="60% - Accent5 132" xfId="18724" xr:uid="{9D30A38F-CBC5-4AD6-907A-71467B267CF6}"/>
    <cellStyle name="60% - Accent5 133" xfId="18725" xr:uid="{DD729E72-01AF-4DB8-B05B-836087FADD12}"/>
    <cellStyle name="60% - Accent5 134" xfId="18726" xr:uid="{091C4786-2C55-4ABA-B1F0-170A3C84B969}"/>
    <cellStyle name="60% - Accent5 135" xfId="18727" xr:uid="{B97FBF7C-3477-4F75-A8AC-A8EE2AD1CC70}"/>
    <cellStyle name="60% - Accent5 136" xfId="18728" xr:uid="{C4878B60-1986-4EF6-80A9-29212E7B304F}"/>
    <cellStyle name="60% - Accent5 137" xfId="18729" xr:uid="{0EA674D6-C55E-43A9-8D5F-21366A419938}"/>
    <cellStyle name="60% - Accent5 138" xfId="18730" xr:uid="{EABDE047-C404-40FB-8697-6F2712D0AC38}"/>
    <cellStyle name="60% - Accent5 139" xfId="18731" xr:uid="{7E44E4FE-8B69-43D9-81FA-525D04638860}"/>
    <cellStyle name="60% - Accent5 14" xfId="18732" xr:uid="{955030ED-30BA-496C-A80B-9CDE335EBD73}"/>
    <cellStyle name="60% - Accent5 14 2" xfId="38041" xr:uid="{5CED1770-0863-441A-9674-DF6E443FF213}"/>
    <cellStyle name="60% - Accent5 14 3" xfId="38042" xr:uid="{7B26D96E-B902-4D98-9372-8C5E50F1F579}"/>
    <cellStyle name="60% - Accent5 140" xfId="18733" xr:uid="{1C1EDDD8-21BE-457E-8640-228F710C3910}"/>
    <cellStyle name="60% - Accent5 141" xfId="18734" xr:uid="{0C4C9EFF-E3E3-423B-AA61-0027478FE26B}"/>
    <cellStyle name="60% - Accent5 142" xfId="18735" xr:uid="{BC68FF45-BEFF-4E9C-92CE-E8A63652C013}"/>
    <cellStyle name="60% - Accent5 143" xfId="18736" xr:uid="{C4B4931C-5B73-460F-989A-107992668B2D}"/>
    <cellStyle name="60% - Accent5 144" xfId="18737" xr:uid="{61A9F4F0-9CD0-4ADF-B0A5-C78860F64011}"/>
    <cellStyle name="60% - Accent5 145" xfId="18738" xr:uid="{3D67BAFC-F8D9-4FD4-BF18-432FB070BD4F}"/>
    <cellStyle name="60% - Accent5 146" xfId="18739" xr:uid="{67E82880-392F-4FAA-AE69-57E512542FC2}"/>
    <cellStyle name="60% - Accent5 147" xfId="18740" xr:uid="{D2992A5A-1188-456B-AB47-70346A4A68A1}"/>
    <cellStyle name="60% - Accent5 148" xfId="18741" xr:uid="{77526341-DD22-4E8A-B088-2944415284A5}"/>
    <cellStyle name="60% - Accent5 149" xfId="18742" xr:uid="{FAF9E5BB-44EA-4A4A-AE61-830C1D537C40}"/>
    <cellStyle name="60% - Accent5 15" xfId="18743" xr:uid="{F922697F-7AA3-455F-AB63-C5745F3D7932}"/>
    <cellStyle name="60% - Accent5 15 2" xfId="38043" xr:uid="{A0775C7E-2F06-46CD-8615-C6723FB7969A}"/>
    <cellStyle name="60% - Accent5 15 3" xfId="38044" xr:uid="{DCB0648F-2D6D-40F7-A497-84EE083C5AF7}"/>
    <cellStyle name="60% - Accent5 150" xfId="18744" xr:uid="{4244D720-F4F1-4FC7-83B3-3C5DB9545913}"/>
    <cellStyle name="60% - Accent5 151" xfId="18745" xr:uid="{E126E4DB-3C8B-47C0-8A95-A90A3856DCBB}"/>
    <cellStyle name="60% - Accent5 152" xfId="18746" xr:uid="{41C6E1EB-2286-4455-8F5F-9ECDF2D11278}"/>
    <cellStyle name="60% - Accent5 153" xfId="18747" xr:uid="{C7D98E79-37CB-49E7-9570-A9A88BB84F91}"/>
    <cellStyle name="60% - Accent5 154" xfId="18748" xr:uid="{408D8F99-E794-4684-95F0-5A0E912B8FAE}"/>
    <cellStyle name="60% - Accent5 155" xfId="18749" xr:uid="{E63FBA52-B637-413A-95A6-845CD4D0BD28}"/>
    <cellStyle name="60% - Accent5 156" xfId="18750" xr:uid="{95454D7A-E01C-4B4B-BE2A-7977141798BC}"/>
    <cellStyle name="60% - Accent5 157" xfId="18751" xr:uid="{65763ED0-CD71-4B11-A957-6E493DE89674}"/>
    <cellStyle name="60% - Accent5 158" xfId="18752" xr:uid="{F90CC42B-5FC9-41A7-85D8-0FFCF87006D8}"/>
    <cellStyle name="60% - Accent5 159" xfId="18753" xr:uid="{190BE06A-BBC3-40FF-9E0B-BC817F513FDE}"/>
    <cellStyle name="60% - Accent5 16" xfId="18754" xr:uid="{35235995-EFA2-494E-B6BB-45BBDA8A7073}"/>
    <cellStyle name="60% - Accent5 16 2" xfId="38045" xr:uid="{6B6C5D16-DDCE-4D4A-8CDB-0E7B7D576506}"/>
    <cellStyle name="60% - Accent5 16 3" xfId="38046" xr:uid="{F84647A5-FAF6-4EC3-82D4-4C52F01148F5}"/>
    <cellStyle name="60% - Accent5 160" xfId="18755" xr:uid="{1534B103-C145-4435-8D5C-2857B43352B7}"/>
    <cellStyle name="60% - Accent5 17" xfId="18756" xr:uid="{FF7E9DC6-1FF5-47C8-8415-A943CD3505DA}"/>
    <cellStyle name="60% - Accent5 17 2" xfId="38047" xr:uid="{44232B7E-7115-4BED-8C8A-8C40093F7D18}"/>
    <cellStyle name="60% - Accent5 17 3" xfId="38048" xr:uid="{3EA4102D-0DE0-4994-BA56-7C1506BEBB15}"/>
    <cellStyle name="60% - Accent5 18" xfId="18757" xr:uid="{5E16CC92-2BB0-417B-8CAA-15ECEFA0B2F6}"/>
    <cellStyle name="60% - Accent5 18 2" xfId="38049" xr:uid="{06BD4941-9A3E-43B3-843A-F21D3BE9F16E}"/>
    <cellStyle name="60% - Accent5 18 3" xfId="38050" xr:uid="{00274B4E-BEAF-45ED-84EF-42EB829FBA36}"/>
    <cellStyle name="60% - Accent5 19" xfId="18758" xr:uid="{AEFA469C-0C91-49B6-97AB-12BE65C9CC2A}"/>
    <cellStyle name="60% - Accent5 19 2" xfId="38051" xr:uid="{AEED9F7C-C244-45E5-8467-71A3849D344F}"/>
    <cellStyle name="60% - Accent5 2" xfId="18759" xr:uid="{0454252D-2DDF-45B2-97A3-F8186656202E}"/>
    <cellStyle name="60% - Accent5 2 2" xfId="18760" xr:uid="{CBA321DA-FAFE-4651-9C8D-8F98BDDA6639}"/>
    <cellStyle name="60% - Accent5 2 3" xfId="38052" xr:uid="{13B54C81-9B72-48FF-A449-0E011C9D4B64}"/>
    <cellStyle name="60% - Accent5 2 4" xfId="38053" xr:uid="{CA334F4E-4F6E-4771-80C0-EE01A99800B2}"/>
    <cellStyle name="60% - Accent5 2 5" xfId="38054" xr:uid="{B221BAA2-27E3-4DCC-AA4D-D04BA7F0309E}"/>
    <cellStyle name="60% - Accent5 20" xfId="18761" xr:uid="{3BD3C161-57B5-4542-AF0C-5DAFC979A016}"/>
    <cellStyle name="60% - Accent5 20 2" xfId="38055" xr:uid="{A3BF5094-2808-4306-8293-5AE06C5C7F54}"/>
    <cellStyle name="60% - Accent5 21" xfId="18762" xr:uid="{6D58F627-8A88-4C8C-B614-72C7587F7BC1}"/>
    <cellStyle name="60% - Accent5 21 2" xfId="38056" xr:uid="{BDF1D5B0-98A1-44A9-8C8F-370D8ACBACB0}"/>
    <cellStyle name="60% - Accent5 22" xfId="18763" xr:uid="{964EFA74-1F10-4F67-881C-8E798CFADC6C}"/>
    <cellStyle name="60% - Accent5 22 2" xfId="38057" xr:uid="{0E85DB31-F115-4D16-9188-52A67DE0568A}"/>
    <cellStyle name="60% - Accent5 23" xfId="18764" xr:uid="{D62325C9-8B73-492C-A524-139A6672C456}"/>
    <cellStyle name="60% - Accent5 23 2" xfId="38058" xr:uid="{60FCE394-FBFB-40CD-977C-642006F96F4C}"/>
    <cellStyle name="60% - Accent5 24" xfId="18765" xr:uid="{718AC4EA-3B66-4777-BC9C-62B50026EB0B}"/>
    <cellStyle name="60% - Accent5 24 2" xfId="38059" xr:uid="{B9AA8215-9A6B-4F37-AE2F-2579425D5BB8}"/>
    <cellStyle name="60% - Accent5 25" xfId="18766" xr:uid="{A6ED4075-FABC-43DE-A0D4-D4E343794D3F}"/>
    <cellStyle name="60% - Accent5 25 2" xfId="38060" xr:uid="{C353077C-70F6-45F7-B02F-B279410D761A}"/>
    <cellStyle name="60% - Accent5 26" xfId="18767" xr:uid="{64382679-D789-47FA-868E-7E56542ADEF9}"/>
    <cellStyle name="60% - Accent5 26 2" xfId="38061" xr:uid="{B73493B0-657A-4A76-AEFC-AB1D2C22E717}"/>
    <cellStyle name="60% - Accent5 27" xfId="18768" xr:uid="{E109E0E9-C21D-4FBF-A0F3-6D15B3C17AC3}"/>
    <cellStyle name="60% - Accent5 27 2" xfId="38062" xr:uid="{845582DA-D42F-4716-9C60-223B969FE51A}"/>
    <cellStyle name="60% - Accent5 28" xfId="18769" xr:uid="{48A5924D-3B67-4A89-819E-B56EC15383D0}"/>
    <cellStyle name="60% - Accent5 28 2" xfId="38063" xr:uid="{7265D601-80DE-4F0E-80DA-D7756B31B05D}"/>
    <cellStyle name="60% - Accent5 29" xfId="18770" xr:uid="{7AF79A61-3D33-489C-8B33-8B7C0FE67C86}"/>
    <cellStyle name="60% - Accent5 29 2" xfId="18771" xr:uid="{50A8FEFD-C133-43B1-B531-0B5F060107F6}"/>
    <cellStyle name="60% - Accent5 29 3" xfId="38064" xr:uid="{5ED71B03-7E81-4867-9FD7-15D73C93B018}"/>
    <cellStyle name="60% - Accent5 3" xfId="18772" xr:uid="{6B67AF71-E4E1-440A-821B-20A27501B0C8}"/>
    <cellStyle name="60% - Accent5 3 2" xfId="18773" xr:uid="{082BC3AC-5B20-46AB-820D-9BCA2AFCD41B}"/>
    <cellStyle name="60% - Accent5 3 3" xfId="38065" xr:uid="{04588E4B-3539-497F-8844-835619C4C6DE}"/>
    <cellStyle name="60% - Accent5 3 4" xfId="38066" xr:uid="{5AF218BE-A632-4BBB-A64E-EB821F50D5C9}"/>
    <cellStyle name="60% - Accent5 30" xfId="18774" xr:uid="{E8A823A5-91FC-43AC-BD04-144CF6908163}"/>
    <cellStyle name="60% - Accent5 30 2" xfId="38067" xr:uid="{6DEB3D83-7F3A-4244-BB28-63552598AE6F}"/>
    <cellStyle name="60% - Accent5 31" xfId="18775" xr:uid="{C7B9D266-163C-407D-A14B-CA8D5ED3E3F6}"/>
    <cellStyle name="60% - Accent5 32" xfId="18776" xr:uid="{7A46B099-7F60-4890-8CB8-E786A84A56F3}"/>
    <cellStyle name="60% - Accent5 33" xfId="18777" xr:uid="{383965E3-221E-4703-9C02-6DE8CF77FA8C}"/>
    <cellStyle name="60% - Accent5 34" xfId="18778" xr:uid="{1CB5CE62-F630-4E2B-92A2-2F321260BBF5}"/>
    <cellStyle name="60% - Accent5 35" xfId="18779" xr:uid="{AC2E24F8-75C3-430E-988B-FA4D0A5FB580}"/>
    <cellStyle name="60% - Accent5 36" xfId="18780" xr:uid="{4916FD33-9247-49CA-A1EF-AC955AFC8274}"/>
    <cellStyle name="60% - Accent5 37" xfId="18781" xr:uid="{17985249-918F-45C1-9C8F-B033BFB36750}"/>
    <cellStyle name="60% - Accent5 38" xfId="18782" xr:uid="{AF205931-1AA7-4A39-9576-2A10F42DD706}"/>
    <cellStyle name="60% - Accent5 39" xfId="18783" xr:uid="{4EAC1E16-8042-4573-9729-019F052B778E}"/>
    <cellStyle name="60% - Accent5 4" xfId="18784" xr:uid="{99A61964-005F-4BC0-964B-A0A588604FAA}"/>
    <cellStyle name="60% - Accent5 4 2" xfId="38068" xr:uid="{C38F7A5D-A52B-4BA2-8C1A-E30DF6445EB2}"/>
    <cellStyle name="60% - Accent5 4 3" xfId="38069" xr:uid="{03CBDACA-10DD-4DE8-95FA-9CF16B049022}"/>
    <cellStyle name="60% - Accent5 40" xfId="18785" xr:uid="{86E91DED-617C-47A2-B4C6-C2E10E6E06A3}"/>
    <cellStyle name="60% - Accent5 41" xfId="18786" xr:uid="{87656B1A-0092-4C0C-BB58-BBB41E684B06}"/>
    <cellStyle name="60% - Accent5 42" xfId="18787" xr:uid="{63B93CF1-C5DB-4987-A001-307CF575D9B3}"/>
    <cellStyle name="60% - Accent5 43" xfId="18788" xr:uid="{42076F91-2C8F-497B-8F83-0604EC36BB67}"/>
    <cellStyle name="60% - Accent5 44" xfId="18789" xr:uid="{D9B7A16A-90EB-4325-BDCB-36B2E5A576D3}"/>
    <cellStyle name="60% - Accent5 45" xfId="18790" xr:uid="{23D32587-13B3-4C29-B0CB-FBB1DF12A9FE}"/>
    <cellStyle name="60% - Accent5 46" xfId="18791" xr:uid="{F75D4AA4-0BD8-43AF-8906-9D7EEA8E4F11}"/>
    <cellStyle name="60% - Accent5 47" xfId="18792" xr:uid="{62F25730-556B-4023-9639-8B346FAF9659}"/>
    <cellStyle name="60% - Accent5 48" xfId="18793" xr:uid="{6B809A00-A1A6-40FF-91A4-F179D1E080E5}"/>
    <cellStyle name="60% - Accent5 49" xfId="18794" xr:uid="{5742EDA1-1CA4-49C8-BA0E-84B636C4F520}"/>
    <cellStyle name="60% - Accent5 5" xfId="18795" xr:uid="{13D4068E-4892-4AFB-AEBF-E1A3DDBB199A}"/>
    <cellStyle name="60% - Accent5 5 2" xfId="38070" xr:uid="{AFE7644F-A23B-43EC-B354-A14EA8758668}"/>
    <cellStyle name="60% - Accent5 5 3" xfId="38071" xr:uid="{BEF84EE3-1FCA-4A66-B458-86A8C50C5D78}"/>
    <cellStyle name="60% - Accent5 50" xfId="18796" xr:uid="{A3C42927-E569-4C31-B92B-1EE1C84999B1}"/>
    <cellStyle name="60% - Accent5 51" xfId="18797" xr:uid="{D17ACDEF-676F-4487-A067-0564BE58DADA}"/>
    <cellStyle name="60% - Accent5 52" xfId="18798" xr:uid="{940457A7-8240-458C-AE7E-26107C2E6863}"/>
    <cellStyle name="60% - Accent5 53" xfId="18799" xr:uid="{579BBBEC-ED87-4922-9F5D-8807540B771C}"/>
    <cellStyle name="60% - Accent5 54" xfId="18800" xr:uid="{11424682-2C47-4BCC-B741-635D2421965E}"/>
    <cellStyle name="60% - Accent5 55" xfId="18801" xr:uid="{F4236A4F-4966-4AF5-B511-16A09A8C08B8}"/>
    <cellStyle name="60% - Accent5 56" xfId="18802" xr:uid="{A82AB953-D8A9-46AB-8516-BE839D1BB9D6}"/>
    <cellStyle name="60% - Accent5 57" xfId="18803" xr:uid="{7F793D68-7274-4FD9-B64A-2BB91D4BC85B}"/>
    <cellStyle name="60% - Accent5 58" xfId="18804" xr:uid="{34E73F8A-A5C3-4F6B-8E99-552E214E965C}"/>
    <cellStyle name="60% - Accent5 59" xfId="18805" xr:uid="{F68D4B77-003D-47C2-A7B7-4FB9E040BA10}"/>
    <cellStyle name="60% - Accent5 6" xfId="18806" xr:uid="{97C36364-30BA-4C4C-8277-A3EBC2F58C70}"/>
    <cellStyle name="60% - Accent5 6 2" xfId="38072" xr:uid="{C7EE8425-BDBC-4C51-B0BB-7A2D1A201B8D}"/>
    <cellStyle name="60% - Accent5 6 3" xfId="38073" xr:uid="{4C000C8D-970C-4DF0-AFF9-B7F06373D52C}"/>
    <cellStyle name="60% - Accent5 60" xfId="18807" xr:uid="{E2D4A73E-9811-49E2-8440-F7050D42854B}"/>
    <cellStyle name="60% - Accent5 61" xfId="18808" xr:uid="{CB16D7E0-365A-40B9-90B8-3FD37001474F}"/>
    <cellStyle name="60% - Accent5 62" xfId="18809" xr:uid="{867E85B8-DAEA-4A50-9274-148C3DFE464A}"/>
    <cellStyle name="60% - Accent5 63" xfId="18810" xr:uid="{26BB849A-B1AF-487D-A9C9-5EA41B1E5D6F}"/>
    <cellStyle name="60% - Accent5 64" xfId="18811" xr:uid="{350F8C29-854E-4BE1-B6E4-EBEFD498674E}"/>
    <cellStyle name="60% - Accent5 65" xfId="18812" xr:uid="{58646039-8A2E-4AF6-9228-2824A7E71D51}"/>
    <cellStyle name="60% - Accent5 66" xfId="18813" xr:uid="{5F7CC676-E53F-4791-BCC8-1CAE6EB5FE1E}"/>
    <cellStyle name="60% - Accent5 67" xfId="18814" xr:uid="{B61480C2-4D97-4F9A-A74F-75DE44DEA697}"/>
    <cellStyle name="60% - Accent5 68" xfId="18815" xr:uid="{BBFC4B94-6C86-468F-BEB9-38C0FCD87042}"/>
    <cellStyle name="60% - Accent5 69" xfId="18816" xr:uid="{0243AF1E-F2B4-4100-B4F5-8E4D6536A3C7}"/>
    <cellStyle name="60% - Accent5 7" xfId="18817" xr:uid="{698F492A-D7BF-4A52-8A2D-6900664CB1C6}"/>
    <cellStyle name="60% - Accent5 7 2" xfId="38074" xr:uid="{A39F67B5-ADE3-4251-83B0-3E6E0EEBDE69}"/>
    <cellStyle name="60% - Accent5 7 3" xfId="38075" xr:uid="{175ABFDC-0763-40DB-98B1-876A7FAF2092}"/>
    <cellStyle name="60% - Accent5 70" xfId="18818" xr:uid="{B855083E-EBD7-4C0E-B39A-F708F5FD60AB}"/>
    <cellStyle name="60% - Accent5 71" xfId="18819" xr:uid="{B6CDD5D7-B673-4B68-9D1B-6B05A9784BA5}"/>
    <cellStyle name="60% - Accent5 72" xfId="18820" xr:uid="{E1F2F343-F7F1-4F47-B22A-FD49BAB2207D}"/>
    <cellStyle name="60% - Accent5 73" xfId="18821" xr:uid="{48B7C63B-1398-41D2-84A6-2E877860AE55}"/>
    <cellStyle name="60% - Accent5 74" xfId="18822" xr:uid="{629AF95D-4B4E-4F40-BEFF-AFF87003627D}"/>
    <cellStyle name="60% - Accent5 75" xfId="18823" xr:uid="{E3F1229C-31E9-4BFE-922C-68312974DE24}"/>
    <cellStyle name="60% - Accent5 76" xfId="18824" xr:uid="{D8EFB91D-51A7-46F8-B492-EB789A013B3F}"/>
    <cellStyle name="60% - Accent5 77" xfId="18825" xr:uid="{88FE7E20-F1BA-4141-A258-04741DD255C0}"/>
    <cellStyle name="60% - Accent5 78" xfId="18826" xr:uid="{D34210A6-EE25-460F-BAF5-B0CEDB5BB20B}"/>
    <cellStyle name="60% - Accent5 79" xfId="18827" xr:uid="{9B4C8F25-70F3-4FFA-8E2B-993B4C448349}"/>
    <cellStyle name="60% - Accent5 8" xfId="18828" xr:uid="{0B097A28-6287-496D-BFF7-1505B2855625}"/>
    <cellStyle name="60% - Accent5 8 2" xfId="38076" xr:uid="{9B27BDD6-7692-46A5-A6D9-1EBCC2AEE1D8}"/>
    <cellStyle name="60% - Accent5 8 3" xfId="38077" xr:uid="{E7ABAC43-5C42-40D2-8D1D-D26E8CC16039}"/>
    <cellStyle name="60% - Accent5 80" xfId="18829" xr:uid="{A7BE1586-A5DD-4F55-BAE8-C8EACDF494B3}"/>
    <cellStyle name="60% - Accent5 81" xfId="18830" xr:uid="{D6295613-7A1C-45E0-AE26-76DC03A704AF}"/>
    <cellStyle name="60% - Accent5 82" xfId="18831" xr:uid="{263EBDF0-260B-4284-B4AD-DDA8DC7EDA51}"/>
    <cellStyle name="60% - Accent5 83" xfId="18832" xr:uid="{0D84817F-0DBD-4455-9CCD-D7D1AFCE7A46}"/>
    <cellStyle name="60% - Accent5 84" xfId="18833" xr:uid="{FF6E2242-48A9-49B1-AE1E-2FD483D55E7D}"/>
    <cellStyle name="60% - Accent5 85" xfId="18834" xr:uid="{C9C6827D-F9E6-4D53-8CE6-834CF4483030}"/>
    <cellStyle name="60% - Accent5 86" xfId="18835" xr:uid="{FFA73062-7908-422A-A6BC-82F72791ED4A}"/>
    <cellStyle name="60% - Accent5 87" xfId="18836" xr:uid="{2377DA28-0ABE-4559-AFBA-9F84D6F28D87}"/>
    <cellStyle name="60% - Accent5 88" xfId="18837" xr:uid="{47B95BB4-73D0-41F8-82A9-D097C5650F09}"/>
    <cellStyle name="60% - Accent5 89" xfId="18838" xr:uid="{4DE10873-4EF0-4EDD-A11B-421E797FC48A}"/>
    <cellStyle name="60% - Accent5 9" xfId="18839" xr:uid="{DF02F7DE-D925-4F6F-B016-286755C6C5F5}"/>
    <cellStyle name="60% - Accent5 9 2" xfId="38078" xr:uid="{CC21EAE3-DBDE-4D4C-8938-5E7CD60A6A57}"/>
    <cellStyle name="60% - Accent5 9 3" xfId="38079" xr:uid="{60A0E286-BF92-4815-A329-8566C773FC0B}"/>
    <cellStyle name="60% - Accent5 90" xfId="18840" xr:uid="{724898E9-ED18-430A-8898-4A56EBC8A790}"/>
    <cellStyle name="60% - Accent5 91" xfId="18841" xr:uid="{6E5865D7-A5D8-44A0-B50D-C626AF8C8026}"/>
    <cellStyle name="60% - Accent5 92" xfId="18842" xr:uid="{CB5A5D55-45EF-4C1A-961E-358F1CA8B30C}"/>
    <cellStyle name="60% - Accent5 93" xfId="18843" xr:uid="{844FB943-979F-4016-8C00-CE603AA517B9}"/>
    <cellStyle name="60% - Accent5 94" xfId="18844" xr:uid="{B6B2927F-6B14-495E-BC24-5B8FFA3E1A5E}"/>
    <cellStyle name="60% - Accent5 95" xfId="18845" xr:uid="{35C78059-1DCC-4D6B-971F-440650059E13}"/>
    <cellStyle name="60% - Accent5 96" xfId="18846" xr:uid="{8A673818-262A-4CD3-BC1C-2AB2F1759FDB}"/>
    <cellStyle name="60% - Accent5 97" xfId="18847" xr:uid="{E307D1CF-CDFC-4728-8AD7-DD1EAEAC6A96}"/>
    <cellStyle name="60% - Accent5 98" xfId="18848" xr:uid="{9C83C7E8-A5EE-44D2-989F-E841FF01271B}"/>
    <cellStyle name="60% - Accent5 99" xfId="18849" xr:uid="{AA138806-30A2-4608-B95E-45B7DF189429}"/>
    <cellStyle name="60% - Accent6" xfId="53" builtinId="52" hidden="1"/>
    <cellStyle name="60% - Accent6" xfId="127" builtinId="52" customBuiltin="1"/>
    <cellStyle name="60% - Accent6 10" xfId="18850" xr:uid="{81537F20-BC6E-4817-8A13-EDB9AFC617E5}"/>
    <cellStyle name="60% - Accent6 10 2" xfId="38080" xr:uid="{0701FD77-2ACA-4B5E-BE77-B6AA12FCABAB}"/>
    <cellStyle name="60% - Accent6 10 3" xfId="38081" xr:uid="{7AA4A954-CCB6-4E0C-9571-1441E0AF1326}"/>
    <cellStyle name="60% - Accent6 100" xfId="18851" xr:uid="{DD0A0EE4-3FCC-40CA-BF21-2BB40D4A21EA}"/>
    <cellStyle name="60% - Accent6 101" xfId="18852" xr:uid="{92221D5D-FC3D-459E-9A73-EB51D55ED02E}"/>
    <cellStyle name="60% - Accent6 102" xfId="18853" xr:uid="{D7BBE66F-C895-43FF-82CE-69DFFF7F5B94}"/>
    <cellStyle name="60% - Accent6 103" xfId="18854" xr:uid="{7D2B2668-089C-4A73-BDBD-A784F8987D89}"/>
    <cellStyle name="60% - Accent6 104" xfId="18855" xr:uid="{656E6B34-9D2C-44DF-B825-52E7D68AF2F7}"/>
    <cellStyle name="60% - Accent6 105" xfId="18856" xr:uid="{C719AF16-1925-469A-853B-AE4759E0C0D9}"/>
    <cellStyle name="60% - Accent6 106" xfId="18857" xr:uid="{95E10E96-F236-4163-A8A0-380681C96DEF}"/>
    <cellStyle name="60% - Accent6 107" xfId="18858" xr:uid="{4795FC90-47FE-4E26-8C7F-A5E989EDF7BB}"/>
    <cellStyle name="60% - Accent6 108" xfId="18859" xr:uid="{EBAFEC46-1EAC-4C2A-8120-F455DBFAA79D}"/>
    <cellStyle name="60% - Accent6 109" xfId="18860" xr:uid="{EE75701F-7D73-49CB-B6FD-5EB94A9D5C69}"/>
    <cellStyle name="60% - Accent6 11" xfId="18861" xr:uid="{72C14B96-6586-422A-BE29-3A461CECCC21}"/>
    <cellStyle name="60% - Accent6 11 2" xfId="38082" xr:uid="{113EC060-7474-49D5-AF90-E2DA5D05C984}"/>
    <cellStyle name="60% - Accent6 11 3" xfId="38083" xr:uid="{8C0D6735-A7CB-499B-AA69-204EA883C24A}"/>
    <cellStyle name="60% - Accent6 110" xfId="18862" xr:uid="{FF75C8BF-FA06-44AA-9AF9-F13EFC60C288}"/>
    <cellStyle name="60% - Accent6 111" xfId="18863" xr:uid="{10F56E8B-8FF7-4D64-9340-AF932CB8060A}"/>
    <cellStyle name="60% - Accent6 112" xfId="18864" xr:uid="{94A42FA2-EE35-4EFB-A564-DEE2B1BB1E0B}"/>
    <cellStyle name="60% - Accent6 113" xfId="18865" xr:uid="{18C1AA40-BECA-4C1C-8A9F-AF6EC1F20114}"/>
    <cellStyle name="60% - Accent6 114" xfId="18866" xr:uid="{84D09476-FAAA-4086-B4C3-6301AB78973A}"/>
    <cellStyle name="60% - Accent6 115" xfId="18867" xr:uid="{CB80FA29-81BD-4632-94DE-35D95F9B19AE}"/>
    <cellStyle name="60% - Accent6 116" xfId="18868" xr:uid="{74E0B71C-B742-4ADD-AB97-EEA5857C931C}"/>
    <cellStyle name="60% - Accent6 117" xfId="18869" xr:uid="{B995D966-5AFD-46AD-ADDB-DB08501CBD8D}"/>
    <cellStyle name="60% - Accent6 118" xfId="18870" xr:uid="{B6C6709E-C865-40FC-982E-AAA4398C6C92}"/>
    <cellStyle name="60% - Accent6 119" xfId="18871" xr:uid="{12FB1885-D231-4ACD-93E0-AF44E5A7B3E6}"/>
    <cellStyle name="60% - Accent6 12" xfId="18872" xr:uid="{3C64A2BF-914E-4377-8221-A4C38048995E}"/>
    <cellStyle name="60% - Accent6 12 2" xfId="38084" xr:uid="{78992A29-6DA9-416F-81C4-2D73DC88B698}"/>
    <cellStyle name="60% - Accent6 12 3" xfId="38085" xr:uid="{3CFBA920-7CC0-438B-AAF1-85645CA76144}"/>
    <cellStyle name="60% - Accent6 120" xfId="18873" xr:uid="{A155BBCC-0E64-4A26-A962-FED3DDF2693B}"/>
    <cellStyle name="60% - Accent6 121" xfId="18874" xr:uid="{20AFFC64-2F70-4306-BD12-846A9F0260A1}"/>
    <cellStyle name="60% - Accent6 122" xfId="18875" xr:uid="{2A45F234-6C7E-479A-ADE7-D444D0FEECC9}"/>
    <cellStyle name="60% - Accent6 123" xfId="18876" xr:uid="{9D50B310-14BB-401D-B056-BDAD9636929D}"/>
    <cellStyle name="60% - Accent6 124" xfId="18877" xr:uid="{0F53DFF6-5767-409C-800E-C356001D9753}"/>
    <cellStyle name="60% - Accent6 125" xfId="18878" xr:uid="{DC137425-4BF8-4AAD-A567-5DC405561556}"/>
    <cellStyle name="60% - Accent6 126" xfId="18879" xr:uid="{AEF23BDA-204D-436B-BC59-BE903D894AE2}"/>
    <cellStyle name="60% - Accent6 127" xfId="18880" xr:uid="{1EF256BC-3333-46ED-AD09-C93A533F39FF}"/>
    <cellStyle name="60% - Accent6 128" xfId="18881" xr:uid="{DA587F10-32C4-4DDD-82E0-388ABAD36F5C}"/>
    <cellStyle name="60% - Accent6 129" xfId="18882" xr:uid="{71DFE7EB-D754-4AD3-B4C1-B99CC928ABAF}"/>
    <cellStyle name="60% - Accent6 13" xfId="18883" xr:uid="{966A3E69-C1C7-4897-AEB5-A808079A322E}"/>
    <cellStyle name="60% - Accent6 13 2" xfId="38086" xr:uid="{B8FECA15-941A-46ED-A456-5BFA161C8F62}"/>
    <cellStyle name="60% - Accent6 13 3" xfId="38087" xr:uid="{93678B3F-6F7D-4142-8752-D6040516F8D6}"/>
    <cellStyle name="60% - Accent6 130" xfId="18884" xr:uid="{9950D176-1DFF-4C15-B47F-5E7B7673071E}"/>
    <cellStyle name="60% - Accent6 131" xfId="18885" xr:uid="{84AA6F23-A3BB-4148-9F31-F32F73881519}"/>
    <cellStyle name="60% - Accent6 132" xfId="18886" xr:uid="{E2C6B5DF-8F55-4C37-BE62-4AE2849D1637}"/>
    <cellStyle name="60% - Accent6 133" xfId="18887" xr:uid="{E2BBCB36-96BE-4F96-9ADA-E448D8B28FD9}"/>
    <cellStyle name="60% - Accent6 134" xfId="18888" xr:uid="{A026591C-859F-4073-9CF9-9A246E4F27F7}"/>
    <cellStyle name="60% - Accent6 135" xfId="18889" xr:uid="{7755B646-AE7E-4A52-929D-B8B320A1359F}"/>
    <cellStyle name="60% - Accent6 136" xfId="18890" xr:uid="{B8905493-1401-485E-87ED-7D9FCD4567D0}"/>
    <cellStyle name="60% - Accent6 137" xfId="18891" xr:uid="{5DB99386-EC7E-45B5-8635-9620C9F5B639}"/>
    <cellStyle name="60% - Accent6 138" xfId="18892" xr:uid="{F1122D7A-126E-4E30-98E7-78FBBD93ECA5}"/>
    <cellStyle name="60% - Accent6 139" xfId="18893" xr:uid="{03A6452B-2F77-4072-9C09-DA06A7282DFB}"/>
    <cellStyle name="60% - Accent6 14" xfId="18894" xr:uid="{28F812B3-EF29-4AC2-9528-A8B40C830F22}"/>
    <cellStyle name="60% - Accent6 14 2" xfId="38088" xr:uid="{F5AF1EC7-C460-40A4-83D2-7588CEF65EAF}"/>
    <cellStyle name="60% - Accent6 14 3" xfId="38089" xr:uid="{4D429B18-0F84-4476-BCA3-023383D6BB4C}"/>
    <cellStyle name="60% - Accent6 140" xfId="18895" xr:uid="{DE3943F8-CB49-4534-B635-20EA5F15DD7A}"/>
    <cellStyle name="60% - Accent6 141" xfId="18896" xr:uid="{FFCCC6AD-815D-4AC6-9504-DAAE4D4C2021}"/>
    <cellStyle name="60% - Accent6 142" xfId="18897" xr:uid="{609026EC-6A35-4ADC-97B7-51760561B3D4}"/>
    <cellStyle name="60% - Accent6 143" xfId="18898" xr:uid="{89211ED3-A188-42FB-8B7E-8E247AC66FDC}"/>
    <cellStyle name="60% - Accent6 144" xfId="18899" xr:uid="{8AEAC5EC-F860-4162-AADC-59274763C8F2}"/>
    <cellStyle name="60% - Accent6 145" xfId="18900" xr:uid="{1C4A8C74-DE67-4CA3-A133-4254BB671D66}"/>
    <cellStyle name="60% - Accent6 146" xfId="18901" xr:uid="{090008ED-BC76-483B-BF71-530500219335}"/>
    <cellStyle name="60% - Accent6 147" xfId="18902" xr:uid="{176AA24F-8585-43EE-A162-9CFF4DE86D3D}"/>
    <cellStyle name="60% - Accent6 148" xfId="18903" xr:uid="{D4103A19-0C1D-4FA5-A620-C4A0F8C6D8CD}"/>
    <cellStyle name="60% - Accent6 149" xfId="18904" xr:uid="{B1594F33-65D7-4A37-AF8D-D79548E775BA}"/>
    <cellStyle name="60% - Accent6 15" xfId="18905" xr:uid="{CBD1DFEA-1E5B-4B58-A80E-6BE658673FA8}"/>
    <cellStyle name="60% - Accent6 15 2" xfId="38090" xr:uid="{4C4A87CB-2E70-479A-97CF-C35CDE2500EB}"/>
    <cellStyle name="60% - Accent6 15 3" xfId="38091" xr:uid="{80E7C4C3-6C9B-44EF-A055-8FB2F50A72F6}"/>
    <cellStyle name="60% - Accent6 150" xfId="18906" xr:uid="{BA3AE877-0E64-4E70-AACF-E75033656E5D}"/>
    <cellStyle name="60% - Accent6 151" xfId="18907" xr:uid="{50A272B5-9780-4725-B1E0-56589F9A2131}"/>
    <cellStyle name="60% - Accent6 152" xfId="18908" xr:uid="{BB4D51DF-17BC-491F-B030-AC4577567F11}"/>
    <cellStyle name="60% - Accent6 153" xfId="18909" xr:uid="{3F924E6B-403F-40EA-8FFF-60500F335EF2}"/>
    <cellStyle name="60% - Accent6 154" xfId="18910" xr:uid="{1D3B603D-8613-48C5-A238-3D5E31F9E7F7}"/>
    <cellStyle name="60% - Accent6 155" xfId="18911" xr:uid="{FAC0A0D2-6524-4913-BDD2-932E92E7180C}"/>
    <cellStyle name="60% - Accent6 156" xfId="18912" xr:uid="{F97F51C2-719F-4751-91EF-2C78D57FDA3B}"/>
    <cellStyle name="60% - Accent6 157" xfId="18913" xr:uid="{CE3561EE-CB2D-4677-AD23-05B1FA30AC59}"/>
    <cellStyle name="60% - Accent6 158" xfId="18914" xr:uid="{59CC1863-D64C-4BFF-88F7-DEFA7F1A9E9F}"/>
    <cellStyle name="60% - Accent6 159" xfId="18915" xr:uid="{3D5B0A90-FD38-4222-8942-B5B16BCB3819}"/>
    <cellStyle name="60% - Accent6 16" xfId="18916" xr:uid="{D2BC1FF6-35BD-4766-B7AA-A36C66352F8D}"/>
    <cellStyle name="60% - Accent6 16 2" xfId="38092" xr:uid="{034D2812-91AF-4FF9-8D44-349AA797906E}"/>
    <cellStyle name="60% - Accent6 16 3" xfId="38093" xr:uid="{2587687D-D33F-492F-87C0-0B1FCFCA85F6}"/>
    <cellStyle name="60% - Accent6 160" xfId="18917" xr:uid="{83AB377D-F293-4791-B965-4EA018F1DEFD}"/>
    <cellStyle name="60% - Accent6 17" xfId="18918" xr:uid="{2777CF98-DDAB-4C5D-9943-2FB2E9AFE336}"/>
    <cellStyle name="60% - Accent6 17 2" xfId="38094" xr:uid="{1F1BA66D-D5E6-4621-9065-A54C3AD0275D}"/>
    <cellStyle name="60% - Accent6 17 3" xfId="38095" xr:uid="{6A238C19-2BEC-4704-8845-ADA68492F42B}"/>
    <cellStyle name="60% - Accent6 18" xfId="18919" xr:uid="{BA192AF3-25FF-4A7A-90FE-1176439BC214}"/>
    <cellStyle name="60% - Accent6 18 2" xfId="38096" xr:uid="{C1F084A0-92AA-4E85-8607-346DEBEF62BE}"/>
    <cellStyle name="60% - Accent6 18 3" xfId="38097" xr:uid="{37346B40-E247-4C4F-843C-79A863137923}"/>
    <cellStyle name="60% - Accent6 19" xfId="18920" xr:uid="{61DC9DFC-B1C4-4C75-B214-9194C3EB4A35}"/>
    <cellStyle name="60% - Accent6 19 2" xfId="38098" xr:uid="{D86397DC-FF44-471E-B248-DB6829B73E69}"/>
    <cellStyle name="60% - Accent6 2" xfId="18921" xr:uid="{14FAFC1A-C60C-4655-8767-F87CCFEF5455}"/>
    <cellStyle name="60% - Accent6 2 2" xfId="18922" xr:uid="{3C882375-685E-4E2C-9285-9C2CF790F426}"/>
    <cellStyle name="60% - Accent6 2 3" xfId="38099" xr:uid="{FF19956D-03A7-4AF0-A990-F09EF1AD9CED}"/>
    <cellStyle name="60% - Accent6 2 4" xfId="38100" xr:uid="{23AA805B-83C7-4BF1-8DBD-456213424E0D}"/>
    <cellStyle name="60% - Accent6 2 5" xfId="38101" xr:uid="{A964FECD-5C32-4D28-AFCA-E6E303B09692}"/>
    <cellStyle name="60% - Accent6 20" xfId="18923" xr:uid="{DE0838B2-3E9C-41E9-8D00-A311F30DD461}"/>
    <cellStyle name="60% - Accent6 20 2" xfId="38102" xr:uid="{A092C487-982C-4F28-B86C-1CB98EAA4451}"/>
    <cellStyle name="60% - Accent6 21" xfId="18924" xr:uid="{99D60469-515C-465D-B6FC-99451EBC8165}"/>
    <cellStyle name="60% - Accent6 21 2" xfId="38103" xr:uid="{5C33A0F0-A4CF-437B-ABAD-7322E9CCDF9E}"/>
    <cellStyle name="60% - Accent6 22" xfId="18925" xr:uid="{EA2810B9-AF64-4A2C-8FD5-40C5188F6907}"/>
    <cellStyle name="60% - Accent6 22 2" xfId="38104" xr:uid="{2E270BB9-DB57-4985-A4E0-0866DBF3F15F}"/>
    <cellStyle name="60% - Accent6 23" xfId="18926" xr:uid="{2A47D7ED-C864-42E4-854E-40D683039F93}"/>
    <cellStyle name="60% - Accent6 23 2" xfId="38105" xr:uid="{E6AB82B7-F553-4563-BA38-6D8DD246137D}"/>
    <cellStyle name="60% - Accent6 24" xfId="18927" xr:uid="{B22C9AC8-C597-444D-BFD9-D868FA251E36}"/>
    <cellStyle name="60% - Accent6 24 2" xfId="38106" xr:uid="{7C56AADF-0936-495C-BB7F-C8538347035C}"/>
    <cellStyle name="60% - Accent6 25" xfId="18928" xr:uid="{6FB2E7DB-3AD0-4563-829C-9FA70ADE9032}"/>
    <cellStyle name="60% - Accent6 25 2" xfId="38107" xr:uid="{B0236483-9AC5-4751-B041-470A89351189}"/>
    <cellStyle name="60% - Accent6 26" xfId="18929" xr:uid="{9C50420B-AE2B-4988-AC27-92D35442CD82}"/>
    <cellStyle name="60% - Accent6 26 2" xfId="38108" xr:uid="{ACB91549-E9CB-49CD-8A67-786000591A1B}"/>
    <cellStyle name="60% - Accent6 27" xfId="18930" xr:uid="{C7058B55-477F-471C-BD03-0FB30E96BE63}"/>
    <cellStyle name="60% - Accent6 27 2" xfId="38109" xr:uid="{08EF4E01-4F26-42DE-809C-7D9CDB0FEC39}"/>
    <cellStyle name="60% - Accent6 28" xfId="18931" xr:uid="{AC947EED-9BB9-4501-B24E-3C7F9A5E8BB6}"/>
    <cellStyle name="60% - Accent6 28 2" xfId="38110" xr:uid="{E007635D-F4BE-462B-B016-E7D3994156E9}"/>
    <cellStyle name="60% - Accent6 29" xfId="18932" xr:uid="{620646AC-D0E3-4140-9F52-C69AEFECE286}"/>
    <cellStyle name="60% - Accent6 29 2" xfId="18933" xr:uid="{6541BEA3-1769-4DFF-93AA-0BA3DECF145C}"/>
    <cellStyle name="60% - Accent6 29 3" xfId="38111" xr:uid="{241B7FB0-396C-4FDA-BF4B-F0582DC301BC}"/>
    <cellStyle name="60% - Accent6 3" xfId="18934" xr:uid="{A2D33874-C5AB-4AA1-BC17-332DBBF83487}"/>
    <cellStyle name="60% - Accent6 3 2" xfId="18935" xr:uid="{ACC82E4A-1110-431A-8800-489E68D23A2E}"/>
    <cellStyle name="60% - Accent6 3 3" xfId="38112" xr:uid="{459BED4A-9C4E-40C9-8589-6FE3D53C0775}"/>
    <cellStyle name="60% - Accent6 3 4" xfId="38113" xr:uid="{7BE6CC93-3930-4C71-AEC9-93A5DFAD40A2}"/>
    <cellStyle name="60% - Accent6 30" xfId="18936" xr:uid="{BAA11BA5-32B1-4C09-829B-BF4454EE50DF}"/>
    <cellStyle name="60% - Accent6 30 2" xfId="38114" xr:uid="{95D88B22-BBDB-4DF8-9883-3A80D4262624}"/>
    <cellStyle name="60% - Accent6 31" xfId="18937" xr:uid="{EFFEE34E-1944-4066-AC77-CD0236869278}"/>
    <cellStyle name="60% - Accent6 32" xfId="18938" xr:uid="{8F9D0379-A10F-4614-96FF-913868804025}"/>
    <cellStyle name="60% - Accent6 33" xfId="18939" xr:uid="{5A7DB010-351B-4D63-ACC1-53CF409C91C0}"/>
    <cellStyle name="60% - Accent6 34" xfId="18940" xr:uid="{E119D99A-D577-4982-A16C-D5FC617A44E8}"/>
    <cellStyle name="60% - Accent6 35" xfId="18941" xr:uid="{36EE58EA-D461-4911-A921-5DD7C41FF5C8}"/>
    <cellStyle name="60% - Accent6 36" xfId="18942" xr:uid="{B3FBD82F-CA3B-42AC-8EDF-03D377EABB11}"/>
    <cellStyle name="60% - Accent6 37" xfId="18943" xr:uid="{DD55F20F-D1A7-4D7C-9DE4-7EC60E7203E1}"/>
    <cellStyle name="60% - Accent6 38" xfId="18944" xr:uid="{16C05FFD-C81A-4404-80AC-CB6C7F25DBE0}"/>
    <cellStyle name="60% - Accent6 39" xfId="18945" xr:uid="{9997FC71-D4AA-4568-BBAC-2EFC100284D0}"/>
    <cellStyle name="60% - Accent6 4" xfId="18946" xr:uid="{5A8E8CD3-843B-4ADA-8E00-AB34F0985027}"/>
    <cellStyle name="60% - Accent6 4 2" xfId="38115" xr:uid="{CE682021-742D-4954-80DC-9575CD24C0B6}"/>
    <cellStyle name="60% - Accent6 4 3" xfId="38116" xr:uid="{246106C7-DF10-4882-9E22-01F84F05A472}"/>
    <cellStyle name="60% - Accent6 40" xfId="18947" xr:uid="{F4E55D91-1D49-4E4F-83F1-8560E4D7F3E8}"/>
    <cellStyle name="60% - Accent6 41" xfId="18948" xr:uid="{20219311-CD01-41B5-9FC3-183A1009F05F}"/>
    <cellStyle name="60% - Accent6 42" xfId="18949" xr:uid="{B2F58628-BB90-4DA4-96F9-1135D447F2D0}"/>
    <cellStyle name="60% - Accent6 43" xfId="18950" xr:uid="{F8524677-5AC5-453C-BAFF-9B0DDD2E6AE6}"/>
    <cellStyle name="60% - Accent6 44" xfId="18951" xr:uid="{8B9A9DDC-44B6-45AD-AB81-C045C4EA9F8B}"/>
    <cellStyle name="60% - Accent6 45" xfId="18952" xr:uid="{74AB2538-6D7B-4C04-8DFB-D393F413070F}"/>
    <cellStyle name="60% - Accent6 46" xfId="18953" xr:uid="{F87C27B4-2AC7-4AD3-9FF7-0DA981FCBBEE}"/>
    <cellStyle name="60% - Accent6 47" xfId="18954" xr:uid="{E359EC6D-3BC6-4949-99DC-93448369590F}"/>
    <cellStyle name="60% - Accent6 48" xfId="18955" xr:uid="{F3613C9C-A797-4567-A100-4CA994A0E8BE}"/>
    <cellStyle name="60% - Accent6 49" xfId="18956" xr:uid="{38DECC70-F8C4-4911-997A-2F5F2191A74F}"/>
    <cellStyle name="60% - Accent6 5" xfId="18957" xr:uid="{8AEC5D4B-2D8A-4FFA-BA3D-224158425731}"/>
    <cellStyle name="60% - Accent6 5 2" xfId="38117" xr:uid="{D94E8BC7-B117-4117-8CE9-962CF68680E9}"/>
    <cellStyle name="60% - Accent6 5 3" xfId="38118" xr:uid="{7CCFFC08-B438-46F2-AFAC-7153C4BB582E}"/>
    <cellStyle name="60% - Accent6 50" xfId="18958" xr:uid="{7988393B-255D-404E-9739-3DAD58B280C4}"/>
    <cellStyle name="60% - Accent6 51" xfId="18959" xr:uid="{E83F1ADE-2B82-48E7-B977-16DB117CAFFD}"/>
    <cellStyle name="60% - Accent6 52" xfId="18960" xr:uid="{C5335D36-D32A-452E-A25F-E5FC2D70C3DA}"/>
    <cellStyle name="60% - Accent6 53" xfId="18961" xr:uid="{C05F6266-8746-4657-9C9C-5174101A7B08}"/>
    <cellStyle name="60% - Accent6 54" xfId="18962" xr:uid="{751AEBB7-858E-466B-B109-A45A582D2298}"/>
    <cellStyle name="60% - Accent6 55" xfId="18963" xr:uid="{4C7DB867-C17C-45F5-8B61-B0FA1682D645}"/>
    <cellStyle name="60% - Accent6 56" xfId="18964" xr:uid="{277A1C9E-378E-479C-9C8D-D96CD854BD0A}"/>
    <cellStyle name="60% - Accent6 57" xfId="18965" xr:uid="{A733B605-115D-465A-A0ED-D2923DA1B478}"/>
    <cellStyle name="60% - Accent6 58" xfId="18966" xr:uid="{D1432CB1-FBA1-4788-A016-AB1B603CF956}"/>
    <cellStyle name="60% - Accent6 59" xfId="18967" xr:uid="{9588DDF9-627F-4F2B-8318-8BACCAF2372E}"/>
    <cellStyle name="60% - Accent6 6" xfId="18968" xr:uid="{DDAFEF55-3104-4A0B-BE21-7C54768677FA}"/>
    <cellStyle name="60% - Accent6 6 2" xfId="38119" xr:uid="{A7D5BAF3-7EB3-47F0-A1B4-BA4ABD118A67}"/>
    <cellStyle name="60% - Accent6 6 3" xfId="38120" xr:uid="{735907C1-A164-415E-B134-5650AEADCEAE}"/>
    <cellStyle name="60% - Accent6 60" xfId="18969" xr:uid="{ABD0AE46-5398-451A-86E5-CDFED55FCDF4}"/>
    <cellStyle name="60% - Accent6 61" xfId="18970" xr:uid="{581DC011-3A13-439C-8894-60C4B03251A2}"/>
    <cellStyle name="60% - Accent6 62" xfId="18971" xr:uid="{63156CD0-AFF4-4508-B76D-F3F079C518A6}"/>
    <cellStyle name="60% - Accent6 63" xfId="18972" xr:uid="{64C42F50-B1E6-4547-984C-930AF23942C7}"/>
    <cellStyle name="60% - Accent6 64" xfId="18973" xr:uid="{17C133B8-176B-45FB-9A18-D8150AAAF914}"/>
    <cellStyle name="60% - Accent6 65" xfId="18974" xr:uid="{1AA14A01-AE7C-45BF-B6AF-91FC04F0E40F}"/>
    <cellStyle name="60% - Accent6 66" xfId="18975" xr:uid="{71029626-71CF-440E-8536-C8FB19FDB068}"/>
    <cellStyle name="60% - Accent6 67" xfId="18976" xr:uid="{ED85D380-B216-4F12-B182-3B82C5E4AA06}"/>
    <cellStyle name="60% - Accent6 68" xfId="18977" xr:uid="{D4E5DBE9-626F-47BF-BB5A-7995E340E333}"/>
    <cellStyle name="60% - Accent6 69" xfId="18978" xr:uid="{258D6E90-DB3D-42F8-8BE1-80F9899F4A11}"/>
    <cellStyle name="60% - Accent6 7" xfId="18979" xr:uid="{467E47C8-8DAF-4A5E-8CE8-A4F3B934A367}"/>
    <cellStyle name="60% - Accent6 7 2" xfId="38121" xr:uid="{14C5D13A-9EF9-45D2-9E24-0B1CD9953061}"/>
    <cellStyle name="60% - Accent6 7 3" xfId="38122" xr:uid="{450EBFE1-FBB1-4B1C-A571-2074FF535163}"/>
    <cellStyle name="60% - Accent6 70" xfId="18980" xr:uid="{BA57DBAC-088E-4E89-BBC7-659EA71F3F57}"/>
    <cellStyle name="60% - Accent6 71" xfId="18981" xr:uid="{EE9C8B52-F0E7-4C4C-871D-6A7EF7779218}"/>
    <cellStyle name="60% - Accent6 72" xfId="18982" xr:uid="{B8C0A677-EF35-4CFF-BC81-0D53A4AD7E62}"/>
    <cellStyle name="60% - Accent6 73" xfId="18983" xr:uid="{D8C1B68A-0285-4DFC-AA1C-5FB786497431}"/>
    <cellStyle name="60% - Accent6 74" xfId="18984" xr:uid="{B5CDFC0D-E41C-4D1A-8EB3-F664864E1404}"/>
    <cellStyle name="60% - Accent6 75" xfId="18985" xr:uid="{8C3EA4EE-2946-427E-AA9A-719E56D69BEC}"/>
    <cellStyle name="60% - Accent6 76" xfId="18986" xr:uid="{334E2FEB-DAF5-4335-9DF7-DA84C64F3B19}"/>
    <cellStyle name="60% - Accent6 77" xfId="18987" xr:uid="{FBB66502-9B12-4D09-BDA5-F20E0E917077}"/>
    <cellStyle name="60% - Accent6 78" xfId="18988" xr:uid="{3DB9AD4F-EE8F-42F7-8631-5C47E3896736}"/>
    <cellStyle name="60% - Accent6 79" xfId="18989" xr:uid="{5EADAE67-61C0-410B-95AE-3C0F0EBCAA67}"/>
    <cellStyle name="60% - Accent6 8" xfId="18990" xr:uid="{B6C07826-C256-45CB-98F5-4A21AAB52406}"/>
    <cellStyle name="60% - Accent6 8 2" xfId="38123" xr:uid="{BAF4ABA0-B030-4BE4-BF6E-21E3643C345E}"/>
    <cellStyle name="60% - Accent6 8 3" xfId="38124" xr:uid="{AA9BF622-FD6E-4113-B5EA-2223C56E17B9}"/>
    <cellStyle name="60% - Accent6 80" xfId="18991" xr:uid="{C2A9B7B3-8985-405F-ABDA-55AE2DFEE77A}"/>
    <cellStyle name="60% - Accent6 81" xfId="18992" xr:uid="{0FF2EDF1-9645-4F7B-9B19-A713130AA7D1}"/>
    <cellStyle name="60% - Accent6 82" xfId="18993" xr:uid="{9E8D013B-4CC8-4916-985E-F561A796F15B}"/>
    <cellStyle name="60% - Accent6 83" xfId="18994" xr:uid="{FF703444-4D0B-4625-9942-ACDB656B2528}"/>
    <cellStyle name="60% - Accent6 84" xfId="18995" xr:uid="{344A301E-E7E5-4BBA-B4F4-875D28852016}"/>
    <cellStyle name="60% - Accent6 85" xfId="18996" xr:uid="{273C1F10-4CEB-44BF-9E00-84979D4C99D0}"/>
    <cellStyle name="60% - Accent6 86" xfId="18997" xr:uid="{DB4FEBA3-CADA-4AE6-87E4-66ED53D08D93}"/>
    <cellStyle name="60% - Accent6 87" xfId="18998" xr:uid="{B1FC8750-43D5-4013-8806-396D00E53A6C}"/>
    <cellStyle name="60% - Accent6 88" xfId="18999" xr:uid="{CB91FC22-1A9A-4FEE-8730-5B2326C804BE}"/>
    <cellStyle name="60% - Accent6 89" xfId="19000" xr:uid="{F4C45BFB-8219-410A-89B1-D7B3C77CA69C}"/>
    <cellStyle name="60% - Accent6 9" xfId="19001" xr:uid="{BE0BD2F0-998C-450A-A8ED-3C88D2E66C04}"/>
    <cellStyle name="60% - Accent6 9 2" xfId="38125" xr:uid="{8946DA85-DA39-45A9-864D-68AA31ED6677}"/>
    <cellStyle name="60% - Accent6 9 3" xfId="38126" xr:uid="{9AC88545-CBC4-483F-84C4-B519D324A0FD}"/>
    <cellStyle name="60% - Accent6 90" xfId="19002" xr:uid="{69D338AC-E4F5-42B8-82F3-30B365088115}"/>
    <cellStyle name="60% - Accent6 91" xfId="19003" xr:uid="{CE437FF2-FB76-4102-ACC8-3E6434FFEB38}"/>
    <cellStyle name="60% - Accent6 92" xfId="19004" xr:uid="{BCBEE2B4-FC52-406A-B273-371A716CF1A2}"/>
    <cellStyle name="60% - Accent6 93" xfId="19005" xr:uid="{C29B13BF-4207-4EDB-8FF6-A155CCD12AD5}"/>
    <cellStyle name="60% - Accent6 94" xfId="19006" xr:uid="{AD7E77DC-E601-405B-9E51-90B9205FB43F}"/>
    <cellStyle name="60% - Accent6 95" xfId="19007" xr:uid="{89080A3A-914C-4ACB-B523-507C7FD22B97}"/>
    <cellStyle name="60% - Accent6 96" xfId="19008" xr:uid="{2BB5A235-67B4-417B-A69B-23311DBB45C4}"/>
    <cellStyle name="60% - Accent6 97" xfId="19009" xr:uid="{F4DB4F4A-DF8F-4D68-B285-CAC4CD96C040}"/>
    <cellStyle name="60% - Accent6 98" xfId="19010" xr:uid="{EADA40EA-CA05-4C43-ABEA-8D6DDCEEEB0D}"/>
    <cellStyle name="60% - Accent6 99" xfId="19011" xr:uid="{2931F6E2-0B96-48E3-A57D-0CE875ABB37F}"/>
    <cellStyle name="60% - Ênfase1" xfId="19012" xr:uid="{7346F500-A975-47C3-AD94-CA6EC770705F}"/>
    <cellStyle name="60% - Ênfase2" xfId="19013" xr:uid="{D00148C8-E156-411F-9641-9F28758248D6}"/>
    <cellStyle name="60% - Ênfase3" xfId="19014" xr:uid="{FA9D2649-BF17-4036-9669-820BB388999B}"/>
    <cellStyle name="60% - Ênfase4" xfId="19015" xr:uid="{FE5C4AE7-2D3B-4ACD-BBF0-48F86338661B}"/>
    <cellStyle name="60% - Ênfase5" xfId="19016" xr:uid="{C0D411AF-EA94-47D5-9A91-4D0E74BE2046}"/>
    <cellStyle name="60% - Ênfase6" xfId="19017" xr:uid="{C33F9B91-F0B3-476E-B280-7804B1F7425F}"/>
    <cellStyle name="AA" xfId="19018" xr:uid="{72F85274-C09C-47CC-BB3C-FE8F1781BF5C}"/>
    <cellStyle name="Accent1" xfId="30" builtinId="29" hidden="1"/>
    <cellStyle name="Accent1" xfId="104" builtinId="29" customBuiltin="1"/>
    <cellStyle name="Accent1 10" xfId="19019" xr:uid="{062A30D0-837E-4B58-9728-2FAEF7DF1030}"/>
    <cellStyle name="Accent1 10 2" xfId="38127" xr:uid="{3C37A935-4EB4-416E-9363-742AD4024200}"/>
    <cellStyle name="Accent1 10 3" xfId="38128" xr:uid="{A42F489A-CD6E-4A57-9F84-493EBC243737}"/>
    <cellStyle name="Accent1 100" xfId="19020" xr:uid="{81012A50-5661-484F-A19B-99B87652C11C}"/>
    <cellStyle name="Accent1 101" xfId="19021" xr:uid="{22DB3E7D-3E5D-4901-A642-7518A95D7692}"/>
    <cellStyle name="Accent1 102" xfId="19022" xr:uid="{672F8D99-F2AA-4E98-AF9E-5C3E35EED409}"/>
    <cellStyle name="Accent1 103" xfId="19023" xr:uid="{53D1B54F-E2D2-4B91-AA15-908D4B3E8704}"/>
    <cellStyle name="Accent1 104" xfId="19024" xr:uid="{A2C4AF79-184E-4F83-973F-03F24A4CB4DC}"/>
    <cellStyle name="Accent1 105" xfId="19025" xr:uid="{E755D8B5-209B-45F0-9B1B-FFA5AE87355E}"/>
    <cellStyle name="Accent1 106" xfId="19026" xr:uid="{23362CC6-C252-4AB3-8ACF-2F45FE0CB7B8}"/>
    <cellStyle name="Accent1 107" xfId="19027" xr:uid="{70504260-3973-469A-8AF0-3D5305AC9B7D}"/>
    <cellStyle name="Accent1 108" xfId="19028" xr:uid="{1DBBF2C0-F74B-4853-A8C8-8AFA3B7B867D}"/>
    <cellStyle name="Accent1 109" xfId="19029" xr:uid="{E2862BAD-D840-42B1-AB02-E96429A6531D}"/>
    <cellStyle name="Accent1 11" xfId="19030" xr:uid="{B36273AC-4916-4D5E-B9DD-3B744C873500}"/>
    <cellStyle name="Accent1 11 2" xfId="38129" xr:uid="{C22DB384-6543-41A2-A026-D1F6F04874A1}"/>
    <cellStyle name="Accent1 11 3" xfId="38130" xr:uid="{8232B885-D80A-4613-95EB-E5CD6728CE46}"/>
    <cellStyle name="Accent1 110" xfId="19031" xr:uid="{81F299DA-2084-4622-84C6-2C3CDF484650}"/>
    <cellStyle name="Accent1 111" xfId="19032" xr:uid="{5128003E-034E-430F-940A-007001778A11}"/>
    <cellStyle name="Accent1 112" xfId="19033" xr:uid="{5CBF6DAC-8839-4DE3-BBB8-180757C54A41}"/>
    <cellStyle name="Accent1 113" xfId="19034" xr:uid="{600B0C01-D641-4425-AA6A-997D6688DEB3}"/>
    <cellStyle name="Accent1 114" xfId="19035" xr:uid="{103DDBAB-656D-495B-8A03-68B4F78F0474}"/>
    <cellStyle name="Accent1 115" xfId="19036" xr:uid="{005B668B-186A-47FE-A196-EE104A87068C}"/>
    <cellStyle name="Accent1 116" xfId="19037" xr:uid="{C588ED6F-E79E-49AF-A2ED-317B615A8FDA}"/>
    <cellStyle name="Accent1 117" xfId="19038" xr:uid="{DBD0F29B-4E1F-4D21-96A4-5199AA94FC08}"/>
    <cellStyle name="Accent1 118" xfId="19039" xr:uid="{26FD3E69-8256-4DCA-8DD9-3A3296397F93}"/>
    <cellStyle name="Accent1 119" xfId="19040" xr:uid="{7ED182AB-B860-4C1F-A4A2-C2CD1929F9BC}"/>
    <cellStyle name="Accent1 12" xfId="19041" xr:uid="{2B34FF65-FD9B-4E84-9260-8F49CFC5BD3F}"/>
    <cellStyle name="Accent1 12 2" xfId="38131" xr:uid="{66876BBE-A86C-4D73-A516-80B5F148E645}"/>
    <cellStyle name="Accent1 12 3" xfId="38132" xr:uid="{BD188A38-0B9C-4F75-8DE8-23866F7BBBA3}"/>
    <cellStyle name="Accent1 120" xfId="19042" xr:uid="{D6F17AC5-BA60-4440-82FB-8DCEA489A1F4}"/>
    <cellStyle name="Accent1 121" xfId="19043" xr:uid="{BE14F029-B909-4C03-9DC5-42865BA92D2D}"/>
    <cellStyle name="Accent1 122" xfId="19044" xr:uid="{421D6887-57F7-4720-99A6-ADF49C150AC9}"/>
    <cellStyle name="Accent1 123" xfId="19045" xr:uid="{2E7556B3-FAA4-4329-99EB-EEF7082C85D0}"/>
    <cellStyle name="Accent1 124" xfId="19046" xr:uid="{8E483959-24F5-4F5C-B2C4-F73E5E17577C}"/>
    <cellStyle name="Accent1 125" xfId="19047" xr:uid="{4E6B7849-1465-4D49-932C-1B532D14451A}"/>
    <cellStyle name="Accent1 126" xfId="19048" xr:uid="{A950D06A-CB1A-46D8-833D-E32D81123889}"/>
    <cellStyle name="Accent1 127" xfId="19049" xr:uid="{1BC54ADD-F74B-474D-AE4F-3565AC9261A4}"/>
    <cellStyle name="Accent1 128" xfId="19050" xr:uid="{82C92517-E038-4978-A647-5EDC4A2FF2BD}"/>
    <cellStyle name="Accent1 129" xfId="19051" xr:uid="{90E9AB04-E4C6-4E8E-8AAC-E5E8F18E8B36}"/>
    <cellStyle name="Accent1 13" xfId="19052" xr:uid="{79D694FC-F78B-491D-B6AC-5056A9480E61}"/>
    <cellStyle name="Accent1 13 2" xfId="38133" xr:uid="{4CC0F3D8-E9CA-4F49-BFAB-981F67E2E897}"/>
    <cellStyle name="Accent1 13 3" xfId="38134" xr:uid="{C7FE0948-822F-4DB8-94BC-3E3C021A9799}"/>
    <cellStyle name="Accent1 130" xfId="19053" xr:uid="{4F673813-CABA-4B23-9201-050B6ABA0782}"/>
    <cellStyle name="Accent1 131" xfId="19054" xr:uid="{E1362CBA-6C43-47AE-8C35-95B64025F2F3}"/>
    <cellStyle name="Accent1 132" xfId="19055" xr:uid="{06A4B2B7-A777-4139-A76F-0C4E8C216367}"/>
    <cellStyle name="Accent1 133" xfId="19056" xr:uid="{641A063A-D8DF-43CB-B50C-D18F31D8A24B}"/>
    <cellStyle name="Accent1 134" xfId="19057" xr:uid="{EBFD69B0-FCCD-4B8B-828A-2A3F698C7301}"/>
    <cellStyle name="Accent1 135" xfId="19058" xr:uid="{5E0C5921-F154-426B-BBFD-F66DD1B967C3}"/>
    <cellStyle name="Accent1 136" xfId="19059" xr:uid="{9065D5D5-F7EF-4C55-B942-096DD55184DA}"/>
    <cellStyle name="Accent1 137" xfId="19060" xr:uid="{BFA3BD74-C39C-4327-A325-4D46C4AA5747}"/>
    <cellStyle name="Accent1 138" xfId="19061" xr:uid="{8AC87117-7859-47FA-8C36-60A07A054747}"/>
    <cellStyle name="Accent1 139" xfId="19062" xr:uid="{EB691DBB-FD58-40F2-BBEC-9D1E5A51F897}"/>
    <cellStyle name="Accent1 14" xfId="19063" xr:uid="{0A22F658-206E-4DD2-AEAF-E99AEB66381B}"/>
    <cellStyle name="Accent1 14 2" xfId="38135" xr:uid="{9C27C7EF-15CD-4A05-AC47-A306D89B033C}"/>
    <cellStyle name="Accent1 14 3" xfId="38136" xr:uid="{FD5B52D6-DD23-4C33-95A7-866B4DDDEA5C}"/>
    <cellStyle name="Accent1 140" xfId="19064" xr:uid="{F5039D27-B729-4692-9EA9-A16ABAB76119}"/>
    <cellStyle name="Accent1 141" xfId="19065" xr:uid="{D1A67681-DEEC-4030-8647-F1D081E8D1D0}"/>
    <cellStyle name="Accent1 142" xfId="19066" xr:uid="{0D7CDA02-B626-4A5C-A548-B9735F16B175}"/>
    <cellStyle name="Accent1 143" xfId="19067" xr:uid="{B3CB75C3-8D53-47BE-AE81-858D1C95D1FC}"/>
    <cellStyle name="Accent1 144" xfId="19068" xr:uid="{05785E08-02A7-4ED4-B8E6-91DAF7851777}"/>
    <cellStyle name="Accent1 145" xfId="19069" xr:uid="{7A9B6A2F-B54A-48AE-B524-1B02D22B3A34}"/>
    <cellStyle name="Accent1 146" xfId="19070" xr:uid="{9B9D4692-8BB3-421B-9A1C-A40B1F4E80E3}"/>
    <cellStyle name="Accent1 147" xfId="19071" xr:uid="{7B64ECE9-8BFD-48CF-99DC-4B68706D7FA3}"/>
    <cellStyle name="Accent1 148" xfId="19072" xr:uid="{4843C391-B3A4-4BDB-97A3-E8063A932E38}"/>
    <cellStyle name="Accent1 149" xfId="19073" xr:uid="{9CB15093-0BF6-4DCE-B1F1-0D3BAF018648}"/>
    <cellStyle name="Accent1 15" xfId="19074" xr:uid="{DE1AD36D-16BE-422F-82D4-E6AE21D79A13}"/>
    <cellStyle name="Accent1 15 2" xfId="38137" xr:uid="{9CD36694-A8F8-42AC-A2F3-F45386C33D39}"/>
    <cellStyle name="Accent1 15 3" xfId="38138" xr:uid="{5E47893A-5BA5-4761-A358-85E4EEB9E133}"/>
    <cellStyle name="Accent1 150" xfId="19075" xr:uid="{C294F428-DD5A-40AD-B24C-F7E579D77A98}"/>
    <cellStyle name="Accent1 151" xfId="19076" xr:uid="{8F471552-4800-420A-A1E8-0BE275125C36}"/>
    <cellStyle name="Accent1 152" xfId="19077" xr:uid="{369B0807-3F55-4248-B0B9-6E1FEBA52C66}"/>
    <cellStyle name="Accent1 153" xfId="19078" xr:uid="{7AF8BDE8-1284-458B-952B-63C94C9C9316}"/>
    <cellStyle name="Accent1 154" xfId="19079" xr:uid="{80FBB81B-C099-433E-9700-339E25204974}"/>
    <cellStyle name="Accent1 155" xfId="19080" xr:uid="{D25D519F-25A2-4127-8E2E-9E9374CA290E}"/>
    <cellStyle name="Accent1 156" xfId="19081" xr:uid="{40B8084E-4A23-4222-B673-C7F1A19C64A4}"/>
    <cellStyle name="Accent1 157" xfId="19082" xr:uid="{CE60FB76-3A79-4DFA-B721-12E7F3FA40E2}"/>
    <cellStyle name="Accent1 158" xfId="19083" xr:uid="{6996D582-8EAE-43CC-A840-FE95DD28494C}"/>
    <cellStyle name="Accent1 159" xfId="19084" xr:uid="{1B6530A4-2A39-4464-8D42-CBC288F44B6D}"/>
    <cellStyle name="Accent1 16" xfId="19085" xr:uid="{E1629DF5-4802-42DF-A745-1BD673CD7C2C}"/>
    <cellStyle name="Accent1 16 2" xfId="38139" xr:uid="{2AC0C5CA-18FD-4F81-B0DE-AE808C77D081}"/>
    <cellStyle name="Accent1 16 3" xfId="38140" xr:uid="{DF8AC588-F3C6-43FF-AA4D-D194201C8F58}"/>
    <cellStyle name="Accent1 160" xfId="19086" xr:uid="{D4C96203-15C2-4B24-BCDA-7DC9BB346346}"/>
    <cellStyle name="Accent1 17" xfId="19087" xr:uid="{51DE6AF6-3F8C-409A-AB24-F667B261F133}"/>
    <cellStyle name="Accent1 17 2" xfId="38141" xr:uid="{2A51B51F-5359-4D12-B129-516005374960}"/>
    <cellStyle name="Accent1 17 3" xfId="38142" xr:uid="{02625B1D-514A-483D-97C6-CB8F0FEDED59}"/>
    <cellStyle name="Accent1 18" xfId="19088" xr:uid="{28747489-BB66-458B-9EC7-451D7A1E1104}"/>
    <cellStyle name="Accent1 18 2" xfId="38143" xr:uid="{A08E57B3-4845-499A-AFB1-D3CDDD3A2655}"/>
    <cellStyle name="Accent1 18 3" xfId="38144" xr:uid="{28979BC3-4D04-4AD2-A8E0-1C2F20D245AC}"/>
    <cellStyle name="Accent1 19" xfId="19089" xr:uid="{F1E9A8EB-E09C-4270-BDB9-F846CDBEAA92}"/>
    <cellStyle name="Accent1 19 2" xfId="38145" xr:uid="{59CFA79A-2FCE-4D3D-99E1-22983414B22E}"/>
    <cellStyle name="Accent1 2" xfId="19090" xr:uid="{09414865-F953-42CD-BB22-9B052699CAAF}"/>
    <cellStyle name="Accent1 2 2" xfId="19091" xr:uid="{7D616436-4BE0-4D86-9583-9B532306D81F}"/>
    <cellStyle name="Accent1 2 3" xfId="38146" xr:uid="{C15634D4-3DF8-4D62-B7BA-813ED0DB65FA}"/>
    <cellStyle name="Accent1 2 4" xfId="38147" xr:uid="{EA089A4B-F428-4F40-9F23-346DF5FAE328}"/>
    <cellStyle name="Accent1 2 5" xfId="38148" xr:uid="{3F6C3E2F-BB2B-4E2E-B656-AC0EA60AA464}"/>
    <cellStyle name="Accent1 20" xfId="19092" xr:uid="{A04EB89F-9329-4EBF-8546-D44AFCB4FE01}"/>
    <cellStyle name="Accent1 20 2" xfId="38149" xr:uid="{F8F19F47-19B2-4F17-8C12-F3B2211F3282}"/>
    <cellStyle name="Accent1 21" xfId="19093" xr:uid="{2D3C47A1-5E45-4BC1-9D68-846ABFEDEAC4}"/>
    <cellStyle name="Accent1 21 2" xfId="38150" xr:uid="{26A5A2B1-D42F-4373-9A53-6E00E04090DA}"/>
    <cellStyle name="Accent1 22" xfId="19094" xr:uid="{200633D8-F8EE-4C26-A641-8F892A5CECD1}"/>
    <cellStyle name="Accent1 22 2" xfId="38151" xr:uid="{0CEBAB6E-3B86-41CB-8EBD-5A88FB049F37}"/>
    <cellStyle name="Accent1 23" xfId="19095" xr:uid="{F77E5FFB-8738-4379-8E02-FF89CEF20F31}"/>
    <cellStyle name="Accent1 23 2" xfId="38152" xr:uid="{73E13E98-882E-427E-ADBB-502D996042E3}"/>
    <cellStyle name="Accent1 24" xfId="19096" xr:uid="{C06711AC-D1AC-4B11-A7AA-A7C4075628AA}"/>
    <cellStyle name="Accent1 24 2" xfId="38153" xr:uid="{E30FC243-04D1-4E92-8BFD-49712F8D21ED}"/>
    <cellStyle name="Accent1 25" xfId="19097" xr:uid="{0505B338-8CB1-4220-A4F4-E5DCFBD774B1}"/>
    <cellStyle name="Accent1 25 2" xfId="38154" xr:uid="{ECECDD33-8229-4CF2-9669-E18652E859DE}"/>
    <cellStyle name="Accent1 26" xfId="19098" xr:uid="{074C888E-BA05-49C1-897A-04A67E89A0A9}"/>
    <cellStyle name="Accent1 26 2" xfId="38155" xr:uid="{E9450ACD-1EBD-4F5C-9713-289260857195}"/>
    <cellStyle name="Accent1 27" xfId="19099" xr:uid="{27873E4E-FC86-4801-90D0-E1792C853403}"/>
    <cellStyle name="Accent1 27 2" xfId="38156" xr:uid="{AADF042C-AE01-4B6F-8DE4-F5AF8747CAC2}"/>
    <cellStyle name="Accent1 28" xfId="19100" xr:uid="{29257491-E1F4-472C-BCE8-5EB4FB97BABC}"/>
    <cellStyle name="Accent1 28 2" xfId="38157" xr:uid="{75B2FC83-D4F1-41DB-8AE1-4C699A6F681B}"/>
    <cellStyle name="Accent1 29" xfId="19101" xr:uid="{DE4AD984-8C41-4E1D-B8D3-D2658AF46C45}"/>
    <cellStyle name="Accent1 29 2" xfId="19102" xr:uid="{40F7F5A0-4909-4C54-9190-ACBB35A22CAF}"/>
    <cellStyle name="Accent1 29 3" xfId="38158" xr:uid="{CC1B7743-B166-44C4-8450-5698490F8198}"/>
    <cellStyle name="Accent1 3" xfId="19103" xr:uid="{91A03828-045A-4D58-B350-FCE4026C1492}"/>
    <cellStyle name="Accent1 3 2" xfId="19104" xr:uid="{F21FB292-A34E-4384-9C33-254E83092C96}"/>
    <cellStyle name="Accent1 3 3" xfId="38159" xr:uid="{EB5416A9-52B1-4986-824C-45837275994F}"/>
    <cellStyle name="Accent1 3 4" xfId="38160" xr:uid="{5355974D-375F-423B-8A48-D8ACC25248B3}"/>
    <cellStyle name="Accent1 30" xfId="19105" xr:uid="{01B6AE27-4030-4C7A-9161-7B2D8E61C607}"/>
    <cellStyle name="Accent1 30 2" xfId="38161" xr:uid="{A4B8128C-892C-41A6-BC60-54A4320D759E}"/>
    <cellStyle name="Accent1 31" xfId="19106" xr:uid="{85207B07-4027-4E91-8EC3-A2497171C121}"/>
    <cellStyle name="Accent1 32" xfId="19107" xr:uid="{AF1ABE28-6A87-408F-885C-FFBC29BC33D8}"/>
    <cellStyle name="Accent1 33" xfId="19108" xr:uid="{0009D56A-C361-4236-9D89-4AA9D6DB1376}"/>
    <cellStyle name="Accent1 34" xfId="19109" xr:uid="{CB9AE49D-9B0B-4C3A-BAEB-C3B19EBFF266}"/>
    <cellStyle name="Accent1 35" xfId="19110" xr:uid="{7916D10E-5D29-440B-96DE-C1BDB1455C5A}"/>
    <cellStyle name="Accent1 36" xfId="19111" xr:uid="{DB68CCF9-40DC-41DF-919A-C0061522494E}"/>
    <cellStyle name="Accent1 37" xfId="19112" xr:uid="{A9F3F46F-AC5A-4BE7-905D-EF14870AB947}"/>
    <cellStyle name="Accent1 38" xfId="19113" xr:uid="{A5D5B9DB-FC01-477D-9A58-F62498945BDA}"/>
    <cellStyle name="Accent1 39" xfId="19114" xr:uid="{102EBA4E-6D2C-4C9F-9762-B760B51034F2}"/>
    <cellStyle name="Accent1 4" xfId="19115" xr:uid="{D01DF8CF-E59F-4442-8C60-DC3A8A093F06}"/>
    <cellStyle name="Accent1 4 2" xfId="38162" xr:uid="{480F9BD7-799D-4BBE-921A-BA0ABF447DAA}"/>
    <cellStyle name="Accent1 4 3" xfId="38163" xr:uid="{A257CF5E-33F5-4EE2-8DE2-BDFDFF93CCD3}"/>
    <cellStyle name="Accent1 40" xfId="19116" xr:uid="{BB1CF037-501E-484D-B21C-7ED8AD52C8A0}"/>
    <cellStyle name="Accent1 41" xfId="19117" xr:uid="{3F86AA6D-A1E3-479F-B5C6-6EDB3003B869}"/>
    <cellStyle name="Accent1 42" xfId="19118" xr:uid="{AAAE3C1C-E713-4FD7-B0DD-3A6A78307F8E}"/>
    <cellStyle name="Accent1 43" xfId="19119" xr:uid="{25D9F51F-0884-47F7-990F-5E7771A451EF}"/>
    <cellStyle name="Accent1 44" xfId="19120" xr:uid="{3DAC8388-09B3-42CB-8C7A-96556E4F9D6B}"/>
    <cellStyle name="Accent1 45" xfId="19121" xr:uid="{7371CC96-20E3-43A2-A537-6E403EFEB289}"/>
    <cellStyle name="Accent1 46" xfId="19122" xr:uid="{7E348EFA-CA8D-430C-B4D7-D870E104B30E}"/>
    <cellStyle name="Accent1 47" xfId="19123" xr:uid="{713BBA7C-70CF-40F4-A1B7-D65309D8BB10}"/>
    <cellStyle name="Accent1 48" xfId="19124" xr:uid="{9CB0713C-B9CE-43F4-83AA-DE2675AF24CF}"/>
    <cellStyle name="Accent1 49" xfId="19125" xr:uid="{1A12A12F-30CC-4073-AA9F-25CA5E98DB4D}"/>
    <cellStyle name="Accent1 5" xfId="19126" xr:uid="{37048CBF-1F91-4050-9C9E-F9B55A351069}"/>
    <cellStyle name="Accent1 5 2" xfId="38164" xr:uid="{EF0EC40A-FEAA-412B-8E32-7EF57C60CB8C}"/>
    <cellStyle name="Accent1 5 3" xfId="38165" xr:uid="{260118F0-6AE3-42A7-963E-E6CA2B7D53A8}"/>
    <cellStyle name="Accent1 50" xfId="19127" xr:uid="{321A9F23-5BA6-4A96-87F6-4F2FFD097328}"/>
    <cellStyle name="Accent1 51" xfId="19128" xr:uid="{F852728D-F4AE-4244-815E-D47EB33F6329}"/>
    <cellStyle name="Accent1 52" xfId="19129" xr:uid="{C467093A-38B1-444B-A292-271A848BD1B0}"/>
    <cellStyle name="Accent1 53" xfId="19130" xr:uid="{8165B213-A660-4AF8-A1CF-945F4FAB4E9A}"/>
    <cellStyle name="Accent1 54" xfId="19131" xr:uid="{6689F4B2-D840-47AE-98F5-3421EA0C5605}"/>
    <cellStyle name="Accent1 55" xfId="19132" xr:uid="{1592D16C-FA1E-4977-A9BA-F50FA0DF69EC}"/>
    <cellStyle name="Accent1 56" xfId="19133" xr:uid="{800FDACE-D65C-46CB-8A12-1A28E2F66E80}"/>
    <cellStyle name="Accent1 57" xfId="19134" xr:uid="{203BCE34-0664-45F1-B063-5C106ECB6926}"/>
    <cellStyle name="Accent1 58" xfId="19135" xr:uid="{C713E333-81BE-448D-AA95-6DB4EA234AA8}"/>
    <cellStyle name="Accent1 59" xfId="19136" xr:uid="{1F2213EC-A8D8-4C77-B2B1-CA1DFBF835B8}"/>
    <cellStyle name="Accent1 6" xfId="19137" xr:uid="{3CD95793-9925-4A03-AA52-E3E3AB8669A4}"/>
    <cellStyle name="Accent1 6 2" xfId="38166" xr:uid="{541AE9E4-5441-40E9-8E52-473355F74DE9}"/>
    <cellStyle name="Accent1 6 3" xfId="38167" xr:uid="{12B1567F-FECD-422B-AE1C-8FAD08A2F71C}"/>
    <cellStyle name="Accent1 60" xfId="19138" xr:uid="{14317A74-3AF2-413F-80F9-87F28AEEAFDA}"/>
    <cellStyle name="Accent1 61" xfId="19139" xr:uid="{A32F6FC8-7DD7-4303-A542-7DA31DF90D25}"/>
    <cellStyle name="Accent1 62" xfId="19140" xr:uid="{EC32DF45-62EC-4C2E-92B5-8B3F5E571F16}"/>
    <cellStyle name="Accent1 63" xfId="19141" xr:uid="{AD8816A6-D04F-4D51-AF10-70CAE3E19AAB}"/>
    <cellStyle name="Accent1 64" xfId="19142" xr:uid="{41C1A64A-CB90-4847-91F6-1453C442F2BB}"/>
    <cellStyle name="Accent1 65" xfId="19143" xr:uid="{EBBA79F6-9BF7-4E68-A28C-C78B228D7AF6}"/>
    <cellStyle name="Accent1 66" xfId="19144" xr:uid="{7B7F2047-E6FE-41CA-BA18-918188D0BD7E}"/>
    <cellStyle name="Accent1 67" xfId="19145" xr:uid="{EF515485-6F3D-4839-9543-66A2133AAAD1}"/>
    <cellStyle name="Accent1 68" xfId="19146" xr:uid="{4C75EC20-A5DE-4883-B618-500A7376D944}"/>
    <cellStyle name="Accent1 69" xfId="19147" xr:uid="{9447A1D1-85B0-4C73-8C40-C9F2E0305774}"/>
    <cellStyle name="Accent1 7" xfId="19148" xr:uid="{9E9541E4-01BE-43F3-B99B-ED018470B002}"/>
    <cellStyle name="Accent1 7 2" xfId="38168" xr:uid="{EA96AA3E-B4B3-4D19-BFA8-E581CE8C1A34}"/>
    <cellStyle name="Accent1 7 3" xfId="38169" xr:uid="{78D15B5A-4E42-4C27-A44C-4798D3A83072}"/>
    <cellStyle name="Accent1 70" xfId="19149" xr:uid="{7E7D2D17-5FEF-42DE-BFA8-1CFB040E6FFB}"/>
    <cellStyle name="Accent1 71" xfId="19150" xr:uid="{087917AF-2D12-4257-AEAF-EB9BD9C738FE}"/>
    <cellStyle name="Accent1 72" xfId="19151" xr:uid="{1A87EBC5-3AEE-476D-B7E5-BBAF949BD193}"/>
    <cellStyle name="Accent1 73" xfId="19152" xr:uid="{28105918-5109-4C02-8E26-2BCA191A0612}"/>
    <cellStyle name="Accent1 74" xfId="19153" xr:uid="{1A203395-72AE-47C7-B5B5-F5C80F606422}"/>
    <cellStyle name="Accent1 75" xfId="19154" xr:uid="{55282BCF-338F-4BFA-A939-8D72F6D13AB1}"/>
    <cellStyle name="Accent1 76" xfId="19155" xr:uid="{0FE4149F-EA77-40E6-993F-2D3FAEC6FFEF}"/>
    <cellStyle name="Accent1 77" xfId="19156" xr:uid="{17694133-63C2-42FA-A7E6-E69F7DAE716A}"/>
    <cellStyle name="Accent1 78" xfId="19157" xr:uid="{1C004BFD-845D-4190-B166-C3EE55908485}"/>
    <cellStyle name="Accent1 79" xfId="19158" xr:uid="{A6B7E197-101B-4848-820D-C7C3A05E2B27}"/>
    <cellStyle name="Accent1 8" xfId="19159" xr:uid="{D61CB16F-4CAF-4936-A30F-D50C37364441}"/>
    <cellStyle name="Accent1 8 2" xfId="38170" xr:uid="{949BAB53-87F7-4390-BF7F-BB493008D012}"/>
    <cellStyle name="Accent1 8 3" xfId="38171" xr:uid="{CCDD042A-730C-4772-8025-2BF9BAF168BC}"/>
    <cellStyle name="Accent1 80" xfId="19160" xr:uid="{0900A230-33DA-45E5-A043-1FA2540C5ED1}"/>
    <cellStyle name="Accent1 81" xfId="19161" xr:uid="{5A591B32-4232-4464-82BE-2B72A821972A}"/>
    <cellStyle name="Accent1 82" xfId="19162" xr:uid="{93481732-CD1D-4F35-9725-1783C14E681F}"/>
    <cellStyle name="Accent1 83" xfId="19163" xr:uid="{B900A3A7-9572-4244-865F-796F25FC8705}"/>
    <cellStyle name="Accent1 84" xfId="19164" xr:uid="{C81CD82C-7D6A-4920-B9CC-F84BF1EE476B}"/>
    <cellStyle name="Accent1 85" xfId="19165" xr:uid="{FB323CC1-0B70-4F14-B68A-9C338F8355C2}"/>
    <cellStyle name="Accent1 86" xfId="19166" xr:uid="{F6F9B7D7-3E03-48D2-9BEB-B846FEE34653}"/>
    <cellStyle name="Accent1 87" xfId="19167" xr:uid="{10987BF2-B562-4806-9A21-9C3BC82CD2BD}"/>
    <cellStyle name="Accent1 88" xfId="19168" xr:uid="{CA56F6EF-EF91-4F28-979A-DB0AC78B5213}"/>
    <cellStyle name="Accent1 89" xfId="19169" xr:uid="{F87813B9-D9DA-45B2-A6D0-6C5134728889}"/>
    <cellStyle name="Accent1 9" xfId="19170" xr:uid="{A667EB5C-CF3C-45C8-A56A-9186C3EC9E35}"/>
    <cellStyle name="Accent1 9 2" xfId="38172" xr:uid="{6A372004-1E64-445C-9550-084B58E0FBD4}"/>
    <cellStyle name="Accent1 9 3" xfId="38173" xr:uid="{4B38FA2B-7F09-4F1C-BEE2-BD5E896331A2}"/>
    <cellStyle name="Accent1 90" xfId="19171" xr:uid="{5263E72A-E3F1-4A51-A38F-6FFFFCC256D3}"/>
    <cellStyle name="Accent1 91" xfId="19172" xr:uid="{9B60EBED-E07B-44D0-A928-BBD8D53C8DC7}"/>
    <cellStyle name="Accent1 92" xfId="19173" xr:uid="{33191B90-3169-4F7C-BF87-2DA885660288}"/>
    <cellStyle name="Accent1 93" xfId="19174" xr:uid="{AE0CCABE-92FF-4740-B657-B842FF06AE9B}"/>
    <cellStyle name="Accent1 94" xfId="19175" xr:uid="{5295E9BC-9C7E-4731-A966-90BCD58F1DAE}"/>
    <cellStyle name="Accent1 95" xfId="19176" xr:uid="{33F60A12-3A36-4C9E-B50E-C2A38432AD1D}"/>
    <cellStyle name="Accent1 96" xfId="19177" xr:uid="{7B5659BF-1C43-48E4-A12B-15DAABC5773E}"/>
    <cellStyle name="Accent1 97" xfId="19178" xr:uid="{6EBEC4FD-A4AA-461C-BD3D-FE9A495A112F}"/>
    <cellStyle name="Accent1 98" xfId="19179" xr:uid="{3402C27A-5129-44B4-8BAE-4D7C341F575D}"/>
    <cellStyle name="Accent1 99" xfId="19180" xr:uid="{846D40E5-9EA8-4F0D-976C-62E22855CC41}"/>
    <cellStyle name="Accent2" xfId="34" builtinId="33" hidden="1"/>
    <cellStyle name="Accent2" xfId="108" builtinId="33" customBuiltin="1"/>
    <cellStyle name="Accent2 10" xfId="19181" xr:uid="{4E5BCC54-5514-4648-91CA-0AB51F8F4A7A}"/>
    <cellStyle name="Accent2 10 2" xfId="38174" xr:uid="{A8AA97EC-9872-470A-9F5B-6134FC361A92}"/>
    <cellStyle name="Accent2 10 3" xfId="38175" xr:uid="{A394171F-F032-44D1-A04B-34112D1CB19E}"/>
    <cellStyle name="Accent2 100" xfId="19182" xr:uid="{052B02D0-4B11-4A74-9F7A-BF3761276BEC}"/>
    <cellStyle name="Accent2 101" xfId="19183" xr:uid="{2EFE0F6E-DA04-4C83-8099-0D27AF732E24}"/>
    <cellStyle name="Accent2 102" xfId="19184" xr:uid="{6DDB6ECC-40A4-4793-9E4E-0B0CFCCB84BD}"/>
    <cellStyle name="Accent2 103" xfId="19185" xr:uid="{44515D70-9337-485E-9CCF-796E9C72B87B}"/>
    <cellStyle name="Accent2 104" xfId="19186" xr:uid="{8D83BCE1-32AA-465A-8284-5A755A621443}"/>
    <cellStyle name="Accent2 105" xfId="19187" xr:uid="{1FEB6F06-D700-4887-B298-C73ADA305552}"/>
    <cellStyle name="Accent2 106" xfId="19188" xr:uid="{BAE4D209-BE9E-4BD6-91FD-8DC2BB86A162}"/>
    <cellStyle name="Accent2 107" xfId="19189" xr:uid="{E3F57701-8C0B-47F2-82F0-7C37D1703F2D}"/>
    <cellStyle name="Accent2 108" xfId="19190" xr:uid="{2171C12E-7F17-4484-A567-9A0E0E8276E8}"/>
    <cellStyle name="Accent2 109" xfId="19191" xr:uid="{10A97DA2-2207-4FC9-8064-076293C22B05}"/>
    <cellStyle name="Accent2 11" xfId="19192" xr:uid="{785EF81F-D58D-4F40-9983-44CB8430F6FA}"/>
    <cellStyle name="Accent2 11 2" xfId="38176" xr:uid="{6519FFE8-8AF5-40DE-809E-FCAFEB171C9B}"/>
    <cellStyle name="Accent2 11 3" xfId="38177" xr:uid="{1FA2AD14-566E-415F-8FBC-BBF587F0A57B}"/>
    <cellStyle name="Accent2 110" xfId="19193" xr:uid="{340072F0-4596-48F8-A2C2-E8F2B653019B}"/>
    <cellStyle name="Accent2 111" xfId="19194" xr:uid="{906FD041-D6C6-496B-82F3-E65E8D8AAF40}"/>
    <cellStyle name="Accent2 112" xfId="19195" xr:uid="{01F7DCF2-F9A5-43A5-8427-0A605E37924D}"/>
    <cellStyle name="Accent2 113" xfId="19196" xr:uid="{BC3778EA-A293-448D-ACA6-B2E079207D55}"/>
    <cellStyle name="Accent2 114" xfId="19197" xr:uid="{8B562AEB-20F9-4A93-A0FD-60B3B38A3A3F}"/>
    <cellStyle name="Accent2 115" xfId="19198" xr:uid="{84EA463E-D744-4840-9FE4-021F7819ADAB}"/>
    <cellStyle name="Accent2 116" xfId="19199" xr:uid="{E30E9F70-3F1E-4244-A6FA-598C189294DC}"/>
    <cellStyle name="Accent2 117" xfId="19200" xr:uid="{5434ABF2-B364-44D4-83C8-ADDBCBB0A2E1}"/>
    <cellStyle name="Accent2 118" xfId="19201" xr:uid="{868586F9-7747-40FB-820D-CCE958918D44}"/>
    <cellStyle name="Accent2 119" xfId="19202" xr:uid="{51D4E127-6350-4BF1-8758-A862E48F04B3}"/>
    <cellStyle name="Accent2 12" xfId="19203" xr:uid="{7902427A-0707-40EE-BF13-34966A149200}"/>
    <cellStyle name="Accent2 12 2" xfId="38178" xr:uid="{C91DC3D6-FB63-4141-883A-800CE56519BF}"/>
    <cellStyle name="Accent2 12 3" xfId="38179" xr:uid="{FDDE5439-2690-4CE9-A013-D7C7148D79A6}"/>
    <cellStyle name="Accent2 120" xfId="19204" xr:uid="{73B14DE0-5228-49D3-9FD7-473FB66DE10B}"/>
    <cellStyle name="Accent2 121" xfId="19205" xr:uid="{20E4033E-7293-41BA-AEAD-1E12E9F01047}"/>
    <cellStyle name="Accent2 122" xfId="19206" xr:uid="{9120EAEB-D1FA-470F-A680-F66C6F2D5DE6}"/>
    <cellStyle name="Accent2 123" xfId="19207" xr:uid="{9FC125AA-740B-483C-B16A-EC02CE0266F9}"/>
    <cellStyle name="Accent2 124" xfId="19208" xr:uid="{E167F457-4B54-456D-AD8E-A1421A6E18C7}"/>
    <cellStyle name="Accent2 125" xfId="19209" xr:uid="{AF082593-5296-4752-9773-A551BD652309}"/>
    <cellStyle name="Accent2 126" xfId="19210" xr:uid="{3DA604CE-66A9-4AA2-B461-593F72812BF6}"/>
    <cellStyle name="Accent2 127" xfId="19211" xr:uid="{4B101260-C7C6-423B-A332-AED0A5B2A932}"/>
    <cellStyle name="Accent2 128" xfId="19212" xr:uid="{06A97EBB-4576-4FD7-95E8-F8D2106E95D6}"/>
    <cellStyle name="Accent2 129" xfId="19213" xr:uid="{7FF4F687-08C7-4D18-B5C2-C9A4D0DEC534}"/>
    <cellStyle name="Accent2 13" xfId="19214" xr:uid="{1015C372-CDD9-43C5-B2EE-17CFBB3CBC67}"/>
    <cellStyle name="Accent2 13 2" xfId="38180" xr:uid="{D66024F9-FC53-4322-8C4D-B636AFFCD7A9}"/>
    <cellStyle name="Accent2 13 3" xfId="38181" xr:uid="{9D220004-92AD-4BBA-AFCB-AC3F708DDA65}"/>
    <cellStyle name="Accent2 130" xfId="19215" xr:uid="{2EBE8AEF-5000-4778-9C76-45FFC5B9F18C}"/>
    <cellStyle name="Accent2 131" xfId="19216" xr:uid="{C9C8FEFE-36E6-47B0-8844-8BB027FA95C0}"/>
    <cellStyle name="Accent2 132" xfId="19217" xr:uid="{D86FE333-C538-44FF-A16B-706339D0946A}"/>
    <cellStyle name="Accent2 133" xfId="19218" xr:uid="{1A743F5C-78FB-4A00-82F5-319D998E2156}"/>
    <cellStyle name="Accent2 134" xfId="19219" xr:uid="{BA3C1F14-A10E-4E2A-B687-E3BE118B924A}"/>
    <cellStyle name="Accent2 135" xfId="19220" xr:uid="{117A196B-7243-432A-A315-96878FE621BE}"/>
    <cellStyle name="Accent2 136" xfId="19221" xr:uid="{802081D3-29E4-4B12-95D1-BC384CAD11C9}"/>
    <cellStyle name="Accent2 137" xfId="19222" xr:uid="{73F1CF23-1D13-4B02-8B36-307BF7C357ED}"/>
    <cellStyle name="Accent2 138" xfId="19223" xr:uid="{05DBA857-230E-4021-8B49-EA7F3177DEDC}"/>
    <cellStyle name="Accent2 139" xfId="19224" xr:uid="{FD3AE0A6-BDA6-48EF-A8EE-B7F1FFCE9F77}"/>
    <cellStyle name="Accent2 14" xfId="19225" xr:uid="{2F473B21-E23E-4A14-9E46-8890EE97E4C7}"/>
    <cellStyle name="Accent2 14 2" xfId="38182" xr:uid="{C55C5900-A8AA-4B0C-A177-1050C46A3213}"/>
    <cellStyle name="Accent2 14 3" xfId="38183" xr:uid="{166A046F-3458-4736-93F9-21A4F6102CD4}"/>
    <cellStyle name="Accent2 140" xfId="19226" xr:uid="{EE4B59AC-0777-4163-ABAF-FE6A33BE6E2F}"/>
    <cellStyle name="Accent2 141" xfId="19227" xr:uid="{81D7B617-1105-4298-812D-BBE393AF3B56}"/>
    <cellStyle name="Accent2 142" xfId="19228" xr:uid="{F72D8D5B-F81E-45E1-A9C5-EB0D1EAC5371}"/>
    <cellStyle name="Accent2 143" xfId="19229" xr:uid="{71BB42E4-DD74-4B13-966E-9CB66ABA18AA}"/>
    <cellStyle name="Accent2 144" xfId="19230" xr:uid="{A3FB3999-CF22-4ACB-8737-1A8678A563FC}"/>
    <cellStyle name="Accent2 145" xfId="19231" xr:uid="{3DDE0BD3-156C-43E2-985D-417F29DA5DCF}"/>
    <cellStyle name="Accent2 146" xfId="19232" xr:uid="{7A43ABEF-C084-4E25-95AA-AD8C58AF5388}"/>
    <cellStyle name="Accent2 147" xfId="19233" xr:uid="{581AC91D-EE44-48FB-831B-62FDE6F62EB3}"/>
    <cellStyle name="Accent2 148" xfId="19234" xr:uid="{F843F09B-86A9-4FB2-8175-83AB55097659}"/>
    <cellStyle name="Accent2 149" xfId="19235" xr:uid="{C91FC665-A3BC-437C-B906-0ABD2FB31EBF}"/>
    <cellStyle name="Accent2 15" xfId="19236" xr:uid="{7A8EF3E1-A28D-46FD-BF27-CAF2B76F46E2}"/>
    <cellStyle name="Accent2 15 2" xfId="38184" xr:uid="{847E28A6-CB38-4638-A995-1842E6855579}"/>
    <cellStyle name="Accent2 15 3" xfId="38185" xr:uid="{E54E58DB-C406-4079-A73B-97540A72210D}"/>
    <cellStyle name="Accent2 150" xfId="19237" xr:uid="{95E7BC6A-AF17-491A-A81D-A0BA3EB43C4B}"/>
    <cellStyle name="Accent2 151" xfId="19238" xr:uid="{C5F54C87-0F86-4F7C-8926-F74FFC8AD90B}"/>
    <cellStyle name="Accent2 152" xfId="19239" xr:uid="{E6EF7FD6-27C1-4310-B54E-5A9670B0C2A1}"/>
    <cellStyle name="Accent2 153" xfId="19240" xr:uid="{1AD21598-CBD6-4E43-8E0A-84B61167579C}"/>
    <cellStyle name="Accent2 154" xfId="19241" xr:uid="{FD06FEB1-D269-49DF-8645-DA59B4E9F280}"/>
    <cellStyle name="Accent2 155" xfId="19242" xr:uid="{10881830-AE7A-44DE-8702-41DF090D73C0}"/>
    <cellStyle name="Accent2 156" xfId="19243" xr:uid="{3136058B-5808-470A-AE8C-BB6A17FF4299}"/>
    <cellStyle name="Accent2 157" xfId="19244" xr:uid="{B957A368-C22D-49F4-AF0D-F78D06983A5C}"/>
    <cellStyle name="Accent2 158" xfId="19245" xr:uid="{56C9611D-BFB5-4481-8083-6A3E988C22E4}"/>
    <cellStyle name="Accent2 159" xfId="19246" xr:uid="{EABF7872-222D-4D14-8A2C-79068ACE7154}"/>
    <cellStyle name="Accent2 16" xfId="19247" xr:uid="{8B42BE78-24C6-4AB9-AAF0-7A4685BB2EF4}"/>
    <cellStyle name="Accent2 16 2" xfId="38186" xr:uid="{CD71CB65-4847-49A7-A80F-0248AF179431}"/>
    <cellStyle name="Accent2 16 3" xfId="38187" xr:uid="{AB0F7AB1-591E-4065-A6B7-5A34728C1E27}"/>
    <cellStyle name="Accent2 160" xfId="19248" xr:uid="{6AC4288B-396F-4594-95EA-B2FF0D3E8FFE}"/>
    <cellStyle name="Accent2 17" xfId="19249" xr:uid="{546ACA3C-3386-4536-A74F-7A14FAD071C3}"/>
    <cellStyle name="Accent2 17 2" xfId="38188" xr:uid="{6108D54D-6CBF-4F79-BE76-F047A7AFC249}"/>
    <cellStyle name="Accent2 17 3" xfId="38189" xr:uid="{5F45F641-F534-430F-8126-90249DA8D55F}"/>
    <cellStyle name="Accent2 18" xfId="19250" xr:uid="{64B0A2AA-6ACA-4474-9FC7-73D94AED4D55}"/>
    <cellStyle name="Accent2 18 2" xfId="38190" xr:uid="{D26E02D4-AAB3-4986-A21A-DA1E7EFF1E08}"/>
    <cellStyle name="Accent2 18 3" xfId="38191" xr:uid="{11CC9FAA-A1EF-493B-B46E-144021E6A5F8}"/>
    <cellStyle name="Accent2 19" xfId="19251" xr:uid="{EF155F81-BD88-4BDE-894A-DCDB708110F3}"/>
    <cellStyle name="Accent2 19 2" xfId="38192" xr:uid="{EA255EEC-77C0-428E-A955-B6579C887020}"/>
    <cellStyle name="Accent2 2" xfId="19252" xr:uid="{77B858DE-6165-4EBD-801B-00A571E0D8C4}"/>
    <cellStyle name="Accent2 2 2" xfId="19253" xr:uid="{7766098A-BB48-40AA-B559-B015FCF80EF2}"/>
    <cellStyle name="Accent2 2 3" xfId="38193" xr:uid="{3ED2C377-71F5-47C3-8224-3E1FF9D2D7AB}"/>
    <cellStyle name="Accent2 2 4" xfId="38194" xr:uid="{E958AA8E-B167-4FBF-80B8-DE34452D83B0}"/>
    <cellStyle name="Accent2 2 5" xfId="38195" xr:uid="{183E483C-02C4-4D88-BA7B-A9647BDD9726}"/>
    <cellStyle name="Accent2 20" xfId="19254" xr:uid="{A045DB67-D63B-4E28-9A7C-BEC94FD9B28F}"/>
    <cellStyle name="Accent2 20 2" xfId="38196" xr:uid="{ACC1B60E-49F2-487A-9D15-C42B39699C8F}"/>
    <cellStyle name="Accent2 21" xfId="19255" xr:uid="{057A4283-723F-4934-8752-7458EDDA7FEA}"/>
    <cellStyle name="Accent2 21 2" xfId="38197" xr:uid="{58FE0E23-3ADC-40D3-A0E1-6AD90F72764A}"/>
    <cellStyle name="Accent2 22" xfId="19256" xr:uid="{354E1AB3-BD4E-4998-8BE6-C4E2C3B4DD1F}"/>
    <cellStyle name="Accent2 22 2" xfId="38198" xr:uid="{9D130D19-4ECE-44F0-AB77-254143152648}"/>
    <cellStyle name="Accent2 23" xfId="19257" xr:uid="{972EEA19-8065-43B1-80EE-C3D60AE70AD2}"/>
    <cellStyle name="Accent2 23 2" xfId="38199" xr:uid="{E6C9FFA2-A262-4692-88C3-80D222A8B2E6}"/>
    <cellStyle name="Accent2 24" xfId="19258" xr:uid="{1AB7D5B3-1C73-4B2E-9681-5CD99C426EC7}"/>
    <cellStyle name="Accent2 24 2" xfId="38200" xr:uid="{22778AC6-BA54-4497-B400-7A6E9390A3AC}"/>
    <cellStyle name="Accent2 25" xfId="19259" xr:uid="{2076397B-8DC4-4F40-B2F7-C3C73C75DE96}"/>
    <cellStyle name="Accent2 25 2" xfId="38201" xr:uid="{4BCAC5F2-C668-4032-A36A-F50E9BCD8AE5}"/>
    <cellStyle name="Accent2 26" xfId="19260" xr:uid="{3D2A336A-7990-4646-A4FD-4AD344FC5BBC}"/>
    <cellStyle name="Accent2 26 2" xfId="38202" xr:uid="{B1D7BF26-91BE-49C9-B87F-C0171C61C704}"/>
    <cellStyle name="Accent2 27" xfId="19261" xr:uid="{D97D96C1-E695-4489-A98B-A89A852E1FDD}"/>
    <cellStyle name="Accent2 27 2" xfId="38203" xr:uid="{793B73AF-BD68-4B78-9655-296E81D5C6A1}"/>
    <cellStyle name="Accent2 28" xfId="19262" xr:uid="{FD20D763-50C7-47F0-9ADE-73EBEE97C3DA}"/>
    <cellStyle name="Accent2 28 2" xfId="38204" xr:uid="{637FF60E-EEC5-4977-B8F2-FBE96122B4E8}"/>
    <cellStyle name="Accent2 29" xfId="19263" xr:uid="{1C7F3B95-89E2-4B89-B6BB-8B74CDAACB15}"/>
    <cellStyle name="Accent2 29 2" xfId="19264" xr:uid="{3A55F82C-1062-4ACB-8726-A4A2B92FA69C}"/>
    <cellStyle name="Accent2 29 3" xfId="38205" xr:uid="{1E2443B4-F51E-42BD-ADD1-567B6DF5D461}"/>
    <cellStyle name="Accent2 3" xfId="19265" xr:uid="{AECB8BD2-9338-4648-BECD-4C17C6647539}"/>
    <cellStyle name="Accent2 3 2" xfId="19266" xr:uid="{9F62E2B8-8CC1-41DE-9B3F-796B5FA80A66}"/>
    <cellStyle name="Accent2 3 3" xfId="38206" xr:uid="{F8BE4A27-7806-46C0-98DA-AA6C7BBF4D8C}"/>
    <cellStyle name="Accent2 3 4" xfId="38207" xr:uid="{EEE152F7-4681-4DA0-A5B2-30560F36454D}"/>
    <cellStyle name="Accent2 30" xfId="19267" xr:uid="{D9EC27A5-4024-4FEC-8A36-FB48D79E4226}"/>
    <cellStyle name="Accent2 30 2" xfId="38208" xr:uid="{85A52F34-EA4B-4B88-821B-37CCA2D40E21}"/>
    <cellStyle name="Accent2 31" xfId="19268" xr:uid="{A5B8CE18-3E88-4CCC-BD1B-04F9C65722E6}"/>
    <cellStyle name="Accent2 32" xfId="19269" xr:uid="{398AC9A6-9202-4AC5-9FA2-40C425C8E711}"/>
    <cellStyle name="Accent2 33" xfId="19270" xr:uid="{226ED916-CBB5-450C-84D8-83EAC3B674E6}"/>
    <cellStyle name="Accent2 34" xfId="19271" xr:uid="{3C93798B-FA48-4FBA-932C-38B61B4274C5}"/>
    <cellStyle name="Accent2 35" xfId="19272" xr:uid="{0404FC31-F43C-4421-91B2-31F86C22E03C}"/>
    <cellStyle name="Accent2 36" xfId="19273" xr:uid="{8678BD1D-E9B9-4E2C-9445-D978652F4A9F}"/>
    <cellStyle name="Accent2 37" xfId="19274" xr:uid="{69A017E7-90E6-487C-880C-1B0907657636}"/>
    <cellStyle name="Accent2 38" xfId="19275" xr:uid="{50015C97-FE1D-4F6F-A536-6F662E760170}"/>
    <cellStyle name="Accent2 39" xfId="19276" xr:uid="{2EA953E8-5DE1-4304-9286-0C348D1FFEA3}"/>
    <cellStyle name="Accent2 4" xfId="19277" xr:uid="{C51AAB90-ED9A-46AB-8C35-931071465167}"/>
    <cellStyle name="Accent2 4 2" xfId="38209" xr:uid="{E4C77372-78E4-45B4-BC62-A8A3CBE38063}"/>
    <cellStyle name="Accent2 4 3" xfId="38210" xr:uid="{E486FA39-7DE6-49CB-8E4C-88237FF3B7A6}"/>
    <cellStyle name="Accent2 40" xfId="19278" xr:uid="{99EB3FDD-3E7D-4A28-AC13-9AF6785901B1}"/>
    <cellStyle name="Accent2 41" xfId="19279" xr:uid="{B9196821-4A13-4546-8D94-0418C1B67809}"/>
    <cellStyle name="Accent2 42" xfId="19280" xr:uid="{DDD2FB99-0D52-4EDF-ACFE-14385C664D91}"/>
    <cellStyle name="Accent2 43" xfId="19281" xr:uid="{6E9AE3AD-0A14-44FA-A810-35D65F162C23}"/>
    <cellStyle name="Accent2 44" xfId="19282" xr:uid="{27C998F1-7D6F-46BC-A64D-928FA368909A}"/>
    <cellStyle name="Accent2 45" xfId="19283" xr:uid="{6B3FFA49-2B9D-46C6-8F31-A0D7879B245F}"/>
    <cellStyle name="Accent2 46" xfId="19284" xr:uid="{C16BF210-9DDE-47B4-813D-9EFBFBC63159}"/>
    <cellStyle name="Accent2 47" xfId="19285" xr:uid="{43D00300-E99C-4831-B661-D9FD3443D725}"/>
    <cellStyle name="Accent2 48" xfId="19286" xr:uid="{15034EA4-8479-48FE-B624-720F1B07950A}"/>
    <cellStyle name="Accent2 49" xfId="19287" xr:uid="{BF787423-8D8B-44B2-AE91-3DA32C166AD8}"/>
    <cellStyle name="Accent2 5" xfId="19288" xr:uid="{3D198653-0794-476C-A493-AEA25496CBD7}"/>
    <cellStyle name="Accent2 5 2" xfId="38211" xr:uid="{927EA5E4-8B2D-45C4-A90C-F3FA1F54FFB9}"/>
    <cellStyle name="Accent2 5 3" xfId="38212" xr:uid="{E246785C-FCAE-4D18-AE64-674F90935565}"/>
    <cellStyle name="Accent2 50" xfId="19289" xr:uid="{A0F370C5-8C87-4641-8F7D-B961AF4A5620}"/>
    <cellStyle name="Accent2 51" xfId="19290" xr:uid="{7FE571F5-B506-4DFB-8FB8-0292D03B2307}"/>
    <cellStyle name="Accent2 52" xfId="19291" xr:uid="{81BF2829-C936-417F-9733-BA2F2FFD9DFB}"/>
    <cellStyle name="Accent2 53" xfId="19292" xr:uid="{BBCA98B0-9996-4249-B09F-F56FC3972640}"/>
    <cellStyle name="Accent2 54" xfId="19293" xr:uid="{5DCDB0F9-6262-4616-939E-AD7BA2F62D51}"/>
    <cellStyle name="Accent2 55" xfId="19294" xr:uid="{331A456B-D776-4FEC-93C0-E0C8AB8F8D2D}"/>
    <cellStyle name="Accent2 56" xfId="19295" xr:uid="{C85A6CFC-1E90-42FC-92D1-57CCFF1CC218}"/>
    <cellStyle name="Accent2 57" xfId="19296" xr:uid="{BEEA6966-DFC5-4CCD-BB15-12CA0F4492C9}"/>
    <cellStyle name="Accent2 58" xfId="19297" xr:uid="{BDD26945-E721-4216-B47F-7897113E2CB0}"/>
    <cellStyle name="Accent2 59" xfId="19298" xr:uid="{305E7C00-C99F-45A3-A522-B1DD1A2F15C6}"/>
    <cellStyle name="Accent2 6" xfId="19299" xr:uid="{4AAF6B0B-35BD-4751-8E2A-E20841533DED}"/>
    <cellStyle name="Accent2 6 2" xfId="38213" xr:uid="{C585377E-F8A3-4B26-9AE5-F81E182A3C1E}"/>
    <cellStyle name="Accent2 6 3" xfId="38214" xr:uid="{F5587670-7632-4133-870C-BB0A920621CF}"/>
    <cellStyle name="Accent2 60" xfId="19300" xr:uid="{43586386-2235-49DE-9E0C-63138DF88309}"/>
    <cellStyle name="Accent2 61" xfId="19301" xr:uid="{F295F181-205E-4522-91AB-34C4B8AAB565}"/>
    <cellStyle name="Accent2 62" xfId="19302" xr:uid="{B86B87A9-A08B-4C2F-8F96-E2D66FCA43E9}"/>
    <cellStyle name="Accent2 63" xfId="19303" xr:uid="{32DE5CD3-6E0E-460A-8F67-0FACDA9E1DCB}"/>
    <cellStyle name="Accent2 64" xfId="19304" xr:uid="{A0D3632A-BAC8-4C9B-8179-849FBD633959}"/>
    <cellStyle name="Accent2 65" xfId="19305" xr:uid="{0BF35E04-9630-47D8-B1A6-48549A345874}"/>
    <cellStyle name="Accent2 66" xfId="19306" xr:uid="{086CD3FD-65AD-4071-994B-B024BCBCF463}"/>
    <cellStyle name="Accent2 67" xfId="19307" xr:uid="{F02E96FA-4262-441F-93C8-A2E60B96C0C8}"/>
    <cellStyle name="Accent2 68" xfId="19308" xr:uid="{5E19BBFB-1C34-4803-AB72-86B18A19DE6D}"/>
    <cellStyle name="Accent2 69" xfId="19309" xr:uid="{7451FFBD-391E-465C-8113-7127F0A6BBB9}"/>
    <cellStyle name="Accent2 7" xfId="19310" xr:uid="{D6FD2833-2D24-4071-8309-AFAE4B969BD0}"/>
    <cellStyle name="Accent2 7 2" xfId="38215" xr:uid="{34C440C0-9C32-4C3F-A4D9-D5F78FF8BCA9}"/>
    <cellStyle name="Accent2 7 3" xfId="38216" xr:uid="{82A94B37-7C99-4408-BD7A-3F6C32C65EB7}"/>
    <cellStyle name="Accent2 70" xfId="19311" xr:uid="{5CDFFB76-5E40-47FB-AFE9-A8F3F5739B44}"/>
    <cellStyle name="Accent2 71" xfId="19312" xr:uid="{6A9C8DE7-7DA5-40E1-B5E5-E5FA139867E8}"/>
    <cellStyle name="Accent2 72" xfId="19313" xr:uid="{C144E092-85B3-47B5-9C78-2F964C8D7EFB}"/>
    <cellStyle name="Accent2 73" xfId="19314" xr:uid="{33E494F8-6F2A-46C4-95FC-75E1F8894C43}"/>
    <cellStyle name="Accent2 74" xfId="19315" xr:uid="{2C73F34C-DF1A-440C-91B0-3A7176486AD7}"/>
    <cellStyle name="Accent2 75" xfId="19316" xr:uid="{83840A7D-CB85-40E1-8B36-CBFEE9CEE592}"/>
    <cellStyle name="Accent2 76" xfId="19317" xr:uid="{E32A17A8-3EAE-4CAA-92F8-E1153E17EA15}"/>
    <cellStyle name="Accent2 77" xfId="19318" xr:uid="{E069A4C4-5249-467B-B0E8-A989BE5CA85C}"/>
    <cellStyle name="Accent2 78" xfId="19319" xr:uid="{89DE92E1-814F-4F9C-A010-1730FA415F09}"/>
    <cellStyle name="Accent2 79" xfId="19320" xr:uid="{23C5E5BA-2F87-448B-9C72-BFB5ED4EF2EA}"/>
    <cellStyle name="Accent2 8" xfId="19321" xr:uid="{AC8E472F-7786-47D2-990A-0781FD2109A0}"/>
    <cellStyle name="Accent2 8 2" xfId="38217" xr:uid="{A8BADADE-3210-428C-A880-8117B03A518F}"/>
    <cellStyle name="Accent2 8 3" xfId="38218" xr:uid="{47298EB4-3365-4523-929F-95AC3C146F3E}"/>
    <cellStyle name="Accent2 80" xfId="19322" xr:uid="{0ECDC475-23C0-4C3D-9F21-0F29B895BCA4}"/>
    <cellStyle name="Accent2 81" xfId="19323" xr:uid="{3F30934D-B2BC-47E8-8831-5BFB716DC74B}"/>
    <cellStyle name="Accent2 82" xfId="19324" xr:uid="{79CA2EE4-30DE-4A78-9F3A-DC5CCE15D413}"/>
    <cellStyle name="Accent2 83" xfId="19325" xr:uid="{C91A8633-0429-46D0-961A-64E330BEB61D}"/>
    <cellStyle name="Accent2 84" xfId="19326" xr:uid="{0731C998-BCAF-4C54-AECA-453CD4A005AB}"/>
    <cellStyle name="Accent2 85" xfId="19327" xr:uid="{C0241DD7-DE2E-4CAE-873D-AB16454F4B85}"/>
    <cellStyle name="Accent2 86" xfId="19328" xr:uid="{E363B46B-A260-4F14-B86C-66B1CA799F33}"/>
    <cellStyle name="Accent2 87" xfId="19329" xr:uid="{9A69DB98-47C7-4177-9E2D-FD82598AC764}"/>
    <cellStyle name="Accent2 88" xfId="19330" xr:uid="{EAE5D1AC-80EC-4F2F-8519-916AC5096CB2}"/>
    <cellStyle name="Accent2 89" xfId="19331" xr:uid="{71224600-DB94-4044-A4FC-55D7124AF268}"/>
    <cellStyle name="Accent2 9" xfId="19332" xr:uid="{7435EFCC-6ACD-4DA1-A188-3F4A65692862}"/>
    <cellStyle name="Accent2 9 2" xfId="38219" xr:uid="{4878E10C-8ACA-4BBE-9D74-9197A6A607E8}"/>
    <cellStyle name="Accent2 9 3" xfId="38220" xr:uid="{A8990C46-51F9-4537-BC1D-D34CB0BCE244}"/>
    <cellStyle name="Accent2 90" xfId="19333" xr:uid="{7358AE69-F507-451C-88E4-9B86D976D8D7}"/>
    <cellStyle name="Accent2 91" xfId="19334" xr:uid="{CFA96CF3-6BE4-4813-96D6-95DAF5DE20A7}"/>
    <cellStyle name="Accent2 92" xfId="19335" xr:uid="{3C9FA800-C4A2-46A6-8C12-B981A84BCC8A}"/>
    <cellStyle name="Accent2 93" xfId="19336" xr:uid="{1465068A-06F9-4E86-BC99-EE53D147BDF8}"/>
    <cellStyle name="Accent2 94" xfId="19337" xr:uid="{115E8672-0F82-425A-B684-079BF2525F21}"/>
    <cellStyle name="Accent2 95" xfId="19338" xr:uid="{210E197D-80B3-49E8-A38E-34CA0194D53D}"/>
    <cellStyle name="Accent2 96" xfId="19339" xr:uid="{BAA48C53-B695-4632-A2E6-24E30BDF89C0}"/>
    <cellStyle name="Accent2 97" xfId="19340" xr:uid="{FA1A7F00-EA15-4382-9F7F-1BDB435AFAA3}"/>
    <cellStyle name="Accent2 98" xfId="19341" xr:uid="{8C7E6BEB-733E-416A-8498-4C3E1AA4CB50}"/>
    <cellStyle name="Accent2 99" xfId="19342" xr:uid="{433C4A42-A882-4DA8-A990-D9B11CD3A9F8}"/>
    <cellStyle name="Accent3" xfId="38" builtinId="37" hidden="1"/>
    <cellStyle name="Accent3" xfId="112" builtinId="37" customBuiltin="1"/>
    <cellStyle name="Accent3 10" xfId="19343" xr:uid="{3489184D-C74D-4F37-BF42-C3B07C74BC53}"/>
    <cellStyle name="Accent3 10 2" xfId="38221" xr:uid="{F2D09061-E4E9-41D4-8B0E-51B680696610}"/>
    <cellStyle name="Accent3 10 3" xfId="38222" xr:uid="{800AE31A-1F25-4A3A-A0B8-C3BF0E382208}"/>
    <cellStyle name="Accent3 100" xfId="19344" xr:uid="{7A6C6845-9355-4BC7-AE2F-DC7008293DFB}"/>
    <cellStyle name="Accent3 101" xfId="19345" xr:uid="{606F8AA4-CC09-48F4-A552-CD1DC2085D0D}"/>
    <cellStyle name="Accent3 102" xfId="19346" xr:uid="{272E1082-FF9A-4A19-8E55-6BDAEBE4E7C8}"/>
    <cellStyle name="Accent3 103" xfId="19347" xr:uid="{05E17B2A-1DD2-4148-B67A-278BE0EBEB30}"/>
    <cellStyle name="Accent3 104" xfId="19348" xr:uid="{962589B9-0261-4477-A300-0E483BEBA101}"/>
    <cellStyle name="Accent3 105" xfId="19349" xr:uid="{64A56EE9-4C4C-480B-9A80-206B779A94EA}"/>
    <cellStyle name="Accent3 106" xfId="19350" xr:uid="{75627140-B376-4ABD-8D99-CA6441DCB3FA}"/>
    <cellStyle name="Accent3 107" xfId="19351" xr:uid="{D819B240-6D62-483D-89EF-92B07C86BD63}"/>
    <cellStyle name="Accent3 108" xfId="19352" xr:uid="{2D5511F9-AA85-47CC-B840-08D775FF4494}"/>
    <cellStyle name="Accent3 109" xfId="19353" xr:uid="{BAEE8C9B-A4BE-4E84-B34C-746C17B3AED2}"/>
    <cellStyle name="Accent3 11" xfId="19354" xr:uid="{2589AFAB-6A3A-4EE9-A1AE-406AE633B15C}"/>
    <cellStyle name="Accent3 11 2" xfId="38223" xr:uid="{DCF5961F-8954-412E-A56F-A6D8C9FCCCE0}"/>
    <cellStyle name="Accent3 11 3" xfId="38224" xr:uid="{C53BFFF9-DFD0-48A6-A963-661FEFC750A3}"/>
    <cellStyle name="Accent3 110" xfId="19355" xr:uid="{FD6A7512-7AC7-4179-9D28-9DCC902A6861}"/>
    <cellStyle name="Accent3 111" xfId="19356" xr:uid="{25870F9B-14D9-443C-ABD3-4AF27AA99CFF}"/>
    <cellStyle name="Accent3 112" xfId="19357" xr:uid="{C23755F2-EF98-4BFD-B400-F4DC4410EE41}"/>
    <cellStyle name="Accent3 113" xfId="19358" xr:uid="{B517C316-28A7-4071-A2B7-FF779348F854}"/>
    <cellStyle name="Accent3 114" xfId="19359" xr:uid="{7777825A-EB19-4C0E-9EA5-52785B76BB87}"/>
    <cellStyle name="Accent3 115" xfId="19360" xr:uid="{5387CAAE-9944-4361-98DA-279C19AE4556}"/>
    <cellStyle name="Accent3 116" xfId="19361" xr:uid="{68726D91-1027-439D-A6EE-27C11E99F393}"/>
    <cellStyle name="Accent3 117" xfId="19362" xr:uid="{96E622BF-B944-4B28-8068-91F70C1C6755}"/>
    <cellStyle name="Accent3 118" xfId="19363" xr:uid="{86CC1B23-C337-4EB9-B888-67E2DF6A6957}"/>
    <cellStyle name="Accent3 119" xfId="19364" xr:uid="{B5B5B2DF-4FAA-4D8E-A1BB-465809847190}"/>
    <cellStyle name="Accent3 12" xfId="19365" xr:uid="{AFBD3532-E818-467E-AC06-E38BFECEE3B0}"/>
    <cellStyle name="Accent3 12 2" xfId="38225" xr:uid="{70490368-40DF-4A6C-914F-1D0F4A678858}"/>
    <cellStyle name="Accent3 12 3" xfId="38226" xr:uid="{26462F3B-18B2-4777-B326-C8923F310C5C}"/>
    <cellStyle name="Accent3 120" xfId="19366" xr:uid="{E1EDF081-B3CB-4682-A3AA-2D1AA1013C65}"/>
    <cellStyle name="Accent3 121" xfId="19367" xr:uid="{42A423F9-901E-463C-92DF-B8204E42EA6B}"/>
    <cellStyle name="Accent3 122" xfId="19368" xr:uid="{167ED1A7-7C16-49BC-A6D5-4460D2B1ED1E}"/>
    <cellStyle name="Accent3 123" xfId="19369" xr:uid="{D947271A-C3B5-45CE-A318-4CE16A773991}"/>
    <cellStyle name="Accent3 124" xfId="19370" xr:uid="{C9EBF61D-7ED6-4BB7-980E-919F17AC44FF}"/>
    <cellStyle name="Accent3 125" xfId="19371" xr:uid="{45C9C918-90F3-4C37-829E-8B9C1D6DF393}"/>
    <cellStyle name="Accent3 126" xfId="19372" xr:uid="{B2B93293-0BB7-443F-9D3C-7B7E1AD823B9}"/>
    <cellStyle name="Accent3 127" xfId="19373" xr:uid="{46C53892-D985-499F-B0AD-EDBAE37F58E8}"/>
    <cellStyle name="Accent3 128" xfId="19374" xr:uid="{71581136-B678-4EDA-9661-48690932A456}"/>
    <cellStyle name="Accent3 129" xfId="19375" xr:uid="{2F5B6747-81C3-4A13-B16A-2ACE40BDDC9D}"/>
    <cellStyle name="Accent3 13" xfId="19376" xr:uid="{DF86C3AC-00D5-48E5-A967-6ED7A265C440}"/>
    <cellStyle name="Accent3 13 2" xfId="38227" xr:uid="{3160059E-89D4-4CB6-80EB-67DBE06F8CA0}"/>
    <cellStyle name="Accent3 13 3" xfId="38228" xr:uid="{ADE51497-0448-4701-BBC4-02DAA7958CA9}"/>
    <cellStyle name="Accent3 130" xfId="19377" xr:uid="{AB41C006-DDA0-4E43-8FB4-594029375E6D}"/>
    <cellStyle name="Accent3 131" xfId="19378" xr:uid="{BB2E0545-5652-4A42-9A01-986DBBDE932C}"/>
    <cellStyle name="Accent3 132" xfId="19379" xr:uid="{07DD80CC-1340-437D-BFCD-A971BD1CA760}"/>
    <cellStyle name="Accent3 133" xfId="19380" xr:uid="{290C361C-1683-4B35-A642-E07F6FD11134}"/>
    <cellStyle name="Accent3 134" xfId="19381" xr:uid="{0E6511E6-0846-49A4-87F7-9E4E649BAA4A}"/>
    <cellStyle name="Accent3 135" xfId="19382" xr:uid="{2A45CF03-DB65-4DBC-99F9-843236FCC981}"/>
    <cellStyle name="Accent3 136" xfId="19383" xr:uid="{EEDF08C8-99DF-4C5F-86D8-42A62051B17F}"/>
    <cellStyle name="Accent3 137" xfId="19384" xr:uid="{E6DF8DA8-1C50-45B4-AF77-C5F7042C9E40}"/>
    <cellStyle name="Accent3 138" xfId="19385" xr:uid="{5E8D0FF3-CE4C-430C-9A69-F70D6EBAD33D}"/>
    <cellStyle name="Accent3 139" xfId="19386" xr:uid="{90AB0B48-4993-4A07-92C7-CD83C808FE8D}"/>
    <cellStyle name="Accent3 14" xfId="19387" xr:uid="{E2003B4B-1AAC-4668-92FE-710D2875C429}"/>
    <cellStyle name="Accent3 14 2" xfId="38229" xr:uid="{B5CF5FF4-D649-4327-AF06-787E9D189923}"/>
    <cellStyle name="Accent3 14 3" xfId="38230" xr:uid="{FA531772-D57B-474C-B027-E663DE66E2F9}"/>
    <cellStyle name="Accent3 140" xfId="19388" xr:uid="{9C6EB171-A1A3-4178-82C0-6BE2D4687457}"/>
    <cellStyle name="Accent3 141" xfId="19389" xr:uid="{651570FA-9537-4435-9129-FBC510688FFA}"/>
    <cellStyle name="Accent3 142" xfId="19390" xr:uid="{968CE6CA-A7DF-41B5-8F98-57C40D9E9CD3}"/>
    <cellStyle name="Accent3 143" xfId="19391" xr:uid="{D2AF097C-18A7-42F9-AB60-816146D87B19}"/>
    <cellStyle name="Accent3 144" xfId="19392" xr:uid="{75D59078-E111-48DA-93BC-1E6FE85F704E}"/>
    <cellStyle name="Accent3 145" xfId="19393" xr:uid="{E06D1E44-E6FC-4DF8-A6CB-1FB9A5B38F93}"/>
    <cellStyle name="Accent3 146" xfId="19394" xr:uid="{ED10CF32-2019-4690-8F65-254DB368B2B6}"/>
    <cellStyle name="Accent3 147" xfId="19395" xr:uid="{95CB2A30-308A-4D8E-BE2D-C0E36F7F361F}"/>
    <cellStyle name="Accent3 148" xfId="19396" xr:uid="{816E3910-E148-4263-B1D6-6A5C4BADA5DC}"/>
    <cellStyle name="Accent3 149" xfId="19397" xr:uid="{F44FDCB0-838F-43A8-9FB9-58B3D0273285}"/>
    <cellStyle name="Accent3 15" xfId="19398" xr:uid="{7478C678-4B33-4D47-92BB-C7C4A2F4A8AB}"/>
    <cellStyle name="Accent3 15 2" xfId="38231" xr:uid="{3A7D94E4-9A3C-4207-A991-7A9668458E40}"/>
    <cellStyle name="Accent3 15 3" xfId="38232" xr:uid="{881401BF-83F2-4026-93AB-A6374D5E9C93}"/>
    <cellStyle name="Accent3 150" xfId="19399" xr:uid="{0226A68B-8C8D-4CEA-8FC4-2E0389B2B83E}"/>
    <cellStyle name="Accent3 151" xfId="19400" xr:uid="{F9D11916-C25C-42C1-A89A-1BC7F00D63E1}"/>
    <cellStyle name="Accent3 152" xfId="19401" xr:uid="{D0B90D49-73D2-4ECC-85F3-E7CCE3EDB2BE}"/>
    <cellStyle name="Accent3 153" xfId="19402" xr:uid="{5609ED73-EEED-4E85-966B-E419D92EA713}"/>
    <cellStyle name="Accent3 154" xfId="19403" xr:uid="{D326FE51-0E3C-4C71-93DE-D1B5C55D1012}"/>
    <cellStyle name="Accent3 155" xfId="19404" xr:uid="{EB16055C-E412-4691-8738-BFDC30BB5D03}"/>
    <cellStyle name="Accent3 156" xfId="19405" xr:uid="{B9B1BC1F-0644-4CF8-AE99-448D94D4E29D}"/>
    <cellStyle name="Accent3 157" xfId="19406" xr:uid="{EF03392E-BC80-4CFB-985C-159CD6359ACE}"/>
    <cellStyle name="Accent3 158" xfId="19407" xr:uid="{9121F666-91C2-4D1B-B280-8BE2357C4B41}"/>
    <cellStyle name="Accent3 159" xfId="19408" xr:uid="{DDB5A88A-126B-489F-ABD3-B874F5717730}"/>
    <cellStyle name="Accent3 16" xfId="19409" xr:uid="{899CBB0E-8B3B-484B-89CB-D00F091FBF9D}"/>
    <cellStyle name="Accent3 16 2" xfId="38233" xr:uid="{AEE1C9EB-8C65-44F0-B610-0C896E6C62F5}"/>
    <cellStyle name="Accent3 16 3" xfId="38234" xr:uid="{70A8DEC6-09D0-40FB-A7AA-C7E594FF9E8F}"/>
    <cellStyle name="Accent3 160" xfId="19410" xr:uid="{115B53B3-B929-4CF7-9556-1EB17E8F7DE7}"/>
    <cellStyle name="Accent3 17" xfId="19411" xr:uid="{4D084587-4735-435F-9DE6-EE0B82A7E97E}"/>
    <cellStyle name="Accent3 17 2" xfId="38235" xr:uid="{E7D3580F-962C-42E6-9D51-DFFC1A6E1206}"/>
    <cellStyle name="Accent3 17 3" xfId="38236" xr:uid="{4E66FCBF-773E-4F6B-9221-53CF5FBF48F4}"/>
    <cellStyle name="Accent3 18" xfId="19412" xr:uid="{F31602F5-D602-4F61-B870-737CFE52E5D2}"/>
    <cellStyle name="Accent3 18 2" xfId="38237" xr:uid="{7D97DFB9-3F10-41FD-8267-E020B2B98779}"/>
    <cellStyle name="Accent3 18 3" xfId="38238" xr:uid="{8E43A417-D6C5-495B-8A92-53F74FC9BF5E}"/>
    <cellStyle name="Accent3 19" xfId="19413" xr:uid="{42D0E66F-34C0-4653-A01C-D9AB163D9090}"/>
    <cellStyle name="Accent3 19 2" xfId="38239" xr:uid="{A05BB39F-6008-4213-A29A-4BEA4A012D30}"/>
    <cellStyle name="Accent3 2" xfId="19414" xr:uid="{57EBF9F8-34A6-49C9-BB18-60703606368C}"/>
    <cellStyle name="Accent3 2 2" xfId="19415" xr:uid="{8CB7CD2C-5B8B-4CE9-A0FF-C543BDDBCE9F}"/>
    <cellStyle name="Accent3 2 3" xfId="38240" xr:uid="{A048406D-D128-4E11-AEAF-226D47C1E7A1}"/>
    <cellStyle name="Accent3 2 4" xfId="38241" xr:uid="{123E923E-1B22-4567-A0B0-9CB2A1CCD69F}"/>
    <cellStyle name="Accent3 2 5" xfId="38242" xr:uid="{B0338429-8B66-4722-BC8D-4E4D02DCE8F1}"/>
    <cellStyle name="Accent3 20" xfId="19416" xr:uid="{B6F8322A-B375-4BF7-AE2E-A4DC85543410}"/>
    <cellStyle name="Accent3 20 2" xfId="38243" xr:uid="{805265BB-0F38-40AD-8588-50B8FE2A9B2E}"/>
    <cellStyle name="Accent3 21" xfId="19417" xr:uid="{84849C09-0258-425F-BDA0-4278CC370963}"/>
    <cellStyle name="Accent3 21 2" xfId="38244" xr:uid="{BD2ACAE7-C154-410C-92A0-C2201B5BE55C}"/>
    <cellStyle name="Accent3 22" xfId="19418" xr:uid="{875248C9-21B2-4A4C-81D6-C8419B607DCE}"/>
    <cellStyle name="Accent3 22 2" xfId="38245" xr:uid="{EC67F1A8-18BF-4583-BE88-0B271550C31E}"/>
    <cellStyle name="Accent3 23" xfId="19419" xr:uid="{2D215941-A1CC-4F94-BBD5-53191C73E01F}"/>
    <cellStyle name="Accent3 23 2" xfId="38246" xr:uid="{C4564437-66BA-463E-8FCD-9386505A2EF9}"/>
    <cellStyle name="Accent3 24" xfId="19420" xr:uid="{E8BA2DF9-6A9D-4EC5-B6EB-E3F125E3E834}"/>
    <cellStyle name="Accent3 24 2" xfId="38247" xr:uid="{52709E6A-7614-4B6F-8C8D-2BE8C5B413C7}"/>
    <cellStyle name="Accent3 25" xfId="19421" xr:uid="{59649CDA-09A8-4860-B10F-66C91993A2EE}"/>
    <cellStyle name="Accent3 25 2" xfId="38248" xr:uid="{BE69F0D4-25D2-495C-BE7B-9CDABF6AAA25}"/>
    <cellStyle name="Accent3 26" xfId="19422" xr:uid="{523E4BA6-A0AB-40DE-A6ED-D3E533143193}"/>
    <cellStyle name="Accent3 26 2" xfId="38249" xr:uid="{93CA6832-AC09-4C7E-B98A-4D5A89B48F9E}"/>
    <cellStyle name="Accent3 27" xfId="19423" xr:uid="{3B71A3D3-78C9-48A9-92CD-8A0421272EDB}"/>
    <cellStyle name="Accent3 27 2" xfId="38250" xr:uid="{9D959F2C-F6F1-4D06-867D-D1CA754CC568}"/>
    <cellStyle name="Accent3 28" xfId="19424" xr:uid="{1FE0D8ED-0D70-4A3E-950F-07C39C4AE6D1}"/>
    <cellStyle name="Accent3 28 2" xfId="38251" xr:uid="{4270BCEA-9590-452D-87E8-6CBF1EB82ACC}"/>
    <cellStyle name="Accent3 29" xfId="19425" xr:uid="{77E91763-ABC5-4315-8B72-AC7D740C0D9E}"/>
    <cellStyle name="Accent3 29 2" xfId="19426" xr:uid="{D682622C-A9C9-453A-A5C3-1A88A8E203B8}"/>
    <cellStyle name="Accent3 29 3" xfId="38252" xr:uid="{FB421A17-9029-4066-8A31-11C7DB9A53A1}"/>
    <cellStyle name="Accent3 3" xfId="19427" xr:uid="{0A9AB8E7-5991-4A50-BD92-2EF61C5822F1}"/>
    <cellStyle name="Accent3 3 2" xfId="19428" xr:uid="{A25961A8-2A3A-4EDB-8B16-403D4B5B3D63}"/>
    <cellStyle name="Accent3 3 3" xfId="38253" xr:uid="{01B2AFE6-69FC-4B90-AD06-FBB1213434EA}"/>
    <cellStyle name="Accent3 3 4" xfId="38254" xr:uid="{3E7F0C02-4083-4429-B40E-08093BD7FC9A}"/>
    <cellStyle name="Accent3 30" xfId="19429" xr:uid="{6FDC3A0B-73CF-4E97-8A29-2928E84717A8}"/>
    <cellStyle name="Accent3 30 2" xfId="38255" xr:uid="{C05517F1-8B7A-4B4A-9129-202DC08FC024}"/>
    <cellStyle name="Accent3 31" xfId="19430" xr:uid="{AC43BE1D-92DB-44EF-942C-7DAFF0883CBB}"/>
    <cellStyle name="Accent3 32" xfId="19431" xr:uid="{746666F4-9BC0-443C-927F-E5CFDF081417}"/>
    <cellStyle name="Accent3 33" xfId="19432" xr:uid="{06D53648-433A-4D2B-B22E-1314CF9BBFAF}"/>
    <cellStyle name="Accent3 34" xfId="19433" xr:uid="{2FEC8A01-7FF9-4C4E-9B9E-254EF3DDB665}"/>
    <cellStyle name="Accent3 35" xfId="19434" xr:uid="{05BA2AC1-C382-4DC4-81C7-58784E780AB1}"/>
    <cellStyle name="Accent3 36" xfId="19435" xr:uid="{07384DEA-4C9E-48AB-B563-2ECF4DB0658E}"/>
    <cellStyle name="Accent3 37" xfId="19436" xr:uid="{D95BE2D5-6455-4EA0-9ED7-83DA6D8B097F}"/>
    <cellStyle name="Accent3 38" xfId="19437" xr:uid="{0545F1D9-4731-47FA-B028-9CFF9BC3520A}"/>
    <cellStyle name="Accent3 39" xfId="19438" xr:uid="{30BAC843-AB9D-4F14-B717-DC931E383AB1}"/>
    <cellStyle name="Accent3 4" xfId="19439" xr:uid="{43B004B9-3AC0-4CE0-9AA8-0D90DE201385}"/>
    <cellStyle name="Accent3 4 2" xfId="38256" xr:uid="{83A5902A-A61A-4877-A213-F6EDD4B10BAE}"/>
    <cellStyle name="Accent3 4 3" xfId="38257" xr:uid="{A4A2B525-C0B8-4B49-8CA6-E41DDA54CD03}"/>
    <cellStyle name="Accent3 40" xfId="19440" xr:uid="{3E57B489-767A-4820-9246-BFE9AFDA6990}"/>
    <cellStyle name="Accent3 41" xfId="19441" xr:uid="{C83E9F69-1FC7-436C-A920-A062736FC4BC}"/>
    <cellStyle name="Accent3 42" xfId="19442" xr:uid="{A76A57F6-6543-48CC-8BE3-C5270CA16C6C}"/>
    <cellStyle name="Accent3 43" xfId="19443" xr:uid="{0034FD0D-17AD-4C05-84B2-7CC9CB6AD934}"/>
    <cellStyle name="Accent3 44" xfId="19444" xr:uid="{4DF2532B-96FD-4AFF-86A0-65CC121AA90F}"/>
    <cellStyle name="Accent3 45" xfId="19445" xr:uid="{75766150-BDD2-4CF8-AF81-67ADFEBD6ECD}"/>
    <cellStyle name="Accent3 46" xfId="19446" xr:uid="{18E44EC1-1B41-4CF7-9D29-2BD7771A1DDC}"/>
    <cellStyle name="Accent3 47" xfId="19447" xr:uid="{066D9A78-791B-48BC-AE10-72C28CB3C671}"/>
    <cellStyle name="Accent3 48" xfId="19448" xr:uid="{3974E95D-FF8B-4AD9-AC85-C99E0B1DBEAF}"/>
    <cellStyle name="Accent3 49" xfId="19449" xr:uid="{D4E1767D-6F58-443E-A71B-56A4CA6E6E4B}"/>
    <cellStyle name="Accent3 5" xfId="19450" xr:uid="{1E862E8F-2427-435C-998F-432EC5FE5B60}"/>
    <cellStyle name="Accent3 5 2" xfId="38258" xr:uid="{1FCFF91C-2BBC-4316-8564-6547D4B17B69}"/>
    <cellStyle name="Accent3 5 3" xfId="38259" xr:uid="{C8163282-3FC9-41F3-824C-9E85A51BA305}"/>
    <cellStyle name="Accent3 50" xfId="19451" xr:uid="{78B4A7E0-67DB-4E75-AC41-7A6FCA00E295}"/>
    <cellStyle name="Accent3 51" xfId="19452" xr:uid="{A0B0608D-E56C-432A-AE30-E4F907472BF2}"/>
    <cellStyle name="Accent3 52" xfId="19453" xr:uid="{841351E3-913A-4924-B98F-C22380765F86}"/>
    <cellStyle name="Accent3 53" xfId="19454" xr:uid="{8429A913-FE26-475B-AA65-8E8AFDE79BC9}"/>
    <cellStyle name="Accent3 54" xfId="19455" xr:uid="{FDFB3F7B-054C-4D0D-A39E-A127E38967EE}"/>
    <cellStyle name="Accent3 55" xfId="19456" xr:uid="{2A282A98-50AE-4FF4-8C0F-CAE6D4A1B9EB}"/>
    <cellStyle name="Accent3 56" xfId="19457" xr:uid="{C7E4344C-6E4C-457F-881B-CF7104AFB784}"/>
    <cellStyle name="Accent3 57" xfId="19458" xr:uid="{D44B431C-279E-43F9-A145-CD3F5A8AFE5F}"/>
    <cellStyle name="Accent3 58" xfId="19459" xr:uid="{4217F517-6B4B-4270-BE70-F4B9EC41B4AF}"/>
    <cellStyle name="Accent3 59" xfId="19460" xr:uid="{9C47FD97-5F39-416E-A72B-216F51AD76DF}"/>
    <cellStyle name="Accent3 6" xfId="19461" xr:uid="{23671BEE-7342-4635-B82F-E48D82D4A535}"/>
    <cellStyle name="Accent3 6 2" xfId="38260" xr:uid="{E046A908-3AF1-42D8-9008-F45BDA02D0DF}"/>
    <cellStyle name="Accent3 6 3" xfId="38261" xr:uid="{A9819896-3B70-4645-820E-6BB935810769}"/>
    <cellStyle name="Accent3 60" xfId="19462" xr:uid="{F49EB351-21DC-4867-88C4-17ACF81286FF}"/>
    <cellStyle name="Accent3 61" xfId="19463" xr:uid="{B932C71B-4A2A-4955-B65C-099C3C4876DD}"/>
    <cellStyle name="Accent3 62" xfId="19464" xr:uid="{811B1FAF-C9C0-4F3F-BDA8-C28FEBF11FB4}"/>
    <cellStyle name="Accent3 63" xfId="19465" xr:uid="{A1729E44-EB8B-41E5-86EB-25B6C80B7F6C}"/>
    <cellStyle name="Accent3 64" xfId="19466" xr:uid="{79FF3519-50AD-4DBA-A5BE-6684158344B1}"/>
    <cellStyle name="Accent3 65" xfId="19467" xr:uid="{F7789E9D-9519-43C5-A646-9435D987BB55}"/>
    <cellStyle name="Accent3 66" xfId="19468" xr:uid="{0B013B1C-6FE7-4455-82F5-5D35590D2E30}"/>
    <cellStyle name="Accent3 67" xfId="19469" xr:uid="{E77965F9-EB2E-410D-88C4-09F18404797B}"/>
    <cellStyle name="Accent3 68" xfId="19470" xr:uid="{96A1B3DA-B768-468F-B52E-1F30DF17922D}"/>
    <cellStyle name="Accent3 69" xfId="19471" xr:uid="{031CB0F9-137F-461A-A786-D8CF6FE49BB3}"/>
    <cellStyle name="Accent3 7" xfId="19472" xr:uid="{2CA8C6DA-20F7-4F1A-955A-7D0A72B46E43}"/>
    <cellStyle name="Accent3 7 2" xfId="38262" xr:uid="{9E675F97-65C3-4CDF-9617-5FDF37DEC1DD}"/>
    <cellStyle name="Accent3 7 3" xfId="38263" xr:uid="{6FAD377B-A90A-4E1D-B497-4C1225D43196}"/>
    <cellStyle name="Accent3 70" xfId="19473" xr:uid="{A9CA70E4-78A3-4421-81B9-C5539BDE3EE0}"/>
    <cellStyle name="Accent3 71" xfId="19474" xr:uid="{F323B9FF-97FC-444E-87BC-D0574445539B}"/>
    <cellStyle name="Accent3 72" xfId="19475" xr:uid="{A9F73B3B-0C35-493D-9EAA-962F132DF38F}"/>
    <cellStyle name="Accent3 73" xfId="19476" xr:uid="{E0022196-9B99-49A4-BDE2-8828759F00DF}"/>
    <cellStyle name="Accent3 74" xfId="19477" xr:uid="{51D0DADC-116A-4549-B71E-7D675E0A7DFC}"/>
    <cellStyle name="Accent3 75" xfId="19478" xr:uid="{ACE11429-6E7A-4EB4-974A-45FB0C056CC8}"/>
    <cellStyle name="Accent3 76" xfId="19479" xr:uid="{94F6F860-905E-4077-A9DB-0FCA28DE05FF}"/>
    <cellStyle name="Accent3 77" xfId="19480" xr:uid="{D4EBAC4D-FB12-405D-ABAA-44BDC406948E}"/>
    <cellStyle name="Accent3 78" xfId="19481" xr:uid="{3D06DE51-E0FD-4459-85F9-A9483AF30960}"/>
    <cellStyle name="Accent3 79" xfId="19482" xr:uid="{CD51AA61-8208-48E3-9005-8876598B2990}"/>
    <cellStyle name="Accent3 8" xfId="19483" xr:uid="{C4218AD6-0549-4165-9ABF-7214689945B3}"/>
    <cellStyle name="Accent3 8 2" xfId="38264" xr:uid="{12395723-C34B-4B73-9F2F-B98D0F27B349}"/>
    <cellStyle name="Accent3 8 3" xfId="38265" xr:uid="{AC759219-18CF-43D2-AEB1-258790DA9072}"/>
    <cellStyle name="Accent3 80" xfId="19484" xr:uid="{A8FD8980-2AEE-4611-9C22-601225385386}"/>
    <cellStyle name="Accent3 81" xfId="19485" xr:uid="{442B8CAE-803E-4706-96F0-E016C938489C}"/>
    <cellStyle name="Accent3 82" xfId="19486" xr:uid="{9641A775-6880-404F-9BA0-3A04B71FA097}"/>
    <cellStyle name="Accent3 83" xfId="19487" xr:uid="{B8AB9184-E164-4FFB-A49D-AD186875753B}"/>
    <cellStyle name="Accent3 84" xfId="19488" xr:uid="{39645A96-EF84-44E0-8D47-E10EBF5ABA91}"/>
    <cellStyle name="Accent3 85" xfId="19489" xr:uid="{66489CF3-C329-4A21-8062-8590848B1E4D}"/>
    <cellStyle name="Accent3 86" xfId="19490" xr:uid="{3DA87C2B-FE09-4309-A74D-EA11E73BE12E}"/>
    <cellStyle name="Accent3 87" xfId="19491" xr:uid="{FEA9584E-E3BE-4115-868C-E186C03C1873}"/>
    <cellStyle name="Accent3 88" xfId="19492" xr:uid="{7349C188-2F15-4DC4-8667-C9ED49BFD7F5}"/>
    <cellStyle name="Accent3 89" xfId="19493" xr:uid="{967987EB-EF23-4B33-900D-D65A1AF7A73B}"/>
    <cellStyle name="Accent3 9" xfId="19494" xr:uid="{CF4B0393-ADCE-4221-9DD1-0857408FCF40}"/>
    <cellStyle name="Accent3 9 2" xfId="38266" xr:uid="{E363DC01-8D1C-4986-BEE6-FD6C18EF3F36}"/>
    <cellStyle name="Accent3 9 3" xfId="38267" xr:uid="{4214CECC-29EE-4E52-869A-0A6D06ECBF96}"/>
    <cellStyle name="Accent3 90" xfId="19495" xr:uid="{83EBDCCF-74A8-4C71-AB7F-068556E68B28}"/>
    <cellStyle name="Accent3 91" xfId="19496" xr:uid="{B7734E0A-BFF0-4DF0-AE67-94EB2BDEF3FA}"/>
    <cellStyle name="Accent3 92" xfId="19497" xr:uid="{5AD8130F-AA70-4955-ACF9-1199F283FD1C}"/>
    <cellStyle name="Accent3 93" xfId="19498" xr:uid="{EA7407AA-1C67-421B-B7F0-17EBA06A8019}"/>
    <cellStyle name="Accent3 94" xfId="19499" xr:uid="{DE15958A-6288-4841-8CA4-A83D7095BC3B}"/>
    <cellStyle name="Accent3 95" xfId="19500" xr:uid="{33602ADF-1FAE-4015-83AD-1309BDF8CDA7}"/>
    <cellStyle name="Accent3 96" xfId="19501" xr:uid="{ED169F55-396E-45D9-A40C-38BF2EAD5A67}"/>
    <cellStyle name="Accent3 97" xfId="19502" xr:uid="{5B53C9A7-B0CB-4788-81D9-A6AC6286D1BB}"/>
    <cellStyle name="Accent3 98" xfId="19503" xr:uid="{4C84F9A2-8706-4DBE-A25D-F97AD05B25CD}"/>
    <cellStyle name="Accent3 99" xfId="19504" xr:uid="{DA386077-24DB-463A-A80A-7EBC054628D4}"/>
    <cellStyle name="Accent4" xfId="42" builtinId="41" hidden="1"/>
    <cellStyle name="Accent4" xfId="116" builtinId="41" customBuiltin="1"/>
    <cellStyle name="Accent4 10" xfId="19505" xr:uid="{786362B3-1E95-4B3F-B6F8-BCC639ADFA7D}"/>
    <cellStyle name="Accent4 10 2" xfId="38268" xr:uid="{04A9065B-2AF7-45E1-90E9-EB7D3D6879D2}"/>
    <cellStyle name="Accent4 10 3" xfId="38269" xr:uid="{47E42261-7908-4E44-A7D4-A3848A1DD9D1}"/>
    <cellStyle name="Accent4 100" xfId="19506" xr:uid="{1BEE9D59-37C9-4633-8FD1-197802102958}"/>
    <cellStyle name="Accent4 101" xfId="19507" xr:uid="{5AFCDDEA-B54B-4FC3-9AD1-4C10D551FBC8}"/>
    <cellStyle name="Accent4 102" xfId="19508" xr:uid="{58F7FB70-126D-4E42-B2D5-24703E4CC445}"/>
    <cellStyle name="Accent4 103" xfId="19509" xr:uid="{2C199452-2ECC-4312-854E-187CCA095B4F}"/>
    <cellStyle name="Accent4 104" xfId="19510" xr:uid="{26405750-0150-479A-8860-6523C0229C74}"/>
    <cellStyle name="Accent4 105" xfId="19511" xr:uid="{A3E6485D-61AA-4077-8BCA-B2BB38D0C397}"/>
    <cellStyle name="Accent4 106" xfId="19512" xr:uid="{135DB5AB-5F8F-45E4-9C2F-3092FF3132DE}"/>
    <cellStyle name="Accent4 107" xfId="19513" xr:uid="{25A66E15-7130-48C5-A62E-A3A7B4C20B5D}"/>
    <cellStyle name="Accent4 108" xfId="19514" xr:uid="{82F8EBA7-F63D-4E64-8FD6-AB9FF5E91C1F}"/>
    <cellStyle name="Accent4 109" xfId="19515" xr:uid="{E8CBE42B-EDE4-469E-9FDB-C733BA46C480}"/>
    <cellStyle name="Accent4 11" xfId="19516" xr:uid="{D9BA19BE-C108-4F19-9896-94B28FE9D43F}"/>
    <cellStyle name="Accent4 11 2" xfId="38270" xr:uid="{D6CA87F6-0835-4B20-8452-E60BE7C2AED8}"/>
    <cellStyle name="Accent4 11 3" xfId="38271" xr:uid="{94434ECC-DF21-45BE-A63A-CD45EA7B04F9}"/>
    <cellStyle name="Accent4 110" xfId="19517" xr:uid="{C573B4A0-3DE8-430E-8CE4-D02F43B6C84E}"/>
    <cellStyle name="Accent4 111" xfId="19518" xr:uid="{21C95E10-967A-4E74-BCE5-D065642D67FF}"/>
    <cellStyle name="Accent4 112" xfId="19519" xr:uid="{6B3DCD19-44A1-4050-B043-16FB04F4F45D}"/>
    <cellStyle name="Accent4 113" xfId="19520" xr:uid="{4F8DE9A7-5D91-46CD-AA26-C51DE9060ED1}"/>
    <cellStyle name="Accent4 114" xfId="19521" xr:uid="{028D65EA-FFE2-425B-91E8-FE80B78134E5}"/>
    <cellStyle name="Accent4 115" xfId="19522" xr:uid="{BAE75130-31EC-443D-861F-5DA211972E8D}"/>
    <cellStyle name="Accent4 116" xfId="19523" xr:uid="{B9997C5F-9FBC-4584-BFAC-68093EC21FDA}"/>
    <cellStyle name="Accent4 117" xfId="19524" xr:uid="{3F6F3568-522B-4436-8DF1-08DCD870F83D}"/>
    <cellStyle name="Accent4 118" xfId="19525" xr:uid="{7C25F5B0-114A-431E-BB54-0C93D02709C3}"/>
    <cellStyle name="Accent4 119" xfId="19526" xr:uid="{9E2064BC-2929-45AE-ACAD-EFE8ECA166F3}"/>
    <cellStyle name="Accent4 12" xfId="19527" xr:uid="{AA71E2E9-13B0-4062-970F-89D8CD095362}"/>
    <cellStyle name="Accent4 12 2" xfId="38272" xr:uid="{7041D5FA-2D39-4A38-9604-280A14FD896C}"/>
    <cellStyle name="Accent4 12 3" xfId="38273" xr:uid="{16D99662-A8D7-42DA-BA49-18D9BFB3D522}"/>
    <cellStyle name="Accent4 120" xfId="19528" xr:uid="{EC67E113-F288-443B-8007-064C637D1E7A}"/>
    <cellStyle name="Accent4 121" xfId="19529" xr:uid="{B1179357-477A-4A1A-9DD8-4BE6508CC342}"/>
    <cellStyle name="Accent4 122" xfId="19530" xr:uid="{AE4C85E3-2993-49C0-A025-6A1DDE03E7D9}"/>
    <cellStyle name="Accent4 123" xfId="19531" xr:uid="{CE867271-0D90-4F54-A8A6-E1C9E77E6EDB}"/>
    <cellStyle name="Accent4 124" xfId="19532" xr:uid="{9693B10D-27CE-4302-8EB5-E9DB99DBAF16}"/>
    <cellStyle name="Accent4 125" xfId="19533" xr:uid="{3CA955F4-9783-48FC-A516-144371B42B1E}"/>
    <cellStyle name="Accent4 126" xfId="19534" xr:uid="{A1054E49-3D74-41AD-A8F3-182C5B63650F}"/>
    <cellStyle name="Accent4 127" xfId="19535" xr:uid="{90C5C86C-F740-47A1-AFBA-7DABC701A6EC}"/>
    <cellStyle name="Accent4 128" xfId="19536" xr:uid="{EDABE1DE-66B2-4248-A18F-F717C5B0E0A5}"/>
    <cellStyle name="Accent4 129" xfId="19537" xr:uid="{5339E706-5C3F-4316-9942-425BBB763F84}"/>
    <cellStyle name="Accent4 13" xfId="19538" xr:uid="{39A93814-B2A9-4EC2-ADDD-B8E9EA372DC9}"/>
    <cellStyle name="Accent4 13 2" xfId="38274" xr:uid="{E7DE413B-13C5-44E3-A2ED-456AC51BD4A5}"/>
    <cellStyle name="Accent4 13 3" xfId="38275" xr:uid="{28093D9F-0C5C-45EB-AAD0-D435BBAD67CA}"/>
    <cellStyle name="Accent4 130" xfId="19539" xr:uid="{C787CEAF-CB41-4A6D-8869-2AB972567360}"/>
    <cellStyle name="Accent4 131" xfId="19540" xr:uid="{8C7E1FD8-E8A1-4826-81AA-61358A0A63C1}"/>
    <cellStyle name="Accent4 132" xfId="19541" xr:uid="{6986B90C-49F9-4F5C-B79D-D58E4586BDB9}"/>
    <cellStyle name="Accent4 133" xfId="19542" xr:uid="{A249C5CB-2058-4FCA-9770-29935F44549C}"/>
    <cellStyle name="Accent4 134" xfId="19543" xr:uid="{578330B9-1966-48CB-A271-46E697A480BD}"/>
    <cellStyle name="Accent4 135" xfId="19544" xr:uid="{B5DC70B4-3A33-41A2-A61B-AE34760CC1E9}"/>
    <cellStyle name="Accent4 136" xfId="19545" xr:uid="{B6D589D2-07D0-4D75-8EB5-0D0C023369DD}"/>
    <cellStyle name="Accent4 137" xfId="19546" xr:uid="{DCE513A5-D15F-4332-A2C8-C6E12E032723}"/>
    <cellStyle name="Accent4 138" xfId="19547" xr:uid="{95B4EC7F-5E2D-4729-8A77-59E9877A66FD}"/>
    <cellStyle name="Accent4 139" xfId="19548" xr:uid="{5AAA8ED1-9E42-46F0-BF16-406B29ADE2A3}"/>
    <cellStyle name="Accent4 14" xfId="19549" xr:uid="{77107610-646C-4753-AB31-12EE2463A675}"/>
    <cellStyle name="Accent4 14 2" xfId="38276" xr:uid="{11EF944B-067D-4216-83CC-D65CB5CE238C}"/>
    <cellStyle name="Accent4 14 3" xfId="38277" xr:uid="{78607E6B-22E5-4675-9065-3F9507007BF9}"/>
    <cellStyle name="Accent4 140" xfId="19550" xr:uid="{140CFA1A-0197-4BC8-B84D-1D84B35C8D4B}"/>
    <cellStyle name="Accent4 141" xfId="19551" xr:uid="{47F228EF-33C5-40AA-A319-14D9074DD81F}"/>
    <cellStyle name="Accent4 142" xfId="19552" xr:uid="{4F444175-0852-49A5-812C-0BA632945F69}"/>
    <cellStyle name="Accent4 143" xfId="19553" xr:uid="{C55F5E6D-75D9-4904-A5AC-CA8C26B38156}"/>
    <cellStyle name="Accent4 144" xfId="19554" xr:uid="{0EDA3B42-9230-4353-B041-6C1B49FC9728}"/>
    <cellStyle name="Accent4 145" xfId="19555" xr:uid="{593E0E4E-9BFF-44C0-8C65-B418CD1F293C}"/>
    <cellStyle name="Accent4 146" xfId="19556" xr:uid="{11650913-4FA8-423A-BD8A-6C8AEEC93BDF}"/>
    <cellStyle name="Accent4 147" xfId="19557" xr:uid="{83363515-2163-4016-902D-598F0AE1CC80}"/>
    <cellStyle name="Accent4 148" xfId="19558" xr:uid="{C15485A8-C799-46FD-AC41-8A62EADEF800}"/>
    <cellStyle name="Accent4 149" xfId="19559" xr:uid="{114EF58C-5B10-4BE7-AD16-C22103756A9D}"/>
    <cellStyle name="Accent4 15" xfId="19560" xr:uid="{DDEB6DFC-994B-4A82-88A6-73B09DEA6917}"/>
    <cellStyle name="Accent4 15 2" xfId="38278" xr:uid="{93A16CCA-C49A-4CC6-BEAF-297146BFE520}"/>
    <cellStyle name="Accent4 15 3" xfId="38279" xr:uid="{6FB05257-437E-4CC5-9242-F0F063444F82}"/>
    <cellStyle name="Accent4 150" xfId="19561" xr:uid="{BDFDDF84-8964-412B-BEA0-CF6861CC4F45}"/>
    <cellStyle name="Accent4 151" xfId="19562" xr:uid="{C8CD985E-C484-4BD2-BD27-2A077E29B844}"/>
    <cellStyle name="Accent4 152" xfId="19563" xr:uid="{5BD66D51-143C-476C-BB52-C04CBB9F82B8}"/>
    <cellStyle name="Accent4 153" xfId="19564" xr:uid="{F9C86B27-19B7-402F-82DA-5D875C42612B}"/>
    <cellStyle name="Accent4 154" xfId="19565" xr:uid="{6F08017A-83D3-4613-A20F-F8CF0362CFFA}"/>
    <cellStyle name="Accent4 155" xfId="19566" xr:uid="{02C0FD30-0B6E-40E2-A4B2-892E9543EA84}"/>
    <cellStyle name="Accent4 156" xfId="19567" xr:uid="{8544BF9A-AC1D-4A02-88B1-05622CFF76E5}"/>
    <cellStyle name="Accent4 157" xfId="19568" xr:uid="{6B7558EA-A9FA-44AB-8AC5-D9C5DE7A37D3}"/>
    <cellStyle name="Accent4 158" xfId="19569" xr:uid="{64CAEEA8-2C20-4074-8B5A-8C9FCF385D83}"/>
    <cellStyle name="Accent4 159" xfId="19570" xr:uid="{32DDB9DE-DDA9-45A7-A3F8-3DE36998573C}"/>
    <cellStyle name="Accent4 16" xfId="19571" xr:uid="{28A6ABE9-D9B8-47F2-B9FB-32D5A7998085}"/>
    <cellStyle name="Accent4 16 2" xfId="38280" xr:uid="{AEDFB69C-B1FE-4C23-8B99-95BC3ED86A27}"/>
    <cellStyle name="Accent4 16 3" xfId="38281" xr:uid="{D1B172F0-1C45-4D49-BD85-062F6D46A67E}"/>
    <cellStyle name="Accent4 160" xfId="19572" xr:uid="{CF9AE5E4-1CC9-428D-AFD6-E8A9B9DCE029}"/>
    <cellStyle name="Accent4 17" xfId="19573" xr:uid="{DC7B17D1-F1C2-4AF4-9093-82AE034E3AB1}"/>
    <cellStyle name="Accent4 17 2" xfId="38282" xr:uid="{FCF5EAEE-5CF7-4ECD-ACF7-A5103DACE7B2}"/>
    <cellStyle name="Accent4 17 3" xfId="38283" xr:uid="{96E35F23-EF7E-43DF-8E3C-C3F68A3BE352}"/>
    <cellStyle name="Accent4 18" xfId="19574" xr:uid="{3CFEE125-D272-4B6A-9630-AFE6C24224A6}"/>
    <cellStyle name="Accent4 18 2" xfId="38284" xr:uid="{E160A8D8-7879-4C8C-900F-A11A49A4D83F}"/>
    <cellStyle name="Accent4 18 3" xfId="38285" xr:uid="{B0455E39-E1B8-4701-90D1-4F6008D195D1}"/>
    <cellStyle name="Accent4 19" xfId="19575" xr:uid="{07F9C5EF-01D8-4C00-BA6E-04E12C0FE2EE}"/>
    <cellStyle name="Accent4 19 2" xfId="38286" xr:uid="{8A44E7DF-2DD8-4042-9056-52ACFBB914FF}"/>
    <cellStyle name="Accent4 2" xfId="19576" xr:uid="{3D5F5496-19E3-4C35-AB96-26C9BF99F8D2}"/>
    <cellStyle name="Accent4 2 2" xfId="19577" xr:uid="{E2A9AEF2-68ED-4408-A4EF-ED47B2D5978B}"/>
    <cellStyle name="Accent4 2 3" xfId="38287" xr:uid="{B8AC9535-395F-43AF-8495-0509B891032B}"/>
    <cellStyle name="Accent4 2 4" xfId="38288" xr:uid="{5C27B076-64A2-4EC9-B388-CFF4F40D0392}"/>
    <cellStyle name="Accent4 2 5" xfId="38289" xr:uid="{B5B560DD-80BA-4326-B022-31808CFBB776}"/>
    <cellStyle name="Accent4 20" xfId="19578" xr:uid="{672DA531-B932-4E1F-9CDE-1FB536743E14}"/>
    <cellStyle name="Accent4 20 2" xfId="38290" xr:uid="{0D38B1EB-8ECC-4009-828A-FF7B015067F0}"/>
    <cellStyle name="Accent4 21" xfId="19579" xr:uid="{79E20591-77B4-4C6C-BBCC-EF9E1514919F}"/>
    <cellStyle name="Accent4 21 2" xfId="38291" xr:uid="{08AAD676-EA0E-47E9-B708-09F6B2881B0B}"/>
    <cellStyle name="Accent4 22" xfId="19580" xr:uid="{1E1A71AC-EDCD-41BB-8872-744A33B090A6}"/>
    <cellStyle name="Accent4 22 2" xfId="38292" xr:uid="{69F3B87D-B3A4-4518-A421-9D3939AA4368}"/>
    <cellStyle name="Accent4 23" xfId="19581" xr:uid="{2802F051-6B59-4FE6-86B0-94EE0BAE8790}"/>
    <cellStyle name="Accent4 23 2" xfId="38293" xr:uid="{54D95882-795C-4510-8025-B6D04A8DA1F6}"/>
    <cellStyle name="Accent4 24" xfId="19582" xr:uid="{EC97CB8A-4163-4BF1-997B-58047CADEC97}"/>
    <cellStyle name="Accent4 24 2" xfId="38294" xr:uid="{8068FBB7-5B80-49F1-9204-9FCA4185B628}"/>
    <cellStyle name="Accent4 25" xfId="19583" xr:uid="{BCA13AA0-C1EC-492E-9C03-3671CD08684A}"/>
    <cellStyle name="Accent4 25 2" xfId="38295" xr:uid="{BF8048B5-0FCD-448A-8EC6-0B08C270397F}"/>
    <cellStyle name="Accent4 26" xfId="19584" xr:uid="{A60A2A00-16A1-482E-B2FB-2A565AFDB158}"/>
    <cellStyle name="Accent4 26 2" xfId="38296" xr:uid="{47CEB40C-3A50-489F-A0EC-F4984E777D2E}"/>
    <cellStyle name="Accent4 27" xfId="19585" xr:uid="{ABDDD56B-3DB9-49FE-A5D6-41DC070712FC}"/>
    <cellStyle name="Accent4 27 2" xfId="38297" xr:uid="{9E4DE65B-2186-466B-B88F-8E869C674CFA}"/>
    <cellStyle name="Accent4 28" xfId="19586" xr:uid="{5D02C170-AA15-49A5-AAF3-67AD9D2FE7C8}"/>
    <cellStyle name="Accent4 28 2" xfId="38298" xr:uid="{0F2E9CCF-9953-41DC-8A91-ED965FA53475}"/>
    <cellStyle name="Accent4 29" xfId="19587" xr:uid="{6C405230-858B-46EF-99C0-67F2A32285A0}"/>
    <cellStyle name="Accent4 29 2" xfId="19588" xr:uid="{786EEF5A-B1AF-4324-87F7-2EF57AB35B5F}"/>
    <cellStyle name="Accent4 29 3" xfId="38299" xr:uid="{234949C1-3527-4597-86FA-29D3DBEF4E1A}"/>
    <cellStyle name="Accent4 3" xfId="19589" xr:uid="{AAF49002-0B7B-47D2-BC29-377BBF6A93FC}"/>
    <cellStyle name="Accent4 3 2" xfId="19590" xr:uid="{652E36EF-2E32-48EF-9004-17EFBBACFE63}"/>
    <cellStyle name="Accent4 3 3" xfId="38300" xr:uid="{062F01C9-BF98-404B-AE38-114B7142036D}"/>
    <cellStyle name="Accent4 3 4" xfId="38301" xr:uid="{D8D9C344-EE13-4DB6-AD07-6AD9D9F8ACAA}"/>
    <cellStyle name="Accent4 30" xfId="19591" xr:uid="{941E73A3-B759-457C-9E53-16DDDEEBF0BD}"/>
    <cellStyle name="Accent4 30 2" xfId="38302" xr:uid="{51033046-2B8F-4766-9910-A32E82524CBB}"/>
    <cellStyle name="Accent4 31" xfId="19592" xr:uid="{AE467799-880A-464D-B04E-0C19EE6C2671}"/>
    <cellStyle name="Accent4 32" xfId="19593" xr:uid="{DCEAC460-6E3F-4E81-BB53-652CDEE9C31E}"/>
    <cellStyle name="Accent4 33" xfId="19594" xr:uid="{38D607E0-353C-49E9-9D4F-F00DD878A616}"/>
    <cellStyle name="Accent4 34" xfId="19595" xr:uid="{F2D7B254-9D49-45DE-B8FA-F9B6FD8E2086}"/>
    <cellStyle name="Accent4 35" xfId="19596" xr:uid="{1DEA11C9-C4E4-4847-AA44-255DC9B22358}"/>
    <cellStyle name="Accent4 36" xfId="19597" xr:uid="{749B53A4-244B-46FD-8C00-20766D7F0114}"/>
    <cellStyle name="Accent4 37" xfId="19598" xr:uid="{E5358B11-EFA2-4E96-91D3-1067847468E7}"/>
    <cellStyle name="Accent4 38" xfId="19599" xr:uid="{3E472A1B-57DE-49FC-958E-8938455DBDEB}"/>
    <cellStyle name="Accent4 39" xfId="19600" xr:uid="{9CBD6629-A3D8-44A3-AC60-15E28502ED66}"/>
    <cellStyle name="Accent4 4" xfId="19601" xr:uid="{E0F1A4B1-DA9C-4497-99A0-8333C3D88302}"/>
    <cellStyle name="Accent4 4 2" xfId="38303" xr:uid="{E6017D22-0B09-47DC-A5EC-197FABF21B60}"/>
    <cellStyle name="Accent4 4 3" xfId="38304" xr:uid="{E14E6682-DF8D-4796-8B5A-4D50A6A08A2E}"/>
    <cellStyle name="Accent4 40" xfId="19602" xr:uid="{F954DBBD-CA84-4285-A5EA-C14C6A34ECB3}"/>
    <cellStyle name="Accent4 41" xfId="19603" xr:uid="{6B6632E3-1BB0-4C18-AD6F-E116A1EB9028}"/>
    <cellStyle name="Accent4 42" xfId="19604" xr:uid="{FF81A780-EB5C-49CF-9F8C-CC285C196628}"/>
    <cellStyle name="Accent4 43" xfId="19605" xr:uid="{6D6C3697-2700-4C03-8B69-36D0E8093B64}"/>
    <cellStyle name="Accent4 44" xfId="19606" xr:uid="{764C2BBB-318C-4F2D-A9B9-EDCDDCBF4A3F}"/>
    <cellStyle name="Accent4 45" xfId="19607" xr:uid="{BFCA971B-5740-4603-8AA8-35FFA38067EF}"/>
    <cellStyle name="Accent4 46" xfId="19608" xr:uid="{A47C972F-E029-40E1-A65E-3D2E00217AC2}"/>
    <cellStyle name="Accent4 47" xfId="19609" xr:uid="{B426CDD3-76FF-4DA8-9A53-C248E3B26476}"/>
    <cellStyle name="Accent4 48" xfId="19610" xr:uid="{17AA46E6-88FB-4D75-B284-98BEA8FB3495}"/>
    <cellStyle name="Accent4 49" xfId="19611" xr:uid="{E0E88E28-3A0C-4863-890F-F31F84362EFC}"/>
    <cellStyle name="Accent4 5" xfId="19612" xr:uid="{E6EAD3F8-8740-4273-8E0B-E175EE2481D0}"/>
    <cellStyle name="Accent4 5 2" xfId="38305" xr:uid="{E28F5F02-CE5F-4F6A-B54D-0692885ED5B9}"/>
    <cellStyle name="Accent4 5 3" xfId="38306" xr:uid="{5F7602A0-66D2-4C87-BDD0-4A549325623E}"/>
    <cellStyle name="Accent4 50" xfId="19613" xr:uid="{72067260-1D6D-474B-AB55-811C5D4D1B20}"/>
    <cellStyle name="Accent4 51" xfId="19614" xr:uid="{4D2B02CA-352C-4124-A1A6-30604E0B2188}"/>
    <cellStyle name="Accent4 52" xfId="19615" xr:uid="{1946AF29-EA85-4518-88EB-D1EDD6FCA99A}"/>
    <cellStyle name="Accent4 53" xfId="19616" xr:uid="{DA231FBD-81C6-4D63-A4AD-779D301D6497}"/>
    <cellStyle name="Accent4 54" xfId="19617" xr:uid="{325557CA-2521-4A0C-B9E5-E6A6971622F0}"/>
    <cellStyle name="Accent4 55" xfId="19618" xr:uid="{97AE53F7-8D3E-49DA-AAB0-58FF576007A6}"/>
    <cellStyle name="Accent4 56" xfId="19619" xr:uid="{8648F24A-F6D8-4A63-91C8-B3BA9366DFAB}"/>
    <cellStyle name="Accent4 57" xfId="19620" xr:uid="{60ECAF87-3CF9-4DE9-AAB1-D685DFF65359}"/>
    <cellStyle name="Accent4 58" xfId="19621" xr:uid="{997C62B7-A0B0-4117-8DDE-438E22A480B1}"/>
    <cellStyle name="Accent4 59" xfId="19622" xr:uid="{CC9F3797-565E-40E1-8E69-CBB443C5569C}"/>
    <cellStyle name="Accent4 6" xfId="19623" xr:uid="{3A0A7F97-8345-4F1B-A9FE-F64201C32D55}"/>
    <cellStyle name="Accent4 6 2" xfId="38307" xr:uid="{634E50D2-6B01-4BBD-836A-236CC00FA9F1}"/>
    <cellStyle name="Accent4 6 3" xfId="38308" xr:uid="{0CEB192A-43D4-4153-A364-239023AB9BD3}"/>
    <cellStyle name="Accent4 60" xfId="19624" xr:uid="{61E0F071-4043-40C3-9998-45272C65280E}"/>
    <cellStyle name="Accent4 61" xfId="19625" xr:uid="{E29B39CB-6356-4942-83DA-D4D4E91E1E32}"/>
    <cellStyle name="Accent4 62" xfId="19626" xr:uid="{409F7012-5E15-43FA-A6FB-F0DA0DBAA4BF}"/>
    <cellStyle name="Accent4 63" xfId="19627" xr:uid="{A9E772ED-73BC-4210-BD68-D052413933FF}"/>
    <cellStyle name="Accent4 64" xfId="19628" xr:uid="{C74298A1-B047-409E-A780-8B59316AC973}"/>
    <cellStyle name="Accent4 65" xfId="19629" xr:uid="{D36D44B1-8FC1-444F-AC73-62D2E1E01FB8}"/>
    <cellStyle name="Accent4 66" xfId="19630" xr:uid="{DA793A61-F2AA-4201-B481-CCAEFE73342D}"/>
    <cellStyle name="Accent4 67" xfId="19631" xr:uid="{9E3C9619-9011-4D84-BDC3-29E9EF7C29F7}"/>
    <cellStyle name="Accent4 68" xfId="19632" xr:uid="{7B4DF7CC-E82C-4B32-BC32-A28863338EEF}"/>
    <cellStyle name="Accent4 69" xfId="19633" xr:uid="{34ABFE2A-E4BB-437A-B279-5DDDB64DE588}"/>
    <cellStyle name="Accent4 7" xfId="19634" xr:uid="{7806BFAE-7FD7-4E25-B3A2-DFCE4140A18D}"/>
    <cellStyle name="Accent4 7 2" xfId="38309" xr:uid="{AFF76751-70C5-41DC-9635-01824B53862A}"/>
    <cellStyle name="Accent4 7 3" xfId="38310" xr:uid="{D7A5F411-9D02-4E8F-B8F7-A5B345DC32FD}"/>
    <cellStyle name="Accent4 70" xfId="19635" xr:uid="{C8D6A185-6094-4AE2-A573-3860D32A8CD5}"/>
    <cellStyle name="Accent4 71" xfId="19636" xr:uid="{B66FBD2F-5EF9-4F1B-956E-CB59B9497FC2}"/>
    <cellStyle name="Accent4 72" xfId="19637" xr:uid="{98B10B3E-F9F4-404B-AF36-155108C4ABBD}"/>
    <cellStyle name="Accent4 73" xfId="19638" xr:uid="{C5EB7621-9E86-4C95-A421-3A567BAAD867}"/>
    <cellStyle name="Accent4 74" xfId="19639" xr:uid="{7C387149-C772-4330-822E-CBF1FA84D967}"/>
    <cellStyle name="Accent4 75" xfId="19640" xr:uid="{B9F63E00-A48A-4CD3-BDF8-EAA2DADD5506}"/>
    <cellStyle name="Accent4 76" xfId="19641" xr:uid="{5F0685AD-11AD-4666-B947-969E7C0A9080}"/>
    <cellStyle name="Accent4 77" xfId="19642" xr:uid="{DB5EC867-DBB9-44B4-9CDE-B339606C795A}"/>
    <cellStyle name="Accent4 78" xfId="19643" xr:uid="{BEE52CE3-5F19-43C8-A040-964895EAC6EB}"/>
    <cellStyle name="Accent4 79" xfId="19644" xr:uid="{05996BA3-4161-44CD-975D-6689670D8CB2}"/>
    <cellStyle name="Accent4 8" xfId="19645" xr:uid="{D7CECD20-2DBA-4E95-8FFF-DB25F4D49E8E}"/>
    <cellStyle name="Accent4 8 2" xfId="38311" xr:uid="{80E00170-165A-4F90-8E65-D0FAAC5A64B8}"/>
    <cellStyle name="Accent4 8 3" xfId="38312" xr:uid="{AE020005-26CF-4C0B-A1D3-3BCF336F1A9A}"/>
    <cellStyle name="Accent4 80" xfId="19646" xr:uid="{F9033C58-D250-45B4-AEB4-24FED3C514C8}"/>
    <cellStyle name="Accent4 81" xfId="19647" xr:uid="{17D5BA18-31FD-4AE0-A5BF-25A479A1C55D}"/>
    <cellStyle name="Accent4 82" xfId="19648" xr:uid="{33618DF5-8502-490B-823C-B8A1170A138C}"/>
    <cellStyle name="Accent4 83" xfId="19649" xr:uid="{7149AD26-A73B-4A4C-B357-9707DFF32B7F}"/>
    <cellStyle name="Accent4 84" xfId="19650" xr:uid="{DF6888FE-595B-4424-AD4B-E2EFDD63E91B}"/>
    <cellStyle name="Accent4 85" xfId="19651" xr:uid="{2BF87654-6910-407E-9C1F-D11E0784ACA5}"/>
    <cellStyle name="Accent4 86" xfId="19652" xr:uid="{5C4A06E0-1A75-4CB6-8AF6-C11E25464B36}"/>
    <cellStyle name="Accent4 87" xfId="19653" xr:uid="{330027B1-114F-4B04-909A-77A640506173}"/>
    <cellStyle name="Accent4 88" xfId="19654" xr:uid="{B5F08E79-B3A7-4EA7-B13D-DA1BF3E1D3A8}"/>
    <cellStyle name="Accent4 89" xfId="19655" xr:uid="{4529CDD2-7BF5-44A5-ACF8-276FA08A652F}"/>
    <cellStyle name="Accent4 9" xfId="19656" xr:uid="{016E222C-CC9C-4032-BEB5-5057CF51546D}"/>
    <cellStyle name="Accent4 9 2" xfId="38313" xr:uid="{D6E156A6-AE46-465B-A2CD-700608198008}"/>
    <cellStyle name="Accent4 9 3" xfId="38314" xr:uid="{08B4A600-D56B-4DB5-B038-DB2E9DF51756}"/>
    <cellStyle name="Accent4 90" xfId="19657" xr:uid="{E276B193-DC13-4244-A61A-32B101F97B2E}"/>
    <cellStyle name="Accent4 91" xfId="19658" xr:uid="{83D13B54-DE26-41F1-A451-767A56477C8C}"/>
    <cellStyle name="Accent4 92" xfId="19659" xr:uid="{ED8BA796-3B05-40C1-8855-26828AEE0E7A}"/>
    <cellStyle name="Accent4 93" xfId="19660" xr:uid="{0A5F777F-CA1D-4DCF-BA7A-E5CF7028712A}"/>
    <cellStyle name="Accent4 94" xfId="19661" xr:uid="{66348919-6344-4FAA-A45B-6A1C37F434FB}"/>
    <cellStyle name="Accent4 95" xfId="19662" xr:uid="{4958F8BC-14CD-4428-9D6E-A43132B09190}"/>
    <cellStyle name="Accent4 96" xfId="19663" xr:uid="{F8C19D5D-7BE5-463A-86AB-218CE5BEFDA6}"/>
    <cellStyle name="Accent4 97" xfId="19664" xr:uid="{6345A5B3-308B-41F4-8436-213161BD3418}"/>
    <cellStyle name="Accent4 98" xfId="19665" xr:uid="{271DC454-4EB7-4FFB-88A6-DD705F5D2709}"/>
    <cellStyle name="Accent4 99" xfId="19666" xr:uid="{F02DDFAF-54FB-43D1-B7D4-BBAAA9BF7108}"/>
    <cellStyle name="Accent5" xfId="46" builtinId="45" hidden="1"/>
    <cellStyle name="Accent5" xfId="120" builtinId="45" customBuiltin="1"/>
    <cellStyle name="Accent5 10" xfId="19667" xr:uid="{BDDC179D-39D6-4390-B519-D7B6F4857266}"/>
    <cellStyle name="Accent5 10 2" xfId="38315" xr:uid="{16FE31E0-A68B-4C23-B1F8-A9D97CC092B2}"/>
    <cellStyle name="Accent5 10 3" xfId="38316" xr:uid="{368F2A59-28BC-4515-9FD7-78DC67FE848F}"/>
    <cellStyle name="Accent5 100" xfId="19668" xr:uid="{21058C47-6374-4686-BCE1-28D26F3813F9}"/>
    <cellStyle name="Accent5 101" xfId="19669" xr:uid="{DE6ECC47-6EFF-49CA-8145-779B415556AE}"/>
    <cellStyle name="Accent5 102" xfId="19670" xr:uid="{E0A4C243-2AA6-4912-AED5-3F7EFE0CD8C1}"/>
    <cellStyle name="Accent5 103" xfId="19671" xr:uid="{95BA7FEC-B377-4C3B-B52E-BC36B019B76A}"/>
    <cellStyle name="Accent5 104" xfId="19672" xr:uid="{AEB5F015-FBD4-407E-BC5D-F51C3B0374B1}"/>
    <cellStyle name="Accent5 105" xfId="19673" xr:uid="{0E4EEDFC-2AE1-46CF-A933-D1DCDA233D81}"/>
    <cellStyle name="Accent5 106" xfId="19674" xr:uid="{C256AC10-34A2-477D-BF5A-D04954660B42}"/>
    <cellStyle name="Accent5 107" xfId="19675" xr:uid="{A29D8494-293F-4A0F-B816-A70D069165C2}"/>
    <cellStyle name="Accent5 108" xfId="19676" xr:uid="{5C93AC9A-EA0C-4067-8FEA-9C2FBDFD55DC}"/>
    <cellStyle name="Accent5 109" xfId="19677" xr:uid="{85917CDD-DACA-41C4-9CED-5A835DCA2E3E}"/>
    <cellStyle name="Accent5 11" xfId="19678" xr:uid="{57F40FFD-9552-458C-8608-68E0FFE0E393}"/>
    <cellStyle name="Accent5 11 2" xfId="38317" xr:uid="{C1A80BB1-05E7-4FDE-91D2-76AD2837F7EE}"/>
    <cellStyle name="Accent5 11 3" xfId="38318" xr:uid="{1708E0E0-9178-4621-A697-761B4ACAF3A6}"/>
    <cellStyle name="Accent5 110" xfId="19679" xr:uid="{F16B1920-058E-4B26-BFA8-CF2AC060C089}"/>
    <cellStyle name="Accent5 111" xfId="19680" xr:uid="{053B7C70-ED66-4818-8421-1027F95C33F3}"/>
    <cellStyle name="Accent5 112" xfId="19681" xr:uid="{7CAB3009-C8B4-45DB-84B3-541B52B361CE}"/>
    <cellStyle name="Accent5 113" xfId="19682" xr:uid="{2AB3EF34-F597-4941-BF59-D28FCCE76EC6}"/>
    <cellStyle name="Accent5 114" xfId="19683" xr:uid="{A5D3A14F-B6E2-4FE9-911D-294E86588927}"/>
    <cellStyle name="Accent5 115" xfId="19684" xr:uid="{5DFA8574-8F69-4009-9968-A079D63BE486}"/>
    <cellStyle name="Accent5 116" xfId="19685" xr:uid="{E7936B91-5831-4E07-B297-DB989808C20B}"/>
    <cellStyle name="Accent5 117" xfId="19686" xr:uid="{1EB5B53E-079E-4C4F-B785-131C9A8673DF}"/>
    <cellStyle name="Accent5 118" xfId="19687" xr:uid="{BD771124-FD01-40E5-A087-308E7BDDB2CE}"/>
    <cellStyle name="Accent5 119" xfId="19688" xr:uid="{074276FD-6770-4F19-9EDB-D3B664715A11}"/>
    <cellStyle name="Accent5 12" xfId="19689" xr:uid="{D2556A80-C3AB-49C9-A0A2-48BEB3275689}"/>
    <cellStyle name="Accent5 12 2" xfId="38319" xr:uid="{0E7175FE-9916-413A-BB17-6A87168B71F7}"/>
    <cellStyle name="Accent5 12 3" xfId="38320" xr:uid="{EC940BCA-1D3E-440A-97E5-3351F5062DB2}"/>
    <cellStyle name="Accent5 120" xfId="19690" xr:uid="{3DD10E43-FFEA-4264-8837-8432F48A6C0D}"/>
    <cellStyle name="Accent5 121" xfId="19691" xr:uid="{9872138E-DD08-4809-942B-2E6A784C3102}"/>
    <cellStyle name="Accent5 122" xfId="19692" xr:uid="{64E39C3C-EA8D-4520-BA10-7C9EEA1EC5B7}"/>
    <cellStyle name="Accent5 123" xfId="19693" xr:uid="{2AEF1142-C484-4788-A7F7-EFF248866E16}"/>
    <cellStyle name="Accent5 124" xfId="19694" xr:uid="{F7E42269-1962-4381-B3B2-791DAE17FFF5}"/>
    <cellStyle name="Accent5 125" xfId="19695" xr:uid="{6359D3AA-630A-4224-BD9B-A3F44C096B90}"/>
    <cellStyle name="Accent5 126" xfId="19696" xr:uid="{9E088C64-B254-40A0-81AC-CB586948E048}"/>
    <cellStyle name="Accent5 127" xfId="19697" xr:uid="{A0D1AE5E-4A88-4FF1-BE6F-A951BE9E9D49}"/>
    <cellStyle name="Accent5 128" xfId="19698" xr:uid="{41489BB5-BBF9-458C-AE65-9C9A7B8371FB}"/>
    <cellStyle name="Accent5 129" xfId="19699" xr:uid="{7841A6F2-AEF1-4887-A3F5-FDDA491C49B3}"/>
    <cellStyle name="Accent5 13" xfId="19700" xr:uid="{EB38A040-003C-42FF-B850-B1BB92390F63}"/>
    <cellStyle name="Accent5 13 2" xfId="38321" xr:uid="{83CFCD4D-C027-44C5-896B-2B60F7A6D384}"/>
    <cellStyle name="Accent5 13 3" xfId="38322" xr:uid="{A9D50F81-27AE-4FB2-AC38-34884F7B9C54}"/>
    <cellStyle name="Accent5 130" xfId="19701" xr:uid="{007E664D-1760-4A02-9A2C-BD55007AEECA}"/>
    <cellStyle name="Accent5 131" xfId="19702" xr:uid="{3607A3AC-0636-4EB4-A417-FAB747C56AEB}"/>
    <cellStyle name="Accent5 132" xfId="19703" xr:uid="{B9180FB4-AB50-4628-85D5-30E3D4B635DA}"/>
    <cellStyle name="Accent5 133" xfId="19704" xr:uid="{BD417C74-1D1B-4408-B3D9-78293C9CE5B9}"/>
    <cellStyle name="Accent5 134" xfId="19705" xr:uid="{CD07654B-2411-43B5-8626-E7EBA8ED878D}"/>
    <cellStyle name="Accent5 135" xfId="19706" xr:uid="{42AAD93E-58E2-4C68-97DA-2BEFAD1CC5F7}"/>
    <cellStyle name="Accent5 136" xfId="19707" xr:uid="{429B2C35-3AD6-4E32-B549-61D48657DD89}"/>
    <cellStyle name="Accent5 137" xfId="19708" xr:uid="{921E2E35-17B6-4525-9E39-C043804D9F65}"/>
    <cellStyle name="Accent5 138" xfId="19709" xr:uid="{8A539456-7C5A-4C61-864A-8C5126059531}"/>
    <cellStyle name="Accent5 139" xfId="19710" xr:uid="{36C87A90-2FD2-4FA6-B0BB-9CC0CF5E7E60}"/>
    <cellStyle name="Accent5 14" xfId="19711" xr:uid="{050ADE48-2EFB-4C9A-AEF6-84A556A623B9}"/>
    <cellStyle name="Accent5 14 2" xfId="38323" xr:uid="{81A20A6F-D422-4EB5-9CB6-6BA682051DAF}"/>
    <cellStyle name="Accent5 14 3" xfId="38324" xr:uid="{BACBEDF3-6C97-42A1-9696-422FA5ABD028}"/>
    <cellStyle name="Accent5 140" xfId="19712" xr:uid="{08C2F175-7439-49AC-BA71-F74E4CD83437}"/>
    <cellStyle name="Accent5 141" xfId="19713" xr:uid="{9BD6395C-7CC5-4649-83AB-7E4B4A4424CC}"/>
    <cellStyle name="Accent5 142" xfId="19714" xr:uid="{CE0126AE-4890-412B-8356-52137B8EAA2D}"/>
    <cellStyle name="Accent5 143" xfId="19715" xr:uid="{C763B9AE-1726-4B28-BAC1-E5170201C90A}"/>
    <cellStyle name="Accent5 144" xfId="19716" xr:uid="{06A66C9A-0618-466B-833A-19CAF1349917}"/>
    <cellStyle name="Accent5 145" xfId="19717" xr:uid="{51BD936A-C1F0-47B0-A402-FE84D7D36EA0}"/>
    <cellStyle name="Accent5 146" xfId="19718" xr:uid="{7209ED20-6033-4B34-BD70-F2434015E4B7}"/>
    <cellStyle name="Accent5 147" xfId="19719" xr:uid="{6836CFAC-5E26-4904-878A-D55F82CA8F15}"/>
    <cellStyle name="Accent5 148" xfId="19720" xr:uid="{CF1D54E2-C677-4235-8163-0E120333B7E7}"/>
    <cellStyle name="Accent5 149" xfId="19721" xr:uid="{7AE56FAD-2322-4456-BCF5-B3DBA66F3A1F}"/>
    <cellStyle name="Accent5 15" xfId="19722" xr:uid="{C3A0E832-410A-49A1-8099-6C13BD5B76BB}"/>
    <cellStyle name="Accent5 15 2" xfId="38325" xr:uid="{B002E620-862E-4B22-B188-CC8688287B37}"/>
    <cellStyle name="Accent5 15 3" xfId="38326" xr:uid="{C827D551-50AA-426F-AD9E-B8A35AC6292D}"/>
    <cellStyle name="Accent5 150" xfId="19723" xr:uid="{97CDE390-34D1-4307-8925-52CEE0CDD1A8}"/>
    <cellStyle name="Accent5 151" xfId="19724" xr:uid="{9FE20419-35AE-4F0C-918A-68E7E46FA090}"/>
    <cellStyle name="Accent5 152" xfId="19725" xr:uid="{9156CCD6-C646-4CDD-96EE-84E46FFC43DA}"/>
    <cellStyle name="Accent5 153" xfId="19726" xr:uid="{0030706C-5FE6-46AD-8638-BB731BF73F5C}"/>
    <cellStyle name="Accent5 154" xfId="19727" xr:uid="{D97B341E-C6D4-44AB-B930-08E8C318B181}"/>
    <cellStyle name="Accent5 155" xfId="19728" xr:uid="{A543D989-167F-443D-9D98-8D07C39E2E99}"/>
    <cellStyle name="Accent5 156" xfId="19729" xr:uid="{97ABF86D-67D6-4074-A11F-B4E9193297C7}"/>
    <cellStyle name="Accent5 157" xfId="19730" xr:uid="{0EFF9832-A38D-48F0-85AF-24F65B75BA96}"/>
    <cellStyle name="Accent5 158" xfId="19731" xr:uid="{E3A73FD9-FA56-416B-A9D3-1E0CC591BA68}"/>
    <cellStyle name="Accent5 159" xfId="19732" xr:uid="{6815416A-39C9-4464-854F-2F606C490B7A}"/>
    <cellStyle name="Accent5 16" xfId="19733" xr:uid="{B1E475B7-4619-4E10-998D-DECF4CB7642B}"/>
    <cellStyle name="Accent5 16 2" xfId="38327" xr:uid="{2D2848FD-21F7-47CE-B4B9-2045F1C4A740}"/>
    <cellStyle name="Accent5 16 3" xfId="38328" xr:uid="{5CD4E62F-A8A6-43FC-B877-D393E59FD5E8}"/>
    <cellStyle name="Accent5 160" xfId="19734" xr:uid="{887C8A49-F1FA-41C6-BC0A-49C7AE93F61F}"/>
    <cellStyle name="Accent5 17" xfId="19735" xr:uid="{A781AD50-09A5-42BB-9BF6-61C7FEC47AE3}"/>
    <cellStyle name="Accent5 17 2" xfId="38329" xr:uid="{9890623E-D9F4-427B-B479-F20C76AC8F35}"/>
    <cellStyle name="Accent5 17 3" xfId="38330" xr:uid="{DE7951C8-A98B-4243-939A-0A08ED1B857A}"/>
    <cellStyle name="Accent5 18" xfId="19736" xr:uid="{E508CF45-22F9-4521-B386-1EDDA09C475B}"/>
    <cellStyle name="Accent5 18 2" xfId="38331" xr:uid="{76016A08-ABE7-424A-88AF-0FAB099CAEE2}"/>
    <cellStyle name="Accent5 18 3" xfId="38332" xr:uid="{674AF090-AF35-4774-A375-C84B5C57A044}"/>
    <cellStyle name="Accent5 19" xfId="19737" xr:uid="{B6FA48C2-8EEE-4EBC-A4E3-1898F6BA893F}"/>
    <cellStyle name="Accent5 19 2" xfId="38333" xr:uid="{AEED7142-39F1-43F7-A1AE-2A96114597CD}"/>
    <cellStyle name="Accent5 2" xfId="19738" xr:uid="{DA41F141-9AD3-459D-811A-D5B416FFE7D2}"/>
    <cellStyle name="Accent5 2 2" xfId="19739" xr:uid="{AED8510F-C22A-44C1-AE89-BDE1B1C8A229}"/>
    <cellStyle name="Accent5 2 3" xfId="38334" xr:uid="{E60B540A-F055-4E1C-9A4F-69739628C95C}"/>
    <cellStyle name="Accent5 2 4" xfId="38335" xr:uid="{A6377D7C-C92B-4278-A02C-B0F17DAACC59}"/>
    <cellStyle name="Accent5 2 5" xfId="38336" xr:uid="{7C5BF4F7-4E63-486B-8F6A-4A3C1909CCEF}"/>
    <cellStyle name="Accent5 20" xfId="19740" xr:uid="{C47AB88E-8184-4924-B2CB-5DB4BA3BD742}"/>
    <cellStyle name="Accent5 20 2" xfId="38337" xr:uid="{91136AF2-A3AA-403A-89E6-5357E0AC44E9}"/>
    <cellStyle name="Accent5 21" xfId="19741" xr:uid="{5962D5FF-E3DC-452A-8F1B-BE3F0D564209}"/>
    <cellStyle name="Accent5 21 2" xfId="38338" xr:uid="{70A987F0-F6EA-4373-84A8-3D104F0B5CB4}"/>
    <cellStyle name="Accent5 22" xfId="19742" xr:uid="{03FDAA5E-F838-4330-826B-9FCB1F9DE374}"/>
    <cellStyle name="Accent5 22 2" xfId="38339" xr:uid="{FF28BC8E-FA38-4D67-9D3E-99761AE33A05}"/>
    <cellStyle name="Accent5 23" xfId="19743" xr:uid="{E2B421B5-1D9A-42B1-89AB-668B47DD21D0}"/>
    <cellStyle name="Accent5 23 2" xfId="38340" xr:uid="{847A59CD-9B84-4411-B6F5-94BBED51A39F}"/>
    <cellStyle name="Accent5 24" xfId="19744" xr:uid="{C9BD12FF-F0A9-434C-BCB1-4DF12E1B8563}"/>
    <cellStyle name="Accent5 24 2" xfId="38341" xr:uid="{99CB47A8-11C9-4AE7-B9F3-5648FAC0CCA2}"/>
    <cellStyle name="Accent5 25" xfId="19745" xr:uid="{5B9F770E-4E08-4810-AD23-2F1B35421A95}"/>
    <cellStyle name="Accent5 25 2" xfId="38342" xr:uid="{414E154A-84AC-41A6-9940-30BFA6BE1372}"/>
    <cellStyle name="Accent5 26" xfId="19746" xr:uid="{D6E3FE42-26D1-404B-925B-2217AF3F83B7}"/>
    <cellStyle name="Accent5 26 2" xfId="38343" xr:uid="{ACF9030D-AEB5-41F7-8F58-5E8F9CE209C0}"/>
    <cellStyle name="Accent5 27" xfId="19747" xr:uid="{CA106882-DB5D-4745-805B-400510368B16}"/>
    <cellStyle name="Accent5 27 2" xfId="38344" xr:uid="{DD95573C-747E-4AFC-82ED-A2509F46C668}"/>
    <cellStyle name="Accent5 28" xfId="19748" xr:uid="{E22E8127-84FB-4CD7-9E2A-DA0666D7FC5B}"/>
    <cellStyle name="Accent5 28 2" xfId="38345" xr:uid="{727B0478-4D94-441C-B408-553482298262}"/>
    <cellStyle name="Accent5 29" xfId="19749" xr:uid="{E4931682-BC3C-4766-B7A3-0679165B519B}"/>
    <cellStyle name="Accent5 29 2" xfId="19750" xr:uid="{3BA073B2-1487-40E3-90FB-F0F237B0E48C}"/>
    <cellStyle name="Accent5 29 3" xfId="38346" xr:uid="{D8A5AD2B-A6BB-47C3-B1D2-DD13EECBE1CE}"/>
    <cellStyle name="Accent5 3" xfId="19751" xr:uid="{4B825EFA-7A9F-46CE-861F-BFB5DA8AD9BB}"/>
    <cellStyle name="Accent5 3 2" xfId="19752" xr:uid="{3B7450BD-7864-4D16-87DB-D9BF85CB4FAD}"/>
    <cellStyle name="Accent5 3 3" xfId="38347" xr:uid="{719FE679-A99C-4D3A-89A5-8F45DE980DCF}"/>
    <cellStyle name="Accent5 3 4" xfId="38348" xr:uid="{13E327DC-5127-4401-82B4-2D109246727A}"/>
    <cellStyle name="Accent5 30" xfId="19753" xr:uid="{A9A0F2B0-F669-44AA-9992-E750F914968F}"/>
    <cellStyle name="Accent5 30 2" xfId="38349" xr:uid="{BC6DADD9-7ED9-4B1B-A7F8-D7E896B9C7CC}"/>
    <cellStyle name="Accent5 31" xfId="19754" xr:uid="{96DC8F3B-6E40-40EA-BFA6-BD5FB2A9A3DD}"/>
    <cellStyle name="Accent5 32" xfId="19755" xr:uid="{A240C1E3-B307-412F-81E6-717C751F0D20}"/>
    <cellStyle name="Accent5 33" xfId="19756" xr:uid="{139F929B-8538-4B07-8711-B548C6ED5D15}"/>
    <cellStyle name="Accent5 34" xfId="19757" xr:uid="{92D0766B-0E05-4F9E-B2FE-1A2EAFA703AA}"/>
    <cellStyle name="Accent5 35" xfId="19758" xr:uid="{BBB57024-5E9B-4016-B1D3-62E99E7DB1B1}"/>
    <cellStyle name="Accent5 36" xfId="19759" xr:uid="{20F12478-4863-4284-A017-5B77B8B62F37}"/>
    <cellStyle name="Accent5 37" xfId="19760" xr:uid="{94311722-BD7F-40D3-BE1A-A3C659DCC0AA}"/>
    <cellStyle name="Accent5 38" xfId="19761" xr:uid="{467E027F-72D6-45F1-963E-E36A112D0258}"/>
    <cellStyle name="Accent5 39" xfId="19762" xr:uid="{7776BDBB-DFC2-4979-BE23-6CAEF7278825}"/>
    <cellStyle name="Accent5 4" xfId="19763" xr:uid="{AB295F06-FD8B-4FC0-B0F3-B1802AE8499A}"/>
    <cellStyle name="Accent5 4 2" xfId="38350" xr:uid="{036C6D7F-5259-4D3B-8B8C-7D960085A5A4}"/>
    <cellStyle name="Accent5 4 3" xfId="38351" xr:uid="{CC739BA1-0B8E-4D4B-8F4A-2B0CBC1FB1D6}"/>
    <cellStyle name="Accent5 40" xfId="19764" xr:uid="{C1C5AA5B-AECE-45ED-82DB-1616C5CE3595}"/>
    <cellStyle name="Accent5 41" xfId="19765" xr:uid="{21610281-1E6C-4012-A8B7-37C1EF2E0A59}"/>
    <cellStyle name="Accent5 42" xfId="19766" xr:uid="{D1A05C65-DBB5-4B6D-87D4-A311EA6D96C8}"/>
    <cellStyle name="Accent5 43" xfId="19767" xr:uid="{2C669FDB-C5CC-43F4-987F-5F567DE53E05}"/>
    <cellStyle name="Accent5 44" xfId="19768" xr:uid="{964307A5-0A6D-449D-877C-0BFC50C4A1DC}"/>
    <cellStyle name="Accent5 45" xfId="19769" xr:uid="{A41E3573-822E-4158-B5D6-4108A20BD6C7}"/>
    <cellStyle name="Accent5 46" xfId="19770" xr:uid="{46311066-12E6-4EBE-A3EF-DD89E9CC005A}"/>
    <cellStyle name="Accent5 47" xfId="19771" xr:uid="{E7C3D887-7D8C-4D35-9528-0C61307109F2}"/>
    <cellStyle name="Accent5 48" xfId="19772" xr:uid="{3D1D7E9E-82CA-4E59-B2FB-3BA40753DE26}"/>
    <cellStyle name="Accent5 49" xfId="19773" xr:uid="{34C92CDC-BAF4-4929-BB1D-B4A66EAF7295}"/>
    <cellStyle name="Accent5 5" xfId="19774" xr:uid="{518EF898-9CF7-41B9-8207-D2B62751770D}"/>
    <cellStyle name="Accent5 5 2" xfId="38352" xr:uid="{48D1D15F-2858-49DF-93B1-576CD758C24D}"/>
    <cellStyle name="Accent5 5 3" xfId="38353" xr:uid="{8946DAAA-82DA-4076-B094-6438C1637883}"/>
    <cellStyle name="Accent5 50" xfId="19775" xr:uid="{A731691C-8973-4C28-8567-FCFBE90F3CBF}"/>
    <cellStyle name="Accent5 51" xfId="19776" xr:uid="{4B8A882D-601A-4B71-BEFE-A935C756C039}"/>
    <cellStyle name="Accent5 52" xfId="19777" xr:uid="{EA878D82-8995-4181-AC3C-9070D198A93B}"/>
    <cellStyle name="Accent5 53" xfId="19778" xr:uid="{A65647E4-2142-4924-9FEE-B7A46AD23528}"/>
    <cellStyle name="Accent5 54" xfId="19779" xr:uid="{3DFAB57B-DD85-4033-9951-CF45AD315079}"/>
    <cellStyle name="Accent5 55" xfId="19780" xr:uid="{4FC52489-8E1E-4EDE-BA4A-7CF4860B217C}"/>
    <cellStyle name="Accent5 56" xfId="19781" xr:uid="{C256E0D3-44BE-42EE-81B3-8C34F12C98B5}"/>
    <cellStyle name="Accent5 57" xfId="19782" xr:uid="{07361797-F1BD-4519-9C21-601EC851F83C}"/>
    <cellStyle name="Accent5 58" xfId="19783" xr:uid="{163BCB37-465E-445F-8C90-325FFEFF745C}"/>
    <cellStyle name="Accent5 59" xfId="19784" xr:uid="{3A445DE2-899B-4AE4-B747-E70692B9A35F}"/>
    <cellStyle name="Accent5 6" xfId="19785" xr:uid="{9DA0AEAC-3A02-42AF-968D-E6872C62587A}"/>
    <cellStyle name="Accent5 6 2" xfId="38354" xr:uid="{0D949873-CB72-4AA7-B054-59E970FD3FB9}"/>
    <cellStyle name="Accent5 6 3" xfId="38355" xr:uid="{C4177300-32E4-4378-A8FD-733E84A84A02}"/>
    <cellStyle name="Accent5 60" xfId="19786" xr:uid="{30248897-29A6-45E3-B74C-3AD1171FFC77}"/>
    <cellStyle name="Accent5 61" xfId="19787" xr:uid="{FD2F4AE6-5F23-4FA3-9089-C9F173EBAEBD}"/>
    <cellStyle name="Accent5 62" xfId="19788" xr:uid="{AB48E111-B785-4FF2-95C3-DB9951AF1D4D}"/>
    <cellStyle name="Accent5 63" xfId="19789" xr:uid="{3B28D121-2A99-4264-B6ED-D40D0579660B}"/>
    <cellStyle name="Accent5 64" xfId="19790" xr:uid="{1973556A-CB66-49D5-B04E-DA5A57F6E0F2}"/>
    <cellStyle name="Accent5 65" xfId="19791" xr:uid="{F5D6394E-4C49-4433-9D65-C31D53BFBB27}"/>
    <cellStyle name="Accent5 66" xfId="19792" xr:uid="{BDA63899-E46D-441C-BCB3-DC9C7937F865}"/>
    <cellStyle name="Accent5 67" xfId="19793" xr:uid="{D55CEB34-1BBB-46F7-9DDB-89D68C6292C7}"/>
    <cellStyle name="Accent5 68" xfId="19794" xr:uid="{72987DC0-7C99-4429-80EC-571AEB8CA11E}"/>
    <cellStyle name="Accent5 69" xfId="19795" xr:uid="{F3D46DD2-32C8-40CD-80B3-E9380DD1D2B5}"/>
    <cellStyle name="Accent5 7" xfId="19796" xr:uid="{AC83161A-773B-456C-AD8E-003F96758C2B}"/>
    <cellStyle name="Accent5 7 2" xfId="38356" xr:uid="{64765EAB-4BF1-4B5C-9999-A735CE77F6BE}"/>
    <cellStyle name="Accent5 7 3" xfId="38357" xr:uid="{1B5AA4AE-86DB-4B1C-8D13-4258B434DE7D}"/>
    <cellStyle name="Accent5 70" xfId="19797" xr:uid="{1C96BBDA-8796-45C4-963B-EC6DE06893FC}"/>
    <cellStyle name="Accent5 71" xfId="19798" xr:uid="{FBFF2F15-3E1A-492B-A961-855AC8CAE871}"/>
    <cellStyle name="Accent5 72" xfId="19799" xr:uid="{BDDEF144-9C92-4E9E-ADE2-04057E764BF4}"/>
    <cellStyle name="Accent5 73" xfId="19800" xr:uid="{1FC05D9B-1831-4F93-9B17-3A8707C06BA3}"/>
    <cellStyle name="Accent5 74" xfId="19801" xr:uid="{F0B31123-65C9-45FD-8821-D9216EA65738}"/>
    <cellStyle name="Accent5 75" xfId="19802" xr:uid="{9F9D6224-EB57-47F5-A49B-025F50EDB6E7}"/>
    <cellStyle name="Accent5 76" xfId="19803" xr:uid="{1C280267-6ED4-4B98-8495-1AF815079C01}"/>
    <cellStyle name="Accent5 77" xfId="19804" xr:uid="{CDD4C99C-F1F6-42DD-B5CA-866D2112B81D}"/>
    <cellStyle name="Accent5 78" xfId="19805" xr:uid="{EE759645-A74A-43ED-932F-A4DF8DAD34A7}"/>
    <cellStyle name="Accent5 79" xfId="19806" xr:uid="{2320E784-34EE-4B93-B2EA-EAE12A5EAC7B}"/>
    <cellStyle name="Accent5 8" xfId="19807" xr:uid="{88053E35-30A5-422E-B7E6-0F0E7993E7AB}"/>
    <cellStyle name="Accent5 8 2" xfId="38358" xr:uid="{793AB932-5CA4-47C1-A3DF-D8FF482B4702}"/>
    <cellStyle name="Accent5 8 3" xfId="38359" xr:uid="{568F6482-0421-4550-AE34-45D86356A6E8}"/>
    <cellStyle name="Accent5 80" xfId="19808" xr:uid="{B6E9CD4A-5187-4D84-BD80-ACBB8E4E6C72}"/>
    <cellStyle name="Accent5 81" xfId="19809" xr:uid="{A1DD2DF1-4AB3-40ED-AB15-E678E29B640C}"/>
    <cellStyle name="Accent5 82" xfId="19810" xr:uid="{7409E580-D8B0-4B5C-BCE7-DB68EBC8AB87}"/>
    <cellStyle name="Accent5 83" xfId="19811" xr:uid="{EFF4301F-8B7E-4229-AC61-4B95054F809B}"/>
    <cellStyle name="Accent5 84" xfId="19812" xr:uid="{57878832-D5BB-4F1E-8B3B-267D5C8CF304}"/>
    <cellStyle name="Accent5 85" xfId="19813" xr:uid="{7B46F007-C75A-4F40-A97A-3B2FD39694EF}"/>
    <cellStyle name="Accent5 86" xfId="19814" xr:uid="{E895CC16-55FA-4A90-903C-4B151BCC6F5A}"/>
    <cellStyle name="Accent5 87" xfId="19815" xr:uid="{20FBF778-2B9C-4755-B866-69DFAB00016E}"/>
    <cellStyle name="Accent5 88" xfId="19816" xr:uid="{8B228982-835D-48DB-ADE0-0757E57493E6}"/>
    <cellStyle name="Accent5 89" xfId="19817" xr:uid="{FF9DB569-5C65-499D-8299-94D698DF3063}"/>
    <cellStyle name="Accent5 9" xfId="19818" xr:uid="{298A5E04-89D0-4F0C-AF41-F89070BF6AB7}"/>
    <cellStyle name="Accent5 9 2" xfId="38360" xr:uid="{3A83680C-8C90-4D6C-A6A0-565C2F337CFF}"/>
    <cellStyle name="Accent5 9 3" xfId="38361" xr:uid="{DF258156-2547-4055-A66C-D71C58A97758}"/>
    <cellStyle name="Accent5 90" xfId="19819" xr:uid="{E756A02B-65DA-4A43-8FA8-6F13D9C6AEC6}"/>
    <cellStyle name="Accent5 91" xfId="19820" xr:uid="{3BFB02FC-0424-45CA-9FCA-373C0DDA0D82}"/>
    <cellStyle name="Accent5 92" xfId="19821" xr:uid="{431363E4-5502-4E7F-9464-0C403A343019}"/>
    <cellStyle name="Accent5 93" xfId="19822" xr:uid="{DD04FAE6-8A5C-4C0A-BBCD-9F4E567BEFC2}"/>
    <cellStyle name="Accent5 94" xfId="19823" xr:uid="{B1FAC82A-286B-4243-9CB6-B587422D7FA2}"/>
    <cellStyle name="Accent5 95" xfId="19824" xr:uid="{060544D0-45CD-4405-AECF-5564ACD79696}"/>
    <cellStyle name="Accent5 96" xfId="19825" xr:uid="{21BBA16E-5BC3-499C-AA5C-198596998D95}"/>
    <cellStyle name="Accent5 97" xfId="19826" xr:uid="{28B75908-D7C9-4C2D-B0FC-FD2E0612CDF8}"/>
    <cellStyle name="Accent5 98" xfId="19827" xr:uid="{A0311BDB-015F-483D-AF67-76EBB691175A}"/>
    <cellStyle name="Accent5 99" xfId="19828" xr:uid="{EFC55D60-19CD-4F3B-AF44-7ABD3FDAD2A4}"/>
    <cellStyle name="Accent6" xfId="50" builtinId="49" hidden="1"/>
    <cellStyle name="Accent6" xfId="124" builtinId="49" customBuiltin="1"/>
    <cellStyle name="Accent6 10" xfId="19829" xr:uid="{D133EE98-AECA-4698-8391-A520FF07C8D3}"/>
    <cellStyle name="Accent6 10 2" xfId="38362" xr:uid="{2E543C1B-40BF-4ECF-B572-41FED2C0D144}"/>
    <cellStyle name="Accent6 10 3" xfId="38363" xr:uid="{B7898193-0B84-412E-A940-1D49DC9A2C9C}"/>
    <cellStyle name="Accent6 100" xfId="19830" xr:uid="{157E0152-7B0E-4B56-AF3B-798E80CAD041}"/>
    <cellStyle name="Accent6 101" xfId="19831" xr:uid="{7DA1B6F8-2FF6-44F7-AC6E-FF1F949109A4}"/>
    <cellStyle name="Accent6 102" xfId="19832" xr:uid="{8FFB7854-B0DA-4112-8DE8-109A631DEA9A}"/>
    <cellStyle name="Accent6 103" xfId="19833" xr:uid="{24279F0B-0856-4B55-BD80-AED7DC5B1062}"/>
    <cellStyle name="Accent6 104" xfId="19834" xr:uid="{3E2199EE-5287-4FD3-B796-CF4A4A2A58D3}"/>
    <cellStyle name="Accent6 105" xfId="19835" xr:uid="{7560928E-CC5C-4EFF-9867-65D4D8CD51AE}"/>
    <cellStyle name="Accent6 106" xfId="19836" xr:uid="{6B7B3A7C-D4A4-4CB9-809C-E9DB56141941}"/>
    <cellStyle name="Accent6 107" xfId="19837" xr:uid="{A3F025F3-2853-4326-9933-AFBF9C90F87F}"/>
    <cellStyle name="Accent6 108" xfId="19838" xr:uid="{B0F73957-75C6-4F8F-85E2-63C82E3637EA}"/>
    <cellStyle name="Accent6 109" xfId="19839" xr:uid="{BBE46253-1DD2-43E2-A83E-1D96A3E2FAA5}"/>
    <cellStyle name="Accent6 11" xfId="19840" xr:uid="{4CD45596-676E-4CB6-AE33-D5527B360881}"/>
    <cellStyle name="Accent6 11 2" xfId="38364" xr:uid="{A0DBE0DF-F895-4102-9202-10B59A1508C3}"/>
    <cellStyle name="Accent6 11 3" xfId="38365" xr:uid="{BF751897-57AA-4BB4-A831-421B7A03A672}"/>
    <cellStyle name="Accent6 110" xfId="19841" xr:uid="{B9192BE2-6229-4412-BC3D-DAFBE6E476DB}"/>
    <cellStyle name="Accent6 111" xfId="19842" xr:uid="{8EA99F8B-7F92-48F7-92BD-DCF1E23CE447}"/>
    <cellStyle name="Accent6 112" xfId="19843" xr:uid="{BB455C9F-52EF-40C8-9F21-767A9A05388A}"/>
    <cellStyle name="Accent6 113" xfId="19844" xr:uid="{853CA216-5E5C-4C82-B544-D45859F7DFC7}"/>
    <cellStyle name="Accent6 114" xfId="19845" xr:uid="{A494BE65-57C5-45D8-A71A-DC299E9E8465}"/>
    <cellStyle name="Accent6 115" xfId="19846" xr:uid="{77CD960E-B34B-4F5A-8370-05CD066F7D6E}"/>
    <cellStyle name="Accent6 116" xfId="19847" xr:uid="{67695C84-F0FC-4327-883D-3376BD01930E}"/>
    <cellStyle name="Accent6 117" xfId="19848" xr:uid="{FE0B958D-1F73-4D6A-ACB1-85ABB9197DA8}"/>
    <cellStyle name="Accent6 118" xfId="19849" xr:uid="{59F6D272-879D-4306-85DE-A6F46FF0A1A4}"/>
    <cellStyle name="Accent6 119" xfId="19850" xr:uid="{C2B61083-2897-4461-8E23-5F49FC64816E}"/>
    <cellStyle name="Accent6 12" xfId="19851" xr:uid="{EBBC168B-BEB2-49E5-9819-931B358A15E4}"/>
    <cellStyle name="Accent6 12 2" xfId="38366" xr:uid="{1262124C-1039-418F-8F1C-729383DB09DD}"/>
    <cellStyle name="Accent6 12 3" xfId="38367" xr:uid="{9FDE5708-26DF-4675-A973-B853A1D677AA}"/>
    <cellStyle name="Accent6 120" xfId="19852" xr:uid="{9FC7FFB9-985A-4BB0-B0B5-A797CD6B63C1}"/>
    <cellStyle name="Accent6 121" xfId="19853" xr:uid="{C97C8FAE-4359-4896-ABAB-B5A9D2637387}"/>
    <cellStyle name="Accent6 122" xfId="19854" xr:uid="{BFF2FEDC-D6D5-4911-B1D2-CAB5A769A432}"/>
    <cellStyle name="Accent6 123" xfId="19855" xr:uid="{C30CC285-6E6D-4A3A-8465-D7A01246307C}"/>
    <cellStyle name="Accent6 124" xfId="19856" xr:uid="{6841F477-9851-4007-8336-0E74C8C62DD4}"/>
    <cellStyle name="Accent6 125" xfId="19857" xr:uid="{48E0F291-58E3-4684-85F0-AFDD70A01E34}"/>
    <cellStyle name="Accent6 126" xfId="19858" xr:uid="{0821F748-D992-4E51-ACF8-4EAA3D480471}"/>
    <cellStyle name="Accent6 127" xfId="19859" xr:uid="{02837247-7A24-411B-A0AA-535053415769}"/>
    <cellStyle name="Accent6 128" xfId="19860" xr:uid="{28B7F5B4-9A1C-497E-9D8A-618D3C4594F4}"/>
    <cellStyle name="Accent6 129" xfId="19861" xr:uid="{E95D44AF-2F47-4B4B-B94F-D2A0F5734C33}"/>
    <cellStyle name="Accent6 13" xfId="19862" xr:uid="{6C4D3A82-D378-4E39-A6D0-63DE600FA92B}"/>
    <cellStyle name="Accent6 13 2" xfId="38368" xr:uid="{95F41260-512A-4B03-9463-B8C6709A13D3}"/>
    <cellStyle name="Accent6 13 3" xfId="38369" xr:uid="{C6506B7C-D97A-40B4-A774-D82F586F2F2C}"/>
    <cellStyle name="Accent6 130" xfId="19863" xr:uid="{1D7292E9-06C9-4499-9509-90EC43EBC5FD}"/>
    <cellStyle name="Accent6 131" xfId="19864" xr:uid="{0B0E0E95-E009-4D75-A00A-B3EBD686868A}"/>
    <cellStyle name="Accent6 132" xfId="19865" xr:uid="{7C0A120A-4294-409A-9676-2D3E326FBFD8}"/>
    <cellStyle name="Accent6 133" xfId="19866" xr:uid="{8CD3BF45-AC3E-45AA-884E-A3658E8D38A5}"/>
    <cellStyle name="Accent6 134" xfId="19867" xr:uid="{4D7CA404-25FA-43A2-909D-49D1BA51D23E}"/>
    <cellStyle name="Accent6 135" xfId="19868" xr:uid="{25112633-46EA-458F-A20D-426923EA7521}"/>
    <cellStyle name="Accent6 136" xfId="19869" xr:uid="{FC340F95-9010-478E-9F79-CF19E837584C}"/>
    <cellStyle name="Accent6 137" xfId="19870" xr:uid="{22EC0954-9AA6-4102-9C75-32AE91033467}"/>
    <cellStyle name="Accent6 138" xfId="19871" xr:uid="{2C9462DC-B2C5-49B1-9D72-613A409B0CB8}"/>
    <cellStyle name="Accent6 139" xfId="19872" xr:uid="{FE898B2D-5FE0-4EFB-A673-54F3191288C3}"/>
    <cellStyle name="Accent6 14" xfId="19873" xr:uid="{EE959035-1956-40D2-A5C7-451B51D7CB21}"/>
    <cellStyle name="Accent6 14 2" xfId="38370" xr:uid="{4DF630CE-E340-45C2-A94B-8EC911F40BC0}"/>
    <cellStyle name="Accent6 14 3" xfId="38371" xr:uid="{55715ED2-A475-407E-B622-555E987B45EC}"/>
    <cellStyle name="Accent6 140" xfId="19874" xr:uid="{F34D25CC-A4BD-413D-A8E4-4F262E40DA1A}"/>
    <cellStyle name="Accent6 141" xfId="19875" xr:uid="{80BDA7F7-A198-4459-A7E5-ABDC54F03842}"/>
    <cellStyle name="Accent6 142" xfId="19876" xr:uid="{831DC9E8-02BB-4757-A6B9-BC09027F94FD}"/>
    <cellStyle name="Accent6 143" xfId="19877" xr:uid="{36F15D75-0442-459D-8BE3-39569FF919AF}"/>
    <cellStyle name="Accent6 144" xfId="19878" xr:uid="{0DF09750-7079-4D18-9E9D-204FEE256911}"/>
    <cellStyle name="Accent6 145" xfId="19879" xr:uid="{6C31F051-B415-4E90-A5BA-214C71AD2BEC}"/>
    <cellStyle name="Accent6 146" xfId="19880" xr:uid="{8666E4E6-0035-45CA-9444-EEE2E50DAB15}"/>
    <cellStyle name="Accent6 147" xfId="19881" xr:uid="{94E105C7-FDF7-4027-B693-E1A4D84E6F7F}"/>
    <cellStyle name="Accent6 148" xfId="19882" xr:uid="{6B9A68AD-5B2F-4B70-8C37-C7EECD259913}"/>
    <cellStyle name="Accent6 149" xfId="19883" xr:uid="{068C92BA-F32B-4B2A-A6C9-310F35D2D278}"/>
    <cellStyle name="Accent6 15" xfId="19884" xr:uid="{D7C99108-8F7A-45F4-B9E1-E967C6A99717}"/>
    <cellStyle name="Accent6 15 2" xfId="38372" xr:uid="{4E6AEB5A-E825-4335-ABEE-0C3930106045}"/>
    <cellStyle name="Accent6 15 3" xfId="38373" xr:uid="{72D1893B-6B1B-47BD-9C4D-55FC069835F7}"/>
    <cellStyle name="Accent6 150" xfId="19885" xr:uid="{51A85FF9-3932-4CBB-A82B-8061A57AC3ED}"/>
    <cellStyle name="Accent6 151" xfId="19886" xr:uid="{8443E373-7CD4-4E96-9B79-36EDEB81F2B8}"/>
    <cellStyle name="Accent6 152" xfId="19887" xr:uid="{2C869FCA-ACA7-4D8F-A18B-AB0311ED0DE2}"/>
    <cellStyle name="Accent6 153" xfId="19888" xr:uid="{45D625DA-3C8C-4DE9-9C87-1EFB7E648429}"/>
    <cellStyle name="Accent6 154" xfId="19889" xr:uid="{C5FBB3B4-D0C6-46C2-81FC-07982176554E}"/>
    <cellStyle name="Accent6 155" xfId="19890" xr:uid="{36F9ACFE-9AE1-4DFF-B4F9-C171EC5EE204}"/>
    <cellStyle name="Accent6 156" xfId="19891" xr:uid="{6667CB6B-F4F6-433B-BB31-D8AA9DE350D2}"/>
    <cellStyle name="Accent6 157" xfId="19892" xr:uid="{43B45821-C748-42DE-8C1C-3F368CB062CE}"/>
    <cellStyle name="Accent6 158" xfId="19893" xr:uid="{83B2048E-54FA-4DCA-A046-C0D20D613FCD}"/>
    <cellStyle name="Accent6 159" xfId="19894" xr:uid="{AB4B1484-D556-4955-87A4-0476C911B335}"/>
    <cellStyle name="Accent6 16" xfId="19895" xr:uid="{25F2D643-871A-4A72-AE20-2EE1580D8A9E}"/>
    <cellStyle name="Accent6 16 2" xfId="38374" xr:uid="{84F37FF5-32CD-4673-86D1-E339791E2688}"/>
    <cellStyle name="Accent6 16 3" xfId="38375" xr:uid="{FD810ED0-89CE-4A9B-8DE6-295DB0100BCE}"/>
    <cellStyle name="Accent6 160" xfId="19896" xr:uid="{34CEA4EF-1E5A-454E-ACF2-14A55E14403C}"/>
    <cellStyle name="Accent6 17" xfId="19897" xr:uid="{C2C31355-2AB4-4946-9B16-D103F90658F0}"/>
    <cellStyle name="Accent6 17 2" xfId="38376" xr:uid="{73D58255-F80B-4518-B81A-B0C6ADD71E1E}"/>
    <cellStyle name="Accent6 17 3" xfId="38377" xr:uid="{E83A2E72-3C3C-4BD2-A40B-7A5B5EF7BC25}"/>
    <cellStyle name="Accent6 18" xfId="19898" xr:uid="{CA706AF7-65AC-44E6-B3F9-1914D734EF2E}"/>
    <cellStyle name="Accent6 18 2" xfId="38378" xr:uid="{7C67A9EC-F5AC-41DB-AB72-79CAC6BF8F62}"/>
    <cellStyle name="Accent6 18 3" xfId="38379" xr:uid="{6AFC1C87-4025-4727-BA48-E5453F24B0E3}"/>
    <cellStyle name="Accent6 19" xfId="19899" xr:uid="{852F456E-3909-4C9A-9074-4E6BD2CD93A5}"/>
    <cellStyle name="Accent6 19 2" xfId="38380" xr:uid="{258944A1-782F-456C-ACDE-009306EE3ACB}"/>
    <cellStyle name="Accent6 2" xfId="19900" xr:uid="{414DD333-89BF-402A-85BB-ECEF84FE5073}"/>
    <cellStyle name="Accent6 2 2" xfId="19901" xr:uid="{9E134CAA-8310-4F6A-AAB0-5B12635D2BFB}"/>
    <cellStyle name="Accent6 2 3" xfId="38381" xr:uid="{C74662AE-DAE1-422E-87AA-395E32F13F61}"/>
    <cellStyle name="Accent6 2 4" xfId="38382" xr:uid="{570E17BE-480E-48FA-AAE3-437281F8DA6A}"/>
    <cellStyle name="Accent6 2 5" xfId="38383" xr:uid="{5BFEF7CC-94B1-4A2E-98EE-5FDBFFC16E64}"/>
    <cellStyle name="Accent6 20" xfId="19902" xr:uid="{25EAECC6-C13C-47D5-AFD5-DAFFC075E945}"/>
    <cellStyle name="Accent6 20 2" xfId="38384" xr:uid="{9C6C7374-9D14-4E6A-9AB1-758C6D85C259}"/>
    <cellStyle name="Accent6 21" xfId="19903" xr:uid="{BC2B4218-B45A-48CF-9F16-55989C99E6B0}"/>
    <cellStyle name="Accent6 21 2" xfId="38385" xr:uid="{A2336E8F-E0AB-42A7-88DB-EDCBA171B914}"/>
    <cellStyle name="Accent6 22" xfId="19904" xr:uid="{1B968346-2977-4AFB-869F-F244799FD111}"/>
    <cellStyle name="Accent6 22 2" xfId="38386" xr:uid="{5F56234F-0809-4BD1-B684-A8DCE5BD8755}"/>
    <cellStyle name="Accent6 23" xfId="19905" xr:uid="{E334D0B9-E54A-4A9B-8E50-2FD2E8DA47B6}"/>
    <cellStyle name="Accent6 23 2" xfId="38387" xr:uid="{E6709FED-9BD8-4C28-A44D-1D617C505664}"/>
    <cellStyle name="Accent6 24" xfId="19906" xr:uid="{0A0077EE-07A5-4877-9971-F83043A1A449}"/>
    <cellStyle name="Accent6 24 2" xfId="38388" xr:uid="{E117AC89-C62D-4A34-A399-D2388C8DCED8}"/>
    <cellStyle name="Accent6 25" xfId="19907" xr:uid="{81144A09-0D49-4737-8840-447CBB366DA7}"/>
    <cellStyle name="Accent6 25 2" xfId="38389" xr:uid="{7F55871F-6183-41E6-952F-179B8E3D488F}"/>
    <cellStyle name="Accent6 26" xfId="19908" xr:uid="{08E286A8-0C77-42F6-B1EA-210741A9CE55}"/>
    <cellStyle name="Accent6 26 2" xfId="38390" xr:uid="{435F6D57-9E9B-434C-A9C4-51DB75931BF2}"/>
    <cellStyle name="Accent6 27" xfId="19909" xr:uid="{C519CADE-A3EF-4447-8055-686A27C16092}"/>
    <cellStyle name="Accent6 27 2" xfId="38391" xr:uid="{46F6F7A2-349E-4DD7-8C95-CB1C9C8D17AC}"/>
    <cellStyle name="Accent6 28" xfId="19910" xr:uid="{E169EBF3-5250-481B-B14A-4D04B7812F57}"/>
    <cellStyle name="Accent6 28 2" xfId="38392" xr:uid="{B8AC1C07-0F3F-4E03-8F31-E4D96F6C9E9D}"/>
    <cellStyle name="Accent6 29" xfId="19911" xr:uid="{D5CFC6B0-FC54-4A44-8F85-9C902353143D}"/>
    <cellStyle name="Accent6 29 2" xfId="19912" xr:uid="{A969F7AE-6A48-4301-9E49-EFDF42D432D7}"/>
    <cellStyle name="Accent6 29 3" xfId="38393" xr:uid="{546F5DAC-B06F-4506-94FD-F2A124AEA0F9}"/>
    <cellStyle name="Accent6 3" xfId="19913" xr:uid="{915B347E-A7EB-4E4C-A9C8-27C60E916984}"/>
    <cellStyle name="Accent6 3 2" xfId="19914" xr:uid="{DFB9C177-DEAE-41A5-92DE-FB08BEE86935}"/>
    <cellStyle name="Accent6 3 3" xfId="38394" xr:uid="{64591D50-98AA-4C74-926B-08BC50EBCE9E}"/>
    <cellStyle name="Accent6 3 4" xfId="38395" xr:uid="{24E5C4DC-0A63-464F-A207-7DA9E2BAAA66}"/>
    <cellStyle name="Accent6 30" xfId="19915" xr:uid="{3AF34E3D-34A1-4DFB-9BFE-96D067E86AA1}"/>
    <cellStyle name="Accent6 30 2" xfId="38396" xr:uid="{D8761261-E61E-4B78-8D95-2661931C66F6}"/>
    <cellStyle name="Accent6 31" xfId="19916" xr:uid="{A0C5B770-7968-4A3B-A7B1-C29E1F91E60D}"/>
    <cellStyle name="Accent6 32" xfId="19917" xr:uid="{6B6E7A88-33C3-47D0-972F-2770E01C6A0B}"/>
    <cellStyle name="Accent6 33" xfId="19918" xr:uid="{EBDA2103-3FFD-4264-89AC-7D82F7E865F3}"/>
    <cellStyle name="Accent6 34" xfId="19919" xr:uid="{10614B64-6253-45D8-86EA-7BC1F9BAB7C1}"/>
    <cellStyle name="Accent6 35" xfId="19920" xr:uid="{F21B3C0D-9AF2-4AAC-8B22-D2E689E77DD7}"/>
    <cellStyle name="Accent6 36" xfId="19921" xr:uid="{B0A682A4-775C-42C3-BB5E-14ADE02EC7ED}"/>
    <cellStyle name="Accent6 37" xfId="19922" xr:uid="{909AA47C-1A61-4CE5-86AB-62122F5F5C80}"/>
    <cellStyle name="Accent6 38" xfId="19923" xr:uid="{BF007109-6E82-4D37-8CE1-9293F8929E0C}"/>
    <cellStyle name="Accent6 39" xfId="19924" xr:uid="{FF92A26A-D886-4F23-A0E3-D29CB802B608}"/>
    <cellStyle name="Accent6 4" xfId="19925" xr:uid="{4222B5CE-F3B4-4A78-9346-BE11F60FF0FB}"/>
    <cellStyle name="Accent6 4 2" xfId="38397" xr:uid="{ECB3BDF9-157F-4B14-BBFE-5C7AAB497330}"/>
    <cellStyle name="Accent6 4 3" xfId="38398" xr:uid="{831123A4-37E2-4DDF-883B-2507CB06F859}"/>
    <cellStyle name="Accent6 40" xfId="19926" xr:uid="{0A0ABC4A-AED3-4126-8AAA-AD219124F85B}"/>
    <cellStyle name="Accent6 41" xfId="19927" xr:uid="{79CE2EC8-B825-4348-BB07-EFC1083847E9}"/>
    <cellStyle name="Accent6 42" xfId="19928" xr:uid="{42F2E3D6-C5CD-4325-9923-EEB2F7E79217}"/>
    <cellStyle name="Accent6 43" xfId="19929" xr:uid="{1ABA3214-4F46-4D2D-AC21-88CC0D9C3CE6}"/>
    <cellStyle name="Accent6 44" xfId="19930" xr:uid="{67A5CDD5-9E9B-4C08-A126-DEE223498F2B}"/>
    <cellStyle name="Accent6 45" xfId="19931" xr:uid="{49A62648-B8B4-4DCB-A030-6FAB9978BB98}"/>
    <cellStyle name="Accent6 46" xfId="19932" xr:uid="{E561BF7C-20D8-44EA-A020-38F0207A17C0}"/>
    <cellStyle name="Accent6 47" xfId="19933" xr:uid="{8F94AF28-5F98-4398-AAEE-EDB31F455A0A}"/>
    <cellStyle name="Accent6 48" xfId="19934" xr:uid="{9119681E-9214-4054-B9FD-9E12DAFEBE63}"/>
    <cellStyle name="Accent6 49" xfId="19935" xr:uid="{54F614A4-682D-4F96-8C8B-2258C344A7B3}"/>
    <cellStyle name="Accent6 5" xfId="19936" xr:uid="{E8671EFD-0331-4948-B9E2-A46929A95FB6}"/>
    <cellStyle name="Accent6 5 2" xfId="38399" xr:uid="{330948B4-16ED-42A5-9B59-0E76A64CB889}"/>
    <cellStyle name="Accent6 5 3" xfId="38400" xr:uid="{EEEC3F76-35EC-4A7F-A718-4609DE7EF1C8}"/>
    <cellStyle name="Accent6 50" xfId="19937" xr:uid="{3E409F06-05C9-4066-AB8C-0C65FB952E52}"/>
    <cellStyle name="Accent6 51" xfId="19938" xr:uid="{FB88E033-0013-412F-B611-72EA3D8C8E15}"/>
    <cellStyle name="Accent6 52" xfId="19939" xr:uid="{4FA033F8-7610-4C31-B10D-F91AB56821BA}"/>
    <cellStyle name="Accent6 53" xfId="19940" xr:uid="{3484471C-83A7-4BF2-9D35-D6595CDAF70D}"/>
    <cellStyle name="Accent6 54" xfId="19941" xr:uid="{640D151C-4C02-47CC-AC14-7D67BFF4A7D4}"/>
    <cellStyle name="Accent6 55" xfId="19942" xr:uid="{4980D919-75F6-4E43-9E7D-4FE31AD8CCA9}"/>
    <cellStyle name="Accent6 56" xfId="19943" xr:uid="{E3F85B79-54FC-4BEE-BCD6-BF366E20FAFB}"/>
    <cellStyle name="Accent6 57" xfId="19944" xr:uid="{389865F4-536E-4629-8B42-1BB224D8C333}"/>
    <cellStyle name="Accent6 58" xfId="19945" xr:uid="{ABEC40F2-C572-4057-B8D5-59B1B57D5539}"/>
    <cellStyle name="Accent6 59" xfId="19946" xr:uid="{62393A4B-E3A2-4A02-A184-E0E8F761A323}"/>
    <cellStyle name="Accent6 6" xfId="19947" xr:uid="{04F999CD-060F-4CD9-A586-F3F86ECAD942}"/>
    <cellStyle name="Accent6 6 2" xfId="38401" xr:uid="{63BB3813-EC99-4D68-B18A-F80400419AAD}"/>
    <cellStyle name="Accent6 6 3" xfId="38402" xr:uid="{1BD81398-8140-42A9-8D39-B9037F19E2B7}"/>
    <cellStyle name="Accent6 60" xfId="19948" xr:uid="{FD1CBCDB-F815-4E50-A3DB-5D7B9F182FD2}"/>
    <cellStyle name="Accent6 61" xfId="19949" xr:uid="{83190D84-0256-4DD0-8BFA-A21D5A15071D}"/>
    <cellStyle name="Accent6 62" xfId="19950" xr:uid="{B84B952B-3AD8-42FC-A9AE-1D9DB12B2952}"/>
    <cellStyle name="Accent6 63" xfId="19951" xr:uid="{0E1159A7-896C-417F-9783-1B7071100A60}"/>
    <cellStyle name="Accent6 64" xfId="19952" xr:uid="{42F5395F-D302-4D1E-A4C8-EBD19C000611}"/>
    <cellStyle name="Accent6 65" xfId="19953" xr:uid="{9D8612D4-9248-4F32-8A2F-1DF4BE317A99}"/>
    <cellStyle name="Accent6 66" xfId="19954" xr:uid="{3547ADE5-CBAC-41E3-BFA4-C77A8C77EA3D}"/>
    <cellStyle name="Accent6 67" xfId="19955" xr:uid="{A35A982C-546F-4A7E-88D4-8E180D2D2B89}"/>
    <cellStyle name="Accent6 68" xfId="19956" xr:uid="{9D8D61CE-6625-4978-9A41-5AA9B7F394FF}"/>
    <cellStyle name="Accent6 69" xfId="19957" xr:uid="{E9CAD55A-3D5F-40BE-82C0-9A21CE6583E7}"/>
    <cellStyle name="Accent6 7" xfId="19958" xr:uid="{6EA3445E-3910-4086-8F53-90E38BF1F08F}"/>
    <cellStyle name="Accent6 7 2" xfId="38403" xr:uid="{8F461046-B100-4DB7-A44B-DB14B297BA76}"/>
    <cellStyle name="Accent6 7 3" xfId="38404" xr:uid="{99F12514-D79D-4B89-9D32-710029D5F1C6}"/>
    <cellStyle name="Accent6 70" xfId="19959" xr:uid="{7DFF9498-FB29-40FA-9C5C-AFD627A9CE56}"/>
    <cellStyle name="Accent6 71" xfId="19960" xr:uid="{C14A9023-B7FA-4613-9166-EE9EAE4D1338}"/>
    <cellStyle name="Accent6 72" xfId="19961" xr:uid="{8EE0D777-F827-421D-B4DB-763F9272D338}"/>
    <cellStyle name="Accent6 73" xfId="19962" xr:uid="{6DD994BF-36EE-43F0-BECC-671527D1B856}"/>
    <cellStyle name="Accent6 74" xfId="19963" xr:uid="{BE47C1A8-0305-47B7-9F3A-229DE60C5320}"/>
    <cellStyle name="Accent6 75" xfId="19964" xr:uid="{82E823B6-E8B5-43B0-9BD0-68230905BC46}"/>
    <cellStyle name="Accent6 76" xfId="19965" xr:uid="{16BCB13B-5551-4189-A226-681EECD9E363}"/>
    <cellStyle name="Accent6 77" xfId="19966" xr:uid="{25490DEE-4A9A-49BA-A777-AC4635ECF5BC}"/>
    <cellStyle name="Accent6 78" xfId="19967" xr:uid="{6ACCC05A-DA10-4D4C-8225-11E33E65CA09}"/>
    <cellStyle name="Accent6 79" xfId="19968" xr:uid="{8E4DDE21-3850-443B-B95C-D71A959890EF}"/>
    <cellStyle name="Accent6 8" xfId="19969" xr:uid="{952D294B-DE0A-4E7E-A47E-739640561F97}"/>
    <cellStyle name="Accent6 8 2" xfId="38405" xr:uid="{F73AAA92-5B97-4DE9-9259-96D9BF3EEEF4}"/>
    <cellStyle name="Accent6 8 3" xfId="38406" xr:uid="{DD70752C-A397-4E93-A173-D9F4A80839F8}"/>
    <cellStyle name="Accent6 80" xfId="19970" xr:uid="{9C8178E5-3D73-43D5-AA85-5CDC3B57BCF8}"/>
    <cellStyle name="Accent6 81" xfId="19971" xr:uid="{2A75A674-E1F9-4CE6-98F3-1BB0666F3519}"/>
    <cellStyle name="Accent6 82" xfId="19972" xr:uid="{0795BB1C-6589-4790-8A93-C4B2BFF558B8}"/>
    <cellStyle name="Accent6 83" xfId="19973" xr:uid="{D949FEFC-FD44-4EFB-9601-EC97F080A118}"/>
    <cellStyle name="Accent6 84" xfId="19974" xr:uid="{541CFED4-82B7-4AD9-B549-AA8DBF281A38}"/>
    <cellStyle name="Accent6 85" xfId="19975" xr:uid="{ACA59250-2D10-4D74-97EC-B162308D427D}"/>
    <cellStyle name="Accent6 86" xfId="19976" xr:uid="{5683F574-1E0F-4E45-909F-7F87AE157CCE}"/>
    <cellStyle name="Accent6 87" xfId="19977" xr:uid="{FDB5CB3C-9C08-49FD-9310-562B5C509BC3}"/>
    <cellStyle name="Accent6 88" xfId="19978" xr:uid="{9EA05E97-978F-4319-BBFB-BC4F79F4E785}"/>
    <cellStyle name="Accent6 89" xfId="19979" xr:uid="{966B0268-3303-4393-84A3-255094757C3E}"/>
    <cellStyle name="Accent6 9" xfId="19980" xr:uid="{71A625BA-EBD0-4DC7-B408-7750C2B15317}"/>
    <cellStyle name="Accent6 9 2" xfId="38407" xr:uid="{580AD07D-B455-4AC4-B6BB-5F8AEF44C80B}"/>
    <cellStyle name="Accent6 9 3" xfId="38408" xr:uid="{29A87B3F-0729-4677-8939-AB56D5193D16}"/>
    <cellStyle name="Accent6 90" xfId="19981" xr:uid="{6DB6706B-B5D6-49F9-A5F3-1459CD752836}"/>
    <cellStyle name="Accent6 91" xfId="19982" xr:uid="{9757815B-8A2D-47DE-9A12-FB1AF7CA60FC}"/>
    <cellStyle name="Accent6 92" xfId="19983" xr:uid="{BF24BC16-4E54-40C4-B299-43C47A847E7E}"/>
    <cellStyle name="Accent6 93" xfId="19984" xr:uid="{D5F8D999-508B-4CB0-A499-332FFABE8441}"/>
    <cellStyle name="Accent6 94" xfId="19985" xr:uid="{68152C97-50DF-4DCE-8870-AD1BD76D8B54}"/>
    <cellStyle name="Accent6 95" xfId="19986" xr:uid="{376D226C-A605-4CBC-9C94-3DAB11F48501}"/>
    <cellStyle name="Accent6 96" xfId="19987" xr:uid="{F583B2BA-EB93-4DAB-B304-E22EF29EE5BF}"/>
    <cellStyle name="Accent6 97" xfId="19988" xr:uid="{04DBE54C-18EC-4E51-8F27-D00A3A48007C}"/>
    <cellStyle name="Accent6 98" xfId="19989" xr:uid="{A3A3B706-CBC2-4C00-879D-3FB7DA637BDB}"/>
    <cellStyle name="Accent6 99" xfId="19990" xr:uid="{071C1D9D-7CC4-451A-90D5-FFBBE0EEC2B1}"/>
    <cellStyle name="AFE" xfId="19991" xr:uid="{8BEFCD7A-7CE9-4922-934B-CBB0D7362F02}"/>
    <cellStyle name="AFE 2" xfId="19992" xr:uid="{8A53C2FD-38C7-4A5A-982A-2CB8EF338595}"/>
    <cellStyle name="Assumption" xfId="58" xr:uid="{00000000-0005-0000-0000-000019000000}"/>
    <cellStyle name="Bad" xfId="21" builtinId="27" hidden="1"/>
    <cellStyle name="Bad" xfId="93" builtinId="27" customBuiltin="1"/>
    <cellStyle name="Bad 10" xfId="19993" xr:uid="{45754B46-CF36-4A50-8255-83AD05E209F4}"/>
    <cellStyle name="Bad 10 2" xfId="38409" xr:uid="{97E75EB8-E8B3-4F52-A4FB-50C6929489EE}"/>
    <cellStyle name="Bad 10 3" xfId="38410" xr:uid="{38247F4D-66B1-48CC-8C59-2CCCE4F2A95F}"/>
    <cellStyle name="Bad 100" xfId="19994" xr:uid="{A80AB7DE-F1E1-4CDF-AF7A-AA6FF972D1A2}"/>
    <cellStyle name="Bad 101" xfId="19995" xr:uid="{7E4085E3-07EA-49EB-87C1-F823BEE1AF45}"/>
    <cellStyle name="Bad 102" xfId="19996" xr:uid="{9C100524-FE4B-48B5-8261-B33EB719D006}"/>
    <cellStyle name="Bad 103" xfId="19997" xr:uid="{DB6D476F-9AFC-4671-BA60-B3E0D3ABDAFB}"/>
    <cellStyle name="Bad 104" xfId="19998" xr:uid="{6D8BC6FF-0488-4874-8C16-DC57E6C3B80A}"/>
    <cellStyle name="Bad 105" xfId="19999" xr:uid="{6E184799-4973-42C6-86F3-1620A03C930E}"/>
    <cellStyle name="Bad 106" xfId="20000" xr:uid="{25564A11-96F9-4959-A2AA-3BED3502A75F}"/>
    <cellStyle name="Bad 107" xfId="20001" xr:uid="{E3505359-B6D7-4B20-B5B5-A58444795E59}"/>
    <cellStyle name="Bad 108" xfId="20002" xr:uid="{B043891B-D778-464D-8AFB-196DB63D263B}"/>
    <cellStyle name="Bad 109" xfId="20003" xr:uid="{20524F7C-4E55-4672-8FE9-99BA078DE7C0}"/>
    <cellStyle name="Bad 11" xfId="20004" xr:uid="{F5DB533B-1E2C-4B29-844F-5DED6857504D}"/>
    <cellStyle name="Bad 11 2" xfId="38411" xr:uid="{AB4A7DEA-C518-451B-83D6-0C513487166A}"/>
    <cellStyle name="Bad 11 3" xfId="38412" xr:uid="{4476C0A7-91C5-4E59-AF5E-A48AB6AE75D7}"/>
    <cellStyle name="Bad 110" xfId="20005" xr:uid="{B7FF9BB8-3501-4123-988B-B25A5C6156FA}"/>
    <cellStyle name="Bad 111" xfId="20006" xr:uid="{196FD1DC-4349-4DA5-81E5-E06A3C45FC50}"/>
    <cellStyle name="Bad 112" xfId="20007" xr:uid="{885F5C02-F1FB-4AFD-968A-53619E95B082}"/>
    <cellStyle name="Bad 113" xfId="20008" xr:uid="{B0DF7D1F-B3C3-432F-8206-BCE911E74518}"/>
    <cellStyle name="Bad 114" xfId="20009" xr:uid="{06D17B89-0454-4763-A5C0-AD04C37D6195}"/>
    <cellStyle name="Bad 115" xfId="20010" xr:uid="{EFCA1A5A-222F-441A-89A1-E51636B55C91}"/>
    <cellStyle name="Bad 116" xfId="20011" xr:uid="{3347F776-BBF0-42E2-B286-80BBCA09D9E1}"/>
    <cellStyle name="Bad 117" xfId="20012" xr:uid="{19747F90-D06D-4182-A608-5A97D8115040}"/>
    <cellStyle name="Bad 118" xfId="20013" xr:uid="{B00B7EB9-D307-475A-8DB1-8B46D3283127}"/>
    <cellStyle name="Bad 119" xfId="20014" xr:uid="{D3DF27F7-0E63-465F-817F-636A9972FF41}"/>
    <cellStyle name="Bad 12" xfId="20015" xr:uid="{A0C69D5F-5ED9-46EA-A314-CAADF4C9BCA4}"/>
    <cellStyle name="Bad 12 2" xfId="38413" xr:uid="{467566A8-C4D6-4046-83DC-E7FC44510950}"/>
    <cellStyle name="Bad 12 3" xfId="38414" xr:uid="{AF41A2A5-2FFC-430B-A9AA-2F141F7EA085}"/>
    <cellStyle name="Bad 120" xfId="20016" xr:uid="{D602E2D9-EA83-4BCA-9D39-9E92F8B6E8A6}"/>
    <cellStyle name="Bad 121" xfId="20017" xr:uid="{1AF0E745-BCC7-4F4E-B2F9-708CE32EF848}"/>
    <cellStyle name="Bad 122" xfId="20018" xr:uid="{F5166329-B973-44FC-A725-87594E3E527B}"/>
    <cellStyle name="Bad 123" xfId="20019" xr:uid="{69B8FEB0-EDB7-4A11-8C38-4BE369A281EF}"/>
    <cellStyle name="Bad 124" xfId="20020" xr:uid="{7384F565-9E97-423C-96AB-F7A2CD4F8DD8}"/>
    <cellStyle name="Bad 125" xfId="20021" xr:uid="{5EDAE497-ABE8-44CC-8872-DB1078AF20D3}"/>
    <cellStyle name="Bad 126" xfId="20022" xr:uid="{282674C6-E0E8-4FA1-8767-B1B3C47E40A8}"/>
    <cellStyle name="Bad 127" xfId="20023" xr:uid="{E7B7D5C5-21F5-4A56-9FCD-12A2ADFA2D22}"/>
    <cellStyle name="Bad 128" xfId="20024" xr:uid="{0AF29151-4FFD-412F-BCE5-34D04293BD94}"/>
    <cellStyle name="Bad 129" xfId="20025" xr:uid="{ADDED7E9-57FA-405C-A36B-AA0625DFA566}"/>
    <cellStyle name="Bad 13" xfId="20026" xr:uid="{EFA8C4C1-DC8B-4B29-BBEC-AEC19EA8D8B6}"/>
    <cellStyle name="Bad 13 2" xfId="38415" xr:uid="{1AEAAB99-54E6-4F4F-B9B9-EAD0458C77E1}"/>
    <cellStyle name="Bad 13 3" xfId="38416" xr:uid="{F93C9E01-A8DC-4D3C-AEA8-C29DE10EF4DA}"/>
    <cellStyle name="Bad 130" xfId="20027" xr:uid="{79830E0D-5F7C-491A-8B3C-828F66904C7F}"/>
    <cellStyle name="Bad 131" xfId="20028" xr:uid="{B1670F81-0D8B-4F28-B6F6-62CAB9E1F908}"/>
    <cellStyle name="Bad 132" xfId="20029" xr:uid="{38A0E87E-0F20-4716-93FF-7CC10E3E3F05}"/>
    <cellStyle name="Bad 133" xfId="20030" xr:uid="{BB4141DD-F8F2-4689-AD4D-7AB7D944547A}"/>
    <cellStyle name="Bad 134" xfId="20031" xr:uid="{584D4EB3-37E6-4C95-A83B-9DA69458695E}"/>
    <cellStyle name="Bad 135" xfId="20032" xr:uid="{FD74969D-1C3A-4054-8FBF-7C698CC41A01}"/>
    <cellStyle name="Bad 136" xfId="20033" xr:uid="{0CA7B369-19FF-4272-90A0-D3029E274F16}"/>
    <cellStyle name="Bad 137" xfId="20034" xr:uid="{9D642DD0-FD4C-4C86-A997-7FB61AE68A37}"/>
    <cellStyle name="Bad 138" xfId="20035" xr:uid="{3E0C1ECC-F33E-45C8-A95A-0BA8B4157478}"/>
    <cellStyle name="Bad 139" xfId="20036" xr:uid="{BF2A37F8-B3AC-403B-B620-3C1866A83A0E}"/>
    <cellStyle name="Bad 14" xfId="20037" xr:uid="{154CE0F1-DC1C-4899-9381-937D247E2E6D}"/>
    <cellStyle name="Bad 14 2" xfId="38417" xr:uid="{75DD46D6-D1C6-47BB-A6A7-D24D483EBAB3}"/>
    <cellStyle name="Bad 14 3" xfId="38418" xr:uid="{EB58BC25-6681-45DC-BF51-AE2C005859BB}"/>
    <cellStyle name="Bad 140" xfId="20038" xr:uid="{65EBB1A2-7816-47A6-BE8F-8B59CC9046AD}"/>
    <cellStyle name="Bad 141" xfId="20039" xr:uid="{5A4D8318-5FC8-4BE0-A458-41D0BE37126A}"/>
    <cellStyle name="Bad 142" xfId="20040" xr:uid="{E0A79B28-388A-43D9-9D4A-3212F693F941}"/>
    <cellStyle name="Bad 143" xfId="20041" xr:uid="{796AD16D-DEF9-4DA5-BCA8-20BAE3672D7E}"/>
    <cellStyle name="Bad 144" xfId="20042" xr:uid="{0B722C0B-4332-4AEF-ACA6-6AA690B4FA39}"/>
    <cellStyle name="Bad 145" xfId="20043" xr:uid="{FC747226-8797-4063-BD12-22EF599C5E98}"/>
    <cellStyle name="Bad 146" xfId="20044" xr:uid="{974607B6-F975-4C36-9FB8-96D23FC2C0EC}"/>
    <cellStyle name="Bad 147" xfId="20045" xr:uid="{812429D0-FC60-49B1-AADD-C035C5E0F559}"/>
    <cellStyle name="Bad 148" xfId="20046" xr:uid="{E986A205-46C1-4F1F-A0CF-1BDE4DD3D420}"/>
    <cellStyle name="Bad 149" xfId="20047" xr:uid="{1F12B840-3C47-46E1-AA12-48A651870E02}"/>
    <cellStyle name="Bad 15" xfId="20048" xr:uid="{EC7AC9E0-3706-410C-B9C2-19834DC820CC}"/>
    <cellStyle name="Bad 15 2" xfId="38419" xr:uid="{0655A492-5201-483C-AFEE-092387F0CBDE}"/>
    <cellStyle name="Bad 15 3" xfId="38420" xr:uid="{012852AB-382F-48A7-94F7-CBB8F3D55D70}"/>
    <cellStyle name="Bad 150" xfId="20049" xr:uid="{FE77682F-7856-406C-BD67-4471488B9D4D}"/>
    <cellStyle name="Bad 151" xfId="20050" xr:uid="{60F520C3-111D-4B11-A963-81C146D718C0}"/>
    <cellStyle name="Bad 152" xfId="20051" xr:uid="{998B3EDA-BF7F-44DC-B1AD-71D004429EC3}"/>
    <cellStyle name="Bad 153" xfId="20052" xr:uid="{811E005F-E3E9-4D9B-8C87-2BB5A396AB7D}"/>
    <cellStyle name="Bad 154" xfId="20053" xr:uid="{09F9F041-7EB9-415B-BB5F-4E6E50E39129}"/>
    <cellStyle name="Bad 155" xfId="20054" xr:uid="{ADB41073-6F21-4AE7-9330-CF524B56B143}"/>
    <cellStyle name="Bad 156" xfId="20055" xr:uid="{8438BCDF-37D6-406A-84EC-DD9208406F15}"/>
    <cellStyle name="Bad 157" xfId="20056" xr:uid="{8BB82858-895A-49CE-BCB4-DB3E654406C3}"/>
    <cellStyle name="Bad 158" xfId="20057" xr:uid="{F085A7EC-11FF-4D8E-ADE2-5F29ABC662C8}"/>
    <cellStyle name="Bad 159" xfId="20058" xr:uid="{28DE6C9E-4C7A-40A1-9AD7-32CDE7906BD2}"/>
    <cellStyle name="Bad 16" xfId="20059" xr:uid="{B166215D-D662-414B-8592-0600E5D01DB9}"/>
    <cellStyle name="Bad 16 2" xfId="38421" xr:uid="{5279B298-6B44-4658-9AAE-6F51980EDCE6}"/>
    <cellStyle name="Bad 16 3" xfId="38422" xr:uid="{2ED907BA-4DE0-463A-8E27-9A49BE6D1EDC}"/>
    <cellStyle name="Bad 160" xfId="20060" xr:uid="{EAB900A9-38BC-4868-B1C4-4FA790C0A395}"/>
    <cellStyle name="Bad 17" xfId="20061" xr:uid="{6DF3D4F1-B798-4A3F-9776-73514BC66BD8}"/>
    <cellStyle name="Bad 17 2" xfId="38423" xr:uid="{CD139D0E-0E09-4CA5-9F71-E81E214EF51E}"/>
    <cellStyle name="Bad 17 3" xfId="38424" xr:uid="{9536E088-357C-4E20-8748-E4E4062C6A93}"/>
    <cellStyle name="Bad 18" xfId="20062" xr:uid="{1F6F3920-D495-4025-9178-8D2984302464}"/>
    <cellStyle name="Bad 18 2" xfId="38425" xr:uid="{2F24CB42-3216-4A4C-B524-904C46A563A9}"/>
    <cellStyle name="Bad 18 3" xfId="38426" xr:uid="{019645AD-90B8-455E-872F-0151A624CB7E}"/>
    <cellStyle name="Bad 19" xfId="20063" xr:uid="{6FC3B723-5F9C-4AE7-A69B-29B9A7B5B973}"/>
    <cellStyle name="Bad 19 2" xfId="38427" xr:uid="{4FA34DBF-3E29-4803-A732-0FE96DFDBA20}"/>
    <cellStyle name="Bad 2" xfId="20064" xr:uid="{0F74ED81-F4F4-4B17-85BF-6E9B411806D6}"/>
    <cellStyle name="Bad 2 2" xfId="20065" xr:uid="{DB34E070-92E9-48E3-BC6C-DAD7A59C8F9C}"/>
    <cellStyle name="Bad 2 3" xfId="38428" xr:uid="{C299E719-FFFC-4654-9453-88B0FAE4C9A6}"/>
    <cellStyle name="Bad 2 4" xfId="38429" xr:uid="{A68FA6C6-4924-46A8-98E1-7028415B7B0E}"/>
    <cellStyle name="Bad 2 5" xfId="38430" xr:uid="{5A7B0F38-F97D-44D9-80A6-A7F875D1C0AE}"/>
    <cellStyle name="Bad 2 6" xfId="38431" xr:uid="{1779CA96-628B-49CF-8625-E609C9D6D59D}"/>
    <cellStyle name="Bad 20" xfId="20066" xr:uid="{9341576B-DC06-4930-B1AC-D811FEF9BF2D}"/>
    <cellStyle name="Bad 20 2" xfId="38432" xr:uid="{7078616A-59EE-4C01-AC4E-5AB34A80620B}"/>
    <cellStyle name="Bad 21" xfId="20067" xr:uid="{99C2CC8C-5ECE-4105-ADF2-95E8F0F47B65}"/>
    <cellStyle name="Bad 21 2" xfId="38433" xr:uid="{F77C39AB-400D-4600-A0BA-2F1DC799C6B9}"/>
    <cellStyle name="Bad 22" xfId="20068" xr:uid="{43352247-D1CC-4E87-8830-D0BA9A5D459C}"/>
    <cellStyle name="Bad 22 2" xfId="38434" xr:uid="{6A2A6C02-BF33-4908-B9D8-D9766B20A7FC}"/>
    <cellStyle name="Bad 23" xfId="20069" xr:uid="{1CA27138-2AAD-4B7F-85AA-9C11601DA366}"/>
    <cellStyle name="Bad 23 2" xfId="38435" xr:uid="{131C64BF-AFB7-4E43-AB69-933536E26BC2}"/>
    <cellStyle name="Bad 24" xfId="20070" xr:uid="{985A444D-CC26-4512-91E7-669EE59F9E30}"/>
    <cellStyle name="Bad 24 2" xfId="38436" xr:uid="{C4AFC9AB-3F3F-4431-AC7D-C723C825BEBD}"/>
    <cellStyle name="Bad 25" xfId="20071" xr:uid="{9D8E31A4-AFE4-49CE-BE4A-E596CFE46BDA}"/>
    <cellStyle name="Bad 25 2" xfId="38437" xr:uid="{05A26C7B-0083-495B-A2C4-0F2964B76791}"/>
    <cellStyle name="Bad 26" xfId="20072" xr:uid="{6D571303-CE64-4830-BD44-1355DAD9F6B9}"/>
    <cellStyle name="Bad 26 2" xfId="38438" xr:uid="{F6DA0FF2-2E26-4635-B5AE-EE0CDDC2CF9E}"/>
    <cellStyle name="Bad 27" xfId="20073" xr:uid="{C4EAAA2F-9A64-40E3-9F56-B7B5098CE7DF}"/>
    <cellStyle name="Bad 27 2" xfId="38439" xr:uid="{8DA5AF04-1F28-4298-AB8C-2D41A026D740}"/>
    <cellStyle name="Bad 28" xfId="20074" xr:uid="{78157ADB-EE65-42CF-9F31-ED895052C82A}"/>
    <cellStyle name="Bad 28 2" xfId="38440" xr:uid="{77DFC1F4-2620-40A4-A437-35832C79EE90}"/>
    <cellStyle name="Bad 29" xfId="20075" xr:uid="{70C83664-DF21-499B-AF71-CC0E98FFCAD5}"/>
    <cellStyle name="Bad 29 2" xfId="20076" xr:uid="{EC04CBBA-6B64-423F-8212-96CDC8AC1827}"/>
    <cellStyle name="Bad 29 3" xfId="38441" xr:uid="{E61B89C8-2E45-4F4C-B69A-2DE50ECCCB10}"/>
    <cellStyle name="Bad 3" xfId="20077" xr:uid="{16549E19-EDE2-4FD9-B64F-7441F972A93D}"/>
    <cellStyle name="Bad 3 2" xfId="20078" xr:uid="{4541CCAE-D951-42A0-8C9B-FCEAB43226D3}"/>
    <cellStyle name="Bad 3 3" xfId="38442" xr:uid="{FA8CC455-112C-460A-89B5-F16AD21D414A}"/>
    <cellStyle name="Bad 3 4" xfId="38443" xr:uid="{D8F94860-7140-44EF-B61B-D6F9B7C34570}"/>
    <cellStyle name="Bad 30" xfId="20079" xr:uid="{F34CE5F5-C656-4D65-AE91-209F14D0069E}"/>
    <cellStyle name="Bad 30 2" xfId="38444" xr:uid="{342000B9-A768-4780-8589-9E1426CA0660}"/>
    <cellStyle name="Bad 31" xfId="20080" xr:uid="{58376681-6365-40EF-91FE-E232F2AAD812}"/>
    <cellStyle name="Bad 32" xfId="20081" xr:uid="{231112A8-3181-4F9A-89A7-BCBF8BAF54AB}"/>
    <cellStyle name="Bad 33" xfId="20082" xr:uid="{315F179E-C050-4879-96C6-1F958CE00A4D}"/>
    <cellStyle name="Bad 34" xfId="20083" xr:uid="{62B621CE-C41A-4C6A-98B0-D3596F32DEE7}"/>
    <cellStyle name="Bad 35" xfId="20084" xr:uid="{2442954D-2B62-4D87-819B-82AA5C1D3286}"/>
    <cellStyle name="Bad 36" xfId="20085" xr:uid="{DCA07FBB-9F51-40E5-8008-A5D9C1F1B508}"/>
    <cellStyle name="Bad 37" xfId="20086" xr:uid="{C9041000-DF3E-4697-A7B9-BD9D74D8629C}"/>
    <cellStyle name="Bad 38" xfId="20087" xr:uid="{7C79C7C3-CC0A-440F-8548-06145BFDE8E7}"/>
    <cellStyle name="Bad 39" xfId="20088" xr:uid="{71F202A1-401B-434D-8F15-5AA61F2A2CD9}"/>
    <cellStyle name="Bad 4" xfId="20089" xr:uid="{E6446ECB-E6D9-4F0A-957C-F3BB1766462B}"/>
    <cellStyle name="Bad 4 2" xfId="38445" xr:uid="{B01A7BD4-0DB2-4606-ABB5-5B67F9E1B629}"/>
    <cellStyle name="Bad 4 3" xfId="38446" xr:uid="{EF4A68E1-09BE-4105-B8CF-12552C8F74BF}"/>
    <cellStyle name="Bad 40" xfId="20090" xr:uid="{CF3704EE-9D28-45AA-9455-AAF4996D240E}"/>
    <cellStyle name="Bad 41" xfId="20091" xr:uid="{E068B53C-D7F0-4B20-AEF9-BF6C7597257B}"/>
    <cellStyle name="Bad 42" xfId="20092" xr:uid="{7B1FC651-B412-48DD-B96D-23BDD8430B37}"/>
    <cellStyle name="Bad 43" xfId="20093" xr:uid="{1D4E577B-C0E1-46F7-88A4-7847EBCA8587}"/>
    <cellStyle name="Bad 44" xfId="20094" xr:uid="{4B6762E6-1A57-47A6-8221-A0EE893164F0}"/>
    <cellStyle name="Bad 45" xfId="20095" xr:uid="{8DE8FD5B-5E25-4E37-8D99-4E6625959EEE}"/>
    <cellStyle name="Bad 46" xfId="20096" xr:uid="{90FA6B4D-AA66-4DB8-A8FE-8B248C9EDD19}"/>
    <cellStyle name="Bad 47" xfId="20097" xr:uid="{A87A3942-89AF-41E8-A5FF-B4AB4F4AF3AC}"/>
    <cellStyle name="Bad 48" xfId="20098" xr:uid="{A4A8C29F-70F7-4E0A-90D1-B65AFDB082A1}"/>
    <cellStyle name="Bad 49" xfId="20099" xr:uid="{DEC6F4F2-CEC5-4F86-BFE3-9704B63457FD}"/>
    <cellStyle name="Bad 5" xfId="20100" xr:uid="{0DF74B4C-7D31-48C9-BFED-ED43753A8524}"/>
    <cellStyle name="Bad 5 2" xfId="38447" xr:uid="{BB59D5F0-A06A-4208-9FC0-EC71F0BBB833}"/>
    <cellStyle name="Bad 5 3" xfId="38448" xr:uid="{4919F892-45A3-48AA-8A44-AA841C2C644C}"/>
    <cellStyle name="Bad 50" xfId="20101" xr:uid="{9E69CD3C-3C25-4157-BA48-DACC5A238E85}"/>
    <cellStyle name="Bad 51" xfId="20102" xr:uid="{61186265-0755-4ED1-AE54-CCA0493735AD}"/>
    <cellStyle name="Bad 52" xfId="20103" xr:uid="{42301A05-A419-4B34-8FB8-2FD55C6AC00D}"/>
    <cellStyle name="Bad 53" xfId="20104" xr:uid="{CFA71811-D76A-4D66-9E24-ABE5F972AAFD}"/>
    <cellStyle name="Bad 54" xfId="20105" xr:uid="{57C65CCD-E3AB-4973-8FDC-E79EB0BCAFEF}"/>
    <cellStyle name="Bad 55" xfId="20106" xr:uid="{24DF2ED5-3316-417B-BAD4-DC46E5D71371}"/>
    <cellStyle name="Bad 56" xfId="20107" xr:uid="{0019BBB2-3A3B-4DA1-A23A-A99653AD4107}"/>
    <cellStyle name="Bad 57" xfId="20108" xr:uid="{3687D41D-C9C1-4A50-9AA6-41AAC523A184}"/>
    <cellStyle name="Bad 58" xfId="20109" xr:uid="{F04528C6-7F13-470F-B2DF-D8BDE796A1F8}"/>
    <cellStyle name="Bad 59" xfId="20110" xr:uid="{EFC99F9E-4B85-4EEB-A285-1EF99994D842}"/>
    <cellStyle name="Bad 6" xfId="20111" xr:uid="{051C9D5B-0927-4DA5-B449-C9198904565D}"/>
    <cellStyle name="Bad 6 2" xfId="38449" xr:uid="{C4B67827-765D-4CF1-A473-E9ADCECDE6A4}"/>
    <cellStyle name="Bad 6 3" xfId="38450" xr:uid="{0A8BB5CA-0461-4516-84E7-6437A20F3D32}"/>
    <cellStyle name="Bad 60" xfId="20112" xr:uid="{4CB67666-2D32-47F8-A283-C31C0FCD02AF}"/>
    <cellStyle name="Bad 61" xfId="20113" xr:uid="{B197E6D9-2F74-450E-B284-48EE58C95DEF}"/>
    <cellStyle name="Bad 62" xfId="20114" xr:uid="{91FD2E32-9DAF-412D-B5CC-A658698D6B46}"/>
    <cellStyle name="Bad 63" xfId="20115" xr:uid="{9585C6A0-FBD5-49EF-BFA2-2BA6043169AD}"/>
    <cellStyle name="Bad 64" xfId="20116" xr:uid="{E283EEEC-268C-487A-9660-635A3BB716B2}"/>
    <cellStyle name="Bad 65" xfId="20117" xr:uid="{FE33B9F5-0969-4210-943A-F81D2EF33E72}"/>
    <cellStyle name="Bad 66" xfId="20118" xr:uid="{8E5B9B92-C00E-4FD6-9AF8-D2598F13A2C7}"/>
    <cellStyle name="Bad 67" xfId="20119" xr:uid="{A81DB1B3-1220-47F8-804D-319920C5EB0B}"/>
    <cellStyle name="Bad 68" xfId="20120" xr:uid="{E6F0D69E-10EE-4AEA-8BC3-2506CF315365}"/>
    <cellStyle name="Bad 69" xfId="20121" xr:uid="{2D724336-C7DE-47D6-8270-37562391F177}"/>
    <cellStyle name="Bad 7" xfId="20122" xr:uid="{D2DEA58B-6515-49C2-B5B4-B78AD12C3634}"/>
    <cellStyle name="Bad 7 2" xfId="38451" xr:uid="{C01888A7-6134-47E5-B17A-BD2E46D84338}"/>
    <cellStyle name="Bad 7 3" xfId="38452" xr:uid="{512B7C19-5A5B-4B85-AFFF-CFE450D274BC}"/>
    <cellStyle name="Bad 70" xfId="20123" xr:uid="{E858291F-8588-4954-80A9-6579D28931A2}"/>
    <cellStyle name="Bad 71" xfId="20124" xr:uid="{583FB83F-5FCC-43DB-A715-7C97700F148A}"/>
    <cellStyle name="Bad 72" xfId="20125" xr:uid="{9A556782-6EC6-41A9-AFC0-6210368B83B9}"/>
    <cellStyle name="Bad 73" xfId="20126" xr:uid="{DEBADCC1-0B1A-4864-92F6-25FA4E2C4558}"/>
    <cellStyle name="Bad 74" xfId="20127" xr:uid="{09F39E6B-0305-45D2-AE69-3C629B7B27A2}"/>
    <cellStyle name="Bad 75" xfId="20128" xr:uid="{A0558F03-D2C4-4E24-B673-7ECD23607322}"/>
    <cellStyle name="Bad 76" xfId="20129" xr:uid="{832DBAE4-9F62-48DB-84AC-F0270CF5944A}"/>
    <cellStyle name="Bad 77" xfId="20130" xr:uid="{81D0B369-E9A8-4070-B0FE-9AC4C87AFB30}"/>
    <cellStyle name="Bad 78" xfId="20131" xr:uid="{E5417254-1699-40A3-BE0E-49E95196C0B9}"/>
    <cellStyle name="Bad 79" xfId="20132" xr:uid="{4F54F09B-8898-43D0-973C-7C883B7C6714}"/>
    <cellStyle name="Bad 8" xfId="20133" xr:uid="{9940D86A-86AA-41F6-A737-3246DE11ECCA}"/>
    <cellStyle name="Bad 8 2" xfId="38453" xr:uid="{211B8283-1203-4471-B0C1-2EF6EFC503D0}"/>
    <cellStyle name="Bad 8 3" xfId="38454" xr:uid="{6F94F9CE-B9E8-49E6-8CDC-3623E6D9FD70}"/>
    <cellStyle name="Bad 80" xfId="20134" xr:uid="{349C59FE-D222-4661-98F3-A6E12703D150}"/>
    <cellStyle name="Bad 81" xfId="20135" xr:uid="{E2795C21-8EA0-424F-877C-B02BF18EF295}"/>
    <cellStyle name="Bad 82" xfId="20136" xr:uid="{255E3752-BB20-4E3F-80F2-E7BD14D53E48}"/>
    <cellStyle name="Bad 83" xfId="20137" xr:uid="{FFB7029E-F5DE-48FF-8A74-DAD6AEBA2771}"/>
    <cellStyle name="Bad 84" xfId="20138" xr:uid="{2469AD0D-072C-403B-B9C3-066A64107C74}"/>
    <cellStyle name="Bad 85" xfId="20139" xr:uid="{F87B6488-1D17-4474-9A88-66003EE9D180}"/>
    <cellStyle name="Bad 86" xfId="20140" xr:uid="{1A717FCE-B367-4EFC-9009-D4053B5CB338}"/>
    <cellStyle name="Bad 87" xfId="20141" xr:uid="{056964C7-7851-4AF0-9A52-164F80EDDF42}"/>
    <cellStyle name="Bad 88" xfId="20142" xr:uid="{C7C5897A-2E7A-4D5D-858E-434FD676F4A5}"/>
    <cellStyle name="Bad 89" xfId="20143" xr:uid="{7B3EA323-0C33-4431-B499-387DAAD610C2}"/>
    <cellStyle name="Bad 9" xfId="20144" xr:uid="{53C1C964-CC38-496D-83F9-D8196049C5AC}"/>
    <cellStyle name="Bad 9 2" xfId="38455" xr:uid="{480BE35C-201F-4E4D-8CD7-D420FA4BFF51}"/>
    <cellStyle name="Bad 9 3" xfId="38456" xr:uid="{6BDF616D-4757-4B73-AF0F-ADFD56329F63}"/>
    <cellStyle name="Bad 90" xfId="20145" xr:uid="{46101958-C35B-48E5-B99B-33C9D4DA415E}"/>
    <cellStyle name="Bad 91" xfId="20146" xr:uid="{C18436A3-3BFA-4D25-AA8A-A92CAEDFBE0F}"/>
    <cellStyle name="Bad 92" xfId="20147" xr:uid="{98D3B7C1-27C1-4D5A-948B-168BF18CDB11}"/>
    <cellStyle name="Bad 93" xfId="20148" xr:uid="{736952C5-157C-433A-8991-80F78186BFB7}"/>
    <cellStyle name="Bad 94" xfId="20149" xr:uid="{617045E2-E160-4CFD-8252-203DF9FD916D}"/>
    <cellStyle name="Bad 95" xfId="20150" xr:uid="{899B2E3E-C481-43C1-8977-D6E973368D01}"/>
    <cellStyle name="Bad 96" xfId="20151" xr:uid="{C4018D4A-16CD-4830-AAE1-DB81C29C11D7}"/>
    <cellStyle name="Bad 97" xfId="20152" xr:uid="{34306BAC-D61A-4138-95D3-989582E93D51}"/>
    <cellStyle name="Bad 98" xfId="20153" xr:uid="{59D017DC-E3B5-4FF4-8659-C5C74772A8A5}"/>
    <cellStyle name="Bad 99" xfId="20154" xr:uid="{60356429-16DB-4144-9DC4-4069FEAF4B47}"/>
    <cellStyle name="Body" xfId="20155" xr:uid="{DCC13592-E1F5-477D-B809-322736E8B77A}"/>
    <cellStyle name="Bom" xfId="20156" xr:uid="{D2DD5F28-876C-43AD-94D0-9156DD8FC7AF}"/>
    <cellStyle name="Border" xfId="20157" xr:uid="{CCD639BA-50E2-46A8-81F4-3F6AD39DB2BF}"/>
    <cellStyle name="Border 10" xfId="20158" xr:uid="{7B9A57A5-C9AA-4791-BE7A-CF9C48B8CAD5}"/>
    <cellStyle name="Border 10 2" xfId="20159" xr:uid="{E8FDD37B-E51A-4FF2-A0C4-102CA0E7CDCD}"/>
    <cellStyle name="Border 11" xfId="20160" xr:uid="{2AA16AEA-B17F-4BEC-B59A-AD80873E7B77}"/>
    <cellStyle name="Border 11 2" xfId="20161" xr:uid="{C35422AA-13AC-4EE1-9401-1441F5195315}"/>
    <cellStyle name="Border 12" xfId="20162" xr:uid="{4CBAE3FC-9D2B-4F1A-B039-2D64A9A1341B}"/>
    <cellStyle name="Border 2" xfId="20163" xr:uid="{4E1A5016-98E4-43A7-9477-5CA22BC5B676}"/>
    <cellStyle name="Border 2 2" xfId="20164" xr:uid="{3BAA2A09-9796-43F0-83D4-72AC17B4A861}"/>
    <cellStyle name="Border 2 2 2" xfId="20165" xr:uid="{EC67BEF5-6A3A-4445-BFC3-1D8119F8AAD7}"/>
    <cellStyle name="Border 2 3" xfId="20166" xr:uid="{E70F7D41-43BF-4BFD-8666-04E1847CEE36}"/>
    <cellStyle name="Border 3" xfId="20167" xr:uid="{7CB3BE91-75F4-4F2F-B2ED-5C94CF6EE193}"/>
    <cellStyle name="Border 3 2" xfId="20168" xr:uid="{A22B645D-9A9A-4068-AFB5-E2D3B78934F1}"/>
    <cellStyle name="Border 4" xfId="20169" xr:uid="{64940713-8E8C-4FE2-AD7A-957E08B4CCE6}"/>
    <cellStyle name="Border 4 2" xfId="20170" xr:uid="{894595D1-7887-45ED-8B7B-803CD8AA1540}"/>
    <cellStyle name="Border 5" xfId="20171" xr:uid="{986EC9C5-D67A-45E3-8F0B-683AC03C0EB9}"/>
    <cellStyle name="Border 5 2" xfId="20172" xr:uid="{841DA8D3-B96C-4EF2-9143-CFBCF1A765E3}"/>
    <cellStyle name="Border 6" xfId="20173" xr:uid="{DF0FC429-9264-441C-A53E-C97C31877A9F}"/>
    <cellStyle name="Border 6 2" xfId="20174" xr:uid="{3F258ADB-4625-435A-8092-BA0C2CF3513C}"/>
    <cellStyle name="Border 7" xfId="20175" xr:uid="{373F08EB-F510-45C4-9541-E96584FED57E}"/>
    <cellStyle name="Border 7 2" xfId="20176" xr:uid="{91B23B68-3626-4C94-9814-6D0D8629CC51}"/>
    <cellStyle name="Border 8" xfId="20177" xr:uid="{C9F62023-0784-4CE2-818F-496397DC6EA8}"/>
    <cellStyle name="Border 8 2" xfId="20178" xr:uid="{6C649720-BF0A-470A-B79C-C857F1E196F0}"/>
    <cellStyle name="Border 9" xfId="20179" xr:uid="{E0F64CBF-10AB-472A-916B-7828F73589EA}"/>
    <cellStyle name="Border 9 2" xfId="20180" xr:uid="{C0EB70FB-301D-44A2-8425-70C304956EDA}"/>
    <cellStyle name="Calc Currency (0)" xfId="20181" xr:uid="{3A2609E4-053C-4094-A63D-D496ABAB6E04}"/>
    <cellStyle name="Calc Currency (2)" xfId="20182" xr:uid="{EA61D629-B8B6-4C0B-8B5D-E0EDCFAED416}"/>
    <cellStyle name="Calc Percent (0)" xfId="20183" xr:uid="{B6CF0F8E-0A21-4B55-95FF-8DB907030203}"/>
    <cellStyle name="Calc Percent (1)" xfId="20184" xr:uid="{52CB5318-A470-4726-BF31-94EC4373C45D}"/>
    <cellStyle name="Calc Percent (2)" xfId="20185" xr:uid="{FB52F51D-A3BF-440B-BF34-799F693EA8D4}"/>
    <cellStyle name="Calc Units (0)" xfId="20186" xr:uid="{B5B53825-C2F9-46B1-A2F7-61D74B13ACA1}"/>
    <cellStyle name="Calc Units (1)" xfId="20187" xr:uid="{42632DEB-9C33-4052-9C70-9233EB7FAD9C}"/>
    <cellStyle name="Calc Units (2)" xfId="20188" xr:uid="{362488A9-78EB-485F-BA91-200E75D44BA1}"/>
    <cellStyle name="Calculation" xfId="24" builtinId="22" hidden="1"/>
    <cellStyle name="Calculation" xfId="97" builtinId="22" customBuiltin="1"/>
    <cellStyle name="Calculation 10" xfId="20189" xr:uid="{565E2A5C-6D89-4119-ACB0-377BBA8871C4}"/>
    <cellStyle name="Calculation 10 2" xfId="38457" xr:uid="{E9A951DF-F5FA-4BDD-AFB9-3845D6154827}"/>
    <cellStyle name="Calculation 10 3" xfId="38458" xr:uid="{8A56E729-70D8-40B6-9495-A36A0F8DA5DD}"/>
    <cellStyle name="Calculation 100" xfId="20190" xr:uid="{50B60E2A-B73A-41E5-A9F2-723308EFCD5A}"/>
    <cellStyle name="Calculation 101" xfId="20191" xr:uid="{E9AD8C11-1EE2-4D0D-97D3-121764F2DFFB}"/>
    <cellStyle name="Calculation 102" xfId="20192" xr:uid="{D48D05C6-385F-4240-8D9B-A5968521C9C7}"/>
    <cellStyle name="Calculation 103" xfId="20193" xr:uid="{D50C6DF3-38E7-4A67-9970-DF84031675E5}"/>
    <cellStyle name="Calculation 104" xfId="20194" xr:uid="{72D63EC5-FEF7-4E30-94F6-E7AE12B794A1}"/>
    <cellStyle name="Calculation 105" xfId="20195" xr:uid="{51CCF234-101E-4DF1-BF33-2B64682BD9EB}"/>
    <cellStyle name="Calculation 106" xfId="20196" xr:uid="{BC5F6D11-D6D9-40E6-8352-507F0308B44E}"/>
    <cellStyle name="Calculation 107" xfId="20197" xr:uid="{7BF2CDF9-E695-47FA-8FE1-EC0EBC5A1702}"/>
    <cellStyle name="Calculation 108" xfId="20198" xr:uid="{55275304-7A0E-487A-A94B-E652AE504FD6}"/>
    <cellStyle name="Calculation 109" xfId="20199" xr:uid="{F114201B-03F0-4593-9BBD-583BCA6F5841}"/>
    <cellStyle name="Calculation 11" xfId="20200" xr:uid="{CB6DA284-F5B7-4888-99B7-9F9A58F1682E}"/>
    <cellStyle name="Calculation 11 2" xfId="38459" xr:uid="{44E7FE01-059D-4329-8F6A-24D47C12BBBE}"/>
    <cellStyle name="Calculation 11 3" xfId="38460" xr:uid="{CB395B21-A4CA-438A-94D4-E660721CB91A}"/>
    <cellStyle name="Calculation 110" xfId="20201" xr:uid="{7237CAFC-F992-4ED3-BF0E-8053CD9E3D9A}"/>
    <cellStyle name="Calculation 111" xfId="20202" xr:uid="{41B717E9-4AC4-4DD1-ABCA-C8058215DB91}"/>
    <cellStyle name="Calculation 112" xfId="20203" xr:uid="{EAC4335D-53A6-4390-A60F-E30802794A86}"/>
    <cellStyle name="Calculation 113" xfId="20204" xr:uid="{A063AF6B-709B-4860-B319-8D6E3E294A4C}"/>
    <cellStyle name="Calculation 114" xfId="20205" xr:uid="{44676F42-ABEA-4310-976A-F5E1135FCBD6}"/>
    <cellStyle name="Calculation 115" xfId="20206" xr:uid="{9C82DD0A-9BF9-4161-BE02-FF6677D4AAB5}"/>
    <cellStyle name="Calculation 116" xfId="20207" xr:uid="{2B004DE3-4227-4253-A897-DE44C9F48B47}"/>
    <cellStyle name="Calculation 117" xfId="20208" xr:uid="{DBE05C96-B373-42DA-B0C7-5C1DDD2E082B}"/>
    <cellStyle name="Calculation 118" xfId="20209" xr:uid="{5F29724D-2401-480B-B291-105824DA0C90}"/>
    <cellStyle name="Calculation 119" xfId="20210" xr:uid="{1E64567B-ACAB-4C71-9076-7581EC421D8F}"/>
    <cellStyle name="Calculation 12" xfId="20211" xr:uid="{660ED474-8CA3-4DAF-B0D4-96CD44C12DBB}"/>
    <cellStyle name="Calculation 12 2" xfId="38461" xr:uid="{8C17821F-886C-439C-9B43-28E25D920A71}"/>
    <cellStyle name="Calculation 12 3" xfId="38462" xr:uid="{129FFBB9-A776-4B09-8954-38EA32CBF717}"/>
    <cellStyle name="Calculation 120" xfId="20212" xr:uid="{B6CEDDA7-F778-457A-8455-5299C245769F}"/>
    <cellStyle name="Calculation 121" xfId="20213" xr:uid="{E171E70C-0792-4F4E-80AC-F4BD01013840}"/>
    <cellStyle name="Calculation 122" xfId="20214" xr:uid="{10ACECA7-DB6D-4ACC-90DB-BE8616883D60}"/>
    <cellStyle name="Calculation 123" xfId="20215" xr:uid="{3B8AD17D-C5CB-4A95-8AD0-1D43B8FF2E8E}"/>
    <cellStyle name="Calculation 124" xfId="20216" xr:uid="{70F7891E-F59E-4489-8EA4-525F38E16F5F}"/>
    <cellStyle name="Calculation 125" xfId="20217" xr:uid="{AF29611C-F27D-43B6-B7B4-287D16B7EC8F}"/>
    <cellStyle name="Calculation 126" xfId="20218" xr:uid="{A2B17FB5-CBF1-43EC-8A90-71635FEAF5BB}"/>
    <cellStyle name="Calculation 127" xfId="20219" xr:uid="{B1DEFA2C-608C-43E0-9BB8-8159FC90273E}"/>
    <cellStyle name="Calculation 128" xfId="20220" xr:uid="{227F51F3-9D81-4F99-97F2-B9F0AC112458}"/>
    <cellStyle name="Calculation 129" xfId="20221" xr:uid="{1BC3ABA8-04B2-4DAB-AA6B-2E4B569DBA39}"/>
    <cellStyle name="Calculation 13" xfId="20222" xr:uid="{5D3C61E9-6072-44E8-9FE7-C83976896E88}"/>
    <cellStyle name="Calculation 13 2" xfId="38463" xr:uid="{70E52481-186D-405C-82D6-CC4937DE7CFD}"/>
    <cellStyle name="Calculation 13 3" xfId="38464" xr:uid="{CA890B50-34CA-4D4B-91C0-D0D5F648934E}"/>
    <cellStyle name="Calculation 130" xfId="20223" xr:uid="{34AC5383-4981-464D-A0FD-A9C83E1AFDCB}"/>
    <cellStyle name="Calculation 131" xfId="20224" xr:uid="{83C594E4-B647-4546-AAE4-BE602C32A8A2}"/>
    <cellStyle name="Calculation 132" xfId="20225" xr:uid="{817FA28D-A6E0-4D27-9FF9-33577A01E0EE}"/>
    <cellStyle name="Calculation 133" xfId="20226" xr:uid="{D91B666C-BC24-4B9A-A1AD-6395CFB793F8}"/>
    <cellStyle name="Calculation 134" xfId="20227" xr:uid="{5F24B55B-A285-42AC-BB16-2E8584EF0FAF}"/>
    <cellStyle name="Calculation 135" xfId="20228" xr:uid="{FBD3239E-188E-4BA8-BC6E-D380B092782F}"/>
    <cellStyle name="Calculation 136" xfId="20229" xr:uid="{855BE0F6-D106-4B6D-BA51-5CC322D60E91}"/>
    <cellStyle name="Calculation 137" xfId="20230" xr:uid="{671D362A-6998-4562-A966-0EC4D8F9861B}"/>
    <cellStyle name="Calculation 138" xfId="20231" xr:uid="{18B4EE57-3406-4D29-82B7-C7EA9CA7145A}"/>
    <cellStyle name="Calculation 139" xfId="20232" xr:uid="{21E3F889-ED2F-482B-8190-C21985E4A9D4}"/>
    <cellStyle name="Calculation 14" xfId="20233" xr:uid="{2DCA0127-D39D-416D-B758-B06EA5CE4D7F}"/>
    <cellStyle name="Calculation 14 2" xfId="38465" xr:uid="{1DB03CDD-D0B0-4410-A97A-2E0BC2913EC8}"/>
    <cellStyle name="Calculation 14 3" xfId="38466" xr:uid="{4C577ED9-6649-4B6F-BF18-34B3B7D101B5}"/>
    <cellStyle name="Calculation 140" xfId="20234" xr:uid="{11FDAC93-9E43-4E60-8E57-05D4EF63D82D}"/>
    <cellStyle name="Calculation 141" xfId="20235" xr:uid="{2948175A-BB6D-482D-ACB2-91FB5C1EBBA9}"/>
    <cellStyle name="Calculation 142" xfId="20236" xr:uid="{4F144BFC-5FA6-4100-A84C-E3579D6320C3}"/>
    <cellStyle name="Calculation 143" xfId="20237" xr:uid="{FB3A5CB3-1C07-496B-BFB9-62AE7D8E2B3C}"/>
    <cellStyle name="Calculation 144" xfId="20238" xr:uid="{B2ECB5A7-3EB5-4A1E-8ABF-2EB469A0EE60}"/>
    <cellStyle name="Calculation 145" xfId="20239" xr:uid="{CDFA34A9-523F-411C-9B1D-480370A57D22}"/>
    <cellStyle name="Calculation 146" xfId="20240" xr:uid="{838F3097-CFEE-4AEC-B549-02453ABCD8A7}"/>
    <cellStyle name="Calculation 147" xfId="20241" xr:uid="{12C3ED64-C6B9-465F-8D66-44F3315FCCAD}"/>
    <cellStyle name="Calculation 148" xfId="20242" xr:uid="{E669AB71-0E96-4DD3-A74B-E015399E6ED7}"/>
    <cellStyle name="Calculation 149" xfId="20243" xr:uid="{9B7A8F02-4639-48AA-AC58-073A5EA44FF2}"/>
    <cellStyle name="Calculation 15" xfId="20244" xr:uid="{E2E8E99A-C1AA-450D-BC0B-DF5C8B55CA73}"/>
    <cellStyle name="Calculation 15 2" xfId="38467" xr:uid="{DEEE74BE-DE0B-48E7-B11E-B6CD55E94A63}"/>
    <cellStyle name="Calculation 15 3" xfId="38468" xr:uid="{07CAC4D0-F36A-4309-A957-CF95AC5B5EF2}"/>
    <cellStyle name="Calculation 150" xfId="20245" xr:uid="{A3524F2E-0866-4C1D-AC4F-FE658DCBBD64}"/>
    <cellStyle name="Calculation 151" xfId="20246" xr:uid="{331524EE-4D9C-4BF2-AD76-90E91590A0F8}"/>
    <cellStyle name="Calculation 152" xfId="20247" xr:uid="{7C039A62-A02D-4AE2-9C73-F276063C43D4}"/>
    <cellStyle name="Calculation 153" xfId="20248" xr:uid="{227634E4-233D-4D4D-A0C3-407B47EB0116}"/>
    <cellStyle name="Calculation 154" xfId="20249" xr:uid="{75EA1CC9-3333-411B-81D5-58D8404027B3}"/>
    <cellStyle name="Calculation 155" xfId="20250" xr:uid="{07F03D96-DF6F-4B90-8D35-D2CBCB3E355D}"/>
    <cellStyle name="Calculation 156" xfId="20251" xr:uid="{55E8BDE8-4A37-40E2-9741-AD3CD5924A26}"/>
    <cellStyle name="Calculation 157" xfId="20252" xr:uid="{F3A14EBD-D79D-46B1-8B36-6CF07C73733E}"/>
    <cellStyle name="Calculation 158" xfId="20253" xr:uid="{7B01ED8D-E693-4C6A-8CC8-7B3074A739FC}"/>
    <cellStyle name="Calculation 159" xfId="20254" xr:uid="{7F4BA5F8-DD3D-4CF3-A2B0-3643310A772E}"/>
    <cellStyle name="Calculation 16" xfId="20255" xr:uid="{8087BFCF-8115-459E-9FB1-816CB4DE037D}"/>
    <cellStyle name="Calculation 16 2" xfId="38469" xr:uid="{720A0E55-A062-4345-9056-46E5282C2C0A}"/>
    <cellStyle name="Calculation 16 3" xfId="38470" xr:uid="{68CA7D73-FBFE-4972-B017-FB87A5190033}"/>
    <cellStyle name="Calculation 160" xfId="20256" xr:uid="{8ACE4725-853D-41FD-81E1-F01452FFADCB}"/>
    <cellStyle name="Calculation 17" xfId="20257" xr:uid="{FFF8857E-2846-4177-9AC4-1445E5020659}"/>
    <cellStyle name="Calculation 17 2" xfId="38471" xr:uid="{5116573C-58BA-423C-A91C-59CA766F9343}"/>
    <cellStyle name="Calculation 17 3" xfId="38472" xr:uid="{C9807D38-F1B2-4CDB-A938-9D1D075DD8BF}"/>
    <cellStyle name="Calculation 18" xfId="20258" xr:uid="{54F5FB7D-EBFE-4041-8118-54F2127C7DC3}"/>
    <cellStyle name="Calculation 18 2" xfId="38473" xr:uid="{A02546D5-F89F-4164-A719-F0F62E1C882C}"/>
    <cellStyle name="Calculation 18 3" xfId="38474" xr:uid="{5EF226DC-73FB-421F-83D0-6A2BDC31DD5C}"/>
    <cellStyle name="Calculation 19" xfId="20259" xr:uid="{9D02FD76-6AB6-40E1-B664-5C92010FBA7B}"/>
    <cellStyle name="Calculation 19 2" xfId="38475" xr:uid="{86A830E2-3146-470A-98D3-120A25CAC7DC}"/>
    <cellStyle name="Calculation 2" xfId="20260" xr:uid="{7DDA986E-DB64-4D0C-80C4-080E88F8C0E1}"/>
    <cellStyle name="Calculation 2 2" xfId="20261" xr:uid="{797D7DDF-C53E-4FB8-A2FD-E521B28CACC4}"/>
    <cellStyle name="Calculation 2 2 2" xfId="38476" xr:uid="{832DE77B-83DB-4E2D-9F02-7CAB210E8DB8}"/>
    <cellStyle name="Calculation 2 3" xfId="38477" xr:uid="{91A60A57-FA17-48CC-9C69-2D6D8B44B114}"/>
    <cellStyle name="Calculation 2 4" xfId="38478" xr:uid="{6325C0C2-5B9A-4520-8EA0-68612D38BEED}"/>
    <cellStyle name="Calculation 2 5" xfId="38479" xr:uid="{53342480-7273-456A-8E81-09B5FB69043A}"/>
    <cellStyle name="Calculation 20" xfId="20262" xr:uid="{DD21ED5E-DBF2-4463-BEE8-42008E749D84}"/>
    <cellStyle name="Calculation 20 2" xfId="38480" xr:uid="{9B78551B-2BBA-49EE-B44E-4EF009FCA211}"/>
    <cellStyle name="Calculation 21" xfId="20263" xr:uid="{F5727969-F87A-403A-B613-57F12BDF9B62}"/>
    <cellStyle name="Calculation 21 2" xfId="38481" xr:uid="{B7F8D254-F33F-4624-B58A-4E46B798EB60}"/>
    <cellStyle name="Calculation 22" xfId="20264" xr:uid="{7201B171-EC6E-4ABB-BDAA-A08022923BE8}"/>
    <cellStyle name="Calculation 22 2" xfId="38482" xr:uid="{4C3605BC-C041-43EB-9E01-A44202AB1309}"/>
    <cellStyle name="Calculation 23" xfId="20265" xr:uid="{BCD2F574-868B-4F43-B455-422079C25473}"/>
    <cellStyle name="Calculation 23 2" xfId="38483" xr:uid="{DC67D860-824A-4A7A-B207-AC92142AA84F}"/>
    <cellStyle name="Calculation 24" xfId="20266" xr:uid="{E1F3F84E-0652-4244-9D80-5B7A11431C64}"/>
    <cellStyle name="Calculation 24 2" xfId="38484" xr:uid="{B1AC403A-5398-40F5-88D1-508B3679BFA5}"/>
    <cellStyle name="Calculation 25" xfId="20267" xr:uid="{FECCC438-459B-49A6-9457-CCDE7239996A}"/>
    <cellStyle name="Calculation 25 2" xfId="38485" xr:uid="{6BA685C6-30FA-4C40-89E9-0B63E96B7310}"/>
    <cellStyle name="Calculation 26" xfId="20268" xr:uid="{3AF25546-3612-4DAC-848C-8B858CB00EFB}"/>
    <cellStyle name="Calculation 26 2" xfId="38486" xr:uid="{D2CF59FD-545B-4F6B-AE8D-D3F2B4B27884}"/>
    <cellStyle name="Calculation 27" xfId="20269" xr:uid="{A5AC05EA-F7FB-4EFB-98F6-6B6C4F565196}"/>
    <cellStyle name="Calculation 27 2" xfId="38487" xr:uid="{4A9EE327-4882-4342-81D6-4D362B8F023D}"/>
    <cellStyle name="Calculation 28" xfId="20270" xr:uid="{3B356C65-7FD5-499D-95DB-A0CFE6B1111E}"/>
    <cellStyle name="Calculation 28 2" xfId="38488" xr:uid="{97044D5A-EF70-4A1F-AE3F-A211BFEA86A2}"/>
    <cellStyle name="Calculation 29" xfId="20271" xr:uid="{7347F2F4-F8CA-407A-9914-9D30414DA712}"/>
    <cellStyle name="Calculation 29 2" xfId="20272" xr:uid="{1A193FDD-2924-49B8-8DC5-88E8B7829836}"/>
    <cellStyle name="Calculation 29 3" xfId="38489" xr:uid="{EF838774-A781-4063-B826-1F864B93F448}"/>
    <cellStyle name="Calculation 3" xfId="20273" xr:uid="{817AD65F-DB96-40CE-A0A4-581380252AD0}"/>
    <cellStyle name="Calculation 3 2" xfId="20274" xr:uid="{75DE050C-C6F7-4AB8-BDDC-61E827EB82E8}"/>
    <cellStyle name="Calculation 3 3" xfId="38490" xr:uid="{87879AC9-1FA7-4E3D-9837-C2777ECCCBD1}"/>
    <cellStyle name="Calculation 3 4" xfId="38491" xr:uid="{65B6EBAD-692F-4FD1-8F81-D44FCA6B61B9}"/>
    <cellStyle name="Calculation 30" xfId="20275" xr:uid="{0EF63BDF-B645-472C-8243-95D86CE4FAAB}"/>
    <cellStyle name="Calculation 30 2" xfId="38492" xr:uid="{35E23C13-C5E7-4517-9005-B5BD0E72C329}"/>
    <cellStyle name="Calculation 31" xfId="20276" xr:uid="{75656927-028B-4EF5-8712-C581E01C60BD}"/>
    <cellStyle name="Calculation 32" xfId="20277" xr:uid="{EF5747FB-44E8-4709-AEB3-08657167EAA7}"/>
    <cellStyle name="Calculation 33" xfId="20278" xr:uid="{6CC4EB31-5EEC-46D1-9478-B54F4FF6CC67}"/>
    <cellStyle name="Calculation 34" xfId="20279" xr:uid="{EF3A07A6-286E-4E77-BAE4-A93218374E49}"/>
    <cellStyle name="Calculation 35" xfId="20280" xr:uid="{8BD13CCF-DDF8-4C63-BD8D-E289705AE424}"/>
    <cellStyle name="Calculation 36" xfId="20281" xr:uid="{83CBE633-3DE6-4FDF-BB4E-1DE3B61CA254}"/>
    <cellStyle name="Calculation 37" xfId="20282" xr:uid="{7E54447E-D9F1-4A5C-81FD-7703C010D2C5}"/>
    <cellStyle name="Calculation 38" xfId="20283" xr:uid="{FB7DFB75-04AE-4686-976A-2093CB32866C}"/>
    <cellStyle name="Calculation 39" xfId="20284" xr:uid="{E57E7ECE-C51A-4997-A0F1-CE70C8549F95}"/>
    <cellStyle name="Calculation 4" xfId="20285" xr:uid="{DD71172C-D522-4378-9CC5-B466E85DDD84}"/>
    <cellStyle name="Calculation 4 2" xfId="38493" xr:uid="{ED857F14-7964-4E4A-BD0D-8254BAAB5B97}"/>
    <cellStyle name="Calculation 4 3" xfId="38494" xr:uid="{F5104A08-0A26-4233-B59F-8E86878EB7E0}"/>
    <cellStyle name="Calculation 40" xfId="20286" xr:uid="{F3DF4A15-0812-4E04-B2FB-F65F541B2B13}"/>
    <cellStyle name="Calculation 41" xfId="20287" xr:uid="{72BA5B50-C297-4E87-A73C-4F4DD556C7D4}"/>
    <cellStyle name="Calculation 42" xfId="20288" xr:uid="{260191F0-CF9B-4D8B-BFD1-1A6701D15EE1}"/>
    <cellStyle name="Calculation 43" xfId="20289" xr:uid="{D6A6E155-4C9F-47CE-A28B-EA97385361CD}"/>
    <cellStyle name="Calculation 44" xfId="20290" xr:uid="{65036E00-E7EB-44DB-BA93-FBC3B90AE8B1}"/>
    <cellStyle name="Calculation 45" xfId="20291" xr:uid="{6947F0FB-3971-43BF-9263-7C8FE4D288B5}"/>
    <cellStyle name="Calculation 46" xfId="20292" xr:uid="{6403DFB6-87B9-47F1-B1E3-B734CEA9E0EB}"/>
    <cellStyle name="Calculation 47" xfId="20293" xr:uid="{A9EC9422-F067-4A4A-9C1B-C2864390E828}"/>
    <cellStyle name="Calculation 48" xfId="20294" xr:uid="{3BDD385A-1D87-4C9E-ABE4-5CA3E3F3CAAC}"/>
    <cellStyle name="Calculation 49" xfId="20295" xr:uid="{B98C1740-2C32-49FF-B58A-4C86B125D540}"/>
    <cellStyle name="Calculation 5" xfId="20296" xr:uid="{44DD4BC4-13A2-468A-A4FC-AC8A9037EAE9}"/>
    <cellStyle name="Calculation 5 2" xfId="38495" xr:uid="{CB87362C-7D7A-47A3-85B1-DEE506989AC6}"/>
    <cellStyle name="Calculation 5 3" xfId="38496" xr:uid="{31313B77-5BCE-42ED-85AB-5678BB8EF605}"/>
    <cellStyle name="Calculation 50" xfId="20297" xr:uid="{2257823B-3136-4684-B9AD-B79EC88B757C}"/>
    <cellStyle name="Calculation 51" xfId="20298" xr:uid="{42E0D25A-BDF6-4A06-BC76-2909DC693748}"/>
    <cellStyle name="Calculation 52" xfId="20299" xr:uid="{5EFBFE6D-795D-458A-BA63-FF5EFCF575D7}"/>
    <cellStyle name="Calculation 53" xfId="20300" xr:uid="{04B395F6-3063-4B47-85D6-E968A8439CFA}"/>
    <cellStyle name="Calculation 54" xfId="20301" xr:uid="{ABBBF8C5-3422-4AA1-B32C-5C1C9694BD0B}"/>
    <cellStyle name="Calculation 55" xfId="20302" xr:uid="{D40D3C7B-815C-4C15-A118-A13D187E739F}"/>
    <cellStyle name="Calculation 56" xfId="20303" xr:uid="{DEEB900A-E463-467E-BBD8-8170296DAD97}"/>
    <cellStyle name="Calculation 57" xfId="20304" xr:uid="{2E56D9C2-DE3F-4259-8282-6D142DDA2C9D}"/>
    <cellStyle name="Calculation 58" xfId="20305" xr:uid="{DA6629DC-B6D4-412E-8281-5F0EAC8D677D}"/>
    <cellStyle name="Calculation 59" xfId="20306" xr:uid="{9D9121D6-34DF-4C28-8564-199410964C01}"/>
    <cellStyle name="Calculation 6" xfId="20307" xr:uid="{7436ADC0-C106-4C78-97E7-600E7478A4BE}"/>
    <cellStyle name="Calculation 6 2" xfId="38497" xr:uid="{6056E20A-FA30-4C07-A363-64163DDFA494}"/>
    <cellStyle name="Calculation 6 3" xfId="38498" xr:uid="{2A9B4483-EFD5-4FB7-9D54-7D3BD5CC1065}"/>
    <cellStyle name="Calculation 60" xfId="20308" xr:uid="{A978E7F4-8584-40E1-A58D-629159E15FE1}"/>
    <cellStyle name="Calculation 61" xfId="20309" xr:uid="{A0967FF2-5271-4308-B8A3-8FB1619C4B33}"/>
    <cellStyle name="Calculation 62" xfId="20310" xr:uid="{88B6FC34-2FEC-4F6D-83C5-F3320D0F0A58}"/>
    <cellStyle name="Calculation 63" xfId="20311" xr:uid="{37D076B5-41FA-4241-86C8-7397A40486F3}"/>
    <cellStyle name="Calculation 64" xfId="20312" xr:uid="{10EC141F-DD0D-4075-879F-61DA0CEC7EB3}"/>
    <cellStyle name="Calculation 65" xfId="20313" xr:uid="{57765015-78EF-4227-8B4B-E095BFD5A8F1}"/>
    <cellStyle name="Calculation 66" xfId="20314" xr:uid="{66FDDCDD-4B2B-4799-8338-9D3C9D15B6F6}"/>
    <cellStyle name="Calculation 67" xfId="20315" xr:uid="{148F8025-6CD4-40F8-B590-E206CC13E3F7}"/>
    <cellStyle name="Calculation 68" xfId="20316" xr:uid="{6E0C717A-EB38-49D8-9899-A48EA3233921}"/>
    <cellStyle name="Calculation 69" xfId="20317" xr:uid="{BC046FA7-985D-4E72-92DC-F328F3F5D8BE}"/>
    <cellStyle name="Calculation 7" xfId="20318" xr:uid="{DADA5A38-05D8-4505-8AAA-C58C57B7CB6E}"/>
    <cellStyle name="Calculation 7 2" xfId="38499" xr:uid="{D10A0BDF-8E1C-444E-A11F-5828A0B14FDE}"/>
    <cellStyle name="Calculation 7 3" xfId="38500" xr:uid="{91116A67-C70C-450A-82BA-83E9E2D9E04F}"/>
    <cellStyle name="Calculation 70" xfId="20319" xr:uid="{BB90F885-1FE5-4E77-8CB8-9D4CB656EF76}"/>
    <cellStyle name="Calculation 71" xfId="20320" xr:uid="{14F04386-D126-4891-8B35-A497E2C084A7}"/>
    <cellStyle name="Calculation 72" xfId="20321" xr:uid="{C285A6BE-5653-4752-BD8E-32430456E867}"/>
    <cellStyle name="Calculation 73" xfId="20322" xr:uid="{838B112C-C39D-4E42-A3D0-59444392D972}"/>
    <cellStyle name="Calculation 74" xfId="20323" xr:uid="{D531AA09-637A-4172-BC8F-EC95B91C7697}"/>
    <cellStyle name="Calculation 75" xfId="20324" xr:uid="{ED8D832B-112C-4935-B078-C36182D401F8}"/>
    <cellStyle name="Calculation 76" xfId="20325" xr:uid="{EC7A42A2-7975-43E4-ADFC-35B0F4339A5C}"/>
    <cellStyle name="Calculation 77" xfId="20326" xr:uid="{7A07EF2C-5603-4CC9-84F7-21F9EC76575E}"/>
    <cellStyle name="Calculation 78" xfId="20327" xr:uid="{56860C0C-FE7D-4200-B3F1-A9D0695A4AE9}"/>
    <cellStyle name="Calculation 79" xfId="20328" xr:uid="{A92B1703-AD9C-4D55-8EBA-3ED2CFDCBA91}"/>
    <cellStyle name="Calculation 8" xfId="20329" xr:uid="{4CD28F11-2C8A-4CC6-8A8E-FEC05782CB1E}"/>
    <cellStyle name="Calculation 8 2" xfId="38501" xr:uid="{542941E4-AF78-45A1-BF19-144C20515A30}"/>
    <cellStyle name="Calculation 8 3" xfId="38502" xr:uid="{0DC71CF1-3D97-4C31-BEA2-D88BB9236051}"/>
    <cellStyle name="Calculation 80" xfId="20330" xr:uid="{32A34C21-05E1-409E-B75E-DD1117EA50AC}"/>
    <cellStyle name="Calculation 81" xfId="20331" xr:uid="{E3B0EC55-3A36-4A2B-BEA0-D50CF426FE49}"/>
    <cellStyle name="Calculation 82" xfId="20332" xr:uid="{5C29F015-037D-491D-9F00-FE0692F369CF}"/>
    <cellStyle name="Calculation 83" xfId="20333" xr:uid="{D0C5C462-B723-47E5-A0CD-C77F90102FC9}"/>
    <cellStyle name="Calculation 84" xfId="20334" xr:uid="{6B83057C-7600-496A-BC1B-C7C275867C25}"/>
    <cellStyle name="Calculation 85" xfId="20335" xr:uid="{E29FE162-8718-4CDE-99EA-7569252FE9A0}"/>
    <cellStyle name="Calculation 86" xfId="20336" xr:uid="{0D8F3A31-6A66-41EE-8001-D33D03479592}"/>
    <cellStyle name="Calculation 87" xfId="20337" xr:uid="{A059C7ED-D797-44AF-BA14-FDAE977133D2}"/>
    <cellStyle name="Calculation 88" xfId="20338" xr:uid="{68187F5D-060D-44A8-BBBA-EC8C314C3ADA}"/>
    <cellStyle name="Calculation 89" xfId="20339" xr:uid="{069CD2DC-DB3E-474F-84A0-F9EE9FDEED32}"/>
    <cellStyle name="Calculation 9" xfId="20340" xr:uid="{0788DEE1-18B0-4F9C-A3B4-4987E45198B0}"/>
    <cellStyle name="Calculation 9 2" xfId="38503" xr:uid="{969E5DA1-670B-46F1-BD62-91625B00AC6F}"/>
    <cellStyle name="Calculation 9 3" xfId="38504" xr:uid="{CCCBB9BB-B9D6-4F7C-8001-E610DC0120ED}"/>
    <cellStyle name="Calculation 90" xfId="20341" xr:uid="{FA49B58C-1F36-4FDA-BB2F-E9A70F367C6D}"/>
    <cellStyle name="Calculation 91" xfId="20342" xr:uid="{7A2E754B-D56B-49E0-885F-2992AE849CE6}"/>
    <cellStyle name="Calculation 92" xfId="20343" xr:uid="{9913989F-8BBA-4ED5-A5BF-B7BBF87330F6}"/>
    <cellStyle name="Calculation 93" xfId="20344" xr:uid="{2A00F036-C155-4541-B939-A0F850B3C9D0}"/>
    <cellStyle name="Calculation 94" xfId="20345" xr:uid="{81CEB3BF-B659-469D-BE98-27EFE2737F67}"/>
    <cellStyle name="Calculation 95" xfId="20346" xr:uid="{46D51C96-D0A3-4843-8E5D-8D647EE5002F}"/>
    <cellStyle name="Calculation 96" xfId="20347" xr:uid="{3721EA9A-6042-4EE7-AD30-2D515B5C36A2}"/>
    <cellStyle name="Calculation 97" xfId="20348" xr:uid="{70BAA6BB-D213-4443-A96C-72519C63B2F1}"/>
    <cellStyle name="Calculation 98" xfId="20349" xr:uid="{2407A05E-ACFC-4243-B1AB-6CCCE0B28B06}"/>
    <cellStyle name="Calculation 99" xfId="20350" xr:uid="{E1F07E58-5419-42A3-B0A7-4D129410FF29}"/>
    <cellStyle name="Cálculo" xfId="20351" xr:uid="{6CF83005-9E47-4E27-BD32-F055F926CC9F}"/>
    <cellStyle name="CAS" xfId="20352" xr:uid="{12ADC1F5-E3E3-4E2D-A405-163D537434D2}"/>
    <cellStyle name="Célula de Verificação" xfId="20353" xr:uid="{F97667F8-2000-4AE5-B095-4BEE60DA3853}"/>
    <cellStyle name="Célula Vinculada" xfId="20354" xr:uid="{7F795773-3C2D-499F-811F-E8D897A4F573}"/>
    <cellStyle name="Centré sur pls colonnes" xfId="20355" xr:uid="{F20A93CE-B4E9-43E3-A59B-CC6FB1007E3F}"/>
    <cellStyle name="Check" xfId="1" xr:uid="{00000000-0005-0000-0000-00001C000000}"/>
    <cellStyle name="Check Cell" xfId="26" builtinId="23" hidden="1"/>
    <cellStyle name="Check Cell" xfId="99" builtinId="23" customBuiltin="1"/>
    <cellStyle name="Check Cell 10" xfId="20356" xr:uid="{D0FA8A98-A347-481B-8F06-7F49CDA7878D}"/>
    <cellStyle name="Check Cell 10 2" xfId="38505" xr:uid="{484E609C-0323-4F80-8190-696AC472A44F}"/>
    <cellStyle name="Check Cell 10 3" xfId="38506" xr:uid="{3582B446-9199-4D12-8F3D-D29CB635DD94}"/>
    <cellStyle name="Check Cell 100" xfId="20357" xr:uid="{993E10FA-755E-4EB6-BD1A-F6A36010C688}"/>
    <cellStyle name="Check Cell 101" xfId="20358" xr:uid="{9A34CF25-94C9-426B-94FE-516FCFBEB54B}"/>
    <cellStyle name="Check Cell 102" xfId="20359" xr:uid="{E1E45F82-01C3-463A-8C3E-E4B1C78236A7}"/>
    <cellStyle name="Check Cell 103" xfId="20360" xr:uid="{9804E405-699F-4637-AE63-9747D05563A5}"/>
    <cellStyle name="Check Cell 104" xfId="20361" xr:uid="{E9F25EFA-9A43-4277-8392-D17708253435}"/>
    <cellStyle name="Check Cell 105" xfId="20362" xr:uid="{D763A201-3C12-4C3C-B335-E707076C7B50}"/>
    <cellStyle name="Check Cell 106" xfId="20363" xr:uid="{3CC9EC6C-9CD6-49AF-95EB-08F9ADF74AFD}"/>
    <cellStyle name="Check Cell 107" xfId="20364" xr:uid="{7C9CFAFB-3262-4206-A37D-9E155D87006B}"/>
    <cellStyle name="Check Cell 108" xfId="20365" xr:uid="{4233C5AA-16B1-4DB9-AFB8-7DBEBA9C7CE4}"/>
    <cellStyle name="Check Cell 109" xfId="20366" xr:uid="{5DF8FB9E-B7A3-464D-8A44-2AB5FBAA9BC4}"/>
    <cellStyle name="Check Cell 11" xfId="20367" xr:uid="{341482ED-8AED-4D53-B3DE-EB28F3140E56}"/>
    <cellStyle name="Check Cell 11 2" xfId="38507" xr:uid="{7173023C-AC05-4C88-A38C-6D1C308FF518}"/>
    <cellStyle name="Check Cell 11 3" xfId="38508" xr:uid="{7B670540-B4FD-414D-9CA4-FED5255BF52F}"/>
    <cellStyle name="Check Cell 110" xfId="20368" xr:uid="{FCD5D0D6-C1A3-46D5-BEA3-9FF8D56991B0}"/>
    <cellStyle name="Check Cell 111" xfId="20369" xr:uid="{EC95D5C0-2461-4992-8CA1-0ADB88D476F5}"/>
    <cellStyle name="Check Cell 112" xfId="20370" xr:uid="{A040851C-5139-439F-A5EA-5B0ADEAC752D}"/>
    <cellStyle name="Check Cell 113" xfId="20371" xr:uid="{2F55C76C-56CF-4317-A716-13410F516AB6}"/>
    <cellStyle name="Check Cell 114" xfId="20372" xr:uid="{A33C3C8A-D372-4A6E-B927-0D61D93D27B1}"/>
    <cellStyle name="Check Cell 115" xfId="20373" xr:uid="{E35BBF2B-E638-4E01-BFFF-4C3AB3A5C08E}"/>
    <cellStyle name="Check Cell 116" xfId="20374" xr:uid="{2945E920-3658-44D6-9A03-1A2C61087555}"/>
    <cellStyle name="Check Cell 117" xfId="20375" xr:uid="{B33D5D89-7B77-45FE-B13E-42702886E4C8}"/>
    <cellStyle name="Check Cell 118" xfId="20376" xr:uid="{F1A8AB37-5FF0-4395-8052-89C5F7DAB82B}"/>
    <cellStyle name="Check Cell 119" xfId="20377" xr:uid="{6CAAB084-8764-4D91-B9BF-7D50758E9FA8}"/>
    <cellStyle name="Check Cell 12" xfId="20378" xr:uid="{5260289C-C58B-4B31-A702-F7C803DEEB1D}"/>
    <cellStyle name="Check Cell 12 2" xfId="38509" xr:uid="{5C438054-43CF-4F11-A641-B6521DBB3DAF}"/>
    <cellStyle name="Check Cell 12 3" xfId="38510" xr:uid="{4F262A72-AF0D-4429-A837-034EAF5078B7}"/>
    <cellStyle name="Check Cell 120" xfId="20379" xr:uid="{BF50BAF6-001A-46B4-8CA0-6B23857BB475}"/>
    <cellStyle name="Check Cell 121" xfId="20380" xr:uid="{EB483FAC-B9BA-451C-8F4B-AA7A09F5CF90}"/>
    <cellStyle name="Check Cell 122" xfId="20381" xr:uid="{D0DF124A-DFE3-4174-B6DF-E313EB8DD538}"/>
    <cellStyle name="Check Cell 123" xfId="20382" xr:uid="{074647A0-047E-432D-8B15-DA65C638CAE0}"/>
    <cellStyle name="Check Cell 124" xfId="20383" xr:uid="{2F2F1320-DEE1-4C1F-9201-21D9A761E30F}"/>
    <cellStyle name="Check Cell 125" xfId="20384" xr:uid="{67C0864B-D01A-415D-88AB-04866DEA3D41}"/>
    <cellStyle name="Check Cell 126" xfId="20385" xr:uid="{E0E0445F-3DBD-417D-8A70-F72B524E9F8A}"/>
    <cellStyle name="Check Cell 127" xfId="20386" xr:uid="{84DB243C-8028-4269-B755-AE743CC0F307}"/>
    <cellStyle name="Check Cell 128" xfId="20387" xr:uid="{D2A24C3C-DD22-4658-A95E-07898E56EC0C}"/>
    <cellStyle name="Check Cell 129" xfId="20388" xr:uid="{85A58641-A83B-4C5D-9B53-D27E08576494}"/>
    <cellStyle name="Check Cell 13" xfId="20389" xr:uid="{3AAD2D0B-198E-4898-9741-EF5C1CA1B4DC}"/>
    <cellStyle name="Check Cell 13 2" xfId="38511" xr:uid="{E15F09A6-43CD-4FDE-91BA-5CD0B4A24B85}"/>
    <cellStyle name="Check Cell 13 3" xfId="38512" xr:uid="{C241CF4E-BB0B-4EDA-AA10-86722CD48EC6}"/>
    <cellStyle name="Check Cell 130" xfId="20390" xr:uid="{64F9AC17-25EE-4A40-9785-B5F71BC7062F}"/>
    <cellStyle name="Check Cell 131" xfId="20391" xr:uid="{078CC255-66B4-42B9-80DE-AEBD167A9B83}"/>
    <cellStyle name="Check Cell 132" xfId="20392" xr:uid="{9A042E85-35C3-4037-94B2-58B7CF574E12}"/>
    <cellStyle name="Check Cell 133" xfId="20393" xr:uid="{F1B60B58-E69B-40FC-97B3-A0E9D603C6C5}"/>
    <cellStyle name="Check Cell 134" xfId="20394" xr:uid="{C03744DD-7696-4989-9401-D2E76C4ADCB5}"/>
    <cellStyle name="Check Cell 135" xfId="20395" xr:uid="{E2A05391-5AFA-4C59-B0FC-85D788EE5E34}"/>
    <cellStyle name="Check Cell 136" xfId="20396" xr:uid="{C14012D3-CCD5-4FE5-A032-7295F25FDD68}"/>
    <cellStyle name="Check Cell 137" xfId="20397" xr:uid="{01B383D7-B638-4993-9B50-CBAF06E8629E}"/>
    <cellStyle name="Check Cell 138" xfId="20398" xr:uid="{BA64642F-4C02-4917-8416-728F46F06377}"/>
    <cellStyle name="Check Cell 139" xfId="20399" xr:uid="{B6E28AF5-F2CA-4A55-8CB4-0A7F1D563E3C}"/>
    <cellStyle name="Check Cell 14" xfId="20400" xr:uid="{2D856FFB-E78D-4736-8F33-1537C6191BEA}"/>
    <cellStyle name="Check Cell 14 2" xfId="38513" xr:uid="{81C7F209-7B77-479A-9594-C2758A651DAF}"/>
    <cellStyle name="Check Cell 14 3" xfId="38514" xr:uid="{276E4010-83BE-48D5-B9BA-D17BF44DA95D}"/>
    <cellStyle name="Check Cell 140" xfId="20401" xr:uid="{4F9CA0E5-ABC9-4F56-95E9-21885F1BBFD0}"/>
    <cellStyle name="Check Cell 141" xfId="20402" xr:uid="{D382B608-E062-446D-BB65-2C8CD7BA64FB}"/>
    <cellStyle name="Check Cell 142" xfId="20403" xr:uid="{096DCB59-C1CA-4C21-AC2B-5B9BBCF29E7D}"/>
    <cellStyle name="Check Cell 143" xfId="20404" xr:uid="{41F13E3B-D616-488E-B7F5-F54586750198}"/>
    <cellStyle name="Check Cell 144" xfId="20405" xr:uid="{AB03C415-D875-4BC0-A2AF-DB961E2A69ED}"/>
    <cellStyle name="Check Cell 145" xfId="20406" xr:uid="{267AB026-1B01-4EC8-935A-96641B26169D}"/>
    <cellStyle name="Check Cell 146" xfId="20407" xr:uid="{E2FAE591-6362-4E34-90E8-F155DB9DC5D1}"/>
    <cellStyle name="Check Cell 147" xfId="20408" xr:uid="{70D90C34-F1BA-47CE-A076-AF987ED64FFF}"/>
    <cellStyle name="Check Cell 148" xfId="20409" xr:uid="{7161C4C8-1ACD-444F-BD79-C13289880F0F}"/>
    <cellStyle name="Check Cell 149" xfId="20410" xr:uid="{C705E66B-E1DE-421B-A33A-0D5E8ACF647E}"/>
    <cellStyle name="Check Cell 15" xfId="20411" xr:uid="{5CB6D35E-40C8-459B-A34E-6E8A0AE091C4}"/>
    <cellStyle name="Check Cell 15 2" xfId="38515" xr:uid="{AC389A12-AED9-44F5-A8A2-1D426962687D}"/>
    <cellStyle name="Check Cell 15 3" xfId="38516" xr:uid="{19565035-77A0-4544-9CEA-852727A935FE}"/>
    <cellStyle name="Check Cell 150" xfId="20412" xr:uid="{AEB529D2-3763-4652-A493-37B5C94C1A1A}"/>
    <cellStyle name="Check Cell 151" xfId="20413" xr:uid="{28A0FE16-80F3-4102-98A6-8CF854FCB085}"/>
    <cellStyle name="Check Cell 152" xfId="20414" xr:uid="{E57EE4F9-E97E-483B-8F30-EDBA116C5AE3}"/>
    <cellStyle name="Check Cell 153" xfId="20415" xr:uid="{275C00D8-2FE6-42D0-BD06-84AE75520BC1}"/>
    <cellStyle name="Check Cell 154" xfId="20416" xr:uid="{797C8E9A-BCB7-4CD9-B71D-BB0EA5A7447F}"/>
    <cellStyle name="Check Cell 155" xfId="20417" xr:uid="{6D7E4F2B-44DB-4EB9-8AC1-B6B083E95FF6}"/>
    <cellStyle name="Check Cell 156" xfId="20418" xr:uid="{5842DFF4-2840-4A2C-9ACE-7D8D90E7B179}"/>
    <cellStyle name="Check Cell 157" xfId="20419" xr:uid="{DADDB13F-97F3-495B-A4EB-747C3A8592D3}"/>
    <cellStyle name="Check Cell 158" xfId="20420" xr:uid="{E17FB8AA-A734-4B60-B5CE-219DDCD8C984}"/>
    <cellStyle name="Check Cell 159" xfId="20421" xr:uid="{F4A5AAF9-1863-40F4-B91A-183F20D61ACD}"/>
    <cellStyle name="Check Cell 16" xfId="20422" xr:uid="{A090DA7E-9C49-4378-ACC8-43DFDC47F423}"/>
    <cellStyle name="Check Cell 16 2" xfId="38517" xr:uid="{1A841DA1-A464-4DDA-B149-DE593AE0EB32}"/>
    <cellStyle name="Check Cell 16 3" xfId="38518" xr:uid="{57DC235D-229A-41DB-B22D-A9BFFDEEAD0F}"/>
    <cellStyle name="Check Cell 160" xfId="20423" xr:uid="{2D5650BF-7248-4610-B912-5D6C60DA3B51}"/>
    <cellStyle name="Check Cell 17" xfId="20424" xr:uid="{42235FA9-9B6D-4396-98F6-33EE66A6E215}"/>
    <cellStyle name="Check Cell 17 2" xfId="38519" xr:uid="{E41A4FD4-B9A2-437E-B866-F280D9970DF8}"/>
    <cellStyle name="Check Cell 17 3" xfId="38520" xr:uid="{E8F9B78B-FDAC-4DAF-BC1C-C878F9D4008F}"/>
    <cellStyle name="Check Cell 18" xfId="20425" xr:uid="{5ECA77AF-6FE1-420A-B978-CFFF1D4559DC}"/>
    <cellStyle name="Check Cell 18 2" xfId="38521" xr:uid="{11DD3881-E226-4959-AF4E-A57CE0121339}"/>
    <cellStyle name="Check Cell 18 3" xfId="38522" xr:uid="{DFE234BB-D4DA-46B3-BC09-3B78D6195425}"/>
    <cellStyle name="Check Cell 19" xfId="20426" xr:uid="{6D9533C3-B8BF-460F-B655-5C5E512723A3}"/>
    <cellStyle name="Check Cell 19 2" xfId="38523" xr:uid="{68C36844-26E0-44F9-AE7A-ED9E8FEE60CF}"/>
    <cellStyle name="Check Cell 2" xfId="20427" xr:uid="{0A5B5330-B751-48C4-ADB6-9EDDA0F63E05}"/>
    <cellStyle name="Check Cell 2 2" xfId="20428" xr:uid="{6857BB5D-41FD-41FC-8489-0C89B2D42268}"/>
    <cellStyle name="Check Cell 2 3" xfId="38524" xr:uid="{328D0B47-FE10-4CE1-96A7-D93B92BA86F7}"/>
    <cellStyle name="Check Cell 2 4" xfId="38525" xr:uid="{73CF0152-4047-4445-892A-196D28C3D353}"/>
    <cellStyle name="Check Cell 2 5" xfId="38526" xr:uid="{FC996D4B-77E8-498A-AD36-E04AF5EFB3F4}"/>
    <cellStyle name="Check Cell 20" xfId="20429" xr:uid="{DD189DEF-93B0-47EE-87F0-E50BE24E4A25}"/>
    <cellStyle name="Check Cell 20 2" xfId="38527" xr:uid="{22E8CD4B-6913-4ADC-A42D-A90C111AD39B}"/>
    <cellStyle name="Check Cell 21" xfId="20430" xr:uid="{9EF45A44-837A-4973-9D04-4916DA4C244A}"/>
    <cellStyle name="Check Cell 21 2" xfId="38528" xr:uid="{2C252815-C17E-4983-93BB-19B4C3DF5347}"/>
    <cellStyle name="Check Cell 22" xfId="20431" xr:uid="{09B29F4D-5416-48A7-B100-5C248300B368}"/>
    <cellStyle name="Check Cell 22 2" xfId="38529" xr:uid="{2DAF99AC-1C38-4B0B-B759-9E5937FF79A9}"/>
    <cellStyle name="Check Cell 23" xfId="20432" xr:uid="{B71869F4-5C8C-42E7-9C9C-72E87C23E416}"/>
    <cellStyle name="Check Cell 23 2" xfId="38530" xr:uid="{3D3CF9F7-32BE-42B7-A743-D4C9E9EB7120}"/>
    <cellStyle name="Check Cell 24" xfId="20433" xr:uid="{1CE0FFD6-4A1A-4CF2-B16A-702CE874D054}"/>
    <cellStyle name="Check Cell 24 2" xfId="38531" xr:uid="{852103D3-47C3-419B-B4E5-B1952CDC5B0F}"/>
    <cellStyle name="Check Cell 25" xfId="20434" xr:uid="{5387F973-0B52-4A39-9150-621AA990F859}"/>
    <cellStyle name="Check Cell 25 2" xfId="38532" xr:uid="{725272D7-C384-41F8-86FD-8C93E1A036A5}"/>
    <cellStyle name="Check Cell 26" xfId="20435" xr:uid="{23BA9676-109B-4681-B31B-F22369C99137}"/>
    <cellStyle name="Check Cell 26 2" xfId="38533" xr:uid="{2DBEFFB8-C255-4665-84EE-4B874CCA2E17}"/>
    <cellStyle name="Check Cell 27" xfId="20436" xr:uid="{B44CED9F-3339-40CF-99BE-5B2574ED9844}"/>
    <cellStyle name="Check Cell 27 2" xfId="38534" xr:uid="{B33B3B6D-9736-4037-AD1E-71412C1FDF54}"/>
    <cellStyle name="Check Cell 28" xfId="20437" xr:uid="{74EDA06D-3A69-4101-A11E-82B4646B2B40}"/>
    <cellStyle name="Check Cell 28 2" xfId="38535" xr:uid="{FF5C7388-8C70-4B19-B0A1-4E24B0C9950C}"/>
    <cellStyle name="Check Cell 29" xfId="20438" xr:uid="{2F248310-A78D-4DED-A470-571566430846}"/>
    <cellStyle name="Check Cell 29 2" xfId="20439" xr:uid="{1AA13A4D-31BD-4F2D-92C2-AEE7E60DE574}"/>
    <cellStyle name="Check Cell 29 3" xfId="38536" xr:uid="{BB323654-CBE8-4AE8-BA4B-55304309C8BB}"/>
    <cellStyle name="Check Cell 3" xfId="20440" xr:uid="{528BBDC3-2A48-497B-B206-559D10624703}"/>
    <cellStyle name="Check Cell 3 2" xfId="20441" xr:uid="{686D330F-DB5E-4B60-AFB1-76C0069E820F}"/>
    <cellStyle name="Check Cell 3 3" xfId="38537" xr:uid="{80B7B412-A160-415D-905C-E24BA77270BD}"/>
    <cellStyle name="Check Cell 3 4" xfId="38538" xr:uid="{9DACF71D-1CEE-4295-9358-F4914C9AA811}"/>
    <cellStyle name="Check Cell 30" xfId="20442" xr:uid="{11D10A67-AE11-41D0-B59B-4B75D5D0D8D5}"/>
    <cellStyle name="Check Cell 30 2" xfId="38539" xr:uid="{D4A92EED-66C5-4D6E-AAFE-932FE10EF049}"/>
    <cellStyle name="Check Cell 31" xfId="20443" xr:uid="{497FF841-B884-4AD2-9452-C006227DD605}"/>
    <cellStyle name="Check Cell 32" xfId="20444" xr:uid="{276D8EAA-9FDF-482E-B1ED-D5109CF338D1}"/>
    <cellStyle name="Check Cell 33" xfId="20445" xr:uid="{01838662-2B47-41B1-AA20-B3F83A3E80EB}"/>
    <cellStyle name="Check Cell 34" xfId="20446" xr:uid="{CCAF53BD-5AD7-46D5-99DD-664DB4DA7C0B}"/>
    <cellStyle name="Check Cell 35" xfId="20447" xr:uid="{43E70904-D677-49F2-9B88-1EC8CFBA4925}"/>
    <cellStyle name="Check Cell 36" xfId="20448" xr:uid="{B19C916F-3C1C-4AF0-94B8-2D20B5FE4A60}"/>
    <cellStyle name="Check Cell 37" xfId="20449" xr:uid="{0821A313-E9BF-4BD5-A901-EE666F23B1AD}"/>
    <cellStyle name="Check Cell 38" xfId="20450" xr:uid="{848FA31C-6884-4142-BBA1-DEBEFE023DD6}"/>
    <cellStyle name="Check Cell 39" xfId="20451" xr:uid="{F0FA1004-6EA3-4A27-9402-52F8587919DF}"/>
    <cellStyle name="Check Cell 4" xfId="20452" xr:uid="{3FAE584F-19B1-41E8-B3F0-F92CD96F97F2}"/>
    <cellStyle name="Check Cell 4 2" xfId="38540" xr:uid="{6479FAD7-DE01-45FB-AC14-FEB814A1F2FB}"/>
    <cellStyle name="Check Cell 4 3" xfId="38541" xr:uid="{CB4153F2-385F-42E8-A9DC-D259EE1CA554}"/>
    <cellStyle name="Check Cell 40" xfId="20453" xr:uid="{DF89A97F-8103-450B-8D09-2A2248A21C7F}"/>
    <cellStyle name="Check Cell 41" xfId="20454" xr:uid="{98DBEA26-BAC5-41CE-9DCE-C3F2A310D8B5}"/>
    <cellStyle name="Check Cell 42" xfId="20455" xr:uid="{B8B3FA50-888E-48C5-A3C0-98A6AB4A44F3}"/>
    <cellStyle name="Check Cell 43" xfId="20456" xr:uid="{C4E8206D-5810-4A6F-A98D-AB6ED8151D82}"/>
    <cellStyle name="Check Cell 44" xfId="20457" xr:uid="{D45CF208-7F22-49D7-9D3D-3B79F498C3A7}"/>
    <cellStyle name="Check Cell 45" xfId="20458" xr:uid="{C7436C09-2EB8-4201-AC10-B004C62301D7}"/>
    <cellStyle name="Check Cell 46" xfId="20459" xr:uid="{BD399E7F-8DDF-4BAA-AB8D-80A51405B848}"/>
    <cellStyle name="Check Cell 47" xfId="20460" xr:uid="{1DE5D4C3-52CE-495D-A6D8-F1C6F7DB1079}"/>
    <cellStyle name="Check Cell 48" xfId="20461" xr:uid="{0251E3F6-D914-4478-84BC-8EDBB2D99022}"/>
    <cellStyle name="Check Cell 49" xfId="20462" xr:uid="{E8B1DA6C-0936-4837-96D1-D194AEC8A4CC}"/>
    <cellStyle name="Check Cell 5" xfId="20463" xr:uid="{FACA7DAE-0A14-4D44-A03A-0F60F0BE44C8}"/>
    <cellStyle name="Check Cell 5 2" xfId="38542" xr:uid="{7A0112B0-596D-405D-B259-5B960070A5A9}"/>
    <cellStyle name="Check Cell 5 3" xfId="38543" xr:uid="{13BBE529-784D-42D1-8E04-5B95DE118914}"/>
    <cellStyle name="Check Cell 50" xfId="20464" xr:uid="{4ADE667B-A330-4AD9-B1FB-EE168AAB9A27}"/>
    <cellStyle name="Check Cell 51" xfId="20465" xr:uid="{CF2AED49-DD19-4B65-89BB-02E4F378BDBF}"/>
    <cellStyle name="Check Cell 52" xfId="20466" xr:uid="{32407485-0067-478C-B592-75C8CE41034E}"/>
    <cellStyle name="Check Cell 53" xfId="20467" xr:uid="{54A12858-C747-4A5A-A2BE-603E3B2CC639}"/>
    <cellStyle name="Check Cell 54" xfId="20468" xr:uid="{A125B2D6-5794-4456-8C1B-60A2FB7E08F7}"/>
    <cellStyle name="Check Cell 55" xfId="20469" xr:uid="{E766F4D8-0F0F-49BE-AD1A-13276EE69323}"/>
    <cellStyle name="Check Cell 56" xfId="20470" xr:uid="{2C1422AF-4A47-4884-84D4-13847F3BE14D}"/>
    <cellStyle name="Check Cell 57" xfId="20471" xr:uid="{FADC13D3-732B-4096-9F13-13D1C4F21581}"/>
    <cellStyle name="Check Cell 58" xfId="20472" xr:uid="{18F84EAF-BA09-478F-81EC-BD0E6C414325}"/>
    <cellStyle name="Check Cell 59" xfId="20473" xr:uid="{89D38D5E-1464-4FD6-88A8-A6A9FD3D7511}"/>
    <cellStyle name="Check Cell 6" xfId="20474" xr:uid="{AEC4F4C6-EA8F-4F80-8734-F240FC4CC068}"/>
    <cellStyle name="Check Cell 6 2" xfId="38544" xr:uid="{EBC6F7EA-0281-4FB3-BED4-E1BCA394F7BF}"/>
    <cellStyle name="Check Cell 6 3" xfId="38545" xr:uid="{CEF769BC-DACC-4ECC-9460-7B0E2ED98054}"/>
    <cellStyle name="Check Cell 60" xfId="20475" xr:uid="{53D25B09-E36B-4CB9-AD9A-A3610D8A8E2C}"/>
    <cellStyle name="Check Cell 61" xfId="20476" xr:uid="{9B8D31F1-00CA-4F5F-8D42-D410E1CB41E7}"/>
    <cellStyle name="Check Cell 62" xfId="20477" xr:uid="{EE54EC9E-9F81-4F5F-AAB7-31EFD2AEAD16}"/>
    <cellStyle name="Check Cell 63" xfId="20478" xr:uid="{A581959B-7320-495D-BEB7-289DF3ACEA53}"/>
    <cellStyle name="Check Cell 64" xfId="20479" xr:uid="{1E0079D3-A9E4-4295-93C9-897267C91850}"/>
    <cellStyle name="Check Cell 65" xfId="20480" xr:uid="{E1997A5E-D778-4801-8A7C-BFDC9F7251FC}"/>
    <cellStyle name="Check Cell 66" xfId="20481" xr:uid="{D8ED9C55-6E3C-4271-9940-5AAD89D0E98C}"/>
    <cellStyle name="Check Cell 67" xfId="20482" xr:uid="{77F38F7E-B480-4776-B3B2-9178B5A54941}"/>
    <cellStyle name="Check Cell 68" xfId="20483" xr:uid="{3D0311CF-D0DD-4233-95FC-0CC87C957A28}"/>
    <cellStyle name="Check Cell 69" xfId="20484" xr:uid="{A4629A3E-4EF8-48F1-8379-A40F1591299A}"/>
    <cellStyle name="Check Cell 7" xfId="20485" xr:uid="{82114B90-8F4B-48B0-B22B-A0F6997FE4E0}"/>
    <cellStyle name="Check Cell 7 2" xfId="38546" xr:uid="{83F17FE3-BC4B-45F8-ADBD-5AD6B41BE434}"/>
    <cellStyle name="Check Cell 7 3" xfId="38547" xr:uid="{0FF05153-E1BA-4B08-A93F-BC450556C5D2}"/>
    <cellStyle name="Check Cell 70" xfId="20486" xr:uid="{46D1C2A4-FE5B-4D32-809A-8723935858B4}"/>
    <cellStyle name="Check Cell 71" xfId="20487" xr:uid="{63B4B89D-5B43-4F75-B556-223DE2CD926C}"/>
    <cellStyle name="Check Cell 72" xfId="20488" xr:uid="{2C6ADFD7-DE95-4B74-8E1A-40A5BFE668AC}"/>
    <cellStyle name="Check Cell 73" xfId="20489" xr:uid="{15522BC4-BDA8-4B64-9451-A806643BE0B6}"/>
    <cellStyle name="Check Cell 74" xfId="20490" xr:uid="{5C928BFD-F4A3-45CF-A904-5CB2CC92952F}"/>
    <cellStyle name="Check Cell 75" xfId="20491" xr:uid="{04CF1E81-2BB9-4C97-95B6-1EDD2664E52A}"/>
    <cellStyle name="Check Cell 76" xfId="20492" xr:uid="{6DB2743C-CBA6-4A5A-9A70-87D6067114A0}"/>
    <cellStyle name="Check Cell 77" xfId="20493" xr:uid="{7D40EF92-C095-4306-BD67-7075449553E4}"/>
    <cellStyle name="Check Cell 78" xfId="20494" xr:uid="{0E567B7E-9BB0-47C1-8DAF-028C1C153090}"/>
    <cellStyle name="Check Cell 79" xfId="20495" xr:uid="{1D787762-EBF1-465E-AB5C-782870512B06}"/>
    <cellStyle name="Check Cell 8" xfId="20496" xr:uid="{966EEA38-34EB-4FFF-88C7-DA2DA38400CC}"/>
    <cellStyle name="Check Cell 8 2" xfId="38548" xr:uid="{FF87CD0D-8221-4DB0-9DE7-63DFD9A2745B}"/>
    <cellStyle name="Check Cell 8 3" xfId="38549" xr:uid="{1E2CEA56-71B4-4C4C-B196-6BB85F3E8044}"/>
    <cellStyle name="Check Cell 80" xfId="20497" xr:uid="{BAD4599F-7A5F-492F-A678-9A937CBDE70E}"/>
    <cellStyle name="Check Cell 81" xfId="20498" xr:uid="{97A8E4B0-D106-4786-9AB3-A2FBBC532C47}"/>
    <cellStyle name="Check Cell 82" xfId="20499" xr:uid="{3824256A-1350-4865-B7AE-B702EF9ECAA1}"/>
    <cellStyle name="Check Cell 83" xfId="20500" xr:uid="{E6BCD21E-964C-47F8-8601-77BA373C27CF}"/>
    <cellStyle name="Check Cell 84" xfId="20501" xr:uid="{AEED24FB-3696-4F58-9D3A-B8DF8598B463}"/>
    <cellStyle name="Check Cell 85" xfId="20502" xr:uid="{3E624230-18AE-4920-9745-2F0C53573345}"/>
    <cellStyle name="Check Cell 86" xfId="20503" xr:uid="{889EAE5B-9B99-4C7F-A9E7-FBB2F9D08CE9}"/>
    <cellStyle name="Check Cell 87" xfId="20504" xr:uid="{FDAD3479-5D30-4FDC-AFF4-58C1EB39249B}"/>
    <cellStyle name="Check Cell 88" xfId="20505" xr:uid="{D97FC125-A60A-4241-B484-32C3FB66DBF8}"/>
    <cellStyle name="Check Cell 89" xfId="20506" xr:uid="{E4D5EDC6-7AA9-4013-8222-C343E0FDBF8A}"/>
    <cellStyle name="Check Cell 9" xfId="20507" xr:uid="{3D1FB93E-25E2-4240-B37F-A7C8E759EBF3}"/>
    <cellStyle name="Check Cell 9 2" xfId="38550" xr:uid="{D75BC945-B819-49AA-8558-569428C897CF}"/>
    <cellStyle name="Check Cell 9 3" xfId="38551" xr:uid="{72D3F280-0EDC-45C1-AF72-8BFB52DB2DB8}"/>
    <cellStyle name="Check Cell 90" xfId="20508" xr:uid="{0017F459-F531-4CA2-A0BA-E7423B88DC4A}"/>
    <cellStyle name="Check Cell 91" xfId="20509" xr:uid="{13C76826-4EEC-410D-B21B-583510F3EC66}"/>
    <cellStyle name="Check Cell 92" xfId="20510" xr:uid="{59A23D82-B761-45E6-B05A-9CC9CB06D55C}"/>
    <cellStyle name="Check Cell 93" xfId="20511" xr:uid="{E72A7154-7625-41C7-9FDC-B235D2ED78C4}"/>
    <cellStyle name="Check Cell 94" xfId="20512" xr:uid="{952D8E5B-C19A-445C-BB58-9D3E1BAE7516}"/>
    <cellStyle name="Check Cell 95" xfId="20513" xr:uid="{6F55542B-750B-4D5C-BA27-F79EA04B7D3C}"/>
    <cellStyle name="Check Cell 96" xfId="20514" xr:uid="{999286F6-9726-4E32-A3FF-ADB053F654C1}"/>
    <cellStyle name="Check Cell 97" xfId="20515" xr:uid="{023E1D7A-2BFA-427C-9206-5FC706ACE2A1}"/>
    <cellStyle name="Check Cell 98" xfId="20516" xr:uid="{2751B981-1216-4495-81DA-68FDBF23E32F}"/>
    <cellStyle name="Check Cell 99" xfId="20517" xr:uid="{CE6BF405-35FC-4272-A089-9C43D7E1596C}"/>
    <cellStyle name="Code" xfId="20518" xr:uid="{2F0D3A5F-3F38-4E86-9A84-1895D78EE870}"/>
    <cellStyle name="CodeHeading" xfId="20519" xr:uid="{22B341EA-393B-477C-80BC-D48CB00FF456}"/>
    <cellStyle name="Column Heading" xfId="20520" xr:uid="{19D467C6-DD08-4681-95FB-2543C376E8F9}"/>
    <cellStyle name="Comma" xfId="57" builtinId="3" customBuiltin="1"/>
    <cellStyle name="Comma  - Style1" xfId="20521" xr:uid="{9E7DDD9A-CBE5-4E38-81B3-23E4A6E2A68F}"/>
    <cellStyle name="Comma  - Style2" xfId="20522" xr:uid="{6E3BB4D7-717A-4763-837F-4CBE3AC34624}"/>
    <cellStyle name="Comma  - Style3" xfId="20523" xr:uid="{CBE26D51-B991-4F2F-83D8-7C82BD5AA67E}"/>
    <cellStyle name="Comma  - Style4" xfId="20524" xr:uid="{731EA057-D561-4C2F-9D1A-EA821CAE90DA}"/>
    <cellStyle name="Comma  - Style5" xfId="20525" xr:uid="{3827DF9C-1260-454F-B9BE-80F1AFA9E0BF}"/>
    <cellStyle name="Comma  - Style6" xfId="20526" xr:uid="{4804D4EF-790A-41AE-A559-92ED6E30F33E}"/>
    <cellStyle name="Comma  - Style7" xfId="20527" xr:uid="{9C89BA92-A9D7-42AE-BB46-30F47DC666CC}"/>
    <cellStyle name="Comma  - Style8" xfId="20528" xr:uid="{02D1D20A-A89D-4F70-9AEE-764F6F0C5022}"/>
    <cellStyle name="Comma [0]" xfId="56" builtinId="6" hidden="1" customBuiltin="1"/>
    <cellStyle name="Comma [0]" xfId="67" xr:uid="{00000000-0005-0000-0000-000020000000}"/>
    <cellStyle name="Comma [0] 2" xfId="20529" xr:uid="{DAA33853-8E13-4E20-AF34-AE1775078E32}"/>
    <cellStyle name="Comma [0] 2 2" xfId="20530" xr:uid="{97600669-0C04-4120-899E-C571A7F6BCD7}"/>
    <cellStyle name="Comma [0] 3" xfId="20531" xr:uid="{A45139EE-8B0F-4E4C-8978-8DCACDF62CBE}"/>
    <cellStyle name="Comma [00]" xfId="20532" xr:uid="{DBB74EAF-DAE6-4B77-BCFC-40376288C5CD}"/>
    <cellStyle name="Comma [3]" xfId="20533" xr:uid="{8C729BDB-03CF-4DEC-AFCA-65789251D239}"/>
    <cellStyle name="Comma 10" xfId="20534" xr:uid="{5AAAB9FA-D149-49C8-A98A-584020056D47}"/>
    <cellStyle name="Comma 10 10" xfId="20535" xr:uid="{B0EDFCA8-F39C-48CB-A945-4EA811549814}"/>
    <cellStyle name="Comma 10 10 2" xfId="20536" xr:uid="{F72A6727-A2F4-4B5D-A839-E651494E5862}"/>
    <cellStyle name="Comma 10 10 2 2" xfId="20537" xr:uid="{EDB3DA08-E1BB-4EA7-8879-A66771D95E6B}"/>
    <cellStyle name="Comma 10 10 2 2 2" xfId="20538" xr:uid="{C01E23A2-1D63-4537-BA75-C4D0DA2EB34A}"/>
    <cellStyle name="Comma 10 10 2 2 2 2" xfId="20539" xr:uid="{6920F776-E54A-42A7-959D-B86C6F9911FD}"/>
    <cellStyle name="Comma 10 10 2 2 3" xfId="20540" xr:uid="{8AFBE3DD-A390-4CE0-B0E5-4A8D2709257A}"/>
    <cellStyle name="Comma 10 10 2 3" xfId="20541" xr:uid="{B67D0BA6-D367-45E5-BAED-D90080DDCF5F}"/>
    <cellStyle name="Comma 10 10 2 3 2" xfId="20542" xr:uid="{4650F01F-E4B3-4A98-8AE0-4A7DC88A921F}"/>
    <cellStyle name="Comma 10 10 2 3 2 2" xfId="20543" xr:uid="{CB879CCE-06C1-4250-B23D-8E14231FE515}"/>
    <cellStyle name="Comma 10 10 2 3 3" xfId="20544" xr:uid="{656E1D51-7DBA-4852-8E3D-8E15A05ACC95}"/>
    <cellStyle name="Comma 10 10 2 4" xfId="20545" xr:uid="{C40F3495-A684-4DC3-A485-38EDB3BEA596}"/>
    <cellStyle name="Comma 10 10 2 4 2" xfId="20546" xr:uid="{259521BB-4303-450D-8863-87F37304DDB0}"/>
    <cellStyle name="Comma 10 10 2 5" xfId="20547" xr:uid="{1678B241-C328-4E48-8E55-A157CBE5C0AA}"/>
    <cellStyle name="Comma 10 10 3" xfId="20548" xr:uid="{D3187763-5612-411A-B529-264E5AAFD205}"/>
    <cellStyle name="Comma 10 10 3 2" xfId="20549" xr:uid="{E26B4F36-E882-4225-B8B4-024566309C2B}"/>
    <cellStyle name="Comma 10 10 3 2 2" xfId="20550" xr:uid="{D1C1086E-282A-4FCF-A623-E0E31C504CC3}"/>
    <cellStyle name="Comma 10 10 3 3" xfId="20551" xr:uid="{0E9D748E-F91C-429A-93F2-ED4EFE8AF31B}"/>
    <cellStyle name="Comma 10 10 4" xfId="20552" xr:uid="{AB8BBC47-4BCE-4DDC-A6BA-D0D7F976BA4E}"/>
    <cellStyle name="Comma 10 10 4 2" xfId="20553" xr:uid="{AFC55263-264A-4472-BB90-916ED9D7A7B9}"/>
    <cellStyle name="Comma 10 10 4 2 2" xfId="20554" xr:uid="{4527A48A-D050-4F9A-9259-1C799897A540}"/>
    <cellStyle name="Comma 10 10 4 3" xfId="20555" xr:uid="{594DD752-B7BD-4248-A014-B13D1D230E32}"/>
    <cellStyle name="Comma 10 10 5" xfId="20556" xr:uid="{185EAEEF-5D23-4CB2-8B48-1B5FA5DAC78B}"/>
    <cellStyle name="Comma 10 10 5 2" xfId="20557" xr:uid="{93D18A98-17C8-4EE8-A2C9-6834316FF964}"/>
    <cellStyle name="Comma 10 10 6" xfId="20558" xr:uid="{3BAE4F9C-FDDE-447F-BF4D-9FBE7609C9D6}"/>
    <cellStyle name="Comma 10 11" xfId="20559" xr:uid="{521C3709-1E01-44BB-8C1D-C41619A2B670}"/>
    <cellStyle name="Comma 10 11 2" xfId="20560" xr:uid="{2E0F2C2B-7570-4F22-B302-0C4F13E86B61}"/>
    <cellStyle name="Comma 10 11 2 2" xfId="20561" xr:uid="{CABB407D-4A96-4E34-8900-1C80A86AB540}"/>
    <cellStyle name="Comma 10 11 2 2 2" xfId="20562" xr:uid="{07F74CD3-E80D-427B-AD6B-CB68DC765E90}"/>
    <cellStyle name="Comma 10 11 2 3" xfId="20563" xr:uid="{1603558F-58C2-430F-AE42-BDEED89309D1}"/>
    <cellStyle name="Comma 10 11 3" xfId="20564" xr:uid="{11DAE3FC-457A-44E6-82D1-1942F1F4C6F1}"/>
    <cellStyle name="Comma 10 11 3 2" xfId="20565" xr:uid="{CA2C04B8-8990-42FD-B06F-7F2C9AF011EE}"/>
    <cellStyle name="Comma 10 11 3 2 2" xfId="20566" xr:uid="{DF3C3A67-E901-46A9-A0A7-C501DBA1E5C4}"/>
    <cellStyle name="Comma 10 11 3 3" xfId="20567" xr:uid="{92BFB8E0-BE45-4658-848D-B9E1542C3E56}"/>
    <cellStyle name="Comma 10 11 4" xfId="20568" xr:uid="{4F45392A-1EC2-42DF-855C-F25B4EDC2B9E}"/>
    <cellStyle name="Comma 10 11 4 2" xfId="20569" xr:uid="{295B4223-619C-4C69-AD5E-FC690602B6B7}"/>
    <cellStyle name="Comma 10 11 5" xfId="20570" xr:uid="{4E6B8BB8-B84C-4AB1-91EE-C820A61C421D}"/>
    <cellStyle name="Comma 10 12" xfId="20571" xr:uid="{45B84882-1E45-4417-A74C-E862DC4D1CB8}"/>
    <cellStyle name="Comma 10 12 2" xfId="20572" xr:uid="{7586DED1-4C90-452B-855C-0EAF3B1A0838}"/>
    <cellStyle name="Comma 10 12 2 2" xfId="20573" xr:uid="{97DDFA7D-E6D6-457B-99CD-5692ABF75221}"/>
    <cellStyle name="Comma 10 12 3" xfId="20574" xr:uid="{3FBD4BE8-6CA8-4FFD-B6CB-43FF3FE0F6B2}"/>
    <cellStyle name="Comma 10 13" xfId="20575" xr:uid="{14F4B4E3-89D1-422C-B1D1-A2AA7EFFEAA7}"/>
    <cellStyle name="Comma 10 13 2" xfId="20576" xr:uid="{0F461EDF-2E90-471F-A79E-CCD11E0E3F0C}"/>
    <cellStyle name="Comma 10 13 2 2" xfId="20577" xr:uid="{567AD7DE-C36F-4078-9149-72C3144EF4BA}"/>
    <cellStyle name="Comma 10 13 3" xfId="20578" xr:uid="{D98996FA-2C2E-403B-8D97-20D1AEE30B12}"/>
    <cellStyle name="Comma 10 14" xfId="20579" xr:uid="{A92F96E5-57C2-4953-AB9A-FFE26B84499E}"/>
    <cellStyle name="Comma 10 14 2" xfId="20580" xr:uid="{BE656F5E-6EF0-4A4D-ADE9-DE790E73695B}"/>
    <cellStyle name="Comma 10 15" xfId="20581" xr:uid="{ECBD63D6-367C-4047-AA64-7217F96B33FF}"/>
    <cellStyle name="Comma 10 2" xfId="20582" xr:uid="{DD9FAEB3-A7A8-4570-B3D1-691890AFB880}"/>
    <cellStyle name="Comma 10 2 2" xfId="20583" xr:uid="{D51AA2DA-2B0E-4CA0-9AF9-00642CACFB37}"/>
    <cellStyle name="Comma 10 2 2 2" xfId="20584" xr:uid="{A0831E7F-F226-4E1B-82B7-BBACAB648C4B}"/>
    <cellStyle name="Comma 10 2 2 2 2" xfId="20585" xr:uid="{2B739F2E-56ED-4F39-AB22-F87644D440C3}"/>
    <cellStyle name="Comma 10 2 2 2 2 2" xfId="20586" xr:uid="{A2158A0B-FD0F-44E5-929B-15BF2EDE1D6F}"/>
    <cellStyle name="Comma 10 2 2 2 3" xfId="20587" xr:uid="{1D2CFCF8-9967-4AE1-8AC6-6CC408368E21}"/>
    <cellStyle name="Comma 10 2 2 3" xfId="20588" xr:uid="{E4539798-C1EE-4C58-B8B0-14EB63CA23C1}"/>
    <cellStyle name="Comma 10 2 2 3 2" xfId="20589" xr:uid="{434CD72E-CA03-413C-8D18-752FA8E42864}"/>
    <cellStyle name="Comma 10 2 2 3 2 2" xfId="20590" xr:uid="{61E03A94-CA23-4421-AD9E-BA4501600C0D}"/>
    <cellStyle name="Comma 10 2 2 3 3" xfId="20591" xr:uid="{5A08B1F6-C488-477C-96CC-E329356FA3E6}"/>
    <cellStyle name="Comma 10 2 2 4" xfId="20592" xr:uid="{874605F3-C96F-41BE-9077-38EC49F27A25}"/>
    <cellStyle name="Comma 10 2 2 4 2" xfId="20593" xr:uid="{C7767DF2-EF3E-4312-98D3-3534BDDDBAEA}"/>
    <cellStyle name="Comma 10 2 2 5" xfId="20594" xr:uid="{0A87C815-94A0-4A4E-A16B-FD2565208C0E}"/>
    <cellStyle name="Comma 10 2 2 6" xfId="20595" xr:uid="{4BFA8D99-4AA1-4138-9D54-458E086280B3}"/>
    <cellStyle name="Comma 10 2 3" xfId="20596" xr:uid="{E802AA44-C4D3-4F47-B1CA-CC504A5AF336}"/>
    <cellStyle name="Comma 10 2 3 2" xfId="20597" xr:uid="{EC6319D8-A1F1-4B75-9869-3326A876AFA2}"/>
    <cellStyle name="Comma 10 2 3 2 2" xfId="20598" xr:uid="{97AB2F24-9A22-45EF-87A8-DC7200AE3D19}"/>
    <cellStyle name="Comma 10 2 3 3" xfId="20599" xr:uid="{EE81A478-922E-4B76-91FC-3688E17BA7E0}"/>
    <cellStyle name="Comma 10 2 4" xfId="20600" xr:uid="{BE2ECC39-51ED-4656-A2F9-1A0BA62DED5E}"/>
    <cellStyle name="Comma 10 2 4 2" xfId="20601" xr:uid="{92E84717-B0DB-46F9-9054-432F7747F0FA}"/>
    <cellStyle name="Comma 10 2 4 2 2" xfId="20602" xr:uid="{8326AFA4-6DBD-4D3C-AF57-D0F8ACFFE4B6}"/>
    <cellStyle name="Comma 10 2 4 3" xfId="20603" xr:uid="{8F179B0A-B7F9-4158-873F-70AA9975ACED}"/>
    <cellStyle name="Comma 10 2 5" xfId="20604" xr:uid="{C12CF5D3-AC4D-4BA1-A9AE-469D3F16B57E}"/>
    <cellStyle name="Comma 10 2 5 2" xfId="20605" xr:uid="{56D8F56D-F7B9-48D4-B853-F89DDD67ABDF}"/>
    <cellStyle name="Comma 10 2 6" xfId="20606" xr:uid="{5F42AFFD-A7BE-41B0-9581-941C27088F46}"/>
    <cellStyle name="Comma 10 2 7" xfId="38552" xr:uid="{7AD68FA2-669F-47A2-8CF5-EF617BE7E8B7}"/>
    <cellStyle name="Comma 10 2 8" xfId="38553" xr:uid="{131D1A4F-358B-463D-8999-5B1A413E2869}"/>
    <cellStyle name="Comma 10 3" xfId="20607" xr:uid="{D03A56F5-D5DB-40AD-A999-701FB8F70516}"/>
    <cellStyle name="Comma 10 3 2" xfId="20608" xr:uid="{4F52AE83-3F8B-42D4-830C-C417066C8911}"/>
    <cellStyle name="Comma 10 3 2 2" xfId="20609" xr:uid="{3A42C93A-616E-4BF7-9249-1E81F95F56B6}"/>
    <cellStyle name="Comma 10 3 2 2 2" xfId="20610" xr:uid="{28BFCDF8-A939-4C66-ABFE-0B454A8C255D}"/>
    <cellStyle name="Comma 10 3 2 2 2 2" xfId="20611" xr:uid="{1A755905-D3C8-4330-BB13-2E50DB10156D}"/>
    <cellStyle name="Comma 10 3 2 2 3" xfId="20612" xr:uid="{F558EFFA-02A4-4A96-A345-0D846B80371E}"/>
    <cellStyle name="Comma 10 3 2 3" xfId="20613" xr:uid="{32016E1A-371F-448B-AAC4-7A01FAE2DA4D}"/>
    <cellStyle name="Comma 10 3 2 3 2" xfId="20614" xr:uid="{E242DA0A-C305-44C7-9D2D-12B5BFFB1328}"/>
    <cellStyle name="Comma 10 3 2 3 2 2" xfId="20615" xr:uid="{DD7D3C69-1D20-498E-8E59-30A52C1AF398}"/>
    <cellStyle name="Comma 10 3 2 3 3" xfId="20616" xr:uid="{FFADD422-B329-474B-A990-887B6E315983}"/>
    <cellStyle name="Comma 10 3 2 4" xfId="20617" xr:uid="{240CF4FB-6C62-4856-8DF9-A7853EFAFB9A}"/>
    <cellStyle name="Comma 10 3 2 4 2" xfId="20618" xr:uid="{C60E4959-88AF-4A60-A4F5-8686DFC5624E}"/>
    <cellStyle name="Comma 10 3 2 5" xfId="20619" xr:uid="{7C8BA328-880C-4F27-9D22-C6CDD476F56A}"/>
    <cellStyle name="Comma 10 3 3" xfId="20620" xr:uid="{89DCDBEA-F522-428A-BE1F-00496B3AF3E5}"/>
    <cellStyle name="Comma 10 3 3 2" xfId="20621" xr:uid="{8B080842-BE01-4D6D-9D25-311663AAF064}"/>
    <cellStyle name="Comma 10 3 3 2 2" xfId="20622" xr:uid="{247CF883-62E7-4874-AD92-B73EF52AE4E2}"/>
    <cellStyle name="Comma 10 3 3 3" xfId="20623" xr:uid="{9430F94D-D793-47D2-88EE-F4BEDCC29517}"/>
    <cellStyle name="Comma 10 3 4" xfId="20624" xr:uid="{16049D4D-7628-46FB-A1C0-7071ADD04781}"/>
    <cellStyle name="Comma 10 3 4 2" xfId="20625" xr:uid="{13A704C0-DA9B-460A-8193-B2D6A757CAFA}"/>
    <cellStyle name="Comma 10 3 4 2 2" xfId="20626" xr:uid="{E1F382AC-D1C1-43C5-A6A6-7A577C9D349D}"/>
    <cellStyle name="Comma 10 3 4 3" xfId="20627" xr:uid="{62E9E266-E8DA-45C7-8BB8-64C6FF4A7824}"/>
    <cellStyle name="Comma 10 3 5" xfId="20628" xr:uid="{4D3AD0E0-3FA4-44DA-BF33-9B2C46415D20}"/>
    <cellStyle name="Comma 10 3 5 2" xfId="20629" xr:uid="{97C0CECA-4964-4775-AF87-D1126EB5D8DD}"/>
    <cellStyle name="Comma 10 3 6" xfId="20630" xr:uid="{D78790B0-02A8-47E5-BB16-C7C310B46609}"/>
    <cellStyle name="Comma 10 3 7" xfId="38554" xr:uid="{27C3F7EA-C78D-4B66-88CB-59ED045D8B3F}"/>
    <cellStyle name="Comma 10 4" xfId="20631" xr:uid="{FE50D5AE-7E5C-4541-86B0-70D4BB2AC791}"/>
    <cellStyle name="Comma 10 4 2" xfId="20632" xr:uid="{A7516FFB-51C7-4DF8-AD6E-658ABD69D127}"/>
    <cellStyle name="Comma 10 4 2 2" xfId="20633" xr:uid="{A2DA47BA-7ABB-43D5-BF49-424B159FBD49}"/>
    <cellStyle name="Comma 10 4 2 2 2" xfId="20634" xr:uid="{FE29864B-A09D-4042-BB60-35FA7954FBA0}"/>
    <cellStyle name="Comma 10 4 2 2 2 2" xfId="20635" xr:uid="{B41264DD-0DED-4D1F-ACAC-F7DC61A64A1A}"/>
    <cellStyle name="Comma 10 4 2 2 3" xfId="20636" xr:uid="{39D035C5-ECB2-4677-982E-0A8F03FC9D56}"/>
    <cellStyle name="Comma 10 4 2 3" xfId="20637" xr:uid="{C23F7A7B-B686-41D7-A0BF-5F7A31B07AF1}"/>
    <cellStyle name="Comma 10 4 2 3 2" xfId="20638" xr:uid="{31D54AAA-6337-49F8-B025-A15816C1AAAD}"/>
    <cellStyle name="Comma 10 4 2 3 2 2" xfId="20639" xr:uid="{3610C8DC-EDD3-453E-877B-4BEB759A7D06}"/>
    <cellStyle name="Comma 10 4 2 3 3" xfId="20640" xr:uid="{172890D0-F1E3-4EDC-95E4-9F3C5AB0B6A5}"/>
    <cellStyle name="Comma 10 4 2 4" xfId="20641" xr:uid="{918A2111-A5A9-4BAC-826F-A288F058DB78}"/>
    <cellStyle name="Comma 10 4 2 4 2" xfId="20642" xr:uid="{32290090-6C0F-4653-BB40-6F394088E7EB}"/>
    <cellStyle name="Comma 10 4 2 5" xfId="20643" xr:uid="{ADA6F41D-632F-4DA2-91E6-CA1B5A4F60DB}"/>
    <cellStyle name="Comma 10 4 3" xfId="20644" xr:uid="{3AE30973-9234-48CC-8A53-EE9529E86B24}"/>
    <cellStyle name="Comma 10 4 3 2" xfId="20645" xr:uid="{6ED2FB46-547B-47C4-B254-D3018E38ECA8}"/>
    <cellStyle name="Comma 10 4 3 2 2" xfId="20646" xr:uid="{2C354C38-E160-4053-A202-F768F208BECE}"/>
    <cellStyle name="Comma 10 4 3 3" xfId="20647" xr:uid="{9F07FD04-094A-4F51-A2B2-AE44DE7E4C00}"/>
    <cellStyle name="Comma 10 4 4" xfId="20648" xr:uid="{013A5912-63B1-40F9-B86B-FE6F8E7BDFC1}"/>
    <cellStyle name="Comma 10 4 4 2" xfId="20649" xr:uid="{27E9486F-6F0A-4752-A5A2-B1ADBB80865D}"/>
    <cellStyle name="Comma 10 4 4 2 2" xfId="20650" xr:uid="{E14ABCB7-14AD-4519-A82B-CF2B88263C09}"/>
    <cellStyle name="Comma 10 4 4 3" xfId="20651" xr:uid="{DF786B74-0C8F-45E9-8D64-17D3517648F3}"/>
    <cellStyle name="Comma 10 4 5" xfId="20652" xr:uid="{4752593A-F2C5-4BCC-9775-9F140C29870C}"/>
    <cellStyle name="Comma 10 4 5 2" xfId="20653" xr:uid="{C9072C75-4085-4552-928A-CCFAB4C99255}"/>
    <cellStyle name="Comma 10 4 6" xfId="20654" xr:uid="{B0E287B1-4B7C-4185-BD3F-CC0D090F4D5D}"/>
    <cellStyle name="Comma 10 4 7" xfId="38555" xr:uid="{06B06D6E-7FC0-4698-9F06-A681C90A7F63}"/>
    <cellStyle name="Comma 10 5" xfId="20655" xr:uid="{5E6E9F5E-F05F-4442-AE29-33CF0E4187DE}"/>
    <cellStyle name="Comma 10 5 2" xfId="20656" xr:uid="{6F430820-ACFC-4242-AE5A-1C5A97737BEE}"/>
    <cellStyle name="Comma 10 5 2 2" xfId="20657" xr:uid="{333065A2-83E0-42DC-ABC6-D1603A5024AF}"/>
    <cellStyle name="Comma 10 5 2 2 2" xfId="20658" xr:uid="{ECFD4256-03D5-4233-9787-90BFB87C11EF}"/>
    <cellStyle name="Comma 10 5 2 2 2 2" xfId="20659" xr:uid="{0248CF2B-6663-4FF1-93E5-39CAFB21C0ED}"/>
    <cellStyle name="Comma 10 5 2 2 3" xfId="20660" xr:uid="{963915A5-AEA9-4564-883A-A579A6708CCF}"/>
    <cellStyle name="Comma 10 5 2 3" xfId="20661" xr:uid="{D52E12EE-B5D9-4A71-BBC2-84AA64C2A192}"/>
    <cellStyle name="Comma 10 5 2 3 2" xfId="20662" xr:uid="{D4CEE987-B160-4401-9E29-D59B86D06F96}"/>
    <cellStyle name="Comma 10 5 2 3 2 2" xfId="20663" xr:uid="{2DC7BE7E-9CE4-485C-A9B7-B9941857B5DD}"/>
    <cellStyle name="Comma 10 5 2 3 3" xfId="20664" xr:uid="{5A08F494-BE73-4D96-BBDE-67CA6B551774}"/>
    <cellStyle name="Comma 10 5 2 4" xfId="20665" xr:uid="{4A88A3AB-3BEC-4BD2-92C3-B6343AC6B95E}"/>
    <cellStyle name="Comma 10 5 2 4 2" xfId="20666" xr:uid="{36DC39F8-A844-4B6A-9A92-DDD88EEA34F7}"/>
    <cellStyle name="Comma 10 5 2 5" xfId="20667" xr:uid="{607553E0-67A0-4EE0-AAAD-E3929D4AEC17}"/>
    <cellStyle name="Comma 10 5 3" xfId="20668" xr:uid="{7D2A20EC-6F52-41D8-B7F9-ED655BA554E9}"/>
    <cellStyle name="Comma 10 5 3 2" xfId="20669" xr:uid="{64C64EC6-7BC6-4B0B-B38B-13FCCA211EFB}"/>
    <cellStyle name="Comma 10 5 3 2 2" xfId="20670" xr:uid="{8761F499-01E1-4DAC-A2BF-1DB7C0417798}"/>
    <cellStyle name="Comma 10 5 3 3" xfId="20671" xr:uid="{4220C593-E271-4857-9406-A24BEB0D96BA}"/>
    <cellStyle name="Comma 10 5 4" xfId="20672" xr:uid="{134E8A83-E2B1-40FB-9E6B-778FAF47222C}"/>
    <cellStyle name="Comma 10 5 4 2" xfId="20673" xr:uid="{7E8261A4-2B41-4D39-8587-28A38BFDB283}"/>
    <cellStyle name="Comma 10 5 4 2 2" xfId="20674" xr:uid="{F8BEB448-DB02-42C6-9245-FAA24104BF0C}"/>
    <cellStyle name="Comma 10 5 4 3" xfId="20675" xr:uid="{B181CDC8-0691-4959-B417-6ED408F073A6}"/>
    <cellStyle name="Comma 10 5 5" xfId="20676" xr:uid="{20D2A2C2-31C2-4B77-ACCB-43227CE95138}"/>
    <cellStyle name="Comma 10 5 5 2" xfId="20677" xr:uid="{C4CB8144-5780-4A39-BD93-0F501C20F450}"/>
    <cellStyle name="Comma 10 5 6" xfId="20678" xr:uid="{2AC92567-A545-40B8-AD0A-E03092227E6C}"/>
    <cellStyle name="Comma 10 6" xfId="20679" xr:uid="{60318B20-9554-42D4-8FD8-4D2CF3C1BDB4}"/>
    <cellStyle name="Comma 10 6 2" xfId="20680" xr:uid="{DF89D873-DDE0-4BBF-80E3-AFAC3E2E3D4A}"/>
    <cellStyle name="Comma 10 6 2 2" xfId="20681" xr:uid="{9A436186-EB94-406C-951A-ED02550FFA3F}"/>
    <cellStyle name="Comma 10 6 2 2 2" xfId="20682" xr:uid="{7E94F864-B3B7-48C7-BACE-2F6A184E52B4}"/>
    <cellStyle name="Comma 10 6 2 2 2 2" xfId="20683" xr:uid="{ED5E04B8-CD46-48EC-BD1C-665E278466DE}"/>
    <cellStyle name="Comma 10 6 2 2 3" xfId="20684" xr:uid="{BCBACE3B-1E73-4544-9EF4-64F9A0498566}"/>
    <cellStyle name="Comma 10 6 2 3" xfId="20685" xr:uid="{6C8818CF-8959-4742-8A45-83DBBFBC1D1B}"/>
    <cellStyle name="Comma 10 6 2 3 2" xfId="20686" xr:uid="{D8257A69-2A85-495F-AEE4-36444FC50018}"/>
    <cellStyle name="Comma 10 6 2 3 2 2" xfId="20687" xr:uid="{BBA6C200-283D-4B65-B0EF-CB7CF13626E3}"/>
    <cellStyle name="Comma 10 6 2 3 3" xfId="20688" xr:uid="{02FB0588-9CAA-427A-9348-8F188A6005C3}"/>
    <cellStyle name="Comma 10 6 2 4" xfId="20689" xr:uid="{455331D2-DF32-4BC8-9C98-51EF07EDA6AC}"/>
    <cellStyle name="Comma 10 6 2 4 2" xfId="20690" xr:uid="{A360AF03-294A-422A-BE28-DF64FD972C71}"/>
    <cellStyle name="Comma 10 6 2 5" xfId="20691" xr:uid="{97B58FDB-7911-41F4-A7F1-EE620CD7D8CB}"/>
    <cellStyle name="Comma 10 6 3" xfId="20692" xr:uid="{148B7C9E-D824-444C-A86F-7F7DE177EF71}"/>
    <cellStyle name="Comma 10 6 3 2" xfId="20693" xr:uid="{5130DA41-7E09-419C-8A63-171634071D85}"/>
    <cellStyle name="Comma 10 6 3 2 2" xfId="20694" xr:uid="{A1917E53-4B74-4552-8464-647539C6997B}"/>
    <cellStyle name="Comma 10 6 3 3" xfId="20695" xr:uid="{6534B560-E05D-4722-8C15-68413F5C51C0}"/>
    <cellStyle name="Comma 10 6 4" xfId="20696" xr:uid="{94B55EC2-4C11-4679-9E06-DAA5AA5E7851}"/>
    <cellStyle name="Comma 10 6 4 2" xfId="20697" xr:uid="{BABDDB4E-8613-41C8-BA40-E016B07DBF95}"/>
    <cellStyle name="Comma 10 6 4 2 2" xfId="20698" xr:uid="{780A7B75-61FE-40E6-A898-C27EF07B14C4}"/>
    <cellStyle name="Comma 10 6 4 3" xfId="20699" xr:uid="{FA1B46F8-BEFE-49E9-9C3E-C14DF719CB3E}"/>
    <cellStyle name="Comma 10 6 5" xfId="20700" xr:uid="{E97E955E-618F-4787-90EC-BA676E4330F2}"/>
    <cellStyle name="Comma 10 6 5 2" xfId="20701" xr:uid="{3BB0C2E1-9A0F-42F8-89C0-3BE9132C852F}"/>
    <cellStyle name="Comma 10 6 6" xfId="20702" xr:uid="{72A191EC-DC32-4C90-9A53-E879232AB53F}"/>
    <cellStyle name="Comma 10 7" xfId="20703" xr:uid="{D24E8C7A-AAC8-4714-8C0E-4834EE1B2037}"/>
    <cellStyle name="Comma 10 7 2" xfId="20704" xr:uid="{FB7E607C-DA06-4F43-BAC2-AC6D4F85A047}"/>
    <cellStyle name="Comma 10 7 2 2" xfId="20705" xr:uid="{2B2694CB-F8D4-4D16-8424-FF3D3ECDA276}"/>
    <cellStyle name="Comma 10 7 2 2 2" xfId="20706" xr:uid="{B58B544F-D6AB-4FFD-9695-2F5803B6C391}"/>
    <cellStyle name="Comma 10 7 2 2 2 2" xfId="20707" xr:uid="{A161AEA3-7C26-4A87-BCE3-E7601C0DE6BB}"/>
    <cellStyle name="Comma 10 7 2 2 3" xfId="20708" xr:uid="{7B2AD0AD-BEBB-4FED-981F-EAA3A41206C3}"/>
    <cellStyle name="Comma 10 7 2 3" xfId="20709" xr:uid="{C4317C3B-F8AD-447A-AAB7-7025F7BD4194}"/>
    <cellStyle name="Comma 10 7 2 3 2" xfId="20710" xr:uid="{CBA8AFAD-B327-4FDB-9101-93D15B2C8E82}"/>
    <cellStyle name="Comma 10 7 2 3 2 2" xfId="20711" xr:uid="{8AF40B1D-1DE9-4267-B6FD-3003C6DC10A7}"/>
    <cellStyle name="Comma 10 7 2 3 3" xfId="20712" xr:uid="{52B698B3-4F87-4E72-BD33-94B0333A52CC}"/>
    <cellStyle name="Comma 10 7 2 4" xfId="20713" xr:uid="{78A734DB-2315-4912-8270-0AD495948546}"/>
    <cellStyle name="Comma 10 7 2 4 2" xfId="20714" xr:uid="{C9391E28-D230-4EFA-8EA2-6C3D205FBF39}"/>
    <cellStyle name="Comma 10 7 2 5" xfId="20715" xr:uid="{43B69EC5-0CD9-4C95-9AE2-8C37C4594BD5}"/>
    <cellStyle name="Comma 10 7 3" xfId="20716" xr:uid="{D82CDEE4-6CAD-47B5-81E7-1847964BBE1F}"/>
    <cellStyle name="Comma 10 7 3 2" xfId="20717" xr:uid="{46E6632C-D5E3-46B4-8B9F-C7366414EF07}"/>
    <cellStyle name="Comma 10 7 3 2 2" xfId="20718" xr:uid="{F12828FC-2177-478A-97C7-7FA853E0E745}"/>
    <cellStyle name="Comma 10 7 3 3" xfId="20719" xr:uid="{5B919329-98BF-4BE5-B8C9-4501FF6A7625}"/>
    <cellStyle name="Comma 10 7 4" xfId="20720" xr:uid="{95ADBE87-447E-4396-9B12-945E8220F758}"/>
    <cellStyle name="Comma 10 7 4 2" xfId="20721" xr:uid="{5684A2E6-1A74-4FA9-BEDA-BB2BE290096C}"/>
    <cellStyle name="Comma 10 7 4 2 2" xfId="20722" xr:uid="{ED3B63A1-ABA0-4C09-9AD4-6906C0EA13DE}"/>
    <cellStyle name="Comma 10 7 4 3" xfId="20723" xr:uid="{928C3095-1B7D-463D-AF58-A78DB692294E}"/>
    <cellStyle name="Comma 10 7 5" xfId="20724" xr:uid="{75340797-1819-4FEE-A934-55B31B216835}"/>
    <cellStyle name="Comma 10 7 5 2" xfId="20725" xr:uid="{6AFB2131-21EF-4497-80F2-454E2E7B9C22}"/>
    <cellStyle name="Comma 10 7 6" xfId="20726" xr:uid="{9C0E784D-3F5F-4EE0-938F-72DCFCFEC62E}"/>
    <cellStyle name="Comma 10 8" xfId="20727" xr:uid="{8682811A-99CD-43C4-AE1C-0C970C3A1824}"/>
    <cellStyle name="Comma 10 8 2" xfId="20728" xr:uid="{42AC00B9-D83F-4A7E-82E1-8BDDC0E26695}"/>
    <cellStyle name="Comma 10 8 2 2" xfId="20729" xr:uid="{3EE1EF8E-CA65-42DF-931A-5EAD552AAF06}"/>
    <cellStyle name="Comma 10 8 2 2 2" xfId="20730" xr:uid="{FBDB0605-3975-4F61-8F57-01D7D5C80541}"/>
    <cellStyle name="Comma 10 8 2 2 2 2" xfId="20731" xr:uid="{7429CD6A-CAA6-4F28-93A3-0182EEC48EEC}"/>
    <cellStyle name="Comma 10 8 2 2 3" xfId="20732" xr:uid="{C858E024-8765-4AF7-A6A5-E26682C07FC8}"/>
    <cellStyle name="Comma 10 8 2 3" xfId="20733" xr:uid="{24FB5446-4DC9-4A40-8C99-B89798E1DF7B}"/>
    <cellStyle name="Comma 10 8 2 3 2" xfId="20734" xr:uid="{A9F05C65-20B2-4ADD-BE3A-478362B3E87E}"/>
    <cellStyle name="Comma 10 8 2 3 2 2" xfId="20735" xr:uid="{BCFFDF1E-7BB2-4D63-917C-54E1C9ED53B7}"/>
    <cellStyle name="Comma 10 8 2 3 3" xfId="20736" xr:uid="{1F9BF7E2-7A53-432D-A9FE-53559F7F46BF}"/>
    <cellStyle name="Comma 10 8 2 4" xfId="20737" xr:uid="{890292CA-4557-4B23-BC70-A5595F22CC9F}"/>
    <cellStyle name="Comma 10 8 2 4 2" xfId="20738" xr:uid="{BE5A7E0D-136B-4F58-8C49-8BA4B43C6705}"/>
    <cellStyle name="Comma 10 8 2 5" xfId="20739" xr:uid="{D5591940-E49A-40DB-BE9A-74F370E9D717}"/>
    <cellStyle name="Comma 10 8 3" xfId="20740" xr:uid="{F04CA0FE-8D55-4FCC-B8E1-7FE7F74DE680}"/>
    <cellStyle name="Comma 10 8 3 2" xfId="20741" xr:uid="{32B9E42A-6570-467A-A74B-DF4E4CF888FB}"/>
    <cellStyle name="Comma 10 8 3 2 2" xfId="20742" xr:uid="{344FEA58-CBF4-408D-AA50-67060E1885B2}"/>
    <cellStyle name="Comma 10 8 3 3" xfId="20743" xr:uid="{A9FD4CE3-8D45-45B8-B229-1D078F0E7D09}"/>
    <cellStyle name="Comma 10 8 4" xfId="20744" xr:uid="{9173BE40-837A-4BA6-B538-076EAF6BEA93}"/>
    <cellStyle name="Comma 10 8 4 2" xfId="20745" xr:uid="{854619A5-7D6B-463C-9533-81EE589EC2DE}"/>
    <cellStyle name="Comma 10 8 4 2 2" xfId="20746" xr:uid="{E3745F1F-610E-4C1E-96A5-E21CECEBD058}"/>
    <cellStyle name="Comma 10 8 4 3" xfId="20747" xr:uid="{EABD06BC-1011-4A85-9D81-064A91F0F1F6}"/>
    <cellStyle name="Comma 10 8 5" xfId="20748" xr:uid="{2170FB12-7D36-42F0-A9AF-F56B838E343F}"/>
    <cellStyle name="Comma 10 8 5 2" xfId="20749" xr:uid="{603B2A74-9550-4C0A-9E4E-8FF316008687}"/>
    <cellStyle name="Comma 10 8 6" xfId="20750" xr:uid="{06562147-FA01-4280-9A0C-29D37163D484}"/>
    <cellStyle name="Comma 10 9" xfId="20751" xr:uid="{500290CC-AB41-424F-809F-5E53941FD757}"/>
    <cellStyle name="Comma 10 9 2" xfId="20752" xr:uid="{61930165-0F09-4DA2-BADF-60ED5691439A}"/>
    <cellStyle name="Comma 10 9 2 2" xfId="20753" xr:uid="{ECF9B24E-5278-41E3-9C35-DDA6B439D7C2}"/>
    <cellStyle name="Comma 10 9 2 2 2" xfId="20754" xr:uid="{4555F08E-E7AE-493C-B8F7-0627AEB4D424}"/>
    <cellStyle name="Comma 10 9 2 2 2 2" xfId="20755" xr:uid="{65679C9B-6D54-489B-8F34-C3A8E8FAA5C4}"/>
    <cellStyle name="Comma 10 9 2 2 3" xfId="20756" xr:uid="{EF7D2DC8-BFEA-44B3-B5C1-1C9CEFDCB274}"/>
    <cellStyle name="Comma 10 9 2 3" xfId="20757" xr:uid="{94066EEB-A8E7-4263-9D45-5B7562DD55A5}"/>
    <cellStyle name="Comma 10 9 2 3 2" xfId="20758" xr:uid="{79390E8D-7F2C-4DB2-B80C-3DDA5AF13647}"/>
    <cellStyle name="Comma 10 9 2 3 2 2" xfId="20759" xr:uid="{C58BC440-DAC9-4F47-BC51-43306C28BF15}"/>
    <cellStyle name="Comma 10 9 2 3 3" xfId="20760" xr:uid="{8D6B1DB0-9F1D-4594-BAE7-804B8B6B4927}"/>
    <cellStyle name="Comma 10 9 2 4" xfId="20761" xr:uid="{90583E5D-0B53-4708-8FB5-EFB26C81F7FB}"/>
    <cellStyle name="Comma 10 9 2 4 2" xfId="20762" xr:uid="{EC67F403-AC7A-4CDC-9759-1606A318FFED}"/>
    <cellStyle name="Comma 10 9 2 5" xfId="20763" xr:uid="{487E6A60-0DDC-423A-A30D-D701403EC6DE}"/>
    <cellStyle name="Comma 10 9 3" xfId="20764" xr:uid="{076A9279-D6AB-4FD1-91B7-0475A3724952}"/>
    <cellStyle name="Comma 10 9 3 2" xfId="20765" xr:uid="{6C539990-3E3E-44BC-BC78-E00BD141C4BA}"/>
    <cellStyle name="Comma 10 9 3 2 2" xfId="20766" xr:uid="{A7A0B2EF-D8CD-43E9-9F7F-08928E0A5BB1}"/>
    <cellStyle name="Comma 10 9 3 3" xfId="20767" xr:uid="{92A474F4-8272-436C-8715-B5A6C635A183}"/>
    <cellStyle name="Comma 10 9 4" xfId="20768" xr:uid="{F6AB2AAA-C88F-4AEF-8108-10172032F1B2}"/>
    <cellStyle name="Comma 10 9 4 2" xfId="20769" xr:uid="{37976555-7E0A-415F-8D33-261C9F900DE4}"/>
    <cellStyle name="Comma 10 9 4 2 2" xfId="20770" xr:uid="{5314A375-239C-40A1-9630-27634CCD4381}"/>
    <cellStyle name="Comma 10 9 4 3" xfId="20771" xr:uid="{A73193DD-B861-468A-84E2-9435A349FC41}"/>
    <cellStyle name="Comma 10 9 5" xfId="20772" xr:uid="{572C13F2-ECD9-443F-9314-2E1D0B9B42B5}"/>
    <cellStyle name="Comma 10 9 5 2" xfId="20773" xr:uid="{BF29660F-1D7A-4A7A-AC5B-F36E339229EF}"/>
    <cellStyle name="Comma 10 9 6" xfId="20774" xr:uid="{0FAE7110-5C4C-4EF0-B19E-D5B73C37A502}"/>
    <cellStyle name="Comma 101 2" xfId="20775" xr:uid="{A669604B-CBE3-4A50-BD9D-1BDE70C1A1E4}"/>
    <cellStyle name="Comma 11" xfId="20776" xr:uid="{102078E7-6416-4594-8CC6-8675E3E8697D}"/>
    <cellStyle name="Comma 11 10" xfId="20777" xr:uid="{D3E10532-96A8-4CAF-BD12-02985CAD09CD}"/>
    <cellStyle name="Comma 11 10 2" xfId="20778" xr:uid="{60592D6E-C0A4-4C55-9644-0E538F79BDEF}"/>
    <cellStyle name="Comma 11 10 2 2" xfId="20779" xr:uid="{CEABDCE4-DBED-40B0-99D6-D5855C0FC2C4}"/>
    <cellStyle name="Comma 11 10 2 2 2" xfId="20780" xr:uid="{ECFCAF61-2E1A-4C98-8392-A7F15CBE2D9A}"/>
    <cellStyle name="Comma 11 10 2 2 2 2" xfId="20781" xr:uid="{57CC0EC7-BB6D-4AB7-8F1A-C0C8E9C98C00}"/>
    <cellStyle name="Comma 11 10 2 2 3" xfId="20782" xr:uid="{B00128F6-935B-4476-BBD2-A9E6174A19D7}"/>
    <cellStyle name="Comma 11 10 2 3" xfId="20783" xr:uid="{43F59F8A-D299-4203-A545-616915F68444}"/>
    <cellStyle name="Comma 11 10 2 3 2" xfId="20784" xr:uid="{BFFB09C2-264C-432E-8CCD-4D60E6DCE89F}"/>
    <cellStyle name="Comma 11 10 2 3 2 2" xfId="20785" xr:uid="{09CF2E8F-23D4-4814-AFBE-F0A128D83800}"/>
    <cellStyle name="Comma 11 10 2 3 3" xfId="20786" xr:uid="{411C8BA4-4DB2-4243-8DBB-76BF0C1CC276}"/>
    <cellStyle name="Comma 11 10 2 4" xfId="20787" xr:uid="{9315224F-0057-4E4E-B794-1D38D3D912DF}"/>
    <cellStyle name="Comma 11 10 2 4 2" xfId="20788" xr:uid="{4CFB07A9-BF5B-4C94-A33B-F2E19A0A3473}"/>
    <cellStyle name="Comma 11 10 2 5" xfId="20789" xr:uid="{B30DD6D3-79E6-4CB6-BD85-0121DFDFA317}"/>
    <cellStyle name="Comma 11 10 3" xfId="20790" xr:uid="{5EC5882C-6DC9-4CF0-83D3-86E95326E002}"/>
    <cellStyle name="Comma 11 10 3 2" xfId="20791" xr:uid="{C9755367-FDF3-4A0D-A3DD-D330ADECDF22}"/>
    <cellStyle name="Comma 11 10 3 2 2" xfId="20792" xr:uid="{714081C8-4094-41F5-854B-3A17159FB108}"/>
    <cellStyle name="Comma 11 10 3 3" xfId="20793" xr:uid="{615135C8-1C34-42ED-9432-83E82FF69901}"/>
    <cellStyle name="Comma 11 10 4" xfId="20794" xr:uid="{77371BD0-C85C-42E8-B542-56894D7A3C77}"/>
    <cellStyle name="Comma 11 10 4 2" xfId="20795" xr:uid="{1B7446CE-BFD4-468F-A18E-D6A69CCF3C8B}"/>
    <cellStyle name="Comma 11 10 4 2 2" xfId="20796" xr:uid="{9B719897-BB59-465E-A2CF-E37F808B336D}"/>
    <cellStyle name="Comma 11 10 4 3" xfId="20797" xr:uid="{BA28E419-0A27-4158-AC55-9ED4311A5B10}"/>
    <cellStyle name="Comma 11 10 5" xfId="20798" xr:uid="{8449FCE9-6194-4098-B882-6A1A754C8E2E}"/>
    <cellStyle name="Comma 11 10 5 2" xfId="20799" xr:uid="{81B750DA-8C76-4474-B856-6ADB20991AC6}"/>
    <cellStyle name="Comma 11 10 6" xfId="20800" xr:uid="{41396D9F-A338-47BE-900B-2851BD875065}"/>
    <cellStyle name="Comma 11 11" xfId="20801" xr:uid="{6D9A2240-988A-4859-A1C1-60B1ED19678B}"/>
    <cellStyle name="Comma 11 11 2" xfId="20802" xr:uid="{7C8BE14D-F539-4591-AF0D-2A18F21A4F98}"/>
    <cellStyle name="Comma 11 11 2 2" xfId="20803" xr:uid="{28B3B049-0625-4921-868E-EBCB0B90B565}"/>
    <cellStyle name="Comma 11 11 2 2 2" xfId="20804" xr:uid="{2A0A7068-D329-428E-964C-99F647879ACC}"/>
    <cellStyle name="Comma 11 11 2 3" xfId="20805" xr:uid="{83C4ECE8-24AE-4A66-B322-6E9D06D859C8}"/>
    <cellStyle name="Comma 11 11 3" xfId="20806" xr:uid="{AD6787CB-6354-47AE-AB95-A9049C299C80}"/>
    <cellStyle name="Comma 11 11 3 2" xfId="20807" xr:uid="{1540C3B5-F69C-4AA2-BB1C-8435E8C545EF}"/>
    <cellStyle name="Comma 11 11 3 2 2" xfId="20808" xr:uid="{18BC900E-7DB8-48ED-9715-58A2D02CFFA5}"/>
    <cellStyle name="Comma 11 11 3 3" xfId="20809" xr:uid="{4F21D6D7-7840-4E58-8C4C-C210D0DC18C5}"/>
    <cellStyle name="Comma 11 11 4" xfId="20810" xr:uid="{FD8F34F6-A44F-412E-8020-BF639AF43A02}"/>
    <cellStyle name="Comma 11 11 4 2" xfId="20811" xr:uid="{D5DBF4D1-2D61-41E6-B047-807524F54393}"/>
    <cellStyle name="Comma 11 11 5" xfId="20812" xr:uid="{7D00F557-A122-49F6-BE55-15138AB768B0}"/>
    <cellStyle name="Comma 11 12" xfId="20813" xr:uid="{5F73FA1B-CE32-40C0-881A-1CDCAF7DD113}"/>
    <cellStyle name="Comma 11 12 2" xfId="20814" xr:uid="{EB650E98-7DBF-4582-96FA-0A573ED46B6F}"/>
    <cellStyle name="Comma 11 12 2 2" xfId="20815" xr:uid="{83BE3EA9-A1D2-453F-9799-2BB64B433135}"/>
    <cellStyle name="Comma 11 12 3" xfId="20816" xr:uid="{463C9119-CF90-47CD-B7FB-A91918C8E788}"/>
    <cellStyle name="Comma 11 13" xfId="20817" xr:uid="{75C667CC-67A6-466F-B70F-3A7B3DD5A246}"/>
    <cellStyle name="Comma 11 13 2" xfId="20818" xr:uid="{8B49CBC5-B79D-4084-8C8A-1C91693FDFC3}"/>
    <cellStyle name="Comma 11 13 2 2" xfId="20819" xr:uid="{4D3FC30E-B7FC-4C19-A46C-D483C6282941}"/>
    <cellStyle name="Comma 11 13 3" xfId="20820" xr:uid="{7DDC03E3-69A7-4661-8903-48C15DDFFE16}"/>
    <cellStyle name="Comma 11 14" xfId="20821" xr:uid="{510F765F-8DEC-4A63-AA33-841CCC69C705}"/>
    <cellStyle name="Comma 11 14 2" xfId="20822" xr:uid="{5CDF8F09-53D9-4BE5-BA1F-F3166C9C3CB4}"/>
    <cellStyle name="Comma 11 15" xfId="20823" xr:uid="{7C810AD6-06EE-48E7-B3A6-87BECAD801EB}"/>
    <cellStyle name="Comma 11 2" xfId="20824" xr:uid="{6FA77135-0FE5-4598-88EE-95186B3EDD84}"/>
    <cellStyle name="Comma 11 2 2" xfId="20825" xr:uid="{2979FC7A-BB19-4F9B-845B-D511B034D6E4}"/>
    <cellStyle name="Comma 11 2 2 2" xfId="20826" xr:uid="{26DAE70F-47DE-4D67-81CE-C62A0AFA7AA6}"/>
    <cellStyle name="Comma 11 2 2 2 2" xfId="20827" xr:uid="{BC764429-4519-4F7E-93FD-FB6DF042E235}"/>
    <cellStyle name="Comma 11 2 2 2 2 2" xfId="20828" xr:uid="{CC900BFE-783D-4884-9C38-7F6708D9A79F}"/>
    <cellStyle name="Comma 11 2 2 2 3" xfId="20829" xr:uid="{4EC8337C-EBF8-4840-B6A2-F3D853200B8F}"/>
    <cellStyle name="Comma 11 2 2 3" xfId="20830" xr:uid="{714427AD-2862-4B32-B37C-F8F5EED6AADA}"/>
    <cellStyle name="Comma 11 2 2 3 2" xfId="20831" xr:uid="{9709222C-BC87-4D2E-91B5-4781EA356E4B}"/>
    <cellStyle name="Comma 11 2 2 3 2 2" xfId="20832" xr:uid="{92208292-1466-4146-A9BA-3BFDB3DBD15E}"/>
    <cellStyle name="Comma 11 2 2 3 3" xfId="20833" xr:uid="{B87176A7-FC38-4425-AB17-AC3EA8837278}"/>
    <cellStyle name="Comma 11 2 2 4" xfId="20834" xr:uid="{4FB4DB9D-7F40-48C0-B563-DFC1612942A6}"/>
    <cellStyle name="Comma 11 2 2 4 2" xfId="20835" xr:uid="{4C1E10AE-0BC2-4CE3-AC64-852264BD0277}"/>
    <cellStyle name="Comma 11 2 2 5" xfId="20836" xr:uid="{C749D40D-F168-4750-8D5D-E6B74E128EE2}"/>
    <cellStyle name="Comma 11 2 2 5 2" xfId="38556" xr:uid="{CE2BFF26-9FAA-476E-9661-40828E2700EE}"/>
    <cellStyle name="Comma 11 2 2 6" xfId="38557" xr:uid="{66B94C28-DA88-4808-95B0-D0E65D3098E7}"/>
    <cellStyle name="Comma 11 2 3" xfId="20837" xr:uid="{030CE81A-BC6F-47A4-950B-ED7406E1C21D}"/>
    <cellStyle name="Comma 11 2 3 2" xfId="20838" xr:uid="{E7BA09D5-4E0E-44B7-8A89-1139ABAC2337}"/>
    <cellStyle name="Comma 11 2 3 2 2" xfId="20839" xr:uid="{BA7BFB0D-59BA-439A-A478-1EFB0F4B3226}"/>
    <cellStyle name="Comma 11 2 3 3" xfId="20840" xr:uid="{CCF96FF3-A4B7-49F1-8A5E-AB767AF21DC3}"/>
    <cellStyle name="Comma 11 2 4" xfId="20841" xr:uid="{E16C317A-535A-434C-B013-AEFA6F5EB44B}"/>
    <cellStyle name="Comma 11 2 4 2" xfId="20842" xr:uid="{5623EFE3-3F3F-450F-A5EB-89C3F6C69B5C}"/>
    <cellStyle name="Comma 11 2 4 2 2" xfId="20843" xr:uid="{9439FD79-7ADD-4EE1-BF2E-52ADEABCD4EF}"/>
    <cellStyle name="Comma 11 2 4 3" xfId="20844" xr:uid="{2D1F8A5C-BFA7-4436-A359-AE549DC48CCE}"/>
    <cellStyle name="Comma 11 2 5" xfId="20845" xr:uid="{975C2039-E7ED-4535-B05B-02EA7CF26624}"/>
    <cellStyle name="Comma 11 2 5 2" xfId="20846" xr:uid="{FFE6AAFF-E450-4CB7-9DF7-3A4C560C090B}"/>
    <cellStyle name="Comma 11 2 5 3" xfId="38558" xr:uid="{96787A86-FCA8-4AEE-8C7E-8FB5A466FA82}"/>
    <cellStyle name="Comma 11 2 6" xfId="20847" xr:uid="{BFFC49F6-FB6D-4C67-83EF-EE0927023C3D}"/>
    <cellStyle name="Comma 11 3" xfId="20848" xr:uid="{E57D6687-82C8-4901-910A-0F088595B0A2}"/>
    <cellStyle name="Comma 11 3 2" xfId="20849" xr:uid="{DA633806-9A39-4254-B920-6207239CF302}"/>
    <cellStyle name="Comma 11 3 2 2" xfId="20850" xr:uid="{05961AF0-F622-46AE-ADBF-CDC0CB186089}"/>
    <cellStyle name="Comma 11 3 2 2 2" xfId="20851" xr:uid="{3810319F-BCA1-4676-A3EA-3A8297C370EE}"/>
    <cellStyle name="Comma 11 3 2 2 2 2" xfId="20852" xr:uid="{E87C527B-44B3-4D10-A2DD-056FA7FD63EE}"/>
    <cellStyle name="Comma 11 3 2 2 3" xfId="20853" xr:uid="{00CAE33C-7CF6-4A97-A531-A5F7242DFCD8}"/>
    <cellStyle name="Comma 11 3 2 3" xfId="20854" xr:uid="{174818D0-9373-4D04-9498-9BA0A45964A2}"/>
    <cellStyle name="Comma 11 3 2 3 2" xfId="20855" xr:uid="{723EDEBC-A429-45E8-B721-BDF4726ED84C}"/>
    <cellStyle name="Comma 11 3 2 3 2 2" xfId="20856" xr:uid="{0B319BDA-BCAC-4DFE-938F-B69636D632FE}"/>
    <cellStyle name="Comma 11 3 2 3 3" xfId="20857" xr:uid="{DB97E3D8-DBEB-4ED1-BA9D-7CC5D244CF2E}"/>
    <cellStyle name="Comma 11 3 2 4" xfId="20858" xr:uid="{64B9112F-E71F-49C2-9FCC-1C73CD41BEB3}"/>
    <cellStyle name="Comma 11 3 2 4 2" xfId="20859" xr:uid="{88453E8F-98EC-4775-89AC-E779CE1EDA5D}"/>
    <cellStyle name="Comma 11 3 2 5" xfId="20860" xr:uid="{9E883393-1D2E-4494-9228-01B3DAD7DFBB}"/>
    <cellStyle name="Comma 11 3 3" xfId="20861" xr:uid="{0F1AD870-7183-48DC-934D-C36957A24798}"/>
    <cellStyle name="Comma 11 3 3 2" xfId="20862" xr:uid="{EFEFE42C-28A2-4DA5-B60C-E50D89761F87}"/>
    <cellStyle name="Comma 11 3 3 2 2" xfId="20863" xr:uid="{0A1E0E23-A873-4D66-AC86-62EE7EC596C5}"/>
    <cellStyle name="Comma 11 3 3 3" xfId="20864" xr:uid="{DF80168B-0E12-4EBE-ADB0-3E98E7EB4232}"/>
    <cellStyle name="Comma 11 3 4" xfId="20865" xr:uid="{9B13186F-EC8B-4541-81E9-496465D23E7D}"/>
    <cellStyle name="Comma 11 3 4 2" xfId="20866" xr:uid="{D508B36B-008D-49D7-A657-69FD5EF83CE7}"/>
    <cellStyle name="Comma 11 3 4 2 2" xfId="20867" xr:uid="{F0AE5D1F-06FC-4EA9-B4E4-5FDC8C067B39}"/>
    <cellStyle name="Comma 11 3 4 3" xfId="20868" xr:uid="{494947CB-994A-47B9-A23D-C2AAAEDC1242}"/>
    <cellStyle name="Comma 11 3 5" xfId="20869" xr:uid="{F90E2183-0CF0-48AB-85AC-9548593B7EBB}"/>
    <cellStyle name="Comma 11 3 5 2" xfId="20870" xr:uid="{E9978707-5171-43A7-B850-627E224C3A3A}"/>
    <cellStyle name="Comma 11 3 6" xfId="20871" xr:uid="{D0DA5142-585E-4EF1-B702-C15379D92018}"/>
    <cellStyle name="Comma 11 4" xfId="20872" xr:uid="{ACE27D08-5B4E-4EE3-A4B1-5DAC80ADF099}"/>
    <cellStyle name="Comma 11 4 2" xfId="20873" xr:uid="{2CD26788-4A0D-48C6-BD3A-554F1E13DD97}"/>
    <cellStyle name="Comma 11 4 2 2" xfId="20874" xr:uid="{8DC07BFD-F560-4271-869C-272EDAA1BC93}"/>
    <cellStyle name="Comma 11 4 2 2 2" xfId="20875" xr:uid="{70A07843-1EC4-432E-B780-C724E4AE737F}"/>
    <cellStyle name="Comma 11 4 2 2 2 2" xfId="20876" xr:uid="{14679589-7D4C-48EC-BDB3-2310A272F149}"/>
    <cellStyle name="Comma 11 4 2 2 3" xfId="20877" xr:uid="{D1A67034-5AD7-4989-B0E0-E6A37502943F}"/>
    <cellStyle name="Comma 11 4 2 3" xfId="20878" xr:uid="{C430FD37-E44E-4ADF-B1D3-F128FD4C14FF}"/>
    <cellStyle name="Comma 11 4 2 3 2" xfId="20879" xr:uid="{2A8160D2-AB41-446A-A489-6E76A6658FF0}"/>
    <cellStyle name="Comma 11 4 2 3 2 2" xfId="20880" xr:uid="{078CBC96-D5D0-41B7-8DAE-8B6E6ED0486E}"/>
    <cellStyle name="Comma 11 4 2 3 3" xfId="20881" xr:uid="{882F2508-DB31-4E38-AD14-E4490E83B2CA}"/>
    <cellStyle name="Comma 11 4 2 4" xfId="20882" xr:uid="{9DBD47C8-BED5-4D3F-B20E-EE6513AC0159}"/>
    <cellStyle name="Comma 11 4 2 4 2" xfId="20883" xr:uid="{DC866A1E-F02C-43DD-90F5-792F007569A2}"/>
    <cellStyle name="Comma 11 4 2 5" xfId="20884" xr:uid="{66B675B9-1C28-4528-968F-CDF5533C198E}"/>
    <cellStyle name="Comma 11 4 3" xfId="20885" xr:uid="{3859C872-140A-4716-B800-BC9B099098C6}"/>
    <cellStyle name="Comma 11 4 3 2" xfId="20886" xr:uid="{F70EF659-F1DF-4763-8C3A-8AC43A70270C}"/>
    <cellStyle name="Comma 11 4 3 2 2" xfId="20887" xr:uid="{661E112B-5D76-4498-851A-970F1D0A071E}"/>
    <cellStyle name="Comma 11 4 3 3" xfId="20888" xr:uid="{A2406305-8EE2-4252-BBA8-1053FC7541EE}"/>
    <cellStyle name="Comma 11 4 4" xfId="20889" xr:uid="{CCCCBBCD-2081-4F33-97FC-1DED8421D0AE}"/>
    <cellStyle name="Comma 11 4 4 2" xfId="20890" xr:uid="{68B191CD-92B5-4FF1-8518-EB06BC6C7965}"/>
    <cellStyle name="Comma 11 4 4 2 2" xfId="20891" xr:uid="{EA899B32-830B-44FD-91ED-F770AB1728ED}"/>
    <cellStyle name="Comma 11 4 4 3" xfId="20892" xr:uid="{F65284EE-55C1-432E-B75B-86F9D9AD9C14}"/>
    <cellStyle name="Comma 11 4 5" xfId="20893" xr:uid="{4C556BF3-0F66-4C8F-9D25-A6E2DD1E7894}"/>
    <cellStyle name="Comma 11 4 5 2" xfId="20894" xr:uid="{E67A365D-41F8-4E85-95D2-A0BA2857A841}"/>
    <cellStyle name="Comma 11 4 6" xfId="20895" xr:uid="{768B82B8-2772-499F-BE27-8B6203364576}"/>
    <cellStyle name="Comma 11 5" xfId="20896" xr:uid="{C12A5FED-72BE-4850-9D8B-8AB64C84818B}"/>
    <cellStyle name="Comma 11 5 2" xfId="20897" xr:uid="{D255C3D1-E2CE-4E7D-A7D1-A71E57835B65}"/>
    <cellStyle name="Comma 11 5 2 2" xfId="20898" xr:uid="{2A0A9EC0-3E42-40BE-9630-23A965A44F33}"/>
    <cellStyle name="Comma 11 5 2 2 2" xfId="20899" xr:uid="{72D6F76F-08A9-4F8A-8484-4501B9B80BFA}"/>
    <cellStyle name="Comma 11 5 2 2 2 2" xfId="20900" xr:uid="{BA58E386-4709-4206-A013-A25ABEC9C526}"/>
    <cellStyle name="Comma 11 5 2 2 3" xfId="20901" xr:uid="{2366592A-30DB-4A35-96BE-C63978D742D9}"/>
    <cellStyle name="Comma 11 5 2 3" xfId="20902" xr:uid="{4799B559-3D55-471F-AB27-184CB79BC109}"/>
    <cellStyle name="Comma 11 5 2 3 2" xfId="20903" xr:uid="{0FC08FAA-2AF3-41DD-A3E0-6D296691A966}"/>
    <cellStyle name="Comma 11 5 2 3 2 2" xfId="20904" xr:uid="{4F7CAB8A-46C4-4FFA-9243-3E259EB6334E}"/>
    <cellStyle name="Comma 11 5 2 3 3" xfId="20905" xr:uid="{3AC465CD-45D9-4045-9F69-5378B18EEB4B}"/>
    <cellStyle name="Comma 11 5 2 4" xfId="20906" xr:uid="{081ADA3B-9139-4CA6-91ED-F91CBE932EBB}"/>
    <cellStyle name="Comma 11 5 2 4 2" xfId="20907" xr:uid="{EA99E9FD-1EBD-4402-8E37-4BBEA838826D}"/>
    <cellStyle name="Comma 11 5 2 5" xfId="20908" xr:uid="{185616B2-5A5A-4421-B48C-70CABE9C6592}"/>
    <cellStyle name="Comma 11 5 3" xfId="20909" xr:uid="{DCB12B65-39D0-484E-B554-93CF019095B1}"/>
    <cellStyle name="Comma 11 5 3 2" xfId="20910" xr:uid="{14C9D419-958D-40B9-B0CB-0C85F4D23C68}"/>
    <cellStyle name="Comma 11 5 3 2 2" xfId="20911" xr:uid="{12E67026-F71C-4B53-A6BE-0F0F0E415AD3}"/>
    <cellStyle name="Comma 11 5 3 3" xfId="20912" xr:uid="{132C8786-49B6-4ED8-90B0-0D6D527E732C}"/>
    <cellStyle name="Comma 11 5 4" xfId="20913" xr:uid="{9E049D72-B725-4CFE-973D-F32733DCD320}"/>
    <cellStyle name="Comma 11 5 4 2" xfId="20914" xr:uid="{A1AD5523-BF6F-4105-98B3-82F60767D375}"/>
    <cellStyle name="Comma 11 5 4 2 2" xfId="20915" xr:uid="{ECE5DFBC-26BE-40C9-A3BD-6EC608E26B35}"/>
    <cellStyle name="Comma 11 5 4 3" xfId="20916" xr:uid="{127A40B2-E42F-424D-9606-E86869077F6D}"/>
    <cellStyle name="Comma 11 5 5" xfId="20917" xr:uid="{DAA0F80D-B8BF-4B03-ACEF-C2038E9A7341}"/>
    <cellStyle name="Comma 11 5 5 2" xfId="20918" xr:uid="{2D151262-A96F-4F45-AF25-AC89E092993A}"/>
    <cellStyle name="Comma 11 5 6" xfId="20919" xr:uid="{F9FC3199-07E9-4EB9-B625-6D45338683B5}"/>
    <cellStyle name="Comma 11 6" xfId="20920" xr:uid="{CA1819F4-06DC-4E3E-9A44-8DE004091EF4}"/>
    <cellStyle name="Comma 11 6 2" xfId="20921" xr:uid="{D825D2FC-9849-4E0F-94E7-EF9330F45622}"/>
    <cellStyle name="Comma 11 6 2 2" xfId="20922" xr:uid="{13F58229-894C-4152-95E8-D74FD7F728F9}"/>
    <cellStyle name="Comma 11 6 2 2 2" xfId="20923" xr:uid="{6DFB17D4-A29F-4D77-BD89-C0F7F874876F}"/>
    <cellStyle name="Comma 11 6 2 2 2 2" xfId="20924" xr:uid="{8404BA9F-7DE8-42D6-978D-CCE025688533}"/>
    <cellStyle name="Comma 11 6 2 2 3" xfId="20925" xr:uid="{6E511BB8-517B-4253-AA70-ACCA9C6C7375}"/>
    <cellStyle name="Comma 11 6 2 3" xfId="20926" xr:uid="{F134BB2F-2725-4DCA-B88A-CE6EC7AC54DF}"/>
    <cellStyle name="Comma 11 6 2 3 2" xfId="20927" xr:uid="{22DAD085-B68E-4EC9-902C-D32D6A1B6870}"/>
    <cellStyle name="Comma 11 6 2 3 2 2" xfId="20928" xr:uid="{7955D970-7EDE-40C7-9E1F-ADC9E5C51550}"/>
    <cellStyle name="Comma 11 6 2 3 3" xfId="20929" xr:uid="{2F143AE5-245D-42D3-B757-0E5D9CE57866}"/>
    <cellStyle name="Comma 11 6 2 4" xfId="20930" xr:uid="{14E8F97D-250A-47CC-80E5-89776F0A50A9}"/>
    <cellStyle name="Comma 11 6 2 4 2" xfId="20931" xr:uid="{36715077-F88A-471F-A4E1-80DB0125E3C2}"/>
    <cellStyle name="Comma 11 6 2 5" xfId="20932" xr:uid="{AC1ED2C9-82F7-47F3-B621-D48A5E4BA225}"/>
    <cellStyle name="Comma 11 6 3" xfId="20933" xr:uid="{DCEFF05E-A90A-4785-AE2B-949D18AE1BC6}"/>
    <cellStyle name="Comma 11 6 3 2" xfId="20934" xr:uid="{38F0C530-51FE-49DA-9896-4405AFBC118C}"/>
    <cellStyle name="Comma 11 6 3 2 2" xfId="20935" xr:uid="{8E5344D9-FC9F-4226-B779-41AAF5779592}"/>
    <cellStyle name="Comma 11 6 3 3" xfId="20936" xr:uid="{06BECECC-C411-4DEE-9276-36DFA6F7265C}"/>
    <cellStyle name="Comma 11 6 4" xfId="20937" xr:uid="{40701636-C1CD-4667-83F0-BE31422DD345}"/>
    <cellStyle name="Comma 11 6 4 2" xfId="20938" xr:uid="{2703718E-4202-4CA9-80E0-BCD49052A7E9}"/>
    <cellStyle name="Comma 11 6 4 2 2" xfId="20939" xr:uid="{7C7C934F-16CE-43B2-B314-C859FC1B8ADE}"/>
    <cellStyle name="Comma 11 6 4 3" xfId="20940" xr:uid="{F24F3728-E581-4B42-9FF8-B4C7125D3ABC}"/>
    <cellStyle name="Comma 11 6 5" xfId="20941" xr:uid="{17DD2BCB-E9CB-4D9D-A01A-ACFBF9ACCF6F}"/>
    <cellStyle name="Comma 11 6 5 2" xfId="20942" xr:uid="{01A5E092-F3BA-47EA-9737-2C56D6DDB662}"/>
    <cellStyle name="Comma 11 6 6" xfId="20943" xr:uid="{62AA8001-DFC3-4655-8040-A0F410D6DEEB}"/>
    <cellStyle name="Comma 11 6 7" xfId="38559" xr:uid="{A9B41E05-EA21-4C4E-B9CA-BEE4C9568AA3}"/>
    <cellStyle name="Comma 11 7" xfId="20944" xr:uid="{E9ED4FE4-1E37-4A65-9F9B-40B886D18AED}"/>
    <cellStyle name="Comma 11 7 2" xfId="20945" xr:uid="{F19BDD2E-4E14-4529-99C5-45D8416BF289}"/>
    <cellStyle name="Comma 11 7 2 2" xfId="20946" xr:uid="{6B7B1A8E-64C2-4A32-9C09-FB2210B46CB1}"/>
    <cellStyle name="Comma 11 7 2 2 2" xfId="20947" xr:uid="{16FAF0AE-86DD-4E3C-9A97-E61451343819}"/>
    <cellStyle name="Comma 11 7 2 2 2 2" xfId="20948" xr:uid="{6A774ABD-A8A8-4747-8C3C-4912A9BCA8D0}"/>
    <cellStyle name="Comma 11 7 2 2 3" xfId="20949" xr:uid="{4622D5CF-3235-4C89-8905-CACD89337844}"/>
    <cellStyle name="Comma 11 7 2 3" xfId="20950" xr:uid="{7FFF5B13-F3B9-4E2E-BAC6-C84DED6B0209}"/>
    <cellStyle name="Comma 11 7 2 3 2" xfId="20951" xr:uid="{41B439D5-E5B6-4F44-A923-72B97E86E3EE}"/>
    <cellStyle name="Comma 11 7 2 3 2 2" xfId="20952" xr:uid="{CF1323DC-5952-4D93-84AF-9937C0FBEFD7}"/>
    <cellStyle name="Comma 11 7 2 3 3" xfId="20953" xr:uid="{C6CD7059-BA92-4900-AB5D-B4663E5AC1A1}"/>
    <cellStyle name="Comma 11 7 2 4" xfId="20954" xr:uid="{75594F8C-18ED-456E-BBFC-DE50953F57F0}"/>
    <cellStyle name="Comma 11 7 2 4 2" xfId="20955" xr:uid="{13912BC9-2C77-4E09-901A-45D32C04F7D7}"/>
    <cellStyle name="Comma 11 7 2 5" xfId="20956" xr:uid="{03CBDD51-C20F-4A9D-8400-B9A35C99F45E}"/>
    <cellStyle name="Comma 11 7 3" xfId="20957" xr:uid="{5F05D1E1-9331-427D-878E-E6A0C32F7EF5}"/>
    <cellStyle name="Comma 11 7 3 2" xfId="20958" xr:uid="{6B136934-5B9D-47C9-AA76-0E7756035125}"/>
    <cellStyle name="Comma 11 7 3 2 2" xfId="20959" xr:uid="{DD83EAA2-2562-4AC1-A3DB-A38C3152A4BC}"/>
    <cellStyle name="Comma 11 7 3 3" xfId="20960" xr:uid="{87A2711E-9AF7-4C12-BFE8-FC4A3DCCE88D}"/>
    <cellStyle name="Comma 11 7 4" xfId="20961" xr:uid="{977205FD-B472-450C-AB29-D02878937E1A}"/>
    <cellStyle name="Comma 11 7 4 2" xfId="20962" xr:uid="{31250BE1-8FF2-44E2-9223-BA11D3091676}"/>
    <cellStyle name="Comma 11 7 4 2 2" xfId="20963" xr:uid="{C0A9737B-4646-4049-B638-3D389E45AE44}"/>
    <cellStyle name="Comma 11 7 4 3" xfId="20964" xr:uid="{EA6049D9-68CB-407A-A10C-697F47E403D2}"/>
    <cellStyle name="Comma 11 7 5" xfId="20965" xr:uid="{46929025-F775-41B8-8DEB-67D1CAC9CB69}"/>
    <cellStyle name="Comma 11 7 5 2" xfId="20966" xr:uid="{4A6193A4-CB9F-419E-B4CE-4B0F672E6B5F}"/>
    <cellStyle name="Comma 11 7 6" xfId="20967" xr:uid="{F1A3C49F-FDCF-4C7E-9C2B-34967CF7C3B2}"/>
    <cellStyle name="Comma 11 8" xfId="20968" xr:uid="{573CB2C3-BF7D-4F3D-B7D3-20A5021788D5}"/>
    <cellStyle name="Comma 11 8 2" xfId="20969" xr:uid="{A89FA24A-4664-4528-989A-D8207D066279}"/>
    <cellStyle name="Comma 11 8 2 2" xfId="20970" xr:uid="{A33E575F-6223-4B5A-B82A-1D3F17786412}"/>
    <cellStyle name="Comma 11 8 2 2 2" xfId="20971" xr:uid="{0CAB7670-BC92-4F6E-AFE0-B0AC4EE76C73}"/>
    <cellStyle name="Comma 11 8 2 2 2 2" xfId="20972" xr:uid="{50A12B4F-7CDF-482F-920B-B902BFCAA0AE}"/>
    <cellStyle name="Comma 11 8 2 2 3" xfId="20973" xr:uid="{5673D37F-9B6F-4441-9CBC-B6E612010B29}"/>
    <cellStyle name="Comma 11 8 2 3" xfId="20974" xr:uid="{92191899-8F21-4BAC-9CAE-D42AD6BBE3FF}"/>
    <cellStyle name="Comma 11 8 2 3 2" xfId="20975" xr:uid="{D24B1720-5D8E-4760-8068-C5777BB0B2E2}"/>
    <cellStyle name="Comma 11 8 2 3 2 2" xfId="20976" xr:uid="{83801A2E-A081-4AE9-8ADF-827119D45D2C}"/>
    <cellStyle name="Comma 11 8 2 3 3" xfId="20977" xr:uid="{90FA3484-7665-4F76-A53B-7758DA99657F}"/>
    <cellStyle name="Comma 11 8 2 4" xfId="20978" xr:uid="{0E308AB2-93C5-46A7-9DF7-192D3BE58D6E}"/>
    <cellStyle name="Comma 11 8 2 4 2" xfId="20979" xr:uid="{DCAD5005-A856-485D-80D9-053652CFD026}"/>
    <cellStyle name="Comma 11 8 2 5" xfId="20980" xr:uid="{26B0F63B-667A-44BF-9457-3306788DE8B2}"/>
    <cellStyle name="Comma 11 8 3" xfId="20981" xr:uid="{1C2C943F-E9C0-44D8-B3CC-0C5153A80B27}"/>
    <cellStyle name="Comma 11 8 3 2" xfId="20982" xr:uid="{03AF65BE-E765-4717-BE8D-196E613D945F}"/>
    <cellStyle name="Comma 11 8 3 2 2" xfId="20983" xr:uid="{E81794D2-CBA7-4300-8499-3E77387A23EA}"/>
    <cellStyle name="Comma 11 8 3 3" xfId="20984" xr:uid="{8A965945-A02B-4455-B40A-D3613A69C0E5}"/>
    <cellStyle name="Comma 11 8 4" xfId="20985" xr:uid="{2E591CE4-5251-4778-8A91-5DC046029E53}"/>
    <cellStyle name="Comma 11 8 4 2" xfId="20986" xr:uid="{709D5EF8-B6BD-4B39-8D42-D877D6665D38}"/>
    <cellStyle name="Comma 11 8 4 2 2" xfId="20987" xr:uid="{EE6A9D1C-751F-4459-A1B1-C1F1B8AA0164}"/>
    <cellStyle name="Comma 11 8 4 3" xfId="20988" xr:uid="{B07955CA-EFB1-441A-94D7-364A662AC3A8}"/>
    <cellStyle name="Comma 11 8 5" xfId="20989" xr:uid="{BAC5441C-5023-41F9-BEEE-13FB1A8BDC15}"/>
    <cellStyle name="Comma 11 8 5 2" xfId="20990" xr:uid="{F324F79E-E8B2-41B4-8552-90D991F20E1B}"/>
    <cellStyle name="Comma 11 8 6" xfId="20991" xr:uid="{D753008C-0701-4A6B-963D-555E582E9612}"/>
    <cellStyle name="Comma 11 9" xfId="20992" xr:uid="{114F6D30-B8B0-428A-A1F6-8A4631FA6F57}"/>
    <cellStyle name="Comma 11 9 2" xfId="20993" xr:uid="{898016B1-1818-4429-BBAE-A5F68ED9D7B4}"/>
    <cellStyle name="Comma 11 9 2 2" xfId="20994" xr:uid="{8AA455E3-8C5B-44C9-8E0E-D6B1D0B3A220}"/>
    <cellStyle name="Comma 11 9 2 2 2" xfId="20995" xr:uid="{079B373D-5427-4670-8926-576F4BBF42F2}"/>
    <cellStyle name="Comma 11 9 2 2 2 2" xfId="20996" xr:uid="{33BE217D-EECB-4884-A2DA-F8CCD71D7CA3}"/>
    <cellStyle name="Comma 11 9 2 2 3" xfId="20997" xr:uid="{6D086940-FB60-41F2-A278-EF54C4EA5D25}"/>
    <cellStyle name="Comma 11 9 2 3" xfId="20998" xr:uid="{D22D71CF-1E62-4B87-834C-EE6D78169F4B}"/>
    <cellStyle name="Comma 11 9 2 3 2" xfId="20999" xr:uid="{D066103F-5F4E-4FC4-9910-93A0FDEDDE4D}"/>
    <cellStyle name="Comma 11 9 2 3 2 2" xfId="21000" xr:uid="{757CD259-24CD-445E-8C48-AFAA84983A81}"/>
    <cellStyle name="Comma 11 9 2 3 3" xfId="21001" xr:uid="{F85F4DC9-6991-40CD-A864-CABE5749D1D4}"/>
    <cellStyle name="Comma 11 9 2 4" xfId="21002" xr:uid="{ACDA43DC-1190-4B01-AB2D-C520219C9987}"/>
    <cellStyle name="Comma 11 9 2 4 2" xfId="21003" xr:uid="{0D6A0FAD-A6D1-4BA0-839A-2CEE25E2B8C2}"/>
    <cellStyle name="Comma 11 9 2 5" xfId="21004" xr:uid="{D74064E7-30B3-4A9B-868E-F88ECD6F35A6}"/>
    <cellStyle name="Comma 11 9 3" xfId="21005" xr:uid="{99AEA383-059B-4DC6-A312-58C69A4A937C}"/>
    <cellStyle name="Comma 11 9 3 2" xfId="21006" xr:uid="{B70CEBBF-EF5B-47D2-B646-B6CF1D1424F2}"/>
    <cellStyle name="Comma 11 9 3 2 2" xfId="21007" xr:uid="{9343C225-ABDF-4709-AE6D-D5548C4828DE}"/>
    <cellStyle name="Comma 11 9 3 3" xfId="21008" xr:uid="{3821F824-887B-4EE7-B95B-6A6434CCD87C}"/>
    <cellStyle name="Comma 11 9 4" xfId="21009" xr:uid="{77B94B9E-A7E8-412D-8C06-CC1C74CADFAA}"/>
    <cellStyle name="Comma 11 9 4 2" xfId="21010" xr:uid="{70AE4887-DB3F-4462-89DA-4404BC040FC9}"/>
    <cellStyle name="Comma 11 9 4 2 2" xfId="21011" xr:uid="{6E8A8B6B-CD29-4038-82EF-D0CBC79DD339}"/>
    <cellStyle name="Comma 11 9 4 3" xfId="21012" xr:uid="{DDBF7B39-52E7-4FBC-95FE-8D3783B0078F}"/>
    <cellStyle name="Comma 11 9 5" xfId="21013" xr:uid="{B5C06D08-D0DB-41D2-B69E-8D90D77625CE}"/>
    <cellStyle name="Comma 11 9 5 2" xfId="21014" xr:uid="{8FF6A921-5E6C-4529-9F5C-1BEC54A03B59}"/>
    <cellStyle name="Comma 11 9 6" xfId="21015" xr:uid="{95A3076F-DC93-4F50-88F6-5E90672C6E08}"/>
    <cellStyle name="Comma 12" xfId="21016" xr:uid="{205BBEFD-188D-44B3-933C-3F1A9BBEA790}"/>
    <cellStyle name="Comma 12 2" xfId="21017" xr:uid="{C9E8DE8D-0570-4980-8DA3-92593BD492C8}"/>
    <cellStyle name="Comma 12 2 2" xfId="21018" xr:uid="{C0FB00E3-91C1-48A9-8F69-B73A8380A116}"/>
    <cellStyle name="Comma 12 2 2 2" xfId="21019" xr:uid="{AB9EE3DA-400D-48D4-987D-BF8F5E88F396}"/>
    <cellStyle name="Comma 12 2 2 2 2" xfId="21020" xr:uid="{730EDAE6-230B-4E2B-AE90-AF17BE347893}"/>
    <cellStyle name="Comma 12 2 2 2 2 2" xfId="21021" xr:uid="{DF3300F8-A3B3-4A2C-A3E8-67C92D93A47F}"/>
    <cellStyle name="Comma 12 2 2 2 2 2 2" xfId="21022" xr:uid="{ED33B619-EF6E-4238-A539-1BDB1619815B}"/>
    <cellStyle name="Comma 12 2 2 2 2 3" xfId="21023" xr:uid="{BF0132DF-844D-4A63-BD70-2348EE47A89B}"/>
    <cellStyle name="Comma 12 2 2 2 3" xfId="21024" xr:uid="{2D51641D-91F5-49E4-823F-354D797E7574}"/>
    <cellStyle name="Comma 12 2 2 2 3 2" xfId="21025" xr:uid="{82996827-3B50-4E92-B866-F00C8EE093AD}"/>
    <cellStyle name="Comma 12 2 2 2 3 2 2" xfId="21026" xr:uid="{CE6D2C00-9D29-4470-AAB4-6B38C81777A4}"/>
    <cellStyle name="Comma 12 2 2 2 3 3" xfId="21027" xr:uid="{43C2E33E-BAD2-4A80-A836-EC3A75C674DA}"/>
    <cellStyle name="Comma 12 2 2 2 4" xfId="21028" xr:uid="{80CAA5E2-5599-4AD7-800C-BAC9523301FE}"/>
    <cellStyle name="Comma 12 2 2 2 4 2" xfId="21029" xr:uid="{72A63979-A279-4DB1-8B64-0D434101FC71}"/>
    <cellStyle name="Comma 12 2 2 2 5" xfId="21030" xr:uid="{22405A6E-FBEE-4ADE-910D-D97AC6E44DF7}"/>
    <cellStyle name="Comma 12 2 2 3" xfId="21031" xr:uid="{76AC6D7B-FB1D-4F5E-91C6-2C4342C8DC2A}"/>
    <cellStyle name="Comma 12 2 2 3 2" xfId="21032" xr:uid="{5A820183-F2E8-4EA3-B179-62730AEE8166}"/>
    <cellStyle name="Comma 12 2 2 3 2 2" xfId="21033" xr:uid="{2C133AC5-3B5E-4DC8-8601-8371EB68FEC6}"/>
    <cellStyle name="Comma 12 2 2 3 3" xfId="21034" xr:uid="{3FF854A1-9612-4DD8-B21C-A2B29AB409E1}"/>
    <cellStyle name="Comma 12 2 2 4" xfId="21035" xr:uid="{465F5F7F-EBF4-4B1D-9FD9-58A58ABFC9BA}"/>
    <cellStyle name="Comma 12 2 2 4 2" xfId="21036" xr:uid="{6583156B-7700-411E-94D9-2D16BAA3971E}"/>
    <cellStyle name="Comma 12 2 2 4 2 2" xfId="21037" xr:uid="{DE9F8AE3-60EA-4952-9F0A-156BEF84EB7F}"/>
    <cellStyle name="Comma 12 2 2 4 3" xfId="21038" xr:uid="{66FE8CF4-BA65-4723-B001-BDD5F1BB2415}"/>
    <cellStyle name="Comma 12 2 2 5" xfId="21039" xr:uid="{323FDC8A-634F-4F05-A3F1-EF2BDE34E842}"/>
    <cellStyle name="Comma 12 2 2 5 2" xfId="21040" xr:uid="{F3D042F8-1D58-4FAF-9D39-3D0668C19D67}"/>
    <cellStyle name="Comma 12 2 2 6" xfId="21041" xr:uid="{D81F27DF-701D-44EE-80F0-7E68DA444EFE}"/>
    <cellStyle name="Comma 12 2 2 7" xfId="38560" xr:uid="{C690E707-DD54-476B-98E3-6BAE17FAAD13}"/>
    <cellStyle name="Comma 12 2 3" xfId="21042" xr:uid="{DA774E57-3195-4B67-9AEB-238EBD047E81}"/>
    <cellStyle name="Comma 12 2 3 2" xfId="21043" xr:uid="{1761F066-040E-46DD-BADA-F4DFED0AEB52}"/>
    <cellStyle name="Comma 12 2 3 2 2" xfId="21044" xr:uid="{BC09CEC4-4673-41D4-A743-E65268B68AB2}"/>
    <cellStyle name="Comma 12 2 3 2 2 2" xfId="21045" xr:uid="{83EE5290-077F-42A1-8C9C-D4AD7391AC1F}"/>
    <cellStyle name="Comma 12 2 3 2 3" xfId="21046" xr:uid="{61D63037-623B-41C6-857A-00A50212D475}"/>
    <cellStyle name="Comma 12 2 3 3" xfId="21047" xr:uid="{19B0C60A-329F-4CC7-8C67-E96187FF4A63}"/>
    <cellStyle name="Comma 12 2 3 3 2" xfId="21048" xr:uid="{CC671A28-BD9C-46DF-AE1F-8BC49F425654}"/>
    <cellStyle name="Comma 12 2 3 3 2 2" xfId="21049" xr:uid="{F06C5EF6-A498-4D0C-BC4C-10D6E589256F}"/>
    <cellStyle name="Comma 12 2 3 3 3" xfId="21050" xr:uid="{7B045154-4421-43B3-8CEB-772FE34FC879}"/>
    <cellStyle name="Comma 12 2 3 4" xfId="21051" xr:uid="{3D9E1103-979B-4DB7-9992-3F338391D738}"/>
    <cellStyle name="Comma 12 2 3 4 2" xfId="21052" xr:uid="{098062AA-CFCF-4D20-8332-1752C32504A9}"/>
    <cellStyle name="Comma 12 2 3 5" xfId="21053" xr:uid="{C66A188B-FD2D-493C-ADDB-2863F6097343}"/>
    <cellStyle name="Comma 12 2 4" xfId="21054" xr:uid="{D1A3E6EE-5B08-4DD8-B0A7-77FEB5379C63}"/>
    <cellStyle name="Comma 12 2 4 2" xfId="21055" xr:uid="{98B27AE8-CD21-4592-9FF5-1A78E169FDCE}"/>
    <cellStyle name="Comma 12 2 4 2 2" xfId="21056" xr:uid="{89DB256A-2A78-4F10-9663-14D4CB6D5A79}"/>
    <cellStyle name="Comma 12 2 4 3" xfId="21057" xr:uid="{B2C69A27-3BB1-4301-B03F-2826EC728F3E}"/>
    <cellStyle name="Comma 12 2 5" xfId="21058" xr:uid="{A0F98D31-9845-444C-8CFD-B27883F27E74}"/>
    <cellStyle name="Comma 12 2 5 2" xfId="21059" xr:uid="{EE4D8A73-2052-497B-AC80-B25B27EFB96A}"/>
    <cellStyle name="Comma 12 2 5 2 2" xfId="21060" xr:uid="{0915710A-68C0-4D42-A22B-2849D68258C1}"/>
    <cellStyle name="Comma 12 2 5 3" xfId="21061" xr:uid="{BA6BC1FE-3C04-4080-832A-690E5A925F85}"/>
    <cellStyle name="Comma 12 2 6" xfId="21062" xr:uid="{EE2CFF8F-121A-419A-A01C-AA134B4726B7}"/>
    <cellStyle name="Comma 12 2 6 2" xfId="21063" xr:uid="{B8F97EA5-96D3-4501-BC49-D0E0D63FF0F3}"/>
    <cellStyle name="Comma 12 2 7" xfId="21064" xr:uid="{35AFB4E4-B2AF-4885-92B7-465493045F43}"/>
    <cellStyle name="Comma 12 2 8" xfId="38561" xr:uid="{A5B9E82E-1223-493A-B487-8857FA9DF3B0}"/>
    <cellStyle name="Comma 12 3" xfId="21065" xr:uid="{B631564D-17FC-4A53-AA0E-1D357D7B90D4}"/>
    <cellStyle name="Comma 12 3 2" xfId="21066" xr:uid="{7022EB79-BF83-442B-B293-F94822DF0D6E}"/>
    <cellStyle name="Comma 12 3 2 2" xfId="21067" xr:uid="{E507257F-BCCE-4A14-901E-860FF36A644F}"/>
    <cellStyle name="Comma 12 3 2 2 2" xfId="21068" xr:uid="{8CDFCFBD-F8A7-49D8-8C6C-7F153F92B874}"/>
    <cellStyle name="Comma 12 3 2 3" xfId="21069" xr:uid="{2AEFA694-17BC-4FA1-800F-33EEAE4A236B}"/>
    <cellStyle name="Comma 12 3 3" xfId="21070" xr:uid="{4A5B38FE-38A1-4546-86D1-E3A81964129D}"/>
    <cellStyle name="Comma 12 3 3 2" xfId="21071" xr:uid="{7AA7705D-E4A8-4DAE-A8F7-AAA086CE64BB}"/>
    <cellStyle name="Comma 12 3 3 2 2" xfId="21072" xr:uid="{8D4D7DB4-E383-4924-816B-C8231C098E4C}"/>
    <cellStyle name="Comma 12 3 3 3" xfId="21073" xr:uid="{D572471B-94D9-48B8-87EA-FDBBFC68DFE3}"/>
    <cellStyle name="Comma 12 3 4" xfId="21074" xr:uid="{9C8604CD-D8EE-4398-8BF5-97A959F41C06}"/>
    <cellStyle name="Comma 12 3 4 2" xfId="21075" xr:uid="{D5BCDD67-564F-40AC-BD01-370A5507F3F1}"/>
    <cellStyle name="Comma 12 3 5" xfId="21076" xr:uid="{6918D19E-5FD0-447A-B574-9E144A054D30}"/>
    <cellStyle name="Comma 12 4" xfId="21077" xr:uid="{A419631D-BB88-447C-A3E0-BE69CC1A658C}"/>
    <cellStyle name="Comma 12 4 2" xfId="21078" xr:uid="{5220CE07-14AC-48AC-8725-BB14B956A77D}"/>
    <cellStyle name="Comma 12 4 2 2" xfId="21079" xr:uid="{9717DB14-1D94-40E0-98DD-27C5B1AB0B2F}"/>
    <cellStyle name="Comma 12 4 3" xfId="21080" xr:uid="{E0BA47DF-BD60-412E-9275-08993DC1D04D}"/>
    <cellStyle name="Comma 12 5" xfId="21081" xr:uid="{2A11EC9C-E39F-42F0-B36C-16E5A8A77FE1}"/>
    <cellStyle name="Comma 12 5 2" xfId="21082" xr:uid="{11C86EBD-2FF5-4D41-B708-B985618A9CE5}"/>
    <cellStyle name="Comma 12 5 2 2" xfId="21083" xr:uid="{EDC5F171-DA35-4421-AE42-2F638DC60A0E}"/>
    <cellStyle name="Comma 12 5 3" xfId="21084" xr:uid="{464CEB0A-8416-4DBB-AEC8-759FFAA9A678}"/>
    <cellStyle name="Comma 12 6" xfId="21085" xr:uid="{6D677FA7-5BEB-4538-8BC4-98612D52D06D}"/>
    <cellStyle name="Comma 12 6 2" xfId="21086" xr:uid="{67C113E1-5DAA-4BE4-A650-7CB4CBB84B4B}"/>
    <cellStyle name="Comma 12 7" xfId="21087" xr:uid="{02B7BBE6-76AC-4AD3-859D-E64CD2BCE875}"/>
    <cellStyle name="Comma 13" xfId="21088" xr:uid="{E0D183FA-2379-461D-A377-F818299753F9}"/>
    <cellStyle name="Comma 13 2" xfId="21089" xr:uid="{A8CAB306-C11A-4434-A1B3-A1FE8696FAFF}"/>
    <cellStyle name="Comma 13 2 2" xfId="21090" xr:uid="{66206762-5C5A-4AE9-B545-712769E0C997}"/>
    <cellStyle name="Comma 13 2 2 2" xfId="21091" xr:uid="{9816D301-A5BA-4C0F-8726-89BFE263900F}"/>
    <cellStyle name="Comma 13 2 2 2 2" xfId="21092" xr:uid="{6CA375A5-D763-4A0A-A5F2-963306FF6B54}"/>
    <cellStyle name="Comma 13 2 2 2 2 2" xfId="21093" xr:uid="{46107296-366C-4759-BBC5-E14484704091}"/>
    <cellStyle name="Comma 13 2 2 2 3" xfId="21094" xr:uid="{A9DECB34-85E5-453A-A7ED-FE44AADBB6F4}"/>
    <cellStyle name="Comma 13 2 2 3" xfId="21095" xr:uid="{46BC3368-04E8-468F-AC45-3B0D4023D2A6}"/>
    <cellStyle name="Comma 13 2 2 3 2" xfId="21096" xr:uid="{A95E5B92-F577-4BD5-A56D-57D18B32A275}"/>
    <cellStyle name="Comma 13 2 2 3 2 2" xfId="21097" xr:uid="{8DB5A557-1F7E-47E5-BD8B-3EC73093E807}"/>
    <cellStyle name="Comma 13 2 2 3 3" xfId="21098" xr:uid="{A2A4DD29-DE4F-43B7-81DB-B29EC3687705}"/>
    <cellStyle name="Comma 13 2 2 4" xfId="21099" xr:uid="{210FCDEC-C99E-423C-9166-EC987C37E4C6}"/>
    <cellStyle name="Comma 13 2 2 4 2" xfId="21100" xr:uid="{F1237BF7-6F98-4A1E-ABE4-87DCA1F22DBB}"/>
    <cellStyle name="Comma 13 2 2 5" xfId="21101" xr:uid="{8ABA5BF1-6F2C-4EA6-A094-7EC35664A6F5}"/>
    <cellStyle name="Comma 13 2 3" xfId="21102" xr:uid="{6B331DD5-F55C-4B2A-9D04-349764659DEC}"/>
    <cellStyle name="Comma 13 2 3 2" xfId="21103" xr:uid="{3B6688B6-32E5-4373-8E6F-CEE6EFD94B39}"/>
    <cellStyle name="Comma 13 2 3 2 2" xfId="21104" xr:uid="{676F94F4-7C65-41E1-BA30-073E6DD089C0}"/>
    <cellStyle name="Comma 13 2 3 3" xfId="21105" xr:uid="{71D17482-0002-474D-8305-12797C9799C2}"/>
    <cellStyle name="Comma 13 2 4" xfId="21106" xr:uid="{7D94CECE-139D-444F-AFEC-611C62F92C51}"/>
    <cellStyle name="Comma 13 2 4 2" xfId="21107" xr:uid="{D802FD6D-7349-4226-8D4F-6CF5BA9AD3FE}"/>
    <cellStyle name="Comma 13 2 4 2 2" xfId="21108" xr:uid="{1306F044-AF7C-42B8-A410-D4F37F6F68A3}"/>
    <cellStyle name="Comma 13 2 4 3" xfId="21109" xr:uid="{0AD9B6E6-7415-46C4-A187-BC7A9B168998}"/>
    <cellStyle name="Comma 13 2 5" xfId="21110" xr:uid="{DCAABE80-F299-44E0-A1F2-2250642265BF}"/>
    <cellStyle name="Comma 13 2 5 2" xfId="21111" xr:uid="{F24849B5-E132-488E-80A9-EEE2F768E64A}"/>
    <cellStyle name="Comma 13 2 6" xfId="21112" xr:uid="{E61BE857-BDDC-450E-B24E-5990A81E8935}"/>
    <cellStyle name="Comma 13 2 7" xfId="38562" xr:uid="{CA71C7E0-B31F-4FB6-B0CB-5871605E94FE}"/>
    <cellStyle name="Comma 13 3" xfId="21113" xr:uid="{25F51978-2134-46EC-AC4F-48F1FB80E8D0}"/>
    <cellStyle name="Comma 13 3 2" xfId="21114" xr:uid="{26E4CEB9-B974-440E-9F5C-0A1F34AF56EE}"/>
    <cellStyle name="Comma 13 3 2 2" xfId="21115" xr:uid="{D6348385-F760-4F50-B281-18120F7688F8}"/>
    <cellStyle name="Comma 13 3 2 2 2" xfId="21116" xr:uid="{5FAE3850-9B07-4790-87E1-AFFB9D52E4D5}"/>
    <cellStyle name="Comma 13 3 2 3" xfId="21117" xr:uid="{507190A6-D7AC-4F7F-BB54-14652F917648}"/>
    <cellStyle name="Comma 13 3 3" xfId="21118" xr:uid="{C18457AD-9831-4C42-91C1-96A234A419E7}"/>
    <cellStyle name="Comma 13 3 3 2" xfId="21119" xr:uid="{C966FBD3-0B3C-4F59-981C-9DC474A18021}"/>
    <cellStyle name="Comma 13 3 3 2 2" xfId="21120" xr:uid="{8DC49331-6090-41EF-BA0B-12B44588C33C}"/>
    <cellStyle name="Comma 13 3 3 3" xfId="21121" xr:uid="{F8836E97-C172-42A3-9FA8-4E8D2AD45103}"/>
    <cellStyle name="Comma 13 3 4" xfId="21122" xr:uid="{0ED2A49B-9A19-4724-95A0-FFB6B05A329D}"/>
    <cellStyle name="Comma 13 3 4 2" xfId="21123" xr:uid="{BE42D7E6-E714-4E4F-87DF-F865FBCED203}"/>
    <cellStyle name="Comma 13 3 5" xfId="21124" xr:uid="{B7B4711C-AE74-4D3C-862C-6082E5BCCAAF}"/>
    <cellStyle name="Comma 13 4" xfId="21125" xr:uid="{FDEF0CA3-EC64-4864-BBF2-435CBB0E6015}"/>
    <cellStyle name="Comma 13 4 2" xfId="21126" xr:uid="{7A2FDDEF-6E64-4A46-9AAC-879BDF224F9D}"/>
    <cellStyle name="Comma 13 4 2 2" xfId="21127" xr:uid="{E6C16696-4B85-4C17-8B9D-6CB0314DAA01}"/>
    <cellStyle name="Comma 13 4 3" xfId="21128" xr:uid="{5765B19F-0CB2-46B0-8289-0ACF3C68AD1B}"/>
    <cellStyle name="Comma 13 5" xfId="21129" xr:uid="{64331B50-5781-4918-8491-8D630A7133D2}"/>
    <cellStyle name="Comma 13 5 2" xfId="21130" xr:uid="{74F78E04-B376-49B3-ABF9-69C6D0CF3C0F}"/>
    <cellStyle name="Comma 13 5 2 2" xfId="21131" xr:uid="{ECC21C8F-F8E7-4641-B2EF-52C31DCC34A7}"/>
    <cellStyle name="Comma 13 5 3" xfId="21132" xr:uid="{41C09CB0-EEBB-4FFE-A9D1-C4DF8A41E863}"/>
    <cellStyle name="Comma 13 6" xfId="21133" xr:uid="{90682C2F-C4B8-498C-86D9-62DF3D6AE322}"/>
    <cellStyle name="Comma 13 6 2" xfId="21134" xr:uid="{54C2AE21-4D1A-431E-B828-77367FFB9540}"/>
    <cellStyle name="Comma 14" xfId="21135" xr:uid="{B5191935-7E82-40F2-A308-78C3192129B7}"/>
    <cellStyle name="Comma 14 2" xfId="21136" xr:uid="{ACA02103-0EC1-47C8-B175-B133C3973F4E}"/>
    <cellStyle name="Comma 14 2 2" xfId="21137" xr:uid="{BD6B0D54-C222-4E04-9840-1DF9BBC51B7F}"/>
    <cellStyle name="Comma 14 2 2 2" xfId="21138" xr:uid="{961FB3E1-5867-4819-9313-D890C6E87B70}"/>
    <cellStyle name="Comma 14 2 2 2 2" xfId="21139" xr:uid="{258EC83C-EDC1-4FD7-BA49-D62235F9AC90}"/>
    <cellStyle name="Comma 14 2 2 3" xfId="21140" xr:uid="{5D01967A-40FB-4E00-8EB0-79D89E1028B6}"/>
    <cellStyle name="Comma 14 2 3" xfId="21141" xr:uid="{1A06389D-FCBB-499F-924D-D125023AEAE5}"/>
    <cellStyle name="Comma 14 2 3 2" xfId="21142" xr:uid="{B2CE6757-8091-444B-A255-BAF2D901AB09}"/>
    <cellStyle name="Comma 14 2 3 2 2" xfId="21143" xr:uid="{D77DDB7B-A6DF-4935-9512-030D4DB8A088}"/>
    <cellStyle name="Comma 14 2 3 3" xfId="21144" xr:uid="{7232A517-EBD7-48AF-9ABA-7DC2290BED3B}"/>
    <cellStyle name="Comma 14 2 4" xfId="21145" xr:uid="{5E539493-3CEE-4B06-9924-6FA7FF3F3E41}"/>
    <cellStyle name="Comma 14 2 4 2" xfId="21146" xr:uid="{69E7394B-E79A-455F-B40C-5E2912BF4FC9}"/>
    <cellStyle name="Comma 14 2 5" xfId="21147" xr:uid="{1CC53CFB-835C-4A9D-A296-E884773B79DF}"/>
    <cellStyle name="Comma 14 2 6" xfId="38563" xr:uid="{08CABAAF-C92B-409F-839A-FDFD4B2A6C42}"/>
    <cellStyle name="Comma 14 3" xfId="21148" xr:uid="{27708F2E-3278-4462-A63D-4E68AE280375}"/>
    <cellStyle name="Comma 14 3 2" xfId="21149" xr:uid="{7EC3686E-7413-4612-9408-3F3D3C75380F}"/>
    <cellStyle name="Comma 14 3 2 2" xfId="21150" xr:uid="{A93A632D-EAE6-4F51-882C-2E210230F57F}"/>
    <cellStyle name="Comma 14 3 3" xfId="21151" xr:uid="{BB19131A-73C8-4D57-A0B7-6B46C9466DDB}"/>
    <cellStyle name="Comma 14 4" xfId="21152" xr:uid="{54595131-1EEE-40A1-93C7-5C4960F1C0E0}"/>
    <cellStyle name="Comma 14 4 2" xfId="21153" xr:uid="{A35F0649-988B-4350-94CA-356414B450DB}"/>
    <cellStyle name="Comma 14 4 2 2" xfId="21154" xr:uid="{2E164DA8-E206-406D-BACF-2DD0279CC92E}"/>
    <cellStyle name="Comma 14 4 3" xfId="21155" xr:uid="{CC788A98-D107-4B2F-807E-A86A4C232845}"/>
    <cellStyle name="Comma 14 5" xfId="21156" xr:uid="{8B1003EB-8739-4D69-8FB6-FE6A4E16FC96}"/>
    <cellStyle name="Comma 14 5 2" xfId="21157" xr:uid="{CC5788F6-B542-4185-ADC3-05F02E302A87}"/>
    <cellStyle name="Comma 14 6" xfId="21158" xr:uid="{BBC0D5DB-4698-433F-A772-80AB0F9AA4F5}"/>
    <cellStyle name="Comma 15" xfId="21159" xr:uid="{ADA2953C-58DB-4835-B444-1FB41E310A13}"/>
    <cellStyle name="Comma 15 2" xfId="21160" xr:uid="{3B204E9E-BAF3-4B92-9206-D417C57C1894}"/>
    <cellStyle name="Comma 15 2 2" xfId="21161" xr:uid="{10C48110-48FE-4A1F-8578-9AAF9189AC29}"/>
    <cellStyle name="Comma 15 2 2 2" xfId="21162" xr:uid="{B544EC4D-DA51-4E10-ABE9-D85B2BE89E26}"/>
    <cellStyle name="Comma 15 2 2 2 2" xfId="21163" xr:uid="{96EE7CAD-D67A-4505-BAA0-6D8D942243CE}"/>
    <cellStyle name="Comma 15 2 2 3" xfId="21164" xr:uid="{2D209C3D-9D77-42A6-951F-081F4DE8FFD6}"/>
    <cellStyle name="Comma 15 2 3" xfId="21165" xr:uid="{A6CFB34C-7DDD-4D58-A93B-AECC39E64EBF}"/>
    <cellStyle name="Comma 15 2 3 2" xfId="21166" xr:uid="{81B38C6C-FB63-484E-AE74-F5156F31B4E7}"/>
    <cellStyle name="Comma 15 2 3 2 2" xfId="21167" xr:uid="{FF703020-87B8-4144-9AFB-1AF59DC68ED1}"/>
    <cellStyle name="Comma 15 2 3 3" xfId="21168" xr:uid="{2CD4C4B8-F65E-4485-9951-D53DC06D0FD5}"/>
    <cellStyle name="Comma 15 2 4" xfId="21169" xr:uid="{86F06FB4-2F0B-4413-BB5E-05BCD76928A8}"/>
    <cellStyle name="Comma 15 2 4 2" xfId="21170" xr:uid="{C6ABC318-9163-4677-A818-2E7A0F4EB542}"/>
    <cellStyle name="Comma 15 2 5" xfId="21171" xr:uid="{319EB32F-ED1E-46E9-A544-AAF5E80329EA}"/>
    <cellStyle name="Comma 15 2 6" xfId="38564" xr:uid="{D57D1CAB-C2D3-4F9F-88B6-C807F36FF740}"/>
    <cellStyle name="Comma 15 3" xfId="21172" xr:uid="{1D51F53F-05C9-4715-A973-F3BBE8ED2C77}"/>
    <cellStyle name="Comma 15 3 2" xfId="21173" xr:uid="{907313AE-DA93-40EE-B227-7C587EDAE325}"/>
    <cellStyle name="Comma 15 3 2 2" xfId="21174" xr:uid="{0798EF91-8089-4F42-AEA6-54DCD62F1105}"/>
    <cellStyle name="Comma 15 3 3" xfId="21175" xr:uid="{D983417E-3A13-42C3-860E-55CB29EF8298}"/>
    <cellStyle name="Comma 15 4" xfId="21176" xr:uid="{DB08046C-374B-4CBB-87DF-06E8B8B4D8A1}"/>
    <cellStyle name="Comma 15 4 2" xfId="21177" xr:uid="{BADA36AA-65EB-4C23-ADD9-912921024324}"/>
    <cellStyle name="Comma 15 4 2 2" xfId="21178" xr:uid="{ABB1830A-2443-4C2A-BA99-C589245C765D}"/>
    <cellStyle name="Comma 15 4 3" xfId="21179" xr:uid="{C3406CCC-7FDB-4767-84B5-28D715A86B6E}"/>
    <cellStyle name="Comma 15 5" xfId="21180" xr:uid="{C39952A7-9A81-41E5-9F74-FCFCD22B6474}"/>
    <cellStyle name="Comma 15 5 2" xfId="21181" xr:uid="{5F958870-7DDD-4F8A-8B3B-722B00D9C59E}"/>
    <cellStyle name="Comma 15 6" xfId="21182" xr:uid="{852C131D-FF05-4E59-B1B4-F6B8235A78D8}"/>
    <cellStyle name="Comma 16" xfId="21183" xr:uid="{7E3D9E32-0E03-4490-9D9B-98ABB97A5D2B}"/>
    <cellStyle name="Comma 16 2" xfId="21184" xr:uid="{B64A52CC-B1B2-437E-98AE-C722A88154BC}"/>
    <cellStyle name="Comma 16 2 2" xfId="21185" xr:uid="{3421BD96-913E-45E7-BC8F-4BB75E82561C}"/>
    <cellStyle name="Comma 16 2 2 2" xfId="21186" xr:uid="{B53169C6-01A9-415A-BE8C-80D8DBBF3FEC}"/>
    <cellStyle name="Comma 16 2 2 2 2" xfId="21187" xr:uid="{C9B55E69-F304-4615-8572-9D73BA98666F}"/>
    <cellStyle name="Comma 16 2 2 3" xfId="21188" xr:uid="{7B781F23-00A8-4A1F-8885-BB3AB646BEBC}"/>
    <cellStyle name="Comma 16 2 3" xfId="21189" xr:uid="{7D44FEFE-6741-4A69-8AE6-2EF927AEAB17}"/>
    <cellStyle name="Comma 16 2 3 2" xfId="21190" xr:uid="{5AC25837-98A4-4744-BD3E-0CEFB99CC3D7}"/>
    <cellStyle name="Comma 16 2 3 2 2" xfId="21191" xr:uid="{8E3D24F4-7B59-433D-A3D4-164151E4CDF1}"/>
    <cellStyle name="Comma 16 2 3 3" xfId="21192" xr:uid="{A26DE866-1F9C-4D05-ACD7-E70023697FDC}"/>
    <cellStyle name="Comma 16 2 4" xfId="21193" xr:uid="{D072ECCC-E720-4091-93A4-D8A78A3EF195}"/>
    <cellStyle name="Comma 16 2 4 2" xfId="21194" xr:uid="{705F9495-1052-40DA-9A13-D7F74B16C291}"/>
    <cellStyle name="Comma 16 2 5" xfId="21195" xr:uid="{E89E17AB-8B83-4E5D-AD67-A8F67092BE64}"/>
    <cellStyle name="Comma 16 2 6" xfId="38565" xr:uid="{FF1CC8B6-0BC0-4C5E-B2E7-68B0B0EDCC89}"/>
    <cellStyle name="Comma 16 3" xfId="21196" xr:uid="{2FDE9D00-216E-4B92-83FB-48111065BE3F}"/>
    <cellStyle name="Comma 16 3 2" xfId="21197" xr:uid="{1171FEFB-BEBE-4CCF-AB1B-0430EEAFF495}"/>
    <cellStyle name="Comma 16 3 2 2" xfId="21198" xr:uid="{A0D98244-8953-4265-964E-BFB83D2E72C8}"/>
    <cellStyle name="Comma 16 3 3" xfId="21199" xr:uid="{86173A62-02B8-4534-A107-078E43D7DF18}"/>
    <cellStyle name="Comma 16 4" xfId="21200" xr:uid="{2F6482D2-76AC-4C41-9B23-FA0F4210D6D2}"/>
    <cellStyle name="Comma 16 4 2" xfId="21201" xr:uid="{C4380CB0-6803-4A03-931E-C136D96D1E8D}"/>
    <cellStyle name="Comma 16 4 2 2" xfId="21202" xr:uid="{DD06FA81-510E-4650-836E-C29683BFDEEC}"/>
    <cellStyle name="Comma 16 4 3" xfId="21203" xr:uid="{5A119EC9-CBCF-42D5-97BB-009BCC0E8500}"/>
    <cellStyle name="Comma 16 5" xfId="21204" xr:uid="{641401C7-005E-4BB3-8679-53116ADF68DD}"/>
    <cellStyle name="Comma 16 5 2" xfId="21205" xr:uid="{C263C766-D89A-4845-8C41-32149A5298BC}"/>
    <cellStyle name="Comma 16 6" xfId="21206" xr:uid="{FEF19280-255E-4DE2-9A5C-9035CFDC6E8F}"/>
    <cellStyle name="Comma 17" xfId="21207" xr:uid="{C51C0303-A688-487D-AD43-2F50C7140F0C}"/>
    <cellStyle name="Comma 17 2" xfId="21208" xr:uid="{AD17E5A4-D43A-4AFB-94ED-575B96AEB085}"/>
    <cellStyle name="Comma 17 2 2" xfId="21209" xr:uid="{B85D9C98-BE14-4E76-8E1F-682D73013FAB}"/>
    <cellStyle name="Comma 17 2 2 2" xfId="21210" xr:uid="{725C74E5-FC2B-4218-B987-FAA446C77928}"/>
    <cellStyle name="Comma 17 2 2 2 2" xfId="21211" xr:uid="{4583A76B-0EDB-4CC4-9500-885AF96F5414}"/>
    <cellStyle name="Comma 17 2 2 3" xfId="21212" xr:uid="{88C0171E-7B69-454F-A47F-E035380AB88C}"/>
    <cellStyle name="Comma 17 2 3" xfId="21213" xr:uid="{99FB9A34-D912-48AD-8544-D9CCD9F94289}"/>
    <cellStyle name="Comma 17 2 3 2" xfId="21214" xr:uid="{E6876C11-B92C-47DA-A197-689085E23A69}"/>
    <cellStyle name="Comma 17 2 3 2 2" xfId="21215" xr:uid="{438C3979-AFCD-4F6E-AEC6-A152E25B03D0}"/>
    <cellStyle name="Comma 17 2 3 3" xfId="21216" xr:uid="{91267E73-F4A4-402E-B22C-4B0CB087EFC7}"/>
    <cellStyle name="Comma 17 2 4" xfId="21217" xr:uid="{FDED3CDB-04E1-4D4B-9337-3EDE9E4B3E47}"/>
    <cellStyle name="Comma 17 2 4 2" xfId="21218" xr:uid="{6109A547-2DA2-46FA-9DF8-1C882C44FC6E}"/>
    <cellStyle name="Comma 17 2 5" xfId="21219" xr:uid="{54D6B43F-41FB-4829-918B-F11B8BFC2C1D}"/>
    <cellStyle name="Comma 17 2 6" xfId="38566" xr:uid="{7901CD40-B7CD-4923-B41F-467C8380984C}"/>
    <cellStyle name="Comma 17 3" xfId="21220" xr:uid="{FD08B4EF-612A-44E9-9BCF-0689E12BE88F}"/>
    <cellStyle name="Comma 17 3 2" xfId="21221" xr:uid="{EF7C7D93-003A-4386-B308-9B808E0C51E3}"/>
    <cellStyle name="Comma 17 3 2 2" xfId="21222" xr:uid="{155DEC16-E60D-4388-8457-7588EAEE11C9}"/>
    <cellStyle name="Comma 17 3 3" xfId="21223" xr:uid="{423B164D-2E39-4C2F-A97B-08CFA3B299C9}"/>
    <cellStyle name="Comma 17 4" xfId="21224" xr:uid="{DD387EE9-B159-46A4-9AF6-F3CF1AC4EB53}"/>
    <cellStyle name="Comma 17 4 2" xfId="21225" xr:uid="{2CD7B047-F227-4A87-A06A-EFA59128E487}"/>
    <cellStyle name="Comma 17 4 2 2" xfId="21226" xr:uid="{3EA05CC3-9FBE-46F7-8E8D-DB9469F1FBB1}"/>
    <cellStyle name="Comma 17 4 3" xfId="21227" xr:uid="{843B7572-64B1-418C-A93D-C7DCED9A7C0E}"/>
    <cellStyle name="Comma 17 5" xfId="21228" xr:uid="{C9C2F4F1-871C-4D5D-BDC4-B037B5C842E2}"/>
    <cellStyle name="Comma 17 5 2" xfId="21229" xr:uid="{25177D0C-17EB-4DB1-8933-FB0A223825D0}"/>
    <cellStyle name="Comma 17 6" xfId="21230" xr:uid="{022DE894-7CF0-4F89-AA74-443FF5F76E50}"/>
    <cellStyle name="Comma 17 7" xfId="38567" xr:uid="{495BE6BC-69EB-4EF9-92E9-7F40008DB7C2}"/>
    <cellStyle name="Comma 18" xfId="21231" xr:uid="{2DB1BC51-57A8-4B04-9EEE-481B02869F03}"/>
    <cellStyle name="Comma 18 2" xfId="21232" xr:uid="{84836A8B-E964-4368-9615-12C37A690CAD}"/>
    <cellStyle name="Comma 18 2 2" xfId="21233" xr:uid="{2119705B-60DC-4714-BAA3-FC14F747A2CE}"/>
    <cellStyle name="Comma 18 2 2 2" xfId="21234" xr:uid="{7ED9307B-853D-4F38-B2BF-C27CCF44B574}"/>
    <cellStyle name="Comma 18 2 2 2 2" xfId="21235" xr:uid="{BD6C77C2-EA59-4E5B-8B51-7D32A95DE27B}"/>
    <cellStyle name="Comma 18 2 2 3" xfId="21236" xr:uid="{8BB67612-117E-4671-AA49-FD858410CCE5}"/>
    <cellStyle name="Comma 18 2 3" xfId="21237" xr:uid="{376E761D-A887-4CC6-B0CC-3BB904381372}"/>
    <cellStyle name="Comma 18 2 3 2" xfId="21238" xr:uid="{97DA9B5A-C3E8-4263-A817-AB682FF19F02}"/>
    <cellStyle name="Comma 18 2 3 2 2" xfId="21239" xr:uid="{498B8DB8-174F-4E30-B9E0-65563E930B2E}"/>
    <cellStyle name="Comma 18 2 3 3" xfId="21240" xr:uid="{D6873236-7425-4C23-BCF6-134AEAFDF446}"/>
    <cellStyle name="Comma 18 2 4" xfId="21241" xr:uid="{F9797B48-FCB6-4120-9595-D3B85C275CC7}"/>
    <cellStyle name="Comma 18 2 4 2" xfId="21242" xr:uid="{6479E396-7D30-42F6-A472-A4559E993A30}"/>
    <cellStyle name="Comma 18 2 5" xfId="21243" xr:uid="{D501511D-565A-4F3A-8A1C-286A900648EC}"/>
    <cellStyle name="Comma 18 3" xfId="21244" xr:uid="{78D23526-6C1D-484F-99CA-C9BE85C9B4FF}"/>
    <cellStyle name="Comma 18 3 2" xfId="21245" xr:uid="{44C62A77-A67E-4BE0-8A25-CF269E6AABC9}"/>
    <cellStyle name="Comma 18 3 2 2" xfId="21246" xr:uid="{736E77F9-66D3-41DC-9780-327A356F5CB2}"/>
    <cellStyle name="Comma 18 3 3" xfId="21247" xr:uid="{2D4E5404-E60D-4569-86C4-C3F24C77494A}"/>
    <cellStyle name="Comma 18 4" xfId="21248" xr:uid="{16137399-A419-4096-BED3-927E031CFC5D}"/>
    <cellStyle name="Comma 18 4 2" xfId="21249" xr:uid="{DF5C4016-19C3-421E-8A71-01BA85762BD0}"/>
    <cellStyle name="Comma 18 4 2 2" xfId="21250" xr:uid="{C630F83D-157E-43EF-A33B-E0E369560EFE}"/>
    <cellStyle name="Comma 18 4 3" xfId="21251" xr:uid="{A9D341A0-604E-4B7F-BFAD-85FAB809D6AF}"/>
    <cellStyle name="Comma 18 5" xfId="21252" xr:uid="{3775961A-6350-4F14-A4FA-6704833DBBB3}"/>
    <cellStyle name="Comma 18 5 2" xfId="21253" xr:uid="{6F8CBEDE-38CC-4B95-B3E2-6003A3E9C6F5}"/>
    <cellStyle name="Comma 18 6" xfId="21254" xr:uid="{61059877-DC2D-4A7E-BF3A-E566A6424EB5}"/>
    <cellStyle name="Comma 19" xfId="21255" xr:uid="{DF0E81A1-B856-44B9-84C8-0671E1EB4CA1}"/>
    <cellStyle name="Comma 19 2" xfId="21256" xr:uid="{5FE5553B-EDD8-4B08-9019-17FC9A04C6FE}"/>
    <cellStyle name="Comma 19 2 2" xfId="21257" xr:uid="{318CBE4C-5566-4D44-A3C1-977EBAFE1864}"/>
    <cellStyle name="Comma 19 2 2 2" xfId="21258" xr:uid="{878B7129-025F-4ED4-A55C-51F96B5A12AF}"/>
    <cellStyle name="Comma 19 2 2 2 2" xfId="21259" xr:uid="{AA9043C0-2052-434B-8CA9-95A79C3CBD39}"/>
    <cellStyle name="Comma 19 2 2 3" xfId="21260" xr:uid="{D8061F0A-F54B-41B3-A64A-1F895C0B20C7}"/>
    <cellStyle name="Comma 19 2 3" xfId="21261" xr:uid="{A9CE432D-7608-4CE4-98A7-3C3D755E78DA}"/>
    <cellStyle name="Comma 19 2 3 2" xfId="21262" xr:uid="{1234FB41-5E71-4317-9A35-AD23DA887482}"/>
    <cellStyle name="Comma 19 2 3 2 2" xfId="21263" xr:uid="{1C905E00-79BF-4366-ABB5-00FE0110E9C0}"/>
    <cellStyle name="Comma 19 2 3 3" xfId="21264" xr:uid="{F140A9B6-E4D2-4989-9EA0-F991FB20036C}"/>
    <cellStyle name="Comma 19 2 4" xfId="21265" xr:uid="{9423A518-F286-47BF-AE3D-4C5592BD350D}"/>
    <cellStyle name="Comma 19 2 4 2" xfId="21266" xr:uid="{5CA57B1F-6588-4CA6-9AC8-285B1F590CFC}"/>
    <cellStyle name="Comma 19 2 5" xfId="21267" xr:uid="{280F4C4F-93C3-407A-95D0-7F8037122EB2}"/>
    <cellStyle name="Comma 19 3" xfId="21268" xr:uid="{02C46925-595A-4D32-9CE7-67D345DE9AE1}"/>
    <cellStyle name="Comma 19 3 2" xfId="21269" xr:uid="{E63584B5-328B-48BF-B274-531424CE34A6}"/>
    <cellStyle name="Comma 19 3 2 2" xfId="21270" xr:uid="{F0F7A1D1-529B-4BE8-A968-80F8C31D0472}"/>
    <cellStyle name="Comma 19 3 3" xfId="21271" xr:uid="{353D75D2-0FA2-425B-AE9F-E2B9E2265B9F}"/>
    <cellStyle name="Comma 19 4" xfId="21272" xr:uid="{5518761F-8BA5-48C8-9491-1910B072EA83}"/>
    <cellStyle name="Comma 19 4 2" xfId="21273" xr:uid="{58FE7910-FCB5-46A8-B5D2-CCACAD82CC67}"/>
    <cellStyle name="Comma 19 4 2 2" xfId="21274" xr:uid="{6541DF8F-C89C-411B-AF19-CC51E29E5658}"/>
    <cellStyle name="Comma 19 4 3" xfId="21275" xr:uid="{CC22D2DF-19A0-4295-AB51-0E0E4102D24C}"/>
    <cellStyle name="Comma 19 5" xfId="21276" xr:uid="{91A71D3E-282A-4177-A919-C2C6B88342B0}"/>
    <cellStyle name="Comma 19 5 2" xfId="21277" xr:uid="{EFA6B6BB-508D-4AC4-B351-90EEC709752C}"/>
    <cellStyle name="Comma 19 6" xfId="21278" xr:uid="{896B5AFF-A79F-4D03-A0A1-3C1E8F9B9E54}"/>
    <cellStyle name="Comma 19 7" xfId="21279" xr:uid="{2B78F963-28A4-4039-BE74-192608258A63}"/>
    <cellStyle name="Comma 2" xfId="79" xr:uid="{3F5472E0-57EB-4F49-89B7-DC6FED99AD82}"/>
    <cellStyle name="Comma 2 10" xfId="21281" xr:uid="{1E64EF79-3188-4C5D-8F26-EB64E7301A9A}"/>
    <cellStyle name="Comma 2 10 2" xfId="21282" xr:uid="{090B69CD-FE29-4E7C-AE02-43EE766A37C0}"/>
    <cellStyle name="Comma 2 10 2 2" xfId="21283" xr:uid="{6F4F4DCD-F4C8-4483-9B40-14687ADCB6FF}"/>
    <cellStyle name="Comma 2 10 2 2 2" xfId="21284" xr:uid="{F996A6E6-F5FC-416E-8EDB-239517D3D2BE}"/>
    <cellStyle name="Comma 2 10 2 2 2 2" xfId="21285" xr:uid="{90B21969-E0CB-4A90-B341-85117405AACB}"/>
    <cellStyle name="Comma 2 10 2 2 3" xfId="21286" xr:uid="{B72B3E89-EFAA-4BFE-8BC0-2DD1785B8909}"/>
    <cellStyle name="Comma 2 10 2 3" xfId="21287" xr:uid="{EFCA0490-4018-4E0D-A848-5719A0EC9C0D}"/>
    <cellStyle name="Comma 2 10 2 3 2" xfId="21288" xr:uid="{7D3D52ED-DD07-41F3-B0CC-12A8BD6901F1}"/>
    <cellStyle name="Comma 2 10 2 3 2 2" xfId="21289" xr:uid="{34236BFF-5685-4301-8C18-372977E2814C}"/>
    <cellStyle name="Comma 2 10 2 3 3" xfId="21290" xr:uid="{BC441858-A7A4-4B15-A2D0-573C6CDEE52A}"/>
    <cellStyle name="Comma 2 10 2 4" xfId="21291" xr:uid="{923043E8-CE7E-4A44-AEE4-C31B7884D4F8}"/>
    <cellStyle name="Comma 2 10 2 4 2" xfId="21292" xr:uid="{039E25D2-0728-4BA0-A5E8-FEFEB677766F}"/>
    <cellStyle name="Comma 2 10 2 5" xfId="21293" xr:uid="{3855FC44-32C9-407F-8EA6-F1AB61FD5454}"/>
    <cellStyle name="Comma 2 10 3" xfId="21294" xr:uid="{DF7FB727-4BE5-437A-8528-D7FACC0F342C}"/>
    <cellStyle name="Comma 2 10 3 2" xfId="21295" xr:uid="{92832921-0177-4D89-964C-EDEBEB9954C7}"/>
    <cellStyle name="Comma 2 10 3 2 2" xfId="21296" xr:uid="{F27385B4-3528-4F39-8B9C-96C28567DB2E}"/>
    <cellStyle name="Comma 2 10 3 3" xfId="21297" xr:uid="{E7926039-438C-4263-9B65-01070FD5D402}"/>
    <cellStyle name="Comma 2 10 4" xfId="21298" xr:uid="{8902D82B-03BC-40A6-8D3C-5ECF8F02C743}"/>
    <cellStyle name="Comma 2 10 4 2" xfId="21299" xr:uid="{1E4CFE53-8BCD-401D-A883-D34A34A217AB}"/>
    <cellStyle name="Comma 2 10 4 2 2" xfId="21300" xr:uid="{21F27359-D291-4888-95E7-9126A907E361}"/>
    <cellStyle name="Comma 2 10 4 3" xfId="21301" xr:uid="{FE185200-C79F-401A-A33E-85436A7FD170}"/>
    <cellStyle name="Comma 2 10 5" xfId="21302" xr:uid="{E87F7C22-C740-47B7-9B03-9B4C70635509}"/>
    <cellStyle name="Comma 2 10 5 2" xfId="21303" xr:uid="{050B7741-E466-4829-8C21-64E9D6FE769F}"/>
    <cellStyle name="Comma 2 10 6" xfId="21304" xr:uid="{A91F7900-6836-4BAE-8BF4-3BA4CE86FC98}"/>
    <cellStyle name="Comma 2 11" xfId="21305" xr:uid="{D6F06CA5-EEA9-4E0E-A23A-A52BC85047AB}"/>
    <cellStyle name="Comma 2 11 2" xfId="21306" xr:uid="{73E77F85-60FF-4777-90B8-06B81BAB1E33}"/>
    <cellStyle name="Comma 2 11 2 2" xfId="21307" xr:uid="{E27CCC04-BBC0-4037-AA80-C2000EA7E77A}"/>
    <cellStyle name="Comma 2 11 2 2 2" xfId="21308" xr:uid="{AD71FB93-89DA-48A3-9E93-906823C188DD}"/>
    <cellStyle name="Comma 2 11 2 2 2 2" xfId="21309" xr:uid="{E51B7791-0070-4A57-B758-5FC9566E8CD1}"/>
    <cellStyle name="Comma 2 11 2 2 3" xfId="21310" xr:uid="{1669ACF2-EC04-4094-B132-7DD3706F564D}"/>
    <cellStyle name="Comma 2 11 2 3" xfId="21311" xr:uid="{531BDCB0-53B8-4A44-8252-ADCD9B1237FD}"/>
    <cellStyle name="Comma 2 11 2 3 2" xfId="21312" xr:uid="{DD090A7F-5318-4D1A-91C8-904FC76106AD}"/>
    <cellStyle name="Comma 2 11 2 3 2 2" xfId="21313" xr:uid="{FDFA1162-3F3C-4615-85E3-42E1F86F313E}"/>
    <cellStyle name="Comma 2 11 2 3 3" xfId="21314" xr:uid="{51CA348C-7A4B-40C9-92A2-8463DA3493AA}"/>
    <cellStyle name="Comma 2 11 2 4" xfId="21315" xr:uid="{3ABE6537-4CAC-4C51-91E1-507ED4E6AB51}"/>
    <cellStyle name="Comma 2 11 2 4 2" xfId="21316" xr:uid="{443B4654-D71E-4FF0-BCC5-2852280095AA}"/>
    <cellStyle name="Comma 2 11 2 5" xfId="21317" xr:uid="{5BFF4E80-E53A-42CD-A39D-B6507BD79702}"/>
    <cellStyle name="Comma 2 11 3" xfId="21318" xr:uid="{65C6C579-B8A3-4A6D-9B9B-6B9097FC3803}"/>
    <cellStyle name="Comma 2 11 3 2" xfId="21319" xr:uid="{14BB0655-40A1-4E82-8FDC-E31EB56A9214}"/>
    <cellStyle name="Comma 2 11 3 2 2" xfId="21320" xr:uid="{FDC40610-6C4D-4104-B4EF-961B136ACC88}"/>
    <cellStyle name="Comma 2 11 3 3" xfId="21321" xr:uid="{5F8867F2-A862-42EF-8DE6-16AD4C264EA1}"/>
    <cellStyle name="Comma 2 11 4" xfId="21322" xr:uid="{36DF196F-3574-4093-B533-F1A2940AAAF3}"/>
    <cellStyle name="Comma 2 11 4 2" xfId="21323" xr:uid="{643DC5F4-E6B2-46BE-BFB0-BCFD183DB338}"/>
    <cellStyle name="Comma 2 11 4 2 2" xfId="21324" xr:uid="{585FCC1E-EEEE-4E9E-BBE2-9A5D3CFB7ABB}"/>
    <cellStyle name="Comma 2 11 4 3" xfId="21325" xr:uid="{3AA08F94-BA73-44E3-ADE2-5821F5795DB6}"/>
    <cellStyle name="Comma 2 11 5" xfId="21326" xr:uid="{810D33DA-04C2-46CE-A510-51CD26DD44A9}"/>
    <cellStyle name="Comma 2 11 5 2" xfId="21327" xr:uid="{7AF4B0BA-31EC-4A47-BB58-2C80844B05E1}"/>
    <cellStyle name="Comma 2 11 6" xfId="21328" xr:uid="{D54E7FE3-AE31-4A4A-8363-8846BE19ED38}"/>
    <cellStyle name="Comma 2 12" xfId="21329" xr:uid="{4E4462F2-3C38-4ED1-8818-F15D39951CC1}"/>
    <cellStyle name="Comma 2 12 2" xfId="21330" xr:uid="{B5FAA7FE-9524-489E-9A11-18E19DEF8F18}"/>
    <cellStyle name="Comma 2 12 2 2" xfId="21331" xr:uid="{62C0C297-2AC6-45F8-A39F-71A6BE67BAB8}"/>
    <cellStyle name="Comma 2 12 2 2 2" xfId="21332" xr:uid="{ABE8BBE0-90D5-49BC-BA07-EE77650A1142}"/>
    <cellStyle name="Comma 2 12 2 2 2 2" xfId="21333" xr:uid="{62484961-87C0-4F75-BE79-839379481AE6}"/>
    <cellStyle name="Comma 2 12 2 2 3" xfId="21334" xr:uid="{CF192564-1430-40B4-942F-09C205DA74DE}"/>
    <cellStyle name="Comma 2 12 2 3" xfId="21335" xr:uid="{1C55B86F-47D3-42BA-9CD4-02B6E1DB762A}"/>
    <cellStyle name="Comma 2 12 2 3 2" xfId="21336" xr:uid="{804D3872-5B1C-4AB6-92B1-D8969D18DB1E}"/>
    <cellStyle name="Comma 2 12 2 3 2 2" xfId="21337" xr:uid="{3CCB1D52-E760-418F-9C42-8C9FDD935BB6}"/>
    <cellStyle name="Comma 2 12 2 3 3" xfId="21338" xr:uid="{77F2C5BD-14A6-4A2A-91BB-AAD881638F5A}"/>
    <cellStyle name="Comma 2 12 2 4" xfId="21339" xr:uid="{B160BB4D-DF4F-4A21-B2A8-62D0D24ED980}"/>
    <cellStyle name="Comma 2 12 2 4 2" xfId="21340" xr:uid="{FA77CC81-E49A-4031-81E6-97792F6E0579}"/>
    <cellStyle name="Comma 2 12 2 5" xfId="21341" xr:uid="{67BDD63B-9BBB-43F1-AA4B-B4B15908163A}"/>
    <cellStyle name="Comma 2 12 3" xfId="21342" xr:uid="{4D79AD1C-C424-4001-BEB4-F56F7CCFA4CB}"/>
    <cellStyle name="Comma 2 12 3 2" xfId="21343" xr:uid="{9A22EDAC-7D92-413B-A8E8-69A46AD9E861}"/>
    <cellStyle name="Comma 2 12 3 2 2" xfId="21344" xr:uid="{9B02A9C7-0905-443A-AD95-256C80EBD21F}"/>
    <cellStyle name="Comma 2 12 3 3" xfId="21345" xr:uid="{8E7928F5-F2B4-4D37-A447-F6D70233FDB0}"/>
    <cellStyle name="Comma 2 12 4" xfId="21346" xr:uid="{F1F02C24-4DEC-4ADE-9530-E119293846A8}"/>
    <cellStyle name="Comma 2 12 4 2" xfId="21347" xr:uid="{ABBDCC27-AAD0-4B23-8433-8108E2E91EAE}"/>
    <cellStyle name="Comma 2 12 4 2 2" xfId="21348" xr:uid="{896D346E-63A9-4906-B761-E29DF35DE3EC}"/>
    <cellStyle name="Comma 2 12 4 3" xfId="21349" xr:uid="{2E618839-3BCB-4C17-B0FC-C96A6E2F5184}"/>
    <cellStyle name="Comma 2 12 5" xfId="21350" xr:uid="{51C5E3B7-9F1C-492D-8BA7-41A0764FF7E3}"/>
    <cellStyle name="Comma 2 12 5 2" xfId="21351" xr:uid="{D3E91ECF-C73A-432D-A092-3ADE4F1E1AAA}"/>
    <cellStyle name="Comma 2 12 6" xfId="21352" xr:uid="{DFE65449-E59B-47C8-9C72-D3E6AB1E13FD}"/>
    <cellStyle name="Comma 2 13" xfId="21353" xr:uid="{D97DDB3E-A925-4C64-9A09-75B441567B72}"/>
    <cellStyle name="Comma 2 13 2" xfId="21354" xr:uid="{2A3D9776-D33B-4A57-A8AE-763523AB6635}"/>
    <cellStyle name="Comma 2 13 2 2" xfId="21355" xr:uid="{6713F0E1-AAFD-4D4C-9BCE-B851DD213B83}"/>
    <cellStyle name="Comma 2 13 2 2 2" xfId="21356" xr:uid="{CF1F9303-260A-4D05-97A5-D9B639A23022}"/>
    <cellStyle name="Comma 2 13 2 2 2 2" xfId="21357" xr:uid="{1D495415-AFE7-45CB-B747-91A2B574D74F}"/>
    <cellStyle name="Comma 2 13 2 2 3" xfId="21358" xr:uid="{47978235-0688-4FC3-AA95-C0C06BCCBDF3}"/>
    <cellStyle name="Comma 2 13 2 3" xfId="21359" xr:uid="{F80F21A8-102A-46BD-A234-CB5D12BF31F4}"/>
    <cellStyle name="Comma 2 13 2 3 2" xfId="21360" xr:uid="{AA2CF57F-DB7A-4722-B84E-4D2C3AA01962}"/>
    <cellStyle name="Comma 2 13 2 3 2 2" xfId="21361" xr:uid="{A0130D64-0A44-4765-B942-D86C3EE85898}"/>
    <cellStyle name="Comma 2 13 2 3 3" xfId="21362" xr:uid="{DD4F2214-F509-4FA1-9E6B-5AB6D6998047}"/>
    <cellStyle name="Comma 2 13 2 4" xfId="21363" xr:uid="{7F443366-65FD-4253-9071-B50FCC630F68}"/>
    <cellStyle name="Comma 2 13 2 4 2" xfId="21364" xr:uid="{4F2CD6CE-CED7-44D1-8568-BDDCA281BFCE}"/>
    <cellStyle name="Comma 2 13 2 5" xfId="21365" xr:uid="{0A1611D6-351E-40E0-9FAA-75ADD1566C5C}"/>
    <cellStyle name="Comma 2 13 3" xfId="21366" xr:uid="{7D2D7E84-CE3A-49E6-B7DF-4F0C89998BB7}"/>
    <cellStyle name="Comma 2 13 3 2" xfId="21367" xr:uid="{488B57F6-65B2-4514-A154-9EA1175331FA}"/>
    <cellStyle name="Comma 2 13 3 2 2" xfId="21368" xr:uid="{32876A8C-5D20-4387-A956-1B0FF9D6D17B}"/>
    <cellStyle name="Comma 2 13 3 3" xfId="21369" xr:uid="{A8B30921-16B3-41EC-A4E3-1C242C2A55DB}"/>
    <cellStyle name="Comma 2 13 4" xfId="21370" xr:uid="{810C643F-BAC7-4DEF-88FA-BF635512B995}"/>
    <cellStyle name="Comma 2 13 4 2" xfId="21371" xr:uid="{F180806C-91D9-47FB-9A7B-A358DB66E2A2}"/>
    <cellStyle name="Comma 2 13 4 2 2" xfId="21372" xr:uid="{D4B66921-D7BB-41CE-9070-CDDD0ED3B86C}"/>
    <cellStyle name="Comma 2 13 4 3" xfId="21373" xr:uid="{46C9417E-DC5D-42E6-A697-C6EEF1209C72}"/>
    <cellStyle name="Comma 2 13 5" xfId="21374" xr:uid="{4026AF1E-9DE0-4040-BC8C-769EEA127CB4}"/>
    <cellStyle name="Comma 2 13 5 2" xfId="21375" xr:uid="{42FB4380-C33B-4CF8-A1C6-B075F92E7BEE}"/>
    <cellStyle name="Comma 2 13 6" xfId="21376" xr:uid="{9535C517-A585-4DDE-83B2-8F942E3027A4}"/>
    <cellStyle name="Comma 2 14" xfId="21377" xr:uid="{9B158406-100C-4982-A636-C8184162A4D9}"/>
    <cellStyle name="Comma 2 14 2" xfId="21378" xr:uid="{2CAC519E-79ED-4052-BD49-B218B76ABC78}"/>
    <cellStyle name="Comma 2 14 2 2" xfId="21379" xr:uid="{0CEA9EB6-0C12-431E-B09C-754563C6C162}"/>
    <cellStyle name="Comma 2 14 2 2 2" xfId="21380" xr:uid="{A1E12944-DB94-470B-BEB3-9E580D8D4C2D}"/>
    <cellStyle name="Comma 2 14 2 2 2 2" xfId="21381" xr:uid="{FDCB0BFA-BCEE-4E21-B939-0AF6A5A15C7F}"/>
    <cellStyle name="Comma 2 14 2 2 3" xfId="21382" xr:uid="{216DEAB2-9A43-4FEE-970B-128A2A918D5E}"/>
    <cellStyle name="Comma 2 14 2 3" xfId="21383" xr:uid="{D22C0654-997A-4242-B148-92C91F4F18CD}"/>
    <cellStyle name="Comma 2 14 2 3 2" xfId="21384" xr:uid="{08B3E8B2-0082-492C-869D-DB429CE12D45}"/>
    <cellStyle name="Comma 2 14 2 3 2 2" xfId="21385" xr:uid="{6A3D11FA-FDCD-4A63-8A71-63ED72BFDE5B}"/>
    <cellStyle name="Comma 2 14 2 3 3" xfId="21386" xr:uid="{2CA09286-2A0F-4377-8153-8E1D8EE3F9CE}"/>
    <cellStyle name="Comma 2 14 2 4" xfId="21387" xr:uid="{C4746C0F-F8E9-499D-873F-D047AD28307A}"/>
    <cellStyle name="Comma 2 14 2 4 2" xfId="21388" xr:uid="{344F14D8-279E-46B7-A774-D2D2549272DC}"/>
    <cellStyle name="Comma 2 14 2 5" xfId="21389" xr:uid="{752BA82C-B855-4E59-835D-8C039A6A988B}"/>
    <cellStyle name="Comma 2 14 3" xfId="21390" xr:uid="{785AB1C1-A5D0-4AF5-865C-6EA427D56184}"/>
    <cellStyle name="Comma 2 14 3 2" xfId="21391" xr:uid="{AEF98D49-B165-40DA-8D60-950338437D72}"/>
    <cellStyle name="Comma 2 14 3 2 2" xfId="21392" xr:uid="{08EAADF5-C84C-4188-9EBE-41499445F213}"/>
    <cellStyle name="Comma 2 14 3 3" xfId="21393" xr:uid="{539A0016-3AE7-4202-A649-286F50B14A04}"/>
    <cellStyle name="Comma 2 14 4" xfId="21394" xr:uid="{31A0F77B-C939-479A-B91B-CBC39C9C5427}"/>
    <cellStyle name="Comma 2 14 4 2" xfId="21395" xr:uid="{3D143956-929C-4795-9CA4-083806AB1BF8}"/>
    <cellStyle name="Comma 2 14 4 2 2" xfId="21396" xr:uid="{838FF86E-79DE-487F-8157-EC724997C0F5}"/>
    <cellStyle name="Comma 2 14 4 3" xfId="21397" xr:uid="{45552AD3-D657-4CD9-AA31-34AD3C33E7B5}"/>
    <cellStyle name="Comma 2 14 5" xfId="21398" xr:uid="{2C811185-38B5-491B-B7D6-6C6CC4B8A2EB}"/>
    <cellStyle name="Comma 2 14 5 2" xfId="21399" xr:uid="{4BA142A7-2055-4494-AAA1-8A44CCFFEDAC}"/>
    <cellStyle name="Comma 2 14 6" xfId="21400" xr:uid="{9CCB141A-0D27-41AC-B537-6E3BD4B974D2}"/>
    <cellStyle name="Comma 2 15" xfId="21401" xr:uid="{9ECC8019-B0B6-46F2-B22B-45D526ED361A}"/>
    <cellStyle name="Comma 2 15 2" xfId="21402" xr:uid="{E4BB9452-59CF-4BB4-897A-DACF044FEBDC}"/>
    <cellStyle name="Comma 2 15 2 2" xfId="21403" xr:uid="{9DCBDAF3-9F5B-489A-A91D-A5AA66CA7852}"/>
    <cellStyle name="Comma 2 15 2 2 2" xfId="21404" xr:uid="{68C4ABCB-ADCF-4AB1-944A-067246A77B5D}"/>
    <cellStyle name="Comma 2 15 2 3" xfId="21405" xr:uid="{FCC6E736-5F52-41E8-AAF2-F7D84FD535F8}"/>
    <cellStyle name="Comma 2 15 3" xfId="21406" xr:uid="{5C45134C-ED50-4071-ADB1-BDB80BE99D6E}"/>
    <cellStyle name="Comma 2 15 3 2" xfId="21407" xr:uid="{32311CC3-A238-4E43-99E2-DC3420363391}"/>
    <cellStyle name="Comma 2 15 3 2 2" xfId="21408" xr:uid="{5E29A7DD-7B7D-4FBE-99AA-A475F62310C0}"/>
    <cellStyle name="Comma 2 15 3 3" xfId="21409" xr:uid="{0F7ADF0E-72DF-4EB3-8234-70BCAD9790A4}"/>
    <cellStyle name="Comma 2 15 4" xfId="21410" xr:uid="{A6926F8C-263D-49AE-A1A5-3E3FCAB074AB}"/>
    <cellStyle name="Comma 2 15 4 2" xfId="21411" xr:uid="{ABE2922A-304F-4652-926F-C5B027155FCA}"/>
    <cellStyle name="Comma 2 15 5" xfId="21412" xr:uid="{F8DAC4B5-04A5-4E9E-995B-03E76292E20E}"/>
    <cellStyle name="Comma 2 16" xfId="21413" xr:uid="{6F597487-8069-4B93-B49F-B624B647FEBB}"/>
    <cellStyle name="Comma 2 16 2" xfId="21414" xr:uid="{160A99B8-0D34-46AC-A70A-B3D916F68433}"/>
    <cellStyle name="Comma 2 16 2 2" xfId="21415" xr:uid="{A792B672-92C3-49F2-A8AC-362DB0CFB3DA}"/>
    <cellStyle name="Comma 2 16 3" xfId="21416" xr:uid="{58B26CF0-FF8D-4DEA-AE9E-4BB99D54EC14}"/>
    <cellStyle name="Comma 2 17" xfId="21417" xr:uid="{A84ABBD2-1F3B-4259-A9FA-7F9E7907E84E}"/>
    <cellStyle name="Comma 2 17 2" xfId="21418" xr:uid="{C24DE5C6-2A81-4BB2-B2EC-0FB812820E5C}"/>
    <cellStyle name="Comma 2 17 2 2" xfId="21419" xr:uid="{A7D315A1-66A3-4BBB-95BC-DB29218567B4}"/>
    <cellStyle name="Comma 2 17 3" xfId="21420" xr:uid="{7379E75F-279D-4D8A-8331-846109B26714}"/>
    <cellStyle name="Comma 2 18" xfId="21421" xr:uid="{45B075A8-A853-4685-8DBE-443D2BB8AD27}"/>
    <cellStyle name="Comma 2 18 2" xfId="21422" xr:uid="{21B0B93F-D0CF-4F4C-BEF7-F2C0E7CFF16B}"/>
    <cellStyle name="Comma 2 19" xfId="21423" xr:uid="{869D4667-F534-4562-BBDA-5C603EB625B8}"/>
    <cellStyle name="Comma 2 2" xfId="21424" xr:uid="{9731AD70-5A37-4387-94EC-B7179D2BB7DC}"/>
    <cellStyle name="Comma 2 2 10" xfId="21425" xr:uid="{FF21B7A2-DC2E-4F54-8942-787EB0C032FC}"/>
    <cellStyle name="Comma 2 2 10 2" xfId="21426" xr:uid="{4F5E6C5C-9AF3-4805-B8A8-C665E6A9809F}"/>
    <cellStyle name="Comma 2 2 10 2 2" xfId="21427" xr:uid="{CAA40DBC-C55E-4288-A812-3F7A6741BB19}"/>
    <cellStyle name="Comma 2 2 10 2 2 2" xfId="21428" xr:uid="{7E0CC877-47F4-4BB7-9181-7B6001A71421}"/>
    <cellStyle name="Comma 2 2 10 2 2 2 2" xfId="21429" xr:uid="{B13F50E4-00DB-4B0C-82BE-BE2285419254}"/>
    <cellStyle name="Comma 2 2 10 2 2 3" xfId="21430" xr:uid="{A7D700D5-2443-413C-97D8-4AA2D8A313FF}"/>
    <cellStyle name="Comma 2 2 10 2 3" xfId="21431" xr:uid="{FC764EA8-4848-4939-99F5-09A25B63ED2C}"/>
    <cellStyle name="Comma 2 2 10 2 3 2" xfId="21432" xr:uid="{ADB51C2B-5611-48AA-806B-952CA15BEDEC}"/>
    <cellStyle name="Comma 2 2 10 2 3 2 2" xfId="21433" xr:uid="{DE7A4C4E-E5E0-4846-B395-C9EAB088FCB9}"/>
    <cellStyle name="Comma 2 2 10 2 3 3" xfId="21434" xr:uid="{525D8233-2631-4641-A7E9-41244CEA90E8}"/>
    <cellStyle name="Comma 2 2 10 2 4" xfId="21435" xr:uid="{CFA1EF46-15A1-4F72-A241-927AFC8DADD1}"/>
    <cellStyle name="Comma 2 2 10 2 4 2" xfId="21436" xr:uid="{51D75A60-13EB-405C-977C-00B3B358B527}"/>
    <cellStyle name="Comma 2 2 10 2 5" xfId="21437" xr:uid="{1D90B170-4E32-4924-8ED8-8DCAB913AC9B}"/>
    <cellStyle name="Comma 2 2 10 3" xfId="21438" xr:uid="{E1FE190A-74D6-4BBA-BA6F-7A37CDAC31B0}"/>
    <cellStyle name="Comma 2 2 10 3 2" xfId="21439" xr:uid="{7CCD597A-FB85-42BD-A52D-17B0A8EB70C5}"/>
    <cellStyle name="Comma 2 2 10 3 2 2" xfId="21440" xr:uid="{0B7D5015-DE07-4684-BC7C-0A479FF6555F}"/>
    <cellStyle name="Comma 2 2 10 3 3" xfId="21441" xr:uid="{FBCE54A9-DE6A-4CEE-A746-1991BCF2FD2F}"/>
    <cellStyle name="Comma 2 2 10 4" xfId="21442" xr:uid="{2E2F717C-7DBB-420F-BC2A-D67180B9E058}"/>
    <cellStyle name="Comma 2 2 10 4 2" xfId="21443" xr:uid="{800668C2-B205-4274-9EDF-BA1E97A30A01}"/>
    <cellStyle name="Comma 2 2 10 4 2 2" xfId="21444" xr:uid="{D554CE3A-9359-4D3F-999D-AF79BEC5A584}"/>
    <cellStyle name="Comma 2 2 10 4 3" xfId="21445" xr:uid="{9EBE3E6A-8CAC-4ACD-B52B-4A341AF4383B}"/>
    <cellStyle name="Comma 2 2 10 5" xfId="21446" xr:uid="{703EDD01-2174-470E-B567-32BA1DC23787}"/>
    <cellStyle name="Comma 2 2 10 5 2" xfId="21447" xr:uid="{FACF62B8-D1B7-4B78-A81B-DFFCB641A124}"/>
    <cellStyle name="Comma 2 2 10 6" xfId="21448" xr:uid="{9D2020AE-4064-41D7-A7D6-48056AADE75E}"/>
    <cellStyle name="Comma 2 2 11" xfId="21449" xr:uid="{AC3E8AD4-78FE-4828-955D-7A76437E6A60}"/>
    <cellStyle name="Comma 2 2 11 2" xfId="21450" xr:uid="{14550562-6BF3-40AE-B38A-AC82E2262C6F}"/>
    <cellStyle name="Comma 2 2 11 2 2" xfId="21451" xr:uid="{89AB1070-0775-427C-A5BD-2A27481F960F}"/>
    <cellStyle name="Comma 2 2 11 2 2 2" xfId="21452" xr:uid="{C8483A53-6C0F-452B-A8AC-D1589E384C77}"/>
    <cellStyle name="Comma 2 2 11 2 2 2 2" xfId="21453" xr:uid="{3003A07F-E1ED-4AB3-8009-B42C1C390F93}"/>
    <cellStyle name="Comma 2 2 11 2 2 3" xfId="21454" xr:uid="{E98938BC-9983-45A4-A142-2BBB01198686}"/>
    <cellStyle name="Comma 2 2 11 2 3" xfId="21455" xr:uid="{95C2C3AF-74DC-4907-ABA0-F95442481924}"/>
    <cellStyle name="Comma 2 2 11 2 3 2" xfId="21456" xr:uid="{0E01D21F-53EC-4333-93B1-7A9AB4ED48B1}"/>
    <cellStyle name="Comma 2 2 11 2 3 2 2" xfId="21457" xr:uid="{E570CC5A-583B-4D2C-B516-F07436485794}"/>
    <cellStyle name="Comma 2 2 11 2 3 3" xfId="21458" xr:uid="{1125B766-82EC-4A50-B55E-740B173BCE84}"/>
    <cellStyle name="Comma 2 2 11 2 4" xfId="21459" xr:uid="{6E6C45AF-E976-4E9B-B895-A0C87A041A27}"/>
    <cellStyle name="Comma 2 2 11 2 4 2" xfId="21460" xr:uid="{89AE81D2-78C0-4579-B042-5893E0178CD8}"/>
    <cellStyle name="Comma 2 2 11 2 5" xfId="21461" xr:uid="{17314370-F3D5-4D8B-85E7-F3F7FE51EEC8}"/>
    <cellStyle name="Comma 2 2 11 3" xfId="21462" xr:uid="{66646B9E-FC15-40EF-970B-52F582BDA5F9}"/>
    <cellStyle name="Comma 2 2 11 3 2" xfId="21463" xr:uid="{A44E6997-0D98-4B51-90D1-5D89474AB7BE}"/>
    <cellStyle name="Comma 2 2 11 3 2 2" xfId="21464" xr:uid="{F3037678-540F-47C9-ADED-98DF92D31DEF}"/>
    <cellStyle name="Comma 2 2 11 3 3" xfId="21465" xr:uid="{8F433BC6-7B41-447C-9620-038D0F95C633}"/>
    <cellStyle name="Comma 2 2 11 4" xfId="21466" xr:uid="{7226D048-A58F-4F15-9A04-18029539F538}"/>
    <cellStyle name="Comma 2 2 11 4 2" xfId="21467" xr:uid="{3AC3FE04-AAB1-4338-9F92-83FC20BE19B6}"/>
    <cellStyle name="Comma 2 2 11 4 2 2" xfId="21468" xr:uid="{D04E4911-CD2B-4AE4-AA8B-5CB8D0ABC51B}"/>
    <cellStyle name="Comma 2 2 11 4 3" xfId="21469" xr:uid="{9F51B8B4-9EF5-4755-9DEB-9AABA17E3AC7}"/>
    <cellStyle name="Comma 2 2 11 5" xfId="21470" xr:uid="{B9CE5674-0343-4B89-8EBE-D09B21427BC2}"/>
    <cellStyle name="Comma 2 2 11 5 2" xfId="21471" xr:uid="{EA6813D0-25BE-4718-91D4-EB8BD19C1921}"/>
    <cellStyle name="Comma 2 2 11 6" xfId="21472" xr:uid="{D245DC3E-352B-47C2-8C1F-328818190A2C}"/>
    <cellStyle name="Comma 2 2 12" xfId="21473" xr:uid="{E34548A1-9A9C-4F1C-8E8E-A93103701A83}"/>
    <cellStyle name="Comma 2 2 12 2" xfId="21474" xr:uid="{2B404EF8-F5EF-4487-B0CE-A8368E9C8881}"/>
    <cellStyle name="Comma 2 2 12 2 2" xfId="21475" xr:uid="{AA5C8BD5-5D1A-4D64-AB54-17F955C158E4}"/>
    <cellStyle name="Comma 2 2 12 2 2 2" xfId="21476" xr:uid="{C02673E9-46B4-4F2A-A3FC-769C43A08C93}"/>
    <cellStyle name="Comma 2 2 12 2 3" xfId="21477" xr:uid="{B0159C08-E842-4F48-9AFA-38E598731079}"/>
    <cellStyle name="Comma 2 2 12 3" xfId="21478" xr:uid="{48B6A9EF-AD1A-40AB-879C-1D4926289224}"/>
    <cellStyle name="Comma 2 2 12 3 2" xfId="21479" xr:uid="{FC948823-9A8A-4BBC-B19E-BFF6B52335E8}"/>
    <cellStyle name="Comma 2 2 12 3 2 2" xfId="21480" xr:uid="{E21D4D8F-E4CF-47EE-A16E-B4637B3699E0}"/>
    <cellStyle name="Comma 2 2 12 3 3" xfId="21481" xr:uid="{7B130E54-D40A-4E57-B50E-DFF1F9DB65CD}"/>
    <cellStyle name="Comma 2 2 12 4" xfId="21482" xr:uid="{84C4EBCD-9DA3-4593-ADB5-8870C89A3998}"/>
    <cellStyle name="Comma 2 2 12 4 2" xfId="21483" xr:uid="{07A6F0C2-8799-49A9-9771-E9A4D5EBB0B5}"/>
    <cellStyle name="Comma 2 2 12 5" xfId="21484" xr:uid="{2E6425EB-DD48-4ECB-B102-91C0403D2065}"/>
    <cellStyle name="Comma 2 2 13" xfId="21485" xr:uid="{3BC907CD-2FD6-4028-82A4-566B2249FFF5}"/>
    <cellStyle name="Comma 2 2 13 2" xfId="21486" xr:uid="{CFDFDEB4-4213-465A-A231-7ACC6CAF68AC}"/>
    <cellStyle name="Comma 2 2 13 2 2" xfId="21487" xr:uid="{D9F2DCFA-5E6D-449A-8B20-1F00058C7CB1}"/>
    <cellStyle name="Comma 2 2 13 3" xfId="21488" xr:uid="{778DFC11-167C-478D-9092-43E39825BD14}"/>
    <cellStyle name="Comma 2 2 14" xfId="21489" xr:uid="{81CADB9D-C439-47DC-81B7-7D44627D8176}"/>
    <cellStyle name="Comma 2 2 14 2" xfId="21490" xr:uid="{71FA327C-5058-4FD6-9700-D33B4C40E192}"/>
    <cellStyle name="Comma 2 2 14 2 2" xfId="21491" xr:uid="{F9074853-2E02-4B3C-8A3A-8023EF1039BF}"/>
    <cellStyle name="Comma 2 2 14 3" xfId="21492" xr:uid="{B2C8AC60-0AAA-472A-AE77-3C36981FF075}"/>
    <cellStyle name="Comma 2 2 15" xfId="21493" xr:uid="{88172D9B-FA20-4057-B0AD-9CB71827C342}"/>
    <cellStyle name="Comma 2 2 15 2" xfId="21494" xr:uid="{3143D26E-195D-4915-8D36-7C3AE069ABDD}"/>
    <cellStyle name="Comma 2 2 16" xfId="21495" xr:uid="{F1BEF232-FC0D-4DD0-B253-3D7473E78567}"/>
    <cellStyle name="Comma 2 2 17" xfId="38568" xr:uid="{B7C78C95-0333-4F49-94E3-24162FA6235A}"/>
    <cellStyle name="Comma 2 2 2" xfId="21496" xr:uid="{ED67A29C-13BD-4F25-B0DD-3CE67914DF13}"/>
    <cellStyle name="Comma 2 2 2 10" xfId="21497" xr:uid="{104C234D-C6FF-434D-A0FE-950616AC721F}"/>
    <cellStyle name="Comma 2 2 2 10 2" xfId="21498" xr:uid="{E4C773CB-BF72-4050-9618-CF6E42C4D8BE}"/>
    <cellStyle name="Comma 2 2 2 10 2 2" xfId="21499" xr:uid="{E8C28F2B-F7DD-4570-AA16-20FF48E5008A}"/>
    <cellStyle name="Comma 2 2 2 10 2 2 2" xfId="21500" xr:uid="{2D7CBAC6-5E53-4B51-B364-0AD579696774}"/>
    <cellStyle name="Comma 2 2 2 10 2 2 2 2" xfId="21501" xr:uid="{869D5EFA-4FA7-4438-AEBD-9D0318D32C52}"/>
    <cellStyle name="Comma 2 2 2 10 2 2 3" xfId="21502" xr:uid="{A0552699-0B14-4885-911A-6E1314B6F007}"/>
    <cellStyle name="Comma 2 2 2 10 2 3" xfId="21503" xr:uid="{54F1B96B-5709-4CE1-9F1B-3D3D68CC2A08}"/>
    <cellStyle name="Comma 2 2 2 10 2 3 2" xfId="21504" xr:uid="{A70E1061-55EE-4C93-BF9A-FFBD140428F0}"/>
    <cellStyle name="Comma 2 2 2 10 2 3 2 2" xfId="21505" xr:uid="{A5E77994-BE8B-4515-A155-07FA39F22EE7}"/>
    <cellStyle name="Comma 2 2 2 10 2 3 3" xfId="21506" xr:uid="{960D7E4C-EA98-43D2-8B31-10B74B3A866B}"/>
    <cellStyle name="Comma 2 2 2 10 2 4" xfId="21507" xr:uid="{2646D74E-1EB2-460F-99D5-499D00FD0CC7}"/>
    <cellStyle name="Comma 2 2 2 10 2 4 2" xfId="21508" xr:uid="{6B25AF3A-1097-47DF-A211-7FE1D3FA1C9D}"/>
    <cellStyle name="Comma 2 2 2 10 2 5" xfId="21509" xr:uid="{B9731D6C-983E-4E74-BF62-9C371B56134F}"/>
    <cellStyle name="Comma 2 2 2 10 3" xfId="21510" xr:uid="{02866732-C269-474B-879B-42620DBF827F}"/>
    <cellStyle name="Comma 2 2 2 10 3 2" xfId="21511" xr:uid="{509CD978-C443-4360-B51F-687A7DA3BCF7}"/>
    <cellStyle name="Comma 2 2 2 10 3 2 2" xfId="21512" xr:uid="{E1DE2ACD-A69B-4439-AD8F-076ABA154F8A}"/>
    <cellStyle name="Comma 2 2 2 10 3 3" xfId="21513" xr:uid="{DD98EB61-9C90-4DDC-9D69-77998D618D17}"/>
    <cellStyle name="Comma 2 2 2 10 4" xfId="21514" xr:uid="{98191F3D-E741-48FC-90C1-B92B0AB48C4A}"/>
    <cellStyle name="Comma 2 2 2 10 4 2" xfId="21515" xr:uid="{F486541F-F7EB-41DF-A190-7398A107669C}"/>
    <cellStyle name="Comma 2 2 2 10 4 2 2" xfId="21516" xr:uid="{C1B3C120-F2F1-46E0-A7B0-17BEB43C7D89}"/>
    <cellStyle name="Comma 2 2 2 10 4 3" xfId="21517" xr:uid="{98E56EC9-249B-48E6-9BFD-BE32ABD1B644}"/>
    <cellStyle name="Comma 2 2 2 10 5" xfId="21518" xr:uid="{E2CA969E-9D8B-4081-937E-B6E56F0196D0}"/>
    <cellStyle name="Comma 2 2 2 10 5 2" xfId="21519" xr:uid="{28A3FA16-2877-4931-9AE5-7374A91A0AA9}"/>
    <cellStyle name="Comma 2 2 2 10 6" xfId="21520" xr:uid="{30451070-AA34-423A-A66F-F7A4BAA670CE}"/>
    <cellStyle name="Comma 2 2 2 11" xfId="21521" xr:uid="{0FE80270-F0A0-49E8-A5EE-7B5DA7B911C3}"/>
    <cellStyle name="Comma 2 2 2 11 2" xfId="21522" xr:uid="{83ED0829-591A-4623-8A4B-82747B930864}"/>
    <cellStyle name="Comma 2 2 2 11 2 2" xfId="21523" xr:uid="{17D960BD-EC55-48C5-B0F3-C203166125BB}"/>
    <cellStyle name="Comma 2 2 2 11 2 2 2" xfId="21524" xr:uid="{CC4B4A1E-5664-42E4-84D8-9A38880AAA88}"/>
    <cellStyle name="Comma 2 2 2 11 2 2 2 2" xfId="21525" xr:uid="{0B806FC0-7099-43C4-AFA7-9471456DCD70}"/>
    <cellStyle name="Comma 2 2 2 11 2 2 3" xfId="21526" xr:uid="{013323CF-CE38-45C3-A53E-E6D5EAE6D40C}"/>
    <cellStyle name="Comma 2 2 2 11 2 3" xfId="21527" xr:uid="{C89B60A3-DE6A-49D2-BFFB-C68601D3575F}"/>
    <cellStyle name="Comma 2 2 2 11 2 3 2" xfId="21528" xr:uid="{0FF924C2-ADB3-49D7-A870-1BA7929B060A}"/>
    <cellStyle name="Comma 2 2 2 11 2 3 2 2" xfId="21529" xr:uid="{56A978B1-B55E-49F7-9491-9931EEAD7001}"/>
    <cellStyle name="Comma 2 2 2 11 2 3 3" xfId="21530" xr:uid="{0B588456-7042-4AA6-B8E9-A30D5F89B576}"/>
    <cellStyle name="Comma 2 2 2 11 2 4" xfId="21531" xr:uid="{41044EE3-3ECD-4D4D-B934-89EADD44C5D9}"/>
    <cellStyle name="Comma 2 2 2 11 2 4 2" xfId="21532" xr:uid="{7EE2C419-613B-4C85-ADA3-95A1871F8896}"/>
    <cellStyle name="Comma 2 2 2 11 2 5" xfId="21533" xr:uid="{48F8C612-1692-4C83-925C-E59C8AD30281}"/>
    <cellStyle name="Comma 2 2 2 11 3" xfId="21534" xr:uid="{9AE4AE7A-709C-4500-8089-8E21CD0E04BA}"/>
    <cellStyle name="Comma 2 2 2 11 3 2" xfId="21535" xr:uid="{B5E83A8A-AC79-490A-AD6B-2386F8A36B21}"/>
    <cellStyle name="Comma 2 2 2 11 3 2 2" xfId="21536" xr:uid="{8D906A4D-EDE6-4E8F-8C6C-8623A12DC821}"/>
    <cellStyle name="Comma 2 2 2 11 3 3" xfId="21537" xr:uid="{123D2A06-2387-45B8-9617-35911A0D8B65}"/>
    <cellStyle name="Comma 2 2 2 11 4" xfId="21538" xr:uid="{44FE6CB4-F5CA-4D51-A1BE-AF16BD998C3B}"/>
    <cellStyle name="Comma 2 2 2 11 4 2" xfId="21539" xr:uid="{A2332D81-1987-48A8-87B8-850AAF9F6AE0}"/>
    <cellStyle name="Comma 2 2 2 11 4 2 2" xfId="21540" xr:uid="{9443D1D6-1144-4D3D-9A05-5E2392B0A558}"/>
    <cellStyle name="Comma 2 2 2 11 4 3" xfId="21541" xr:uid="{016620FD-6E81-4231-98C9-479842D1EF46}"/>
    <cellStyle name="Comma 2 2 2 11 5" xfId="21542" xr:uid="{228E647C-F9FC-4A01-A3EF-40C9344A3501}"/>
    <cellStyle name="Comma 2 2 2 11 5 2" xfId="21543" xr:uid="{6F713C46-DB3E-4381-A4A1-8034A726EFA2}"/>
    <cellStyle name="Comma 2 2 2 11 6" xfId="21544" xr:uid="{73DD58E5-F9F4-4B35-91BB-8ED5D259C3F3}"/>
    <cellStyle name="Comma 2 2 2 12" xfId="21545" xr:uid="{BBC41921-F410-4581-A6A0-0804B42542E4}"/>
    <cellStyle name="Comma 2 2 2 12 2" xfId="21546" xr:uid="{AAB2FE5D-D5CC-4177-9697-845A490F57AD}"/>
    <cellStyle name="Comma 2 2 2 12 2 2" xfId="21547" xr:uid="{F2434E96-1435-46AF-9F40-1D41865A18B7}"/>
    <cellStyle name="Comma 2 2 2 12 2 2 2" xfId="21548" xr:uid="{749AD5D7-5675-4826-830E-50804AF31E6E}"/>
    <cellStyle name="Comma 2 2 2 12 2 3" xfId="21549" xr:uid="{1D6DA40E-8547-4A4B-9CDD-BB3485D50C9B}"/>
    <cellStyle name="Comma 2 2 2 12 3" xfId="21550" xr:uid="{155EA12C-33BE-474D-B620-8D17890A791F}"/>
    <cellStyle name="Comma 2 2 2 12 3 2" xfId="21551" xr:uid="{ED33A1D5-2D10-406D-B2A1-4A0AD6C6BC41}"/>
    <cellStyle name="Comma 2 2 2 12 3 2 2" xfId="21552" xr:uid="{F3C97BC5-0B26-45D6-920F-3B7A4229EE1B}"/>
    <cellStyle name="Comma 2 2 2 12 3 3" xfId="21553" xr:uid="{8693CE0A-7892-40D1-9247-4DF53910B43B}"/>
    <cellStyle name="Comma 2 2 2 12 4" xfId="21554" xr:uid="{56828E5B-3A49-41E9-88A3-86641B4F6DAB}"/>
    <cellStyle name="Comma 2 2 2 12 4 2" xfId="21555" xr:uid="{AAE568E6-FDD6-4C26-AD24-A805EE82B0F7}"/>
    <cellStyle name="Comma 2 2 2 12 5" xfId="21556" xr:uid="{A27E7AE7-EF62-4035-8774-1173EFB91FC7}"/>
    <cellStyle name="Comma 2 2 2 13" xfId="21557" xr:uid="{9CEBAADC-5391-4344-9FB5-86A41B1DE96C}"/>
    <cellStyle name="Comma 2 2 2 13 2" xfId="21558" xr:uid="{DF8B8AAF-0A8D-46D5-8B57-46DB05F109F7}"/>
    <cellStyle name="Comma 2 2 2 13 2 2" xfId="21559" xr:uid="{AEE1C4AE-BB17-49A2-BC5F-4297B8FA03EA}"/>
    <cellStyle name="Comma 2 2 2 13 3" xfId="21560" xr:uid="{14BF4BA5-6EFF-49B8-AF28-D428A6FDDF21}"/>
    <cellStyle name="Comma 2 2 2 14" xfId="21561" xr:uid="{3A9842F8-0195-46CE-873B-EC651361F08A}"/>
    <cellStyle name="Comma 2 2 2 14 2" xfId="21562" xr:uid="{E2E1AA2E-33F2-4ED4-A388-052DFB144325}"/>
    <cellStyle name="Comma 2 2 2 14 2 2" xfId="21563" xr:uid="{ADD53E5A-EF84-4525-9C8F-6E15DA975855}"/>
    <cellStyle name="Comma 2 2 2 14 3" xfId="21564" xr:uid="{3F653883-6333-45AF-9EC2-DDF2C18DF02B}"/>
    <cellStyle name="Comma 2 2 2 15" xfId="21565" xr:uid="{491C01E7-3D61-45CF-B3EE-66381C7AFAB0}"/>
    <cellStyle name="Comma 2 2 2 15 2" xfId="21566" xr:uid="{8C0BDB7F-B132-4035-84AA-126BC95CAA88}"/>
    <cellStyle name="Comma 2 2 2 16" xfId="21567" xr:uid="{9ACFD8F8-79AA-42FE-8F0F-97F5725BDC98}"/>
    <cellStyle name="Comma 2 2 2 17" xfId="38569" xr:uid="{4BD0E9EA-3130-45CF-9150-8EF8FAFE9665}"/>
    <cellStyle name="Comma 2 2 2 2" xfId="21568" xr:uid="{BB3B5200-E2A5-4F84-B22E-C9F5465CB62B}"/>
    <cellStyle name="Comma 2 2 2 2 10" xfId="21569" xr:uid="{848630EF-F1AE-4E1C-BABB-08407C1A73BD}"/>
    <cellStyle name="Comma 2 2 2 2 10 2" xfId="21570" xr:uid="{75045EE5-9238-4F50-8B1F-BD143402794A}"/>
    <cellStyle name="Comma 2 2 2 2 10 2 2" xfId="21571" xr:uid="{380FBC77-8895-4C7D-A799-4DDB0275E254}"/>
    <cellStyle name="Comma 2 2 2 2 10 2 2 2" xfId="21572" xr:uid="{FC9DE60E-209B-454D-968C-06C3763FB10E}"/>
    <cellStyle name="Comma 2 2 2 2 10 2 2 2 2" xfId="21573" xr:uid="{81273443-DB25-41A8-8D7C-6CD0449C5921}"/>
    <cellStyle name="Comma 2 2 2 2 10 2 2 3" xfId="21574" xr:uid="{B721BB1E-D17E-419A-81CF-7A555D866AE6}"/>
    <cellStyle name="Comma 2 2 2 2 10 2 3" xfId="21575" xr:uid="{AFC1ECF7-D80B-4656-9BCA-E1EFCB773B0D}"/>
    <cellStyle name="Comma 2 2 2 2 10 2 3 2" xfId="21576" xr:uid="{0AF5420F-3897-43BE-B065-D2C917E8C7C6}"/>
    <cellStyle name="Comma 2 2 2 2 10 2 3 2 2" xfId="21577" xr:uid="{6AF689DA-988D-4F44-98E8-105E8DABEE66}"/>
    <cellStyle name="Comma 2 2 2 2 10 2 3 3" xfId="21578" xr:uid="{98DDEB24-00D8-4A24-A1BA-2E39B6680AF2}"/>
    <cellStyle name="Comma 2 2 2 2 10 2 4" xfId="21579" xr:uid="{30E0AC55-3611-4E10-98B7-8E0C4023CBD9}"/>
    <cellStyle name="Comma 2 2 2 2 10 2 4 2" xfId="21580" xr:uid="{B1576B62-0CCF-4AAE-8333-9D66445BD39D}"/>
    <cellStyle name="Comma 2 2 2 2 10 2 5" xfId="21581" xr:uid="{03A9DFDE-7A79-43CF-BE60-F4CCD594189D}"/>
    <cellStyle name="Comma 2 2 2 2 10 3" xfId="21582" xr:uid="{620E6D8E-58E4-476D-B614-7F8799EDD861}"/>
    <cellStyle name="Comma 2 2 2 2 10 3 2" xfId="21583" xr:uid="{64BCE468-215B-4E83-9522-124F28C8987A}"/>
    <cellStyle name="Comma 2 2 2 2 10 3 2 2" xfId="21584" xr:uid="{160AC12D-73FC-4CC0-9BF5-56FA70E63BA4}"/>
    <cellStyle name="Comma 2 2 2 2 10 3 3" xfId="21585" xr:uid="{39803A96-10A9-4238-B73F-F0C7CBBAE926}"/>
    <cellStyle name="Comma 2 2 2 2 10 4" xfId="21586" xr:uid="{A5FEEB55-2CCA-464C-B404-3B9F61185CC4}"/>
    <cellStyle name="Comma 2 2 2 2 10 4 2" xfId="21587" xr:uid="{33383834-DABF-4C99-9DA2-8094A577EB57}"/>
    <cellStyle name="Comma 2 2 2 2 10 4 2 2" xfId="21588" xr:uid="{8C81EBFC-2E0C-4023-BDA5-37F41C3278EE}"/>
    <cellStyle name="Comma 2 2 2 2 10 4 3" xfId="21589" xr:uid="{B061DA14-4556-45D8-A490-C46468AF1CF8}"/>
    <cellStyle name="Comma 2 2 2 2 10 5" xfId="21590" xr:uid="{B48CF04B-B099-4F88-B61B-C990573CC18B}"/>
    <cellStyle name="Comma 2 2 2 2 10 5 2" xfId="21591" xr:uid="{428DAAFF-81BE-4F4B-B661-513E2FBD4DCB}"/>
    <cellStyle name="Comma 2 2 2 2 10 6" xfId="21592" xr:uid="{15FBA0D2-A52C-4201-98FE-63B9568A9075}"/>
    <cellStyle name="Comma 2 2 2 2 11" xfId="21593" xr:uid="{27F3837A-E357-4D30-AA94-85D5E895493A}"/>
    <cellStyle name="Comma 2 2 2 2 11 2" xfId="21594" xr:uid="{3F054CF4-6AA4-4B98-BAD2-E166CEB0983D}"/>
    <cellStyle name="Comma 2 2 2 2 11 2 2" xfId="21595" xr:uid="{FA0FBD0E-7E7B-4BF0-A4C8-77E2AAA271BE}"/>
    <cellStyle name="Comma 2 2 2 2 11 2 2 2" xfId="21596" xr:uid="{B9DE0D4A-B60D-448E-809D-4AED6FD9D17A}"/>
    <cellStyle name="Comma 2 2 2 2 11 2 2 2 2" xfId="21597" xr:uid="{3886A92A-DB4F-4324-A537-1BDD353A17C8}"/>
    <cellStyle name="Comma 2 2 2 2 11 2 2 3" xfId="21598" xr:uid="{41E50690-346D-457F-96D1-004D673F7E11}"/>
    <cellStyle name="Comma 2 2 2 2 11 2 3" xfId="21599" xr:uid="{C62611BB-BE70-4BAC-8023-CBC140166246}"/>
    <cellStyle name="Comma 2 2 2 2 11 2 3 2" xfId="21600" xr:uid="{1AF67D84-7A97-4125-96D6-61A00E5F7BBB}"/>
    <cellStyle name="Comma 2 2 2 2 11 2 3 2 2" xfId="21601" xr:uid="{1642A67C-FAB7-4719-BBE5-86CC38F0F8E6}"/>
    <cellStyle name="Comma 2 2 2 2 11 2 3 3" xfId="21602" xr:uid="{C71480F4-E2A9-4C52-A0A2-5A791ED49C35}"/>
    <cellStyle name="Comma 2 2 2 2 11 2 4" xfId="21603" xr:uid="{59E839C8-0F80-4F65-82A8-CD09B02F8405}"/>
    <cellStyle name="Comma 2 2 2 2 11 2 4 2" xfId="21604" xr:uid="{D5E420A1-C3F5-4A5E-8A43-A445EF58F7AC}"/>
    <cellStyle name="Comma 2 2 2 2 11 2 5" xfId="21605" xr:uid="{45F5B067-C77D-4526-8BAF-6097951FA76F}"/>
    <cellStyle name="Comma 2 2 2 2 11 3" xfId="21606" xr:uid="{0CCA0504-3766-4CFC-8502-DCF22FD7A76E}"/>
    <cellStyle name="Comma 2 2 2 2 11 3 2" xfId="21607" xr:uid="{41383E29-8370-44DA-8A68-5E9529F251E7}"/>
    <cellStyle name="Comma 2 2 2 2 11 3 2 2" xfId="21608" xr:uid="{5910BBDA-6B52-46E0-9CDB-FE74F1652C9E}"/>
    <cellStyle name="Comma 2 2 2 2 11 3 3" xfId="21609" xr:uid="{AA6C75BD-4694-4A2E-943F-E4FBCA555597}"/>
    <cellStyle name="Comma 2 2 2 2 11 4" xfId="21610" xr:uid="{2E1A2283-128A-4840-8D9D-4FB87A2B6BA9}"/>
    <cellStyle name="Comma 2 2 2 2 11 4 2" xfId="21611" xr:uid="{40F30AF3-8A83-4B7C-B4B0-BD83E21717EF}"/>
    <cellStyle name="Comma 2 2 2 2 11 4 2 2" xfId="21612" xr:uid="{0B39BFBC-FD85-46BE-8209-D9B3F24F1C7D}"/>
    <cellStyle name="Comma 2 2 2 2 11 4 3" xfId="21613" xr:uid="{5FA1728A-2138-40DD-A307-DE190003129D}"/>
    <cellStyle name="Comma 2 2 2 2 11 5" xfId="21614" xr:uid="{6F804CF4-A79B-4D18-B391-BE28C8BAB18F}"/>
    <cellStyle name="Comma 2 2 2 2 11 5 2" xfId="21615" xr:uid="{ADA06582-2DAB-4201-B1FB-BC62DE878F53}"/>
    <cellStyle name="Comma 2 2 2 2 11 6" xfId="21616" xr:uid="{8DCF3EDE-820F-40D1-8FBF-E520512DB2D4}"/>
    <cellStyle name="Comma 2 2 2 2 12" xfId="21617" xr:uid="{DF26D01E-BC2B-47F7-AF13-8D3000D0FCE7}"/>
    <cellStyle name="Comma 2 2 2 2 12 2" xfId="21618" xr:uid="{20F51652-5F99-4D4D-A01D-F0E3C5E3A156}"/>
    <cellStyle name="Comma 2 2 2 2 12 2 2" xfId="21619" xr:uid="{D31EC243-A493-44E2-8D85-16417D13B6EE}"/>
    <cellStyle name="Comma 2 2 2 2 12 2 2 2" xfId="21620" xr:uid="{96D9D3A2-D7EA-4C0E-B79C-548EA6F9EBE9}"/>
    <cellStyle name="Comma 2 2 2 2 12 2 3" xfId="21621" xr:uid="{E1492125-181C-4C6A-87C4-5C4C0E3ED604}"/>
    <cellStyle name="Comma 2 2 2 2 12 3" xfId="21622" xr:uid="{6C09AD81-B311-44C9-9A0B-D04D73221E57}"/>
    <cellStyle name="Comma 2 2 2 2 12 3 2" xfId="21623" xr:uid="{188AE7D5-43EE-427C-8972-BA68E541872F}"/>
    <cellStyle name="Comma 2 2 2 2 12 3 2 2" xfId="21624" xr:uid="{3ADB299C-824E-4916-A693-9FCDFEABBFF7}"/>
    <cellStyle name="Comma 2 2 2 2 12 3 3" xfId="21625" xr:uid="{F2814922-6123-4FCA-9E12-A4B692382FF6}"/>
    <cellStyle name="Comma 2 2 2 2 12 4" xfId="21626" xr:uid="{9152C9B4-5068-4E4C-9EDF-9107592FABDD}"/>
    <cellStyle name="Comma 2 2 2 2 12 4 2" xfId="21627" xr:uid="{461B99E8-0FF5-40E5-AD7E-5414E7E4DFAE}"/>
    <cellStyle name="Comma 2 2 2 2 12 5" xfId="21628" xr:uid="{9AB7B886-D277-4EE8-89BD-4385F3357C66}"/>
    <cellStyle name="Comma 2 2 2 2 13" xfId="21629" xr:uid="{A36A0F05-7B4A-4CB0-BCD2-9CDF3E8B9DFD}"/>
    <cellStyle name="Comma 2 2 2 2 13 2" xfId="21630" xr:uid="{16D1D597-B610-4F58-BBE4-62D7AABBDBA1}"/>
    <cellStyle name="Comma 2 2 2 2 13 2 2" xfId="21631" xr:uid="{FD6FA4D4-4113-4085-A80E-F2C338D0CFAD}"/>
    <cellStyle name="Comma 2 2 2 2 13 3" xfId="21632" xr:uid="{2736295D-DC6F-48D4-9F4D-7C4F9FC6F94A}"/>
    <cellStyle name="Comma 2 2 2 2 14" xfId="21633" xr:uid="{0A8B3059-686C-4E49-87E7-E03184F1F363}"/>
    <cellStyle name="Comma 2 2 2 2 14 2" xfId="21634" xr:uid="{FE4A82DC-8B7D-4525-B9F4-63784AA9F8D2}"/>
    <cellStyle name="Comma 2 2 2 2 14 2 2" xfId="21635" xr:uid="{5E40910C-F5A7-410F-9588-AFE3A21D16EC}"/>
    <cellStyle name="Comma 2 2 2 2 14 3" xfId="21636" xr:uid="{506613A0-8D51-4630-BFB1-BC0D90D1F20D}"/>
    <cellStyle name="Comma 2 2 2 2 15" xfId="21637" xr:uid="{72DEA249-9DD2-4F65-91F6-A8CFC7AEE695}"/>
    <cellStyle name="Comma 2 2 2 2 15 2" xfId="21638" xr:uid="{371B868C-60FA-4FA2-8ABD-3EDED994C8DC}"/>
    <cellStyle name="Comma 2 2 2 2 16" xfId="21639" xr:uid="{9BFB8A92-1E59-4081-B3D5-4E1090262090}"/>
    <cellStyle name="Comma 2 2 2 2 17" xfId="38570" xr:uid="{ED84AC68-8185-418F-AA1F-7A8999B931AB}"/>
    <cellStyle name="Comma 2 2 2 2 2" xfId="21640" xr:uid="{D3ACF2FA-193F-41E3-8200-646724427655}"/>
    <cellStyle name="Comma 2 2 2 2 2 2" xfId="21641" xr:uid="{E883AA41-3B9F-4DDD-97AA-4D58A710D191}"/>
    <cellStyle name="Comma 2 2 2 2 2 2 2" xfId="21642" xr:uid="{7F11901D-076A-4952-B030-47153BBFD2F2}"/>
    <cellStyle name="Comma 2 2 2 2 2 2 2 2" xfId="21643" xr:uid="{CD0FEBFF-9EE3-404D-B151-ADF0FE8E2E54}"/>
    <cellStyle name="Comma 2 2 2 2 2 2 2 2 2" xfId="21644" xr:uid="{CC548A9E-78BE-4190-A404-E21943BE513B}"/>
    <cellStyle name="Comma 2 2 2 2 2 2 2 3" xfId="21645" xr:uid="{0DCC5A7D-14F5-469C-B7BB-CE107FA4C01C}"/>
    <cellStyle name="Comma 2 2 2 2 2 2 3" xfId="21646" xr:uid="{5032E497-EA60-4610-BD03-D0FE54CD5A85}"/>
    <cellStyle name="Comma 2 2 2 2 2 2 3 2" xfId="21647" xr:uid="{D424FFF7-9231-4A4C-B92F-622D4D92FC24}"/>
    <cellStyle name="Comma 2 2 2 2 2 2 3 2 2" xfId="21648" xr:uid="{5090B807-97E0-45F5-B8C6-AC8D7CEC3163}"/>
    <cellStyle name="Comma 2 2 2 2 2 2 3 3" xfId="21649" xr:uid="{DAED0B6A-C7F0-4C5C-A834-82324D0714BA}"/>
    <cellStyle name="Comma 2 2 2 2 2 2 4" xfId="21650" xr:uid="{1EAFF49A-AB97-443B-8C37-256606E02AF2}"/>
    <cellStyle name="Comma 2 2 2 2 2 2 4 2" xfId="21651" xr:uid="{B6712060-DBCE-4C2A-87C6-DBB9498D021B}"/>
    <cellStyle name="Comma 2 2 2 2 2 2 5" xfId="21652" xr:uid="{2A300525-2752-46BA-A917-383DAC87B8FD}"/>
    <cellStyle name="Comma 2 2 2 2 2 3" xfId="21653" xr:uid="{189BC545-FEFE-425A-8A10-3A69864B26A6}"/>
    <cellStyle name="Comma 2 2 2 2 2 3 2" xfId="21654" xr:uid="{26D37D81-CB17-44A5-A26C-8D42712F4E30}"/>
    <cellStyle name="Comma 2 2 2 2 2 3 2 2" xfId="21655" xr:uid="{B168CEDA-F5E9-492A-A220-B444E8F4C2D8}"/>
    <cellStyle name="Comma 2 2 2 2 2 3 3" xfId="21656" xr:uid="{A83F697E-837B-43C4-B787-3BA861639AD2}"/>
    <cellStyle name="Comma 2 2 2 2 2 4" xfId="21657" xr:uid="{B819ECBB-5C1E-4415-9270-C63D1380116A}"/>
    <cellStyle name="Comma 2 2 2 2 2 4 2" xfId="21658" xr:uid="{1154AC66-1EBE-437A-AE0B-1DB57CF93940}"/>
    <cellStyle name="Comma 2 2 2 2 2 4 2 2" xfId="21659" xr:uid="{E2624CFE-09D7-4110-B967-0EFAA673CB60}"/>
    <cellStyle name="Comma 2 2 2 2 2 4 3" xfId="21660" xr:uid="{80494AFC-2B9D-4AAF-83EA-67021DDA086E}"/>
    <cellStyle name="Comma 2 2 2 2 2 5" xfId="21661" xr:uid="{1DC9EF8B-3AFB-4D41-8F52-0DCD100229CB}"/>
    <cellStyle name="Comma 2 2 2 2 2 5 2" xfId="21662" xr:uid="{D58BD534-411A-499D-AE94-CB3E06D6BC5D}"/>
    <cellStyle name="Comma 2 2 2 2 2 6" xfId="21663" xr:uid="{5F2E2982-70F7-4ADC-B90B-7435BBD78CB5}"/>
    <cellStyle name="Comma 2 2 2 2 3" xfId="21664" xr:uid="{066BA701-A5DF-4711-AB9E-583B37C8031D}"/>
    <cellStyle name="Comma 2 2 2 2 3 2" xfId="21665" xr:uid="{64D2EAA1-D85B-4E42-9528-8F2D2AE73E0E}"/>
    <cellStyle name="Comma 2 2 2 2 3 2 2" xfId="21666" xr:uid="{BF456620-676A-4E31-A3B7-3F5440CF1ECA}"/>
    <cellStyle name="Comma 2 2 2 2 3 2 2 2" xfId="21667" xr:uid="{BB19FCB1-3A8D-479D-9E09-3F47CD248559}"/>
    <cellStyle name="Comma 2 2 2 2 3 2 2 2 2" xfId="21668" xr:uid="{9EAA217F-7C6C-48F2-96A4-F2B3797106E8}"/>
    <cellStyle name="Comma 2 2 2 2 3 2 2 3" xfId="21669" xr:uid="{E7D9000F-9D10-451B-8B49-DE6BD3DAD01F}"/>
    <cellStyle name="Comma 2 2 2 2 3 2 3" xfId="21670" xr:uid="{7882655C-660C-4E2A-9B1B-0590CCD3ADA9}"/>
    <cellStyle name="Comma 2 2 2 2 3 2 3 2" xfId="21671" xr:uid="{29720653-FC9A-4DC9-87E4-DA966621D13F}"/>
    <cellStyle name="Comma 2 2 2 2 3 2 3 2 2" xfId="21672" xr:uid="{483A21CB-42DE-456D-B12B-7D9412BE2A86}"/>
    <cellStyle name="Comma 2 2 2 2 3 2 3 3" xfId="21673" xr:uid="{F56869D5-1C84-4E95-9343-45A95AFBCB4A}"/>
    <cellStyle name="Comma 2 2 2 2 3 2 4" xfId="21674" xr:uid="{F96B1888-A8B8-480F-A793-642D37BF4249}"/>
    <cellStyle name="Comma 2 2 2 2 3 2 4 2" xfId="21675" xr:uid="{4644FEAA-EB41-423A-8852-DFB8DDD70B4D}"/>
    <cellStyle name="Comma 2 2 2 2 3 2 5" xfId="21676" xr:uid="{4E68ED08-702A-4943-87EC-85F4728E5C29}"/>
    <cellStyle name="Comma 2 2 2 2 3 3" xfId="21677" xr:uid="{BD3F8C03-C60F-413C-8BFC-34C282067512}"/>
    <cellStyle name="Comma 2 2 2 2 3 3 2" xfId="21678" xr:uid="{7F34348D-B41F-4754-970B-B17556B55CA7}"/>
    <cellStyle name="Comma 2 2 2 2 3 3 2 2" xfId="21679" xr:uid="{B8479FCB-B30A-4E8B-B7DF-D4D7F74C2D52}"/>
    <cellStyle name="Comma 2 2 2 2 3 3 3" xfId="21680" xr:uid="{6EB29A01-7BC6-4A37-A0CA-2AA87D3464A3}"/>
    <cellStyle name="Comma 2 2 2 2 3 4" xfId="21681" xr:uid="{37F1054D-A8F1-4269-A3C0-3388BF391FB6}"/>
    <cellStyle name="Comma 2 2 2 2 3 4 2" xfId="21682" xr:uid="{FF926863-3F58-4399-92FE-CFA30A6B776B}"/>
    <cellStyle name="Comma 2 2 2 2 3 4 2 2" xfId="21683" xr:uid="{8E7DAC05-0461-46FE-A32A-4095E77C756E}"/>
    <cellStyle name="Comma 2 2 2 2 3 4 3" xfId="21684" xr:uid="{4CBB342D-79B7-4EAC-BF8D-88E3435FE93C}"/>
    <cellStyle name="Comma 2 2 2 2 3 5" xfId="21685" xr:uid="{23DC54C1-4EFC-4A44-BD8B-94E66156E766}"/>
    <cellStyle name="Comma 2 2 2 2 3 5 2" xfId="21686" xr:uid="{AB099AA2-2DEE-4DFE-BEA7-9F0166A16549}"/>
    <cellStyle name="Comma 2 2 2 2 3 6" xfId="21687" xr:uid="{AA215B92-65D5-4D3A-812C-BE81FD47CD10}"/>
    <cellStyle name="Comma 2 2 2 2 4" xfId="21688" xr:uid="{FED7502B-FD3A-4136-9DFD-9EA76CFDFF73}"/>
    <cellStyle name="Comma 2 2 2 2 4 2" xfId="21689" xr:uid="{B3346677-E438-4DF1-9ADE-CEA1759E44B2}"/>
    <cellStyle name="Comma 2 2 2 2 4 2 2" xfId="21690" xr:uid="{6131E22B-AE1C-4365-8DE9-727DD2EDF9B6}"/>
    <cellStyle name="Comma 2 2 2 2 4 2 2 2" xfId="21691" xr:uid="{49B48E7E-B6AF-4C15-A514-B612514C8FF1}"/>
    <cellStyle name="Comma 2 2 2 2 4 2 2 2 2" xfId="21692" xr:uid="{77A93464-8465-4DF8-855E-7D0819C430C0}"/>
    <cellStyle name="Comma 2 2 2 2 4 2 2 3" xfId="21693" xr:uid="{F8E6F461-A62C-423A-A842-BAEF31D0F09B}"/>
    <cellStyle name="Comma 2 2 2 2 4 2 3" xfId="21694" xr:uid="{9AEC34B6-023F-4C6D-977E-A6BC70B3BB89}"/>
    <cellStyle name="Comma 2 2 2 2 4 2 3 2" xfId="21695" xr:uid="{2B7E2FFB-D211-44C3-B89C-47870D425D57}"/>
    <cellStyle name="Comma 2 2 2 2 4 2 3 2 2" xfId="21696" xr:uid="{68893666-D3AB-43E8-8487-4AB7F380E19D}"/>
    <cellStyle name="Comma 2 2 2 2 4 2 3 3" xfId="21697" xr:uid="{2E1F6F14-AAEF-4FF4-8E64-97A7766727D6}"/>
    <cellStyle name="Comma 2 2 2 2 4 2 4" xfId="21698" xr:uid="{45874F04-DAD8-482E-8E41-A13613FD89D7}"/>
    <cellStyle name="Comma 2 2 2 2 4 2 4 2" xfId="21699" xr:uid="{E850D431-098A-47BC-8A0A-27DF7C287AC8}"/>
    <cellStyle name="Comma 2 2 2 2 4 2 5" xfId="21700" xr:uid="{614C51A8-950D-4C4C-B923-0F50C907483B}"/>
    <cellStyle name="Comma 2 2 2 2 4 3" xfId="21701" xr:uid="{93A89AB7-091E-4356-9C9C-3D96F9E4C6A3}"/>
    <cellStyle name="Comma 2 2 2 2 4 3 2" xfId="21702" xr:uid="{DE084D65-2502-47B1-AD03-3394A80162EC}"/>
    <cellStyle name="Comma 2 2 2 2 4 3 2 2" xfId="21703" xr:uid="{BA4A6E70-52F7-44C5-84A0-EA5AB702AEAB}"/>
    <cellStyle name="Comma 2 2 2 2 4 3 3" xfId="21704" xr:uid="{4FB8CE7D-B7BC-4B93-B08E-D9CBC149B95D}"/>
    <cellStyle name="Comma 2 2 2 2 4 4" xfId="21705" xr:uid="{FFBCDDC8-26D3-4725-B686-162CCDD8B400}"/>
    <cellStyle name="Comma 2 2 2 2 4 4 2" xfId="21706" xr:uid="{FF16D11C-7F3D-411F-A7B8-BA032891AAD2}"/>
    <cellStyle name="Comma 2 2 2 2 4 4 2 2" xfId="21707" xr:uid="{41BDB049-2553-4DD8-96AD-3F2EECDC7821}"/>
    <cellStyle name="Comma 2 2 2 2 4 4 3" xfId="21708" xr:uid="{C1EF4A46-14F2-4B8B-867E-9478EB7FC691}"/>
    <cellStyle name="Comma 2 2 2 2 4 5" xfId="21709" xr:uid="{46073BBA-31EC-49A1-A5F5-1A442C9C602B}"/>
    <cellStyle name="Comma 2 2 2 2 4 5 2" xfId="21710" xr:uid="{CFBCD0CD-C992-48BF-9403-13A816CF0C92}"/>
    <cellStyle name="Comma 2 2 2 2 4 6" xfId="21711" xr:uid="{17792094-97CD-4759-9DEC-A0074A7A44D8}"/>
    <cellStyle name="Comma 2 2 2 2 5" xfId="21712" xr:uid="{57926E27-2BF9-4FFC-92F2-501623D6A82E}"/>
    <cellStyle name="Comma 2 2 2 2 5 2" xfId="21713" xr:uid="{295BB308-61B2-4A5D-956D-602E12A07548}"/>
    <cellStyle name="Comma 2 2 2 2 5 2 2" xfId="21714" xr:uid="{A5A8DF65-2377-4274-81F7-8784E9AB07F1}"/>
    <cellStyle name="Comma 2 2 2 2 5 2 2 2" xfId="21715" xr:uid="{5CE7DE9C-7F65-44B5-80CF-4401506D2DA4}"/>
    <cellStyle name="Comma 2 2 2 2 5 2 2 2 2" xfId="21716" xr:uid="{2B49538C-7B99-4BD0-8863-843534C29904}"/>
    <cellStyle name="Comma 2 2 2 2 5 2 2 3" xfId="21717" xr:uid="{A7E0B533-A120-4666-90A9-0452D2D7B417}"/>
    <cellStyle name="Comma 2 2 2 2 5 2 3" xfId="21718" xr:uid="{BB088704-EA7E-44E5-B6C6-1401A3005186}"/>
    <cellStyle name="Comma 2 2 2 2 5 2 3 2" xfId="21719" xr:uid="{AF850812-76EA-4E2A-AA8D-5B40BDDB49EF}"/>
    <cellStyle name="Comma 2 2 2 2 5 2 3 2 2" xfId="21720" xr:uid="{8E78FD6B-3D1D-4035-A4B4-06CECB34827A}"/>
    <cellStyle name="Comma 2 2 2 2 5 2 3 3" xfId="21721" xr:uid="{EB5DB066-3346-469E-9DD3-59790DB99D38}"/>
    <cellStyle name="Comma 2 2 2 2 5 2 4" xfId="21722" xr:uid="{EB9221B7-4D1D-49A6-8E90-2BB49CD3AFF1}"/>
    <cellStyle name="Comma 2 2 2 2 5 2 4 2" xfId="21723" xr:uid="{0810B10C-FEA1-44DB-8F46-EE1F9A7A6083}"/>
    <cellStyle name="Comma 2 2 2 2 5 2 5" xfId="21724" xr:uid="{599A21F6-7F57-4348-89ED-6C9E287046DB}"/>
    <cellStyle name="Comma 2 2 2 2 5 3" xfId="21725" xr:uid="{1FBA214E-6675-4B0D-B399-3F994F3B6CDA}"/>
    <cellStyle name="Comma 2 2 2 2 5 3 2" xfId="21726" xr:uid="{33F7DD65-AA26-49B0-9049-FA44A6FF3C37}"/>
    <cellStyle name="Comma 2 2 2 2 5 3 2 2" xfId="21727" xr:uid="{1A667838-C3B0-483F-99BD-C7D4D4533B28}"/>
    <cellStyle name="Comma 2 2 2 2 5 3 3" xfId="21728" xr:uid="{677E802B-526B-496D-817E-5C3C8885C364}"/>
    <cellStyle name="Comma 2 2 2 2 5 4" xfId="21729" xr:uid="{E4CD421A-5198-42DF-B7E0-6A27A8BA67FF}"/>
    <cellStyle name="Comma 2 2 2 2 5 4 2" xfId="21730" xr:uid="{7AB41885-DF95-4464-88CA-3AFCAB4161B0}"/>
    <cellStyle name="Comma 2 2 2 2 5 4 2 2" xfId="21731" xr:uid="{B3A8821E-4125-49CC-9E2A-022FD0C117DE}"/>
    <cellStyle name="Comma 2 2 2 2 5 4 3" xfId="21732" xr:uid="{BDA11938-F5AF-4771-B67B-894E98376EAE}"/>
    <cellStyle name="Comma 2 2 2 2 5 5" xfId="21733" xr:uid="{8C254124-9166-4B62-B847-F26DCC9F2FFD}"/>
    <cellStyle name="Comma 2 2 2 2 5 5 2" xfId="21734" xr:uid="{77B9971B-87F3-4BC1-A157-B45BC8D775AF}"/>
    <cellStyle name="Comma 2 2 2 2 5 6" xfId="21735" xr:uid="{D9B89F4E-813F-41FB-BDDC-8F80C11EB73F}"/>
    <cellStyle name="Comma 2 2 2 2 6" xfId="21736" xr:uid="{51B2D2E1-90A1-4432-B64B-89885B14AB7D}"/>
    <cellStyle name="Comma 2 2 2 2 6 2" xfId="21737" xr:uid="{C9522270-1FCE-4821-A66A-A716B382DC6C}"/>
    <cellStyle name="Comma 2 2 2 2 6 2 2" xfId="21738" xr:uid="{6B216D25-978F-441C-AE92-E073064F87C7}"/>
    <cellStyle name="Comma 2 2 2 2 6 2 2 2" xfId="21739" xr:uid="{BA1EC1F9-71CE-4151-9F99-BEBD715298F6}"/>
    <cellStyle name="Comma 2 2 2 2 6 2 2 2 2" xfId="21740" xr:uid="{D0BC1B64-1146-40F9-B3D4-A29AA7CF7206}"/>
    <cellStyle name="Comma 2 2 2 2 6 2 2 3" xfId="21741" xr:uid="{C15BA622-0EF0-463A-9C28-369B2E0E446D}"/>
    <cellStyle name="Comma 2 2 2 2 6 2 3" xfId="21742" xr:uid="{2BF511C0-7E55-4FAC-A460-E5128630BCD5}"/>
    <cellStyle name="Comma 2 2 2 2 6 2 3 2" xfId="21743" xr:uid="{1F2E8FFB-44F3-4838-9502-7ACAD4708B79}"/>
    <cellStyle name="Comma 2 2 2 2 6 2 3 2 2" xfId="21744" xr:uid="{5128318D-7E46-42ED-A1EB-632A028AEC7E}"/>
    <cellStyle name="Comma 2 2 2 2 6 2 3 3" xfId="21745" xr:uid="{85B92C2F-DE62-499C-A671-96A6EBC5E72A}"/>
    <cellStyle name="Comma 2 2 2 2 6 2 4" xfId="21746" xr:uid="{C4DEEBB3-47ED-45E6-8660-B557E3617127}"/>
    <cellStyle name="Comma 2 2 2 2 6 2 4 2" xfId="21747" xr:uid="{2775F634-50DF-4264-B3F8-0572F9644A76}"/>
    <cellStyle name="Comma 2 2 2 2 6 2 5" xfId="21748" xr:uid="{BE509746-467D-46A2-938F-B4608355910B}"/>
    <cellStyle name="Comma 2 2 2 2 6 3" xfId="21749" xr:uid="{68E2504A-BA10-4123-B23B-E8F2D147F8BF}"/>
    <cellStyle name="Comma 2 2 2 2 6 3 2" xfId="21750" xr:uid="{199C7D0E-6B6A-453B-8220-3DDD522250FC}"/>
    <cellStyle name="Comma 2 2 2 2 6 3 2 2" xfId="21751" xr:uid="{0A7E6B66-1088-41AA-B4CD-9E651C63D2F7}"/>
    <cellStyle name="Comma 2 2 2 2 6 3 3" xfId="21752" xr:uid="{17CE91B9-1EB9-4D3F-8976-DEC36F226FC6}"/>
    <cellStyle name="Comma 2 2 2 2 6 4" xfId="21753" xr:uid="{22217776-7258-469D-9418-22E9CFB0D8ED}"/>
    <cellStyle name="Comma 2 2 2 2 6 4 2" xfId="21754" xr:uid="{8905F911-0B80-4A81-BE6A-613F119AE895}"/>
    <cellStyle name="Comma 2 2 2 2 6 4 2 2" xfId="21755" xr:uid="{CDFD96FD-266C-4C6C-B777-34C2CDAB847E}"/>
    <cellStyle name="Comma 2 2 2 2 6 4 3" xfId="21756" xr:uid="{883DA265-2977-4B94-9753-473E87C30AA9}"/>
    <cellStyle name="Comma 2 2 2 2 6 5" xfId="21757" xr:uid="{4CB69CEF-F002-47CA-AD00-BC839B576C19}"/>
    <cellStyle name="Comma 2 2 2 2 6 5 2" xfId="21758" xr:uid="{F369F22F-739B-4DAB-979B-B18F24E7AE31}"/>
    <cellStyle name="Comma 2 2 2 2 6 6" xfId="21759" xr:uid="{7DCD35C8-7C2E-4B6C-8A58-D0F6D42C66A6}"/>
    <cellStyle name="Comma 2 2 2 2 7" xfId="21760" xr:uid="{04588BA3-0A64-4079-AF4A-1554906A329A}"/>
    <cellStyle name="Comma 2 2 2 2 7 2" xfId="21761" xr:uid="{AB0A1B7B-9FE2-4DB4-9820-6D20B2C91372}"/>
    <cellStyle name="Comma 2 2 2 2 7 2 2" xfId="21762" xr:uid="{EBACD6B4-BA1E-4A49-8C34-8B7B955A8E47}"/>
    <cellStyle name="Comma 2 2 2 2 7 2 2 2" xfId="21763" xr:uid="{DBDF31BE-FE64-41C0-843A-CC397BAD48DA}"/>
    <cellStyle name="Comma 2 2 2 2 7 2 2 2 2" xfId="21764" xr:uid="{E1327D9B-6C3E-428C-B73A-066287D68490}"/>
    <cellStyle name="Comma 2 2 2 2 7 2 2 3" xfId="21765" xr:uid="{D9D7DA6F-BE54-46E1-9B4C-EE74388D03B2}"/>
    <cellStyle name="Comma 2 2 2 2 7 2 3" xfId="21766" xr:uid="{586E94CA-0895-43FF-8917-DBFF7E57439E}"/>
    <cellStyle name="Comma 2 2 2 2 7 2 3 2" xfId="21767" xr:uid="{5BA117ED-CB8E-4D37-AF3F-B1E4A8B6CBD7}"/>
    <cellStyle name="Comma 2 2 2 2 7 2 3 2 2" xfId="21768" xr:uid="{1EBF4B28-4F4E-4DEC-A004-01B7D02C0629}"/>
    <cellStyle name="Comma 2 2 2 2 7 2 3 3" xfId="21769" xr:uid="{FC5754E0-0874-427D-A8B0-4136D74AF287}"/>
    <cellStyle name="Comma 2 2 2 2 7 2 4" xfId="21770" xr:uid="{043608E3-EE4E-4199-AA36-BD233E924FEC}"/>
    <cellStyle name="Comma 2 2 2 2 7 2 4 2" xfId="21771" xr:uid="{74A63D6E-A46E-4562-A6B2-441522024FD6}"/>
    <cellStyle name="Comma 2 2 2 2 7 2 5" xfId="21772" xr:uid="{0645F909-C6EA-4748-BE23-EF92F032F463}"/>
    <cellStyle name="Comma 2 2 2 2 7 3" xfId="21773" xr:uid="{88E1CCCB-3193-4F70-9FF7-492954AE65FD}"/>
    <cellStyle name="Comma 2 2 2 2 7 3 2" xfId="21774" xr:uid="{93917B42-8031-46ED-B7F2-A8CF4AAA96E6}"/>
    <cellStyle name="Comma 2 2 2 2 7 3 2 2" xfId="21775" xr:uid="{2C0D6C96-0062-4F96-A333-84A5AB376D26}"/>
    <cellStyle name="Comma 2 2 2 2 7 3 3" xfId="21776" xr:uid="{27B6B5FA-AB87-4B60-A167-BF3CB96A738C}"/>
    <cellStyle name="Comma 2 2 2 2 7 4" xfId="21777" xr:uid="{7841F56E-E8C3-4A86-8AA0-52E01641A36E}"/>
    <cellStyle name="Comma 2 2 2 2 7 4 2" xfId="21778" xr:uid="{0EF48CA3-EFBA-4C7F-88EC-CCD7B8FFAE9E}"/>
    <cellStyle name="Comma 2 2 2 2 7 4 2 2" xfId="21779" xr:uid="{DA108CC1-BF7C-43BA-89DF-060ED21CFD28}"/>
    <cellStyle name="Comma 2 2 2 2 7 4 3" xfId="21780" xr:uid="{415FF84F-AE07-4B0F-A07E-F53166029171}"/>
    <cellStyle name="Comma 2 2 2 2 7 5" xfId="21781" xr:uid="{13D8F0E5-FA61-4599-B19A-66CC5E28C784}"/>
    <cellStyle name="Comma 2 2 2 2 7 5 2" xfId="21782" xr:uid="{6DA3BD30-EDD6-482E-8EE4-685D87CD4E4C}"/>
    <cellStyle name="Comma 2 2 2 2 7 6" xfId="21783" xr:uid="{9B1DE4BE-6A9B-494D-8DD1-24D887117383}"/>
    <cellStyle name="Comma 2 2 2 2 8" xfId="21784" xr:uid="{DEEF445C-D440-4263-BC2E-8D0F9BB8400A}"/>
    <cellStyle name="Comma 2 2 2 2 8 2" xfId="21785" xr:uid="{E1C0F497-C77C-4ED3-A835-C7F959A4AFDE}"/>
    <cellStyle name="Comma 2 2 2 2 8 2 2" xfId="21786" xr:uid="{A199EF0A-9F75-4897-985A-07A5A15D626D}"/>
    <cellStyle name="Comma 2 2 2 2 8 2 2 2" xfId="21787" xr:uid="{F17F3AED-69B2-4E90-BCF7-55D137A6C4F9}"/>
    <cellStyle name="Comma 2 2 2 2 8 2 2 2 2" xfId="21788" xr:uid="{47124BF9-D999-4159-BD00-45E9B68F04A0}"/>
    <cellStyle name="Comma 2 2 2 2 8 2 2 3" xfId="21789" xr:uid="{A2BAD35A-CB83-4ECF-B7C0-E6258B781EA4}"/>
    <cellStyle name="Comma 2 2 2 2 8 2 3" xfId="21790" xr:uid="{E23AA656-4165-42B9-AC42-4B4226F3F681}"/>
    <cellStyle name="Comma 2 2 2 2 8 2 3 2" xfId="21791" xr:uid="{7B5CB0DB-0CB0-4AA1-AF13-5D2666991835}"/>
    <cellStyle name="Comma 2 2 2 2 8 2 3 2 2" xfId="21792" xr:uid="{E6B99D08-9460-464E-97A1-7DA123620557}"/>
    <cellStyle name="Comma 2 2 2 2 8 2 3 3" xfId="21793" xr:uid="{2387FF07-A54A-4515-8DD0-16DB22AF7BB7}"/>
    <cellStyle name="Comma 2 2 2 2 8 2 4" xfId="21794" xr:uid="{5C8634A8-D131-4297-924C-D93D4F1D5F06}"/>
    <cellStyle name="Comma 2 2 2 2 8 2 4 2" xfId="21795" xr:uid="{11916B47-FD26-410D-B825-4BCC4E012928}"/>
    <cellStyle name="Comma 2 2 2 2 8 2 5" xfId="21796" xr:uid="{F1456986-24E0-4AD3-81C8-F53EA4C92841}"/>
    <cellStyle name="Comma 2 2 2 2 8 3" xfId="21797" xr:uid="{24444C3D-84B3-4DEB-8353-900931CCD9BB}"/>
    <cellStyle name="Comma 2 2 2 2 8 3 2" xfId="21798" xr:uid="{1BAA183B-F141-4887-B511-CB613921CE5C}"/>
    <cellStyle name="Comma 2 2 2 2 8 3 2 2" xfId="21799" xr:uid="{34ABC7BA-E8F1-4D60-BC6B-73C1BD4506CC}"/>
    <cellStyle name="Comma 2 2 2 2 8 3 3" xfId="21800" xr:uid="{A5E76C97-046E-4D57-A63F-43C9443B77C0}"/>
    <cellStyle name="Comma 2 2 2 2 8 4" xfId="21801" xr:uid="{5CFE0AC6-C83F-4D40-ACB5-B2C88F225B65}"/>
    <cellStyle name="Comma 2 2 2 2 8 4 2" xfId="21802" xr:uid="{8DE74FCE-C5F7-4379-9B5E-1450D19F216D}"/>
    <cellStyle name="Comma 2 2 2 2 8 4 2 2" xfId="21803" xr:uid="{81999584-0ED9-42DE-856F-2D54D5D5E0A2}"/>
    <cellStyle name="Comma 2 2 2 2 8 4 3" xfId="21804" xr:uid="{AA8E4B9F-EBB0-4469-99EE-BD95086526F1}"/>
    <cellStyle name="Comma 2 2 2 2 8 5" xfId="21805" xr:uid="{EB3ED297-FDFC-4368-8857-A9ECAA8DC8BC}"/>
    <cellStyle name="Comma 2 2 2 2 8 5 2" xfId="21806" xr:uid="{BE7CFA35-1431-453F-8DA5-ACF379A68AED}"/>
    <cellStyle name="Comma 2 2 2 2 8 6" xfId="21807" xr:uid="{80EA611E-5F65-4684-9D10-A70D10B951FC}"/>
    <cellStyle name="Comma 2 2 2 2 9" xfId="21808" xr:uid="{54441CC6-CCD4-41AB-BB8D-F33B85F41E02}"/>
    <cellStyle name="Comma 2 2 2 2 9 2" xfId="21809" xr:uid="{5C6D91D1-CE77-47F2-A4C2-CEDC01F2347B}"/>
    <cellStyle name="Comma 2 2 2 2 9 2 2" xfId="21810" xr:uid="{9ACF6FD2-7019-4643-A398-DBC8CE3131F2}"/>
    <cellStyle name="Comma 2 2 2 2 9 2 2 2" xfId="21811" xr:uid="{550BF117-36CD-4BE2-8DA2-2D9A0D536E7E}"/>
    <cellStyle name="Comma 2 2 2 2 9 2 2 2 2" xfId="21812" xr:uid="{AD5BE646-B427-4BEE-9833-6169DBD118F9}"/>
    <cellStyle name="Comma 2 2 2 2 9 2 2 3" xfId="21813" xr:uid="{96FFBD96-1918-4752-B4AB-F62CEA95A16D}"/>
    <cellStyle name="Comma 2 2 2 2 9 2 3" xfId="21814" xr:uid="{45BF94F8-DF36-4E1D-BBB6-6C461AA83B57}"/>
    <cellStyle name="Comma 2 2 2 2 9 2 3 2" xfId="21815" xr:uid="{AC53FA8A-2124-45E4-A83E-6AB97C1BEC92}"/>
    <cellStyle name="Comma 2 2 2 2 9 2 3 2 2" xfId="21816" xr:uid="{A8DE078B-EDE9-40B0-A8B2-130BE63961D1}"/>
    <cellStyle name="Comma 2 2 2 2 9 2 3 3" xfId="21817" xr:uid="{08FB4380-EC56-4550-9769-F90108CE5EFA}"/>
    <cellStyle name="Comma 2 2 2 2 9 2 4" xfId="21818" xr:uid="{B73D6814-6BB5-4775-8439-E360ACDE12A4}"/>
    <cellStyle name="Comma 2 2 2 2 9 2 4 2" xfId="21819" xr:uid="{9EC07B0C-163B-4080-B092-264CCF2D5FDF}"/>
    <cellStyle name="Comma 2 2 2 2 9 2 5" xfId="21820" xr:uid="{32B81F1C-DCE8-4315-BF89-4CBEEA1A9F50}"/>
    <cellStyle name="Comma 2 2 2 2 9 3" xfId="21821" xr:uid="{1AFE5739-7248-4EE3-BE39-E807D2C851E7}"/>
    <cellStyle name="Comma 2 2 2 2 9 3 2" xfId="21822" xr:uid="{16256733-BBC1-4CC9-9003-B3A49D4498E0}"/>
    <cellStyle name="Comma 2 2 2 2 9 3 2 2" xfId="21823" xr:uid="{F207A3D1-68A5-4402-BBD7-701138A729D0}"/>
    <cellStyle name="Comma 2 2 2 2 9 3 3" xfId="21824" xr:uid="{2910DCBD-03AB-4008-B251-4555997E779C}"/>
    <cellStyle name="Comma 2 2 2 2 9 4" xfId="21825" xr:uid="{9762161D-9826-4CFD-B4E4-86A6B2052A13}"/>
    <cellStyle name="Comma 2 2 2 2 9 4 2" xfId="21826" xr:uid="{4CA575F1-CCA4-4D65-9EB8-5070C262F706}"/>
    <cellStyle name="Comma 2 2 2 2 9 4 2 2" xfId="21827" xr:uid="{F43598F8-B718-4065-985E-11EBA948EAE2}"/>
    <cellStyle name="Comma 2 2 2 2 9 4 3" xfId="21828" xr:uid="{A360BA5C-0800-4FF1-ABC0-A5A232AB9807}"/>
    <cellStyle name="Comma 2 2 2 2 9 5" xfId="21829" xr:uid="{0D67E998-3248-4B96-9009-5D31F8320024}"/>
    <cellStyle name="Comma 2 2 2 2 9 5 2" xfId="21830" xr:uid="{B15BC70C-C527-4B23-B34E-27FC7337FC12}"/>
    <cellStyle name="Comma 2 2 2 2 9 6" xfId="21831" xr:uid="{74B7A377-379C-4D09-BCC9-8BA1E1B636FC}"/>
    <cellStyle name="Comma 2 2 2 3" xfId="21832" xr:uid="{3E7DB58E-8F8D-411E-9E2D-40CBB1E20C7C}"/>
    <cellStyle name="Comma 2 2 2 3 2" xfId="21833" xr:uid="{02E9ED23-531A-4617-9F09-1E4E815C8731}"/>
    <cellStyle name="Comma 2 2 2 3 2 2" xfId="21834" xr:uid="{2686D687-996F-4A35-A30A-91E765AC7A62}"/>
    <cellStyle name="Comma 2 2 2 3 2 2 2" xfId="21835" xr:uid="{8FE55BC8-90CA-4B42-83E0-3C501D1D867F}"/>
    <cellStyle name="Comma 2 2 2 3 2 2 2 2" xfId="21836" xr:uid="{BF57F2BE-9045-4ABA-8957-F6F6D400D43C}"/>
    <cellStyle name="Comma 2 2 2 3 2 2 3" xfId="21837" xr:uid="{7D5DA5A2-3D35-4B9F-84E8-0455CAE2E9F5}"/>
    <cellStyle name="Comma 2 2 2 3 2 3" xfId="21838" xr:uid="{F1E25449-8BC3-4A71-8969-351659417F18}"/>
    <cellStyle name="Comma 2 2 2 3 2 3 2" xfId="21839" xr:uid="{9A92C09B-DD7D-4656-91D0-C59E4E5C1719}"/>
    <cellStyle name="Comma 2 2 2 3 2 3 2 2" xfId="21840" xr:uid="{6767A531-C0F2-4A0F-8962-B4F460F090AE}"/>
    <cellStyle name="Comma 2 2 2 3 2 3 3" xfId="21841" xr:uid="{070F2D41-1152-448D-8548-01E05A195B17}"/>
    <cellStyle name="Comma 2 2 2 3 2 4" xfId="21842" xr:uid="{4E1EE515-E491-4E4F-ADD0-D6F0620B9007}"/>
    <cellStyle name="Comma 2 2 2 3 2 4 2" xfId="21843" xr:uid="{88EBA79C-DFCF-4F57-B74F-A05D302621E0}"/>
    <cellStyle name="Comma 2 2 2 3 2 5" xfId="21844" xr:uid="{74845DC2-FD06-4B65-BDFC-B4049E90F6A0}"/>
    <cellStyle name="Comma 2 2 2 3 3" xfId="21845" xr:uid="{8B8ABE71-7EDD-4F6E-A497-1442ECFBE735}"/>
    <cellStyle name="Comma 2 2 2 3 3 2" xfId="21846" xr:uid="{2A665225-E3C3-4EEF-8B2D-43F29E8A4D3E}"/>
    <cellStyle name="Comma 2 2 2 3 3 2 2" xfId="21847" xr:uid="{EF6F5A99-7AA3-4DF4-A8AB-2E43FAE6DF8C}"/>
    <cellStyle name="Comma 2 2 2 3 3 3" xfId="21848" xr:uid="{AD24EA8B-40F2-4725-BA94-A6ACF8AF1632}"/>
    <cellStyle name="Comma 2 2 2 3 4" xfId="21849" xr:uid="{6C801046-617E-4574-965A-D34FA463210F}"/>
    <cellStyle name="Comma 2 2 2 3 4 2" xfId="21850" xr:uid="{B11D6D50-8746-445E-AF0A-29163E071B87}"/>
    <cellStyle name="Comma 2 2 2 3 4 2 2" xfId="21851" xr:uid="{4A1A8EEF-23A8-4B01-A32D-02D434919DCF}"/>
    <cellStyle name="Comma 2 2 2 3 4 3" xfId="21852" xr:uid="{7140CCED-CB76-4B9A-9000-B9252CACFF9A}"/>
    <cellStyle name="Comma 2 2 2 3 5" xfId="21853" xr:uid="{63F9C96E-ECA6-4F54-B566-308460497267}"/>
    <cellStyle name="Comma 2 2 2 3 5 2" xfId="21854" xr:uid="{FDD47981-9A1B-4CED-BAD1-F870BA9FB829}"/>
    <cellStyle name="Comma 2 2 2 3 6" xfId="21855" xr:uid="{2B081F6F-BF49-4154-8193-44BBAEDFEF0D}"/>
    <cellStyle name="Comma 2 2 2 3 7" xfId="38571" xr:uid="{FAE4F105-C5AF-4081-81DD-1CA498E616B5}"/>
    <cellStyle name="Comma 2 2 2 4" xfId="21856" xr:uid="{514C3735-F861-4946-A4B3-4C050BBAE16D}"/>
    <cellStyle name="Comma 2 2 2 4 2" xfId="21857" xr:uid="{882F530C-7CC9-46E1-B267-FD3016241214}"/>
    <cellStyle name="Comma 2 2 2 4 2 2" xfId="21858" xr:uid="{766C7720-716C-450C-B5C0-17927934CE80}"/>
    <cellStyle name="Comma 2 2 2 4 2 2 2" xfId="21859" xr:uid="{D2C7B240-97F5-48B4-B8E5-8CD19E6DCB7F}"/>
    <cellStyle name="Comma 2 2 2 4 2 2 2 2" xfId="21860" xr:uid="{5F914DE9-29E7-4D66-B600-305C6D75EE5F}"/>
    <cellStyle name="Comma 2 2 2 4 2 2 3" xfId="21861" xr:uid="{59BF5571-3AA0-4C73-80B0-5A9DFF208CA1}"/>
    <cellStyle name="Comma 2 2 2 4 2 3" xfId="21862" xr:uid="{DE93393B-9990-4DD5-AE50-1896FE6A4084}"/>
    <cellStyle name="Comma 2 2 2 4 2 3 2" xfId="21863" xr:uid="{240D9A4F-8FFA-4FD9-9250-C130F7E15B5F}"/>
    <cellStyle name="Comma 2 2 2 4 2 3 2 2" xfId="21864" xr:uid="{5B38CEC7-26A8-4403-AAEE-5581FA9CD523}"/>
    <cellStyle name="Comma 2 2 2 4 2 3 3" xfId="21865" xr:uid="{30DA639D-8B82-41BF-B9E8-E317201337F3}"/>
    <cellStyle name="Comma 2 2 2 4 2 4" xfId="21866" xr:uid="{FC49BC81-97AB-4E39-B3D7-CCC37ED94E40}"/>
    <cellStyle name="Comma 2 2 2 4 2 4 2" xfId="21867" xr:uid="{5046D033-6E76-403C-ABB6-834CA5D340C4}"/>
    <cellStyle name="Comma 2 2 2 4 2 5" xfId="21868" xr:uid="{D837C17A-85EF-4D34-8D7A-02ADBC172F85}"/>
    <cellStyle name="Comma 2 2 2 4 3" xfId="21869" xr:uid="{6CECB2D3-5BB4-4B60-B61C-BC066272C8D2}"/>
    <cellStyle name="Comma 2 2 2 4 3 2" xfId="21870" xr:uid="{069A7DA3-54C8-4054-AFC6-A092EA220E34}"/>
    <cellStyle name="Comma 2 2 2 4 3 2 2" xfId="21871" xr:uid="{D7E3ED7B-CD9F-4147-8729-32CD2525FD82}"/>
    <cellStyle name="Comma 2 2 2 4 3 3" xfId="21872" xr:uid="{FF2A257B-4038-4D71-9A52-008D2238C8EC}"/>
    <cellStyle name="Comma 2 2 2 4 4" xfId="21873" xr:uid="{2C4F5C77-7C98-42B8-8DAB-511FBEEEFAA7}"/>
    <cellStyle name="Comma 2 2 2 4 4 2" xfId="21874" xr:uid="{D5D8141D-0CBC-4DA1-A6FA-9CBE6BD0E472}"/>
    <cellStyle name="Comma 2 2 2 4 4 2 2" xfId="21875" xr:uid="{B606DBEC-F62A-4E72-9D1D-CF4099E8B89C}"/>
    <cellStyle name="Comma 2 2 2 4 4 3" xfId="21876" xr:uid="{A2D54DE2-93EE-48CE-8A69-F4D26A0577BC}"/>
    <cellStyle name="Comma 2 2 2 4 5" xfId="21877" xr:uid="{685ABF43-7E4A-4000-9BCC-037A6B361CB1}"/>
    <cellStyle name="Comma 2 2 2 4 5 2" xfId="21878" xr:uid="{8C368DB0-4018-4677-8997-44655193B544}"/>
    <cellStyle name="Comma 2 2 2 4 6" xfId="21879" xr:uid="{3C30AF36-9E78-417E-B79E-428C69CF9494}"/>
    <cellStyle name="Comma 2 2 2 5" xfId="21880" xr:uid="{96BA8C75-3899-4115-B2C2-5E71E5C424B7}"/>
    <cellStyle name="Comma 2 2 2 5 2" xfId="21881" xr:uid="{5761FD24-2804-4EE2-861B-25F1D23E4590}"/>
    <cellStyle name="Comma 2 2 2 5 2 2" xfId="21882" xr:uid="{B3CC615D-47FD-45C7-A7BF-A64506207ACC}"/>
    <cellStyle name="Comma 2 2 2 5 2 2 2" xfId="21883" xr:uid="{1AA27358-0D38-407A-807C-B1E655A35172}"/>
    <cellStyle name="Comma 2 2 2 5 2 2 2 2" xfId="21884" xr:uid="{A6497451-7FF0-4638-88C5-1B7E5C6B2706}"/>
    <cellStyle name="Comma 2 2 2 5 2 2 3" xfId="21885" xr:uid="{4AE368CA-27FA-4CBF-9052-39143312BF59}"/>
    <cellStyle name="Comma 2 2 2 5 2 3" xfId="21886" xr:uid="{248CB898-DB8D-40EB-BB1C-5AB1B5D5745C}"/>
    <cellStyle name="Comma 2 2 2 5 2 3 2" xfId="21887" xr:uid="{DF99D0D8-C699-484E-8DAA-B98F28B360C3}"/>
    <cellStyle name="Comma 2 2 2 5 2 3 2 2" xfId="21888" xr:uid="{A27767D8-6D98-4745-B219-1E085F3A0A7F}"/>
    <cellStyle name="Comma 2 2 2 5 2 3 3" xfId="21889" xr:uid="{215253A3-A28A-4B72-B243-529344DDB0EA}"/>
    <cellStyle name="Comma 2 2 2 5 2 4" xfId="21890" xr:uid="{6308E2A9-DDC2-47FB-9892-8B14E6BB0F21}"/>
    <cellStyle name="Comma 2 2 2 5 2 4 2" xfId="21891" xr:uid="{786FB2ED-E841-46F1-8798-19D1B2BB0219}"/>
    <cellStyle name="Comma 2 2 2 5 2 5" xfId="21892" xr:uid="{286F7129-7837-46D3-B351-4B7C00F0BE42}"/>
    <cellStyle name="Comma 2 2 2 5 3" xfId="21893" xr:uid="{9DB9CF6F-20DE-4AFA-85C9-108B7F02A122}"/>
    <cellStyle name="Comma 2 2 2 5 3 2" xfId="21894" xr:uid="{EBE43C1F-D2BA-4212-844D-13119BD4A897}"/>
    <cellStyle name="Comma 2 2 2 5 3 2 2" xfId="21895" xr:uid="{0900F3FF-0462-45A0-9D10-CFF969D75323}"/>
    <cellStyle name="Comma 2 2 2 5 3 3" xfId="21896" xr:uid="{CB68B01A-6AD6-4F2F-A814-EEBFCA5FC0C2}"/>
    <cellStyle name="Comma 2 2 2 5 4" xfId="21897" xr:uid="{438E6ADB-2CA8-48A1-BC7A-FCDDAC30C986}"/>
    <cellStyle name="Comma 2 2 2 5 4 2" xfId="21898" xr:uid="{CE9DE6B1-D629-463C-A363-68682DCDE7F7}"/>
    <cellStyle name="Comma 2 2 2 5 4 2 2" xfId="21899" xr:uid="{5F217904-894D-4EEB-BCF7-156805FC654C}"/>
    <cellStyle name="Comma 2 2 2 5 4 3" xfId="21900" xr:uid="{69A4AAF1-8EBA-4763-AE16-513E40D71CBA}"/>
    <cellStyle name="Comma 2 2 2 5 5" xfId="21901" xr:uid="{DF7F744C-569C-494D-A6F2-4F5A59DDB390}"/>
    <cellStyle name="Comma 2 2 2 5 5 2" xfId="21902" xr:uid="{8BFC5A40-5575-49E9-BFFF-123AA9F110D8}"/>
    <cellStyle name="Comma 2 2 2 5 6" xfId="21903" xr:uid="{0E6C39EF-053F-4A31-B189-79E74608DA8B}"/>
    <cellStyle name="Comma 2 2 2 6" xfId="21904" xr:uid="{16D31310-4C46-464F-ACAF-50B45D7CFCD1}"/>
    <cellStyle name="Comma 2 2 2 6 2" xfId="21905" xr:uid="{E1DB9339-7F6E-440A-BF39-C025E1F7ED0B}"/>
    <cellStyle name="Comma 2 2 2 6 2 2" xfId="21906" xr:uid="{D478FB0C-F23F-409F-800B-2D141F6CA161}"/>
    <cellStyle name="Comma 2 2 2 6 2 2 2" xfId="21907" xr:uid="{855144C7-D642-4902-B4D4-16DE037A58DF}"/>
    <cellStyle name="Comma 2 2 2 6 2 2 2 2" xfId="21908" xr:uid="{20030D3E-2089-4AFF-8800-71B5A62764D7}"/>
    <cellStyle name="Comma 2 2 2 6 2 2 3" xfId="21909" xr:uid="{5622E65B-8DCF-428E-9A3F-C22C35C5136A}"/>
    <cellStyle name="Comma 2 2 2 6 2 3" xfId="21910" xr:uid="{E106A55F-F020-4E39-ACF0-AD1526BB8015}"/>
    <cellStyle name="Comma 2 2 2 6 2 3 2" xfId="21911" xr:uid="{40C7E7BA-4F18-4EFC-BD65-19F036EBB236}"/>
    <cellStyle name="Comma 2 2 2 6 2 3 2 2" xfId="21912" xr:uid="{E1B2EDE8-29E1-48A9-8133-1E6F623CE778}"/>
    <cellStyle name="Comma 2 2 2 6 2 3 3" xfId="21913" xr:uid="{B47A941B-56D6-4B01-895A-4253D9A8C87A}"/>
    <cellStyle name="Comma 2 2 2 6 2 4" xfId="21914" xr:uid="{BC50AB3D-A332-457F-871E-40ACDF6A69BA}"/>
    <cellStyle name="Comma 2 2 2 6 2 4 2" xfId="21915" xr:uid="{0BAD90DF-5316-42CF-917D-CCD95140345D}"/>
    <cellStyle name="Comma 2 2 2 6 2 5" xfId="21916" xr:uid="{97EC680E-D693-41E8-9C90-45C0DB20E108}"/>
    <cellStyle name="Comma 2 2 2 6 3" xfId="21917" xr:uid="{E012AC44-AFD2-4F85-9BBF-A14FC5343F78}"/>
    <cellStyle name="Comma 2 2 2 6 3 2" xfId="21918" xr:uid="{2624B5FC-53D9-4502-A549-F6962204AFDA}"/>
    <cellStyle name="Comma 2 2 2 6 3 2 2" xfId="21919" xr:uid="{0FCCDE75-4A9F-4D2D-A45B-3883CF13775C}"/>
    <cellStyle name="Comma 2 2 2 6 3 3" xfId="21920" xr:uid="{27CA2F16-07E7-4F93-9FE6-73EE02E1B4AF}"/>
    <cellStyle name="Comma 2 2 2 6 4" xfId="21921" xr:uid="{A3AF71CD-511B-459B-9B91-1994AC2C6B5D}"/>
    <cellStyle name="Comma 2 2 2 6 4 2" xfId="21922" xr:uid="{6E7582A7-4615-46A1-9CD9-E33C5FFE269C}"/>
    <cellStyle name="Comma 2 2 2 6 4 2 2" xfId="21923" xr:uid="{4CFC28E8-3DA8-4E21-8202-08AE0BB1CB15}"/>
    <cellStyle name="Comma 2 2 2 6 4 3" xfId="21924" xr:uid="{8B17816C-B36E-431A-BDCA-5D7F5BBC3266}"/>
    <cellStyle name="Comma 2 2 2 6 5" xfId="21925" xr:uid="{728C4AAD-805F-47BA-B49D-4E56C1C2BA63}"/>
    <cellStyle name="Comma 2 2 2 6 5 2" xfId="21926" xr:uid="{D9AFD486-07D5-4AD1-AC2A-43D072866DA8}"/>
    <cellStyle name="Comma 2 2 2 6 6" xfId="21927" xr:uid="{16FD4F53-7C9B-4B64-AC07-033A115EBBAE}"/>
    <cellStyle name="Comma 2 2 2 7" xfId="21928" xr:uid="{84D05F28-9D0E-465D-B5DE-8947E031B6EB}"/>
    <cellStyle name="Comma 2 2 2 7 2" xfId="21929" xr:uid="{4E1DD83D-A65D-4363-833F-48B0404CCA61}"/>
    <cellStyle name="Comma 2 2 2 7 2 2" xfId="21930" xr:uid="{BD481A48-B2BE-4755-81D3-2FFC8D24A2B5}"/>
    <cellStyle name="Comma 2 2 2 7 2 2 2" xfId="21931" xr:uid="{0A48764A-6AB7-47AC-91C2-D8175ACFDE4C}"/>
    <cellStyle name="Comma 2 2 2 7 2 2 2 2" xfId="21932" xr:uid="{15E6B9A2-9213-4BFE-90E5-13667B86E883}"/>
    <cellStyle name="Comma 2 2 2 7 2 2 3" xfId="21933" xr:uid="{2FBD0591-44D8-443E-842E-D2802C1B0E15}"/>
    <cellStyle name="Comma 2 2 2 7 2 3" xfId="21934" xr:uid="{F92647E8-B314-4DC0-B1E7-72CECECDEFEC}"/>
    <cellStyle name="Comma 2 2 2 7 2 3 2" xfId="21935" xr:uid="{91A5A371-F404-42F5-9877-EE11DBCD3E96}"/>
    <cellStyle name="Comma 2 2 2 7 2 3 2 2" xfId="21936" xr:uid="{0EB5A89D-FF6B-4ECC-96FC-E9609B590B17}"/>
    <cellStyle name="Comma 2 2 2 7 2 3 3" xfId="21937" xr:uid="{FEA2BBC3-6C34-4F59-986D-9ECAB82F3B95}"/>
    <cellStyle name="Comma 2 2 2 7 2 4" xfId="21938" xr:uid="{55E3308C-FA2F-4D9C-B030-8EE17EA64C62}"/>
    <cellStyle name="Comma 2 2 2 7 2 4 2" xfId="21939" xr:uid="{60674962-810C-4B34-9AB1-CB7B428E5F35}"/>
    <cellStyle name="Comma 2 2 2 7 2 5" xfId="21940" xr:uid="{F23ABE6D-E50A-4EC0-A14C-5437C2E233A0}"/>
    <cellStyle name="Comma 2 2 2 7 3" xfId="21941" xr:uid="{AE6EA619-9054-4E47-B5E8-0A5CC3BA7428}"/>
    <cellStyle name="Comma 2 2 2 7 3 2" xfId="21942" xr:uid="{7FC65435-8F56-48B2-9791-8EA66BA782AD}"/>
    <cellStyle name="Comma 2 2 2 7 3 2 2" xfId="21943" xr:uid="{3926BDE8-A76B-4C3E-A3BA-ADAA2689D4E1}"/>
    <cellStyle name="Comma 2 2 2 7 3 3" xfId="21944" xr:uid="{633E6F90-BF20-4C00-9F4A-C9C85CB30305}"/>
    <cellStyle name="Comma 2 2 2 7 4" xfId="21945" xr:uid="{E185AC8B-3149-4B15-9EEE-A0A476BF536C}"/>
    <cellStyle name="Comma 2 2 2 7 4 2" xfId="21946" xr:uid="{D6FCF27A-1579-4EDB-9DD9-DE8367896BAA}"/>
    <cellStyle name="Comma 2 2 2 7 4 2 2" xfId="21947" xr:uid="{5207D774-BFDE-4426-A751-CBC2B79D519A}"/>
    <cellStyle name="Comma 2 2 2 7 4 3" xfId="21948" xr:uid="{C3F976A9-1A51-4235-B12B-CAB9799E67B8}"/>
    <cellStyle name="Comma 2 2 2 7 5" xfId="21949" xr:uid="{EBE49708-5731-427D-8678-0AA3C487CA49}"/>
    <cellStyle name="Comma 2 2 2 7 5 2" xfId="21950" xr:uid="{D43421AB-B68D-408D-99E8-BA8A0FD8D73D}"/>
    <cellStyle name="Comma 2 2 2 7 6" xfId="21951" xr:uid="{6043EB9A-1201-406E-BC3E-ABBE593B89B7}"/>
    <cellStyle name="Comma 2 2 2 8" xfId="21952" xr:uid="{58A979DC-3FDA-417B-BECB-197290E9845A}"/>
    <cellStyle name="Comma 2 2 2 8 2" xfId="21953" xr:uid="{8BC0C747-02A8-4A84-AD6B-EA9E26D735F6}"/>
    <cellStyle name="Comma 2 2 2 8 2 2" xfId="21954" xr:uid="{DC9B7EDE-B853-4498-9625-884B170DDFEC}"/>
    <cellStyle name="Comma 2 2 2 8 2 2 2" xfId="21955" xr:uid="{DA1C1940-95F7-4F6A-AEF3-95E72E72FB0E}"/>
    <cellStyle name="Comma 2 2 2 8 2 2 2 2" xfId="21956" xr:uid="{178F8EEF-6D73-40E9-82C1-CE5C98060EAA}"/>
    <cellStyle name="Comma 2 2 2 8 2 2 3" xfId="21957" xr:uid="{BB37BBD8-2205-4959-AE5A-CEC31C035A38}"/>
    <cellStyle name="Comma 2 2 2 8 2 3" xfId="21958" xr:uid="{5235472B-DD21-4461-A4AC-FE9A95CD2257}"/>
    <cellStyle name="Comma 2 2 2 8 2 3 2" xfId="21959" xr:uid="{5A09A6A0-526C-4100-9778-BB67FF8A3CE8}"/>
    <cellStyle name="Comma 2 2 2 8 2 3 2 2" xfId="21960" xr:uid="{AD73D886-DDFE-45A9-9CB9-00CDC9265956}"/>
    <cellStyle name="Comma 2 2 2 8 2 3 3" xfId="21961" xr:uid="{E60F5DEB-CEDA-4D7E-A13B-2BFDAFF680D3}"/>
    <cellStyle name="Comma 2 2 2 8 2 4" xfId="21962" xr:uid="{29272826-C5DB-4BE7-A3E7-6BF4FCCF4027}"/>
    <cellStyle name="Comma 2 2 2 8 2 4 2" xfId="21963" xr:uid="{6E29F4E0-948D-459E-873C-13B9C9CF521E}"/>
    <cellStyle name="Comma 2 2 2 8 2 5" xfId="21964" xr:uid="{FBE8BA1D-E264-4BA9-803B-8650BFC66CA5}"/>
    <cellStyle name="Comma 2 2 2 8 3" xfId="21965" xr:uid="{97D0C666-3700-4343-B4B6-7BFF5564767D}"/>
    <cellStyle name="Comma 2 2 2 8 3 2" xfId="21966" xr:uid="{8C5FFAFD-3425-4973-82A6-044F4347B288}"/>
    <cellStyle name="Comma 2 2 2 8 3 2 2" xfId="21967" xr:uid="{B856C1C4-5FC0-4A3B-8FDB-30F7A28D239F}"/>
    <cellStyle name="Comma 2 2 2 8 3 3" xfId="21968" xr:uid="{D2FDA8C2-9E48-470E-8C32-9B99D13DEB74}"/>
    <cellStyle name="Comma 2 2 2 8 4" xfId="21969" xr:uid="{6602A5B4-8745-42BC-B1D3-CE1481493F6E}"/>
    <cellStyle name="Comma 2 2 2 8 4 2" xfId="21970" xr:uid="{C5FE6882-C433-44B8-81CC-60C79EAC5CCF}"/>
    <cellStyle name="Comma 2 2 2 8 4 2 2" xfId="21971" xr:uid="{53697442-84C7-411F-B3BC-85C62E2DBC50}"/>
    <cellStyle name="Comma 2 2 2 8 4 3" xfId="21972" xr:uid="{547AB5A4-79F2-4789-A243-2F095C08E65C}"/>
    <cellStyle name="Comma 2 2 2 8 5" xfId="21973" xr:uid="{57B55AB6-5D5D-42B1-8CD2-840E2BF2A6C7}"/>
    <cellStyle name="Comma 2 2 2 8 5 2" xfId="21974" xr:uid="{B2DE1C06-9CE6-4D28-AB19-8DACECA97070}"/>
    <cellStyle name="Comma 2 2 2 8 6" xfId="21975" xr:uid="{8CEB48BA-20F2-46AF-970B-DF7222A1CCF0}"/>
    <cellStyle name="Comma 2 2 2 9" xfId="21976" xr:uid="{FFB15CF9-06F4-4D94-92FF-F720098D5AB6}"/>
    <cellStyle name="Comma 2 2 2 9 2" xfId="21977" xr:uid="{12968E67-AE92-44CD-BDA0-69E5AB0F8726}"/>
    <cellStyle name="Comma 2 2 2 9 2 2" xfId="21978" xr:uid="{85B26B5E-60B7-4D34-8E27-D0A0C11A57DD}"/>
    <cellStyle name="Comma 2 2 2 9 2 2 2" xfId="21979" xr:uid="{DDC65270-CF7D-4BF6-8AE7-F543F27A516B}"/>
    <cellStyle name="Comma 2 2 2 9 2 2 2 2" xfId="21980" xr:uid="{7E734016-5850-4539-9ACE-EBEC64C12D59}"/>
    <cellStyle name="Comma 2 2 2 9 2 2 3" xfId="21981" xr:uid="{B50968B6-8016-4FB2-926E-46748B12D018}"/>
    <cellStyle name="Comma 2 2 2 9 2 3" xfId="21982" xr:uid="{3FDE1E23-2D11-4580-8111-A640D8A63570}"/>
    <cellStyle name="Comma 2 2 2 9 2 3 2" xfId="21983" xr:uid="{A919CF6D-B1CB-441C-A833-E11F556DF055}"/>
    <cellStyle name="Comma 2 2 2 9 2 3 2 2" xfId="21984" xr:uid="{73021BA1-E88C-4AAE-9345-44234F2E3BCD}"/>
    <cellStyle name="Comma 2 2 2 9 2 3 3" xfId="21985" xr:uid="{B266D82F-D89C-4516-BDA0-96E92DC39858}"/>
    <cellStyle name="Comma 2 2 2 9 2 4" xfId="21986" xr:uid="{C78A0C07-51EE-4ACF-9FEB-5A56C04311E8}"/>
    <cellStyle name="Comma 2 2 2 9 2 4 2" xfId="21987" xr:uid="{40AC9232-C454-49D5-9D2B-C1F7CE6E0ACA}"/>
    <cellStyle name="Comma 2 2 2 9 2 5" xfId="21988" xr:uid="{B0A95775-198E-4379-812E-E9D3E74147A6}"/>
    <cellStyle name="Comma 2 2 2 9 3" xfId="21989" xr:uid="{A1614ECE-5802-45A4-90BC-75E75CF9E5DF}"/>
    <cellStyle name="Comma 2 2 2 9 3 2" xfId="21990" xr:uid="{BE9CEA87-5136-49D1-9D72-872B40C02EB5}"/>
    <cellStyle name="Comma 2 2 2 9 3 2 2" xfId="21991" xr:uid="{10E665D2-1193-429E-985B-D75131E73B6A}"/>
    <cellStyle name="Comma 2 2 2 9 3 3" xfId="21992" xr:uid="{DF5010B6-E354-43B0-96B1-6A4BE5DDBDB8}"/>
    <cellStyle name="Comma 2 2 2 9 4" xfId="21993" xr:uid="{7344144F-3257-4ABC-9E97-547FFC3E5073}"/>
    <cellStyle name="Comma 2 2 2 9 4 2" xfId="21994" xr:uid="{6EB32BF9-3F23-40F4-BD6D-BE76A4FBF267}"/>
    <cellStyle name="Comma 2 2 2 9 4 2 2" xfId="21995" xr:uid="{1E17D62C-054F-42CE-9428-5F2BA201005D}"/>
    <cellStyle name="Comma 2 2 2 9 4 3" xfId="21996" xr:uid="{47161016-22F2-4AAC-9666-290A27ADF139}"/>
    <cellStyle name="Comma 2 2 2 9 5" xfId="21997" xr:uid="{198C0987-5C45-45AF-8436-D5C22F735FBD}"/>
    <cellStyle name="Comma 2 2 2 9 5 2" xfId="21998" xr:uid="{81B41622-D306-4A5E-BB5E-B8B040B712CE}"/>
    <cellStyle name="Comma 2 2 2 9 6" xfId="21999" xr:uid="{76F84624-9360-403E-987B-ECB465D1C068}"/>
    <cellStyle name="Comma 2 2 3" xfId="22000" xr:uid="{7B76142D-67EC-4120-B94F-79C1B0ADFE2F}"/>
    <cellStyle name="Comma 2 2 3 2" xfId="22001" xr:uid="{79F610B3-5F3F-4811-AC50-E259A67F3476}"/>
    <cellStyle name="Comma 2 2 3 2 2" xfId="22002" xr:uid="{86418DA7-D920-43B4-9682-3541BCA51199}"/>
    <cellStyle name="Comma 2 2 3 2 2 2" xfId="22003" xr:uid="{5D831539-703E-41B2-A4E3-780A88736E6E}"/>
    <cellStyle name="Comma 2 2 3 2 2 2 2" xfId="22004" xr:uid="{928AFC09-89E2-4F6C-843E-5F2B790402BB}"/>
    <cellStyle name="Comma 2 2 3 2 2 3" xfId="22005" xr:uid="{37505CD0-FA0E-4322-82BF-872434E0A2B3}"/>
    <cellStyle name="Comma 2 2 3 2 3" xfId="22006" xr:uid="{5843AC9B-16A0-4F7F-B884-BA826F5098FF}"/>
    <cellStyle name="Comma 2 2 3 2 3 2" xfId="22007" xr:uid="{6314A05E-6798-4ECC-9BE7-A13CD0919E99}"/>
    <cellStyle name="Comma 2 2 3 2 3 2 2" xfId="22008" xr:uid="{ABDB2105-248E-426F-84D1-1D07A62DE33C}"/>
    <cellStyle name="Comma 2 2 3 2 3 3" xfId="22009" xr:uid="{578381C2-1368-46D1-9845-07DC859A6714}"/>
    <cellStyle name="Comma 2 2 3 2 4" xfId="22010" xr:uid="{E9312DF8-D7D0-4DC2-817F-2E9E917F9C19}"/>
    <cellStyle name="Comma 2 2 3 2 4 2" xfId="22011" xr:uid="{604E2F82-FAD2-438F-AFEF-4439B04F33C7}"/>
    <cellStyle name="Comma 2 2 3 2 5" xfId="38572" xr:uid="{AB8B9621-7125-4ABF-9B1B-02BBA2A0C597}"/>
    <cellStyle name="Comma 2 2 3 3" xfId="22012" xr:uid="{9FE68685-FC93-4B54-81E4-63C8BB3BFDF4}"/>
    <cellStyle name="Comma 2 2 3 3 2" xfId="22013" xr:uid="{C9E829D7-F55C-40CC-94E5-F202301F76C5}"/>
    <cellStyle name="Comma 2 2 3 3 2 2" xfId="22014" xr:uid="{0AF291DA-7CE0-4FA1-A1C9-54CD0D2D7F37}"/>
    <cellStyle name="Comma 2 2 3 3 3" xfId="22015" xr:uid="{556D831D-066D-4D1B-A4A4-E291A13BB2C6}"/>
    <cellStyle name="Comma 2 2 3 4" xfId="22016" xr:uid="{9B40ED83-54C9-4383-9486-032028FF11C5}"/>
    <cellStyle name="Comma 2 2 3 4 2" xfId="22017" xr:uid="{A76B2923-B385-4DAE-B0C3-D7EA9D9D65E6}"/>
    <cellStyle name="Comma 2 2 3 4 2 2" xfId="22018" xr:uid="{793DC047-D689-4795-8055-B3F10AD6F1B4}"/>
    <cellStyle name="Comma 2 2 3 4 3" xfId="22019" xr:uid="{0F09E790-3A3E-4E9D-A9D0-2992358E9992}"/>
    <cellStyle name="Comma 2 2 3 5" xfId="22020" xr:uid="{1505044B-2AE8-4016-834F-F8D535D3C14B}"/>
    <cellStyle name="Comma 2 2 3 5 2" xfId="22021" xr:uid="{E68838FF-4BCB-47A8-97BD-BE0D76E4297E}"/>
    <cellStyle name="Comma 2 2 3 6" xfId="38573" xr:uid="{FCDD229A-6855-4143-B038-45C931D4217A}"/>
    <cellStyle name="Comma 2 2 4" xfId="22022" xr:uid="{6D5E00D9-18E9-4A12-825C-6D1FBD72EBCE}"/>
    <cellStyle name="Comma 2 2 4 2" xfId="22023" xr:uid="{2CFF8E94-0E0E-403B-A0D1-77F6C897DA76}"/>
    <cellStyle name="Comma 2 2 4 2 2" xfId="22024" xr:uid="{900E65A5-85CB-4ABB-8000-CC6476445C03}"/>
    <cellStyle name="Comma 2 2 4 2 2 2" xfId="22025" xr:uid="{DF9B4BF8-A962-4D22-8012-4B49F62A7190}"/>
    <cellStyle name="Comma 2 2 4 2 2 2 2" xfId="22026" xr:uid="{153E2753-5702-470B-AB11-3B552C36666C}"/>
    <cellStyle name="Comma 2 2 4 2 2 3" xfId="22027" xr:uid="{C306EDE5-F963-48BF-B2A1-E41AA7795D7E}"/>
    <cellStyle name="Comma 2 2 4 2 3" xfId="22028" xr:uid="{C48B75B1-745B-4B2A-9D69-4CE91F40B5D8}"/>
    <cellStyle name="Comma 2 2 4 2 3 2" xfId="22029" xr:uid="{0A845817-4548-4FB6-A21E-4D3F4A6EF052}"/>
    <cellStyle name="Comma 2 2 4 2 3 2 2" xfId="22030" xr:uid="{12E0F405-6754-4EB5-AD32-FC03BD5448FD}"/>
    <cellStyle name="Comma 2 2 4 2 3 3" xfId="22031" xr:uid="{291DB012-382F-47CA-98B1-E4E662A80FB0}"/>
    <cellStyle name="Comma 2 2 4 2 4" xfId="22032" xr:uid="{8A13D100-626E-450B-BD47-4862ECD038FA}"/>
    <cellStyle name="Comma 2 2 4 2 4 2" xfId="22033" xr:uid="{53D5A41B-239B-41B8-A3EA-5BA78E440A42}"/>
    <cellStyle name="Comma 2 2 4 2 5" xfId="22034" xr:uid="{F347CC85-EFD4-467E-B521-BFD9990DF864}"/>
    <cellStyle name="Comma 2 2 4 3" xfId="22035" xr:uid="{FD4207EF-2DBC-4CAC-BE7D-920AC0B24F31}"/>
    <cellStyle name="Comma 2 2 4 3 2" xfId="22036" xr:uid="{D3A4A938-F1CD-44AD-B3CE-52FCF005DB9E}"/>
    <cellStyle name="Comma 2 2 4 3 2 2" xfId="22037" xr:uid="{912E4AA7-617C-46D2-AF91-9201FC05A0D2}"/>
    <cellStyle name="Comma 2 2 4 3 3" xfId="22038" xr:uid="{14E28FC4-2F04-407B-A164-596E1B992C51}"/>
    <cellStyle name="Comma 2 2 4 4" xfId="22039" xr:uid="{9E834B90-7992-4581-846F-311AAE5BA3D1}"/>
    <cellStyle name="Comma 2 2 4 4 2" xfId="22040" xr:uid="{A513C9AE-4462-481D-930D-EA031E778CF4}"/>
    <cellStyle name="Comma 2 2 4 4 2 2" xfId="22041" xr:uid="{DEBC4F52-DDB0-4AF6-838A-4CF49FF07E04}"/>
    <cellStyle name="Comma 2 2 4 4 3" xfId="22042" xr:uid="{91288E9F-6672-4F44-9215-634706395370}"/>
    <cellStyle name="Comma 2 2 4 5" xfId="22043" xr:uid="{6BB0BFB0-454C-445F-A18B-D1019AD8ACB2}"/>
    <cellStyle name="Comma 2 2 4 5 2" xfId="22044" xr:uid="{01BCF2D5-85D3-40E6-A798-32A31EAD6E8D}"/>
    <cellStyle name="Comma 2 2 4 6" xfId="22045" xr:uid="{37ABAEC3-BF16-4993-B3B7-0635D45B21B6}"/>
    <cellStyle name="Comma 2 2 4 7" xfId="38574" xr:uid="{33E2FB95-9D68-4C11-AC46-0043DBDD61D6}"/>
    <cellStyle name="Comma 2 2 5" xfId="22046" xr:uid="{FF9C6530-675D-4945-927F-14986CF2DE00}"/>
    <cellStyle name="Comma 2 2 5 2" xfId="22047" xr:uid="{63E2573E-EFBE-43EE-A55E-C56A1FA989F7}"/>
    <cellStyle name="Comma 2 2 5 2 2" xfId="22048" xr:uid="{7BE26BED-C6FB-4C35-912C-03CF1A561B06}"/>
    <cellStyle name="Comma 2 2 5 2 2 2" xfId="22049" xr:uid="{C3F10F49-8076-47B2-89AA-3DD5C6209407}"/>
    <cellStyle name="Comma 2 2 5 2 2 2 2" xfId="22050" xr:uid="{48936164-59F7-4484-AB7C-598CE487CAB8}"/>
    <cellStyle name="Comma 2 2 5 2 2 3" xfId="22051" xr:uid="{32638CF7-7115-4D9F-A0BA-5ABBD6864769}"/>
    <cellStyle name="Comma 2 2 5 2 3" xfId="22052" xr:uid="{2EEE3CB4-95AD-41FE-BACB-2D27F67F959D}"/>
    <cellStyle name="Comma 2 2 5 2 3 2" xfId="22053" xr:uid="{F88B8BFD-4563-4366-B273-9131A3D59184}"/>
    <cellStyle name="Comma 2 2 5 2 3 2 2" xfId="22054" xr:uid="{17BDB140-BA1E-457E-A4B8-30EF7A806A39}"/>
    <cellStyle name="Comma 2 2 5 2 3 3" xfId="22055" xr:uid="{A683D746-1509-42CB-A521-56845CFC5D8B}"/>
    <cellStyle name="Comma 2 2 5 2 4" xfId="22056" xr:uid="{37B88F13-153D-47F9-92C2-8CA3A3940CA9}"/>
    <cellStyle name="Comma 2 2 5 2 4 2" xfId="22057" xr:uid="{43668FEE-DF3C-4D6C-85AA-B2A64E78EC0F}"/>
    <cellStyle name="Comma 2 2 5 2 5" xfId="22058" xr:uid="{EF0DB115-C1EB-4EFA-9A11-504B173FEE85}"/>
    <cellStyle name="Comma 2 2 5 3" xfId="22059" xr:uid="{527976F4-AC2B-43EF-B59E-482FF5E816A2}"/>
    <cellStyle name="Comma 2 2 5 3 2" xfId="22060" xr:uid="{67F852A8-2B44-4C9F-BD1D-8152A8411A55}"/>
    <cellStyle name="Comma 2 2 5 3 2 2" xfId="22061" xr:uid="{0F1E54FE-B4BE-4975-B94D-11D39393188C}"/>
    <cellStyle name="Comma 2 2 5 3 3" xfId="22062" xr:uid="{0A6D738D-1093-467C-8E48-F58E4E1FFF66}"/>
    <cellStyle name="Comma 2 2 5 4" xfId="22063" xr:uid="{E0A67331-39C7-4097-A225-86B6E8ED9390}"/>
    <cellStyle name="Comma 2 2 5 4 2" xfId="22064" xr:uid="{1E3EC458-3A00-4D6B-8288-021FE506384F}"/>
    <cellStyle name="Comma 2 2 5 4 2 2" xfId="22065" xr:uid="{E24209B8-63BA-4368-8D40-9DC325CE49C2}"/>
    <cellStyle name="Comma 2 2 5 4 3" xfId="22066" xr:uid="{DBA678BF-0971-4E9C-8665-2BFF20E5AA8F}"/>
    <cellStyle name="Comma 2 2 5 5" xfId="22067" xr:uid="{42BF12E1-4288-4375-823F-E609F207B498}"/>
    <cellStyle name="Comma 2 2 5 5 2" xfId="22068" xr:uid="{C99A9916-5A56-4D20-B4CF-552CCCB398AD}"/>
    <cellStyle name="Comma 2 2 5 6" xfId="38575" xr:uid="{D71CA82B-27B1-457C-8645-51F7BA33A82B}"/>
    <cellStyle name="Comma 2 2 6" xfId="22069" xr:uid="{F1EFD6DF-796B-4D57-8057-4E9E678481D0}"/>
    <cellStyle name="Comma 2 2 6 2" xfId="22070" xr:uid="{CD2EF067-EBD6-4071-8633-EBB8C7827602}"/>
    <cellStyle name="Comma 2 2 6 2 2" xfId="22071" xr:uid="{63A06534-6C30-4AB8-BAA6-A228B753C24B}"/>
    <cellStyle name="Comma 2 2 6 2 2 2" xfId="22072" xr:uid="{AD1DEB33-3506-4881-8DB5-7B32F67F58BB}"/>
    <cellStyle name="Comma 2 2 6 2 2 2 2" xfId="22073" xr:uid="{BE8AE286-73E9-45B1-AA8B-A528AF99894D}"/>
    <cellStyle name="Comma 2 2 6 2 2 3" xfId="22074" xr:uid="{8E181934-E539-43D2-8DC1-09FACDFC4807}"/>
    <cellStyle name="Comma 2 2 6 2 3" xfId="22075" xr:uid="{6827D1EB-D9FC-4BEA-A24B-04889764D34D}"/>
    <cellStyle name="Comma 2 2 6 2 3 2" xfId="22076" xr:uid="{B0A5319B-27FC-408D-A0E0-DFFD8D0AC141}"/>
    <cellStyle name="Comma 2 2 6 2 3 2 2" xfId="22077" xr:uid="{7A508345-F0DF-484E-A6C3-9A2A95DFAF13}"/>
    <cellStyle name="Comma 2 2 6 2 3 3" xfId="22078" xr:uid="{EF31EF76-CDB5-44B7-90A7-8349FCA3E2D4}"/>
    <cellStyle name="Comma 2 2 6 2 4" xfId="22079" xr:uid="{2FEF1B92-3EE2-4B17-98A1-1BC46CA269A2}"/>
    <cellStyle name="Comma 2 2 6 2 4 2" xfId="22080" xr:uid="{580264C0-CD6B-4D8B-9578-6CB627AF1873}"/>
    <cellStyle name="Comma 2 2 6 2 5" xfId="22081" xr:uid="{06F6C8AD-7BC7-4156-A39A-1D85A1DFF8EB}"/>
    <cellStyle name="Comma 2 2 6 3" xfId="22082" xr:uid="{101A6AAB-FD35-476A-9806-2B2B6C4A12AD}"/>
    <cellStyle name="Comma 2 2 6 3 2" xfId="22083" xr:uid="{6454E1BE-FB8C-49C6-A1C6-8AE949D8E291}"/>
    <cellStyle name="Comma 2 2 6 3 2 2" xfId="22084" xr:uid="{A22EB874-FE0C-4693-A4FA-8E0A13117C56}"/>
    <cellStyle name="Comma 2 2 6 3 3" xfId="22085" xr:uid="{532C804B-825A-4474-B292-9D7EBB3A6D68}"/>
    <cellStyle name="Comma 2 2 6 4" xfId="22086" xr:uid="{7B20DFD7-6929-4CC4-A739-BCC91A5DC272}"/>
    <cellStyle name="Comma 2 2 6 4 2" xfId="22087" xr:uid="{0A178F54-09D9-4F3D-8034-84C67C98FEC6}"/>
    <cellStyle name="Comma 2 2 6 4 2 2" xfId="22088" xr:uid="{71FC4715-70BF-4DD0-9732-4EE60E4A6A18}"/>
    <cellStyle name="Comma 2 2 6 4 3" xfId="22089" xr:uid="{8F6A59CB-C9DF-4F9F-9692-E49B588B56FF}"/>
    <cellStyle name="Comma 2 2 6 5" xfId="22090" xr:uid="{946EF041-3389-4783-8A77-A33F5CFBC9DA}"/>
    <cellStyle name="Comma 2 2 6 5 2" xfId="22091" xr:uid="{CC1903C7-43B5-4926-BA0A-11FBE40186CD}"/>
    <cellStyle name="Comma 2 2 6 6" xfId="22092" xr:uid="{618D3782-50F8-440C-B935-51FD866D2778}"/>
    <cellStyle name="Comma 2 2 7" xfId="22093" xr:uid="{BDC3FEEB-FBB9-435C-A02E-AFE209DACDA9}"/>
    <cellStyle name="Comma 2 2 7 2" xfId="22094" xr:uid="{CE35BF00-2FBA-4F37-8954-BE4F66CFB9FC}"/>
    <cellStyle name="Comma 2 2 7 2 2" xfId="22095" xr:uid="{1835F4B8-72F7-4B7D-9BDC-BB3E0A0AFB93}"/>
    <cellStyle name="Comma 2 2 7 2 2 2" xfId="22096" xr:uid="{F51883AB-5E78-4C8E-8EB5-1AD54338DA02}"/>
    <cellStyle name="Comma 2 2 7 2 2 2 2" xfId="22097" xr:uid="{CA7B4908-AE74-4F90-B800-A3DCA2172B4B}"/>
    <cellStyle name="Comma 2 2 7 2 2 3" xfId="22098" xr:uid="{50E955F0-9192-488B-B7B8-E40B89C48E93}"/>
    <cellStyle name="Comma 2 2 7 2 3" xfId="22099" xr:uid="{69D3D81B-34F9-49D8-A030-577C9A80ACB2}"/>
    <cellStyle name="Comma 2 2 7 2 3 2" xfId="22100" xr:uid="{19CC11F3-3808-46D3-93CF-4FC5E0E33FA1}"/>
    <cellStyle name="Comma 2 2 7 2 3 2 2" xfId="22101" xr:uid="{AD990663-9A39-4E85-B4BD-818BEC496F86}"/>
    <cellStyle name="Comma 2 2 7 2 3 3" xfId="22102" xr:uid="{FADEF16E-0E9E-4131-B7CF-5BC5006AA9E6}"/>
    <cellStyle name="Comma 2 2 7 2 4" xfId="22103" xr:uid="{5E260E86-E6FF-4E46-A450-304A2B6B7951}"/>
    <cellStyle name="Comma 2 2 7 2 4 2" xfId="22104" xr:uid="{9668DCEA-025B-4559-8728-A187BF0F3FA2}"/>
    <cellStyle name="Comma 2 2 7 2 5" xfId="22105" xr:uid="{76275F1D-B339-481D-A864-56592CBAF295}"/>
    <cellStyle name="Comma 2 2 7 3" xfId="22106" xr:uid="{148A7430-A2B6-4384-B320-1D74D2315FD8}"/>
    <cellStyle name="Comma 2 2 7 3 2" xfId="22107" xr:uid="{8D296235-5F3B-4866-BF4D-361B60DE5B6B}"/>
    <cellStyle name="Comma 2 2 7 3 2 2" xfId="22108" xr:uid="{6098B57B-5DE4-4294-B950-DEFA07CDF3FE}"/>
    <cellStyle name="Comma 2 2 7 3 3" xfId="22109" xr:uid="{F1FB2ACF-97B9-42B9-9DA3-662837F42B66}"/>
    <cellStyle name="Comma 2 2 7 4" xfId="22110" xr:uid="{58B13FD0-C486-4366-90FB-D70D48DE5572}"/>
    <cellStyle name="Comma 2 2 7 4 2" xfId="22111" xr:uid="{0DA042E8-E145-41E6-A12C-F8996613AD5D}"/>
    <cellStyle name="Comma 2 2 7 4 2 2" xfId="22112" xr:uid="{9CA6F3A4-856A-43EC-9910-CAFBFE3B93B3}"/>
    <cellStyle name="Comma 2 2 7 4 3" xfId="22113" xr:uid="{36200B78-E3E8-492C-A794-A2605C9CADF0}"/>
    <cellStyle name="Comma 2 2 7 5" xfId="22114" xr:uid="{AE69B0D0-358E-4A78-83EB-11DDEABD0D2B}"/>
    <cellStyle name="Comma 2 2 7 5 2" xfId="22115" xr:uid="{0B68033F-AAD1-4D0F-AFBE-5C3FA455ED78}"/>
    <cellStyle name="Comma 2 2 7 6" xfId="22116" xr:uid="{425E62A2-DC15-4E96-A0B7-D752A983552C}"/>
    <cellStyle name="Comma 2 2 8" xfId="22117" xr:uid="{9A60255A-D5BF-4B60-935F-BC8A750F2717}"/>
    <cellStyle name="Comma 2 2 8 2" xfId="22118" xr:uid="{E0177251-9A96-4361-8B6B-669092EE72BA}"/>
    <cellStyle name="Comma 2 2 8 2 2" xfId="22119" xr:uid="{DD1E6DD5-368F-4635-9086-4D9CD4521406}"/>
    <cellStyle name="Comma 2 2 8 2 2 2" xfId="22120" xr:uid="{E4717D98-A887-4E69-9BFA-9E74FFF01EB2}"/>
    <cellStyle name="Comma 2 2 8 2 2 2 2" xfId="22121" xr:uid="{1D14685C-4C0F-486C-A33D-684108713761}"/>
    <cellStyle name="Comma 2 2 8 2 2 3" xfId="22122" xr:uid="{8D4B531B-9EE0-46B1-8086-92EEA05B2E5F}"/>
    <cellStyle name="Comma 2 2 8 2 3" xfId="22123" xr:uid="{8F2A9ED2-1BCE-471E-A363-AB89B63D5091}"/>
    <cellStyle name="Comma 2 2 8 2 3 2" xfId="22124" xr:uid="{F2E63177-A452-4743-96A6-122F5584728A}"/>
    <cellStyle name="Comma 2 2 8 2 3 2 2" xfId="22125" xr:uid="{89442B7A-C0D4-48AD-A765-28622DC384A6}"/>
    <cellStyle name="Comma 2 2 8 2 3 3" xfId="22126" xr:uid="{51E06CAA-1CB2-43C5-B2A0-7908A3CA439F}"/>
    <cellStyle name="Comma 2 2 8 2 4" xfId="22127" xr:uid="{AD10E267-52AE-41AB-85F9-43528CAA8C6D}"/>
    <cellStyle name="Comma 2 2 8 2 4 2" xfId="22128" xr:uid="{90056EB7-81A5-43E9-AA83-17E274E07D26}"/>
    <cellStyle name="Comma 2 2 8 2 5" xfId="22129" xr:uid="{3EC0A67D-3858-46C0-94D2-5949C4A4F3DE}"/>
    <cellStyle name="Comma 2 2 8 3" xfId="22130" xr:uid="{6BCB532F-BDB8-4ADA-B6DD-EF0CCBF69C37}"/>
    <cellStyle name="Comma 2 2 8 3 2" xfId="22131" xr:uid="{8ADE96B7-0015-4DBD-BA0C-D937E25F3701}"/>
    <cellStyle name="Comma 2 2 8 3 2 2" xfId="22132" xr:uid="{FD3CEEAC-4172-4A0A-91CF-8C1D9B9F8D41}"/>
    <cellStyle name="Comma 2 2 8 3 3" xfId="22133" xr:uid="{B662D430-F206-4AF8-9274-5146A79C48DF}"/>
    <cellStyle name="Comma 2 2 8 4" xfId="22134" xr:uid="{B7405155-F427-4462-A78C-7BED7E090551}"/>
    <cellStyle name="Comma 2 2 8 4 2" xfId="22135" xr:uid="{564C4740-E130-483A-BA55-4B89FFBBA4DB}"/>
    <cellStyle name="Comma 2 2 8 4 2 2" xfId="22136" xr:uid="{1BF58256-758D-477E-AE7B-A18D353C907F}"/>
    <cellStyle name="Comma 2 2 8 4 3" xfId="22137" xr:uid="{8CF4698A-B56B-490C-8047-E27CE33D710B}"/>
    <cellStyle name="Comma 2 2 8 5" xfId="22138" xr:uid="{EA3FABAA-DED0-4FC7-8697-D4B7D3321962}"/>
    <cellStyle name="Comma 2 2 8 5 2" xfId="22139" xr:uid="{7FA2DD05-FF87-49F8-93B3-19744737D7C2}"/>
    <cellStyle name="Comma 2 2 8 6" xfId="22140" xr:uid="{424AFAD9-431B-4A33-8DC9-F709FCA08271}"/>
    <cellStyle name="Comma 2 2 9" xfId="22141" xr:uid="{7CAEADFE-90EC-489D-8B2C-1FBD605ABF2B}"/>
    <cellStyle name="Comma 2 2 9 2" xfId="22142" xr:uid="{209AAF39-5045-4F43-8D75-A022BF38B07A}"/>
    <cellStyle name="Comma 2 2 9 2 2" xfId="22143" xr:uid="{823CD0AA-916F-4924-B5FA-E7F5BF84FCC2}"/>
    <cellStyle name="Comma 2 2 9 2 2 2" xfId="22144" xr:uid="{C297BF98-F474-4610-9CEF-AFF682068FF0}"/>
    <cellStyle name="Comma 2 2 9 2 2 2 2" xfId="22145" xr:uid="{404A10B6-B06F-4765-BE6E-528A96833BB8}"/>
    <cellStyle name="Comma 2 2 9 2 2 3" xfId="22146" xr:uid="{79FD0E5F-8613-472A-8BE0-8BDF2607D87A}"/>
    <cellStyle name="Comma 2 2 9 2 3" xfId="22147" xr:uid="{E3C37633-BD9F-45C5-94D7-9F416A4E82D8}"/>
    <cellStyle name="Comma 2 2 9 2 3 2" xfId="22148" xr:uid="{130F18DA-D899-4306-9901-B3BF23FE115F}"/>
    <cellStyle name="Comma 2 2 9 2 3 2 2" xfId="22149" xr:uid="{253CA4FD-CD6B-4223-9ED3-A4249146DF49}"/>
    <cellStyle name="Comma 2 2 9 2 3 3" xfId="22150" xr:uid="{683BFC13-3F65-43F4-96FA-33138AC070EC}"/>
    <cellStyle name="Comma 2 2 9 2 4" xfId="22151" xr:uid="{FBBD1118-2A9C-4533-89E7-EBAB63E9859E}"/>
    <cellStyle name="Comma 2 2 9 2 4 2" xfId="22152" xr:uid="{9C414759-1B10-422E-8B07-500FD0A561BF}"/>
    <cellStyle name="Comma 2 2 9 2 5" xfId="22153" xr:uid="{C07C3153-87AB-43B1-B59D-B797A07E4F2F}"/>
    <cellStyle name="Comma 2 2 9 3" xfId="22154" xr:uid="{8AC7011C-CC30-4F4E-86C0-B81A60500DAB}"/>
    <cellStyle name="Comma 2 2 9 3 2" xfId="22155" xr:uid="{30956D47-4280-4A02-A20B-77FDF49AF184}"/>
    <cellStyle name="Comma 2 2 9 3 2 2" xfId="22156" xr:uid="{AB562B72-5112-429E-A1B1-F5FE8A6F884B}"/>
    <cellStyle name="Comma 2 2 9 3 3" xfId="22157" xr:uid="{8809E15C-4E42-42C3-BE26-EA3122B78BF7}"/>
    <cellStyle name="Comma 2 2 9 4" xfId="22158" xr:uid="{BC364436-2298-4D52-94A6-BFFABA3BCD44}"/>
    <cellStyle name="Comma 2 2 9 4 2" xfId="22159" xr:uid="{CA93F077-4620-48F2-A945-ABD2FF296A61}"/>
    <cellStyle name="Comma 2 2 9 4 2 2" xfId="22160" xr:uid="{304092D3-372B-4004-9F99-685B8A3FEB63}"/>
    <cellStyle name="Comma 2 2 9 4 3" xfId="22161" xr:uid="{81CAFDC0-2322-473A-8C06-AFCD8F9CAF5B}"/>
    <cellStyle name="Comma 2 2 9 5" xfId="22162" xr:uid="{14C820AF-3876-4F63-897F-8D789243A282}"/>
    <cellStyle name="Comma 2 2 9 5 2" xfId="22163" xr:uid="{3A2EBE8C-518D-4078-A389-2138A22A884B}"/>
    <cellStyle name="Comma 2 2 9 6" xfId="22164" xr:uid="{90EAFD36-6A51-4673-8FF9-9112C1E586A4}"/>
    <cellStyle name="Comma 2 2_Jun 11 details" xfId="22165" xr:uid="{639AC40A-01A3-4D9E-A372-CC5102DFDCC7}"/>
    <cellStyle name="Comma 2 20" xfId="22166" xr:uid="{F8AAC581-FD25-4D5B-9883-46346554BD9D}"/>
    <cellStyle name="Comma 2 21" xfId="22167" xr:uid="{E229C540-5968-43BE-B8ED-15943E226C45}"/>
    <cellStyle name="Comma 2 22" xfId="22168" xr:uid="{5B3521E8-9279-4DBB-BD5F-B902C4E2C696}"/>
    <cellStyle name="Comma 2 23" xfId="38576" xr:uid="{5E8F6409-97EB-48D1-AA83-9248C1091347}"/>
    <cellStyle name="Comma 2 24" xfId="21280" xr:uid="{67279AB8-1C15-4224-A118-5B1B8960D908}"/>
    <cellStyle name="Comma 2 25" xfId="130" xr:uid="{9FEC34A3-49E2-4336-A2A8-F43696108CE1}"/>
    <cellStyle name="Comma 2 3" xfId="22169" xr:uid="{455D77CA-591E-4DB5-9699-3074972EFB80}"/>
    <cellStyle name="Comma 2 3 10" xfId="22170" xr:uid="{3640F3DA-7005-4028-A1D2-76E6FFBEA434}"/>
    <cellStyle name="Comma 2 3 10 2" xfId="22171" xr:uid="{EDA901F1-B273-4392-A293-EE59ED131DBB}"/>
    <cellStyle name="Comma 2 3 11" xfId="22172" xr:uid="{E40A8AD5-D778-4454-8C82-CCFA9EC9193D}"/>
    <cellStyle name="Comma 2 3 12" xfId="22173" xr:uid="{249BC490-59D7-4D1F-9968-09C366ACEA5C}"/>
    <cellStyle name="Comma 2 3 2" xfId="22174" xr:uid="{3462FE01-27DD-4851-9F09-D6C01DF8FB4D}"/>
    <cellStyle name="Comma 2 3 2 2" xfId="22175" xr:uid="{812FBD8A-7CC2-4781-822B-7D7F0B539A4D}"/>
    <cellStyle name="Comma 2 3 2 2 2" xfId="22176" xr:uid="{FF7CE90C-CF8B-40C5-B535-33678F3A65A5}"/>
    <cellStyle name="Comma 2 3 2 2 2 2" xfId="38577" xr:uid="{72773288-2C6F-4EAC-ACED-E3241173FA4F}"/>
    <cellStyle name="Comma 2 3 2 2 3" xfId="38578" xr:uid="{92A5C310-4236-4E9B-A2EB-EF384102C055}"/>
    <cellStyle name="Comma 2 3 2 3" xfId="22177" xr:uid="{AF3CCD89-23D1-4BE2-A770-F25DD105F5D0}"/>
    <cellStyle name="Comma 2 3 2 3 2" xfId="38579" xr:uid="{64B0E562-18E3-4A2A-9C45-1A481147EBDB}"/>
    <cellStyle name="Comma 2 3 2 4" xfId="38580" xr:uid="{E87EEE01-3285-4595-83E5-428ED76C6B8F}"/>
    <cellStyle name="Comma 2 3 3" xfId="22178" xr:uid="{684371AA-9259-4CF4-A4E5-D4340F68F11E}"/>
    <cellStyle name="Comma 2 3 3 2" xfId="22179" xr:uid="{51DA5B32-E199-4A17-A80B-F80ACD123CE4}"/>
    <cellStyle name="Comma 2 3 3 2 2" xfId="38581" xr:uid="{8FB1AD76-3A3B-4517-8C70-0C5E7689B4F4}"/>
    <cellStyle name="Comma 2 3 3 3" xfId="38582" xr:uid="{8AF5A8A6-6135-48B0-B02F-901E5E6C5BE7}"/>
    <cellStyle name="Comma 2 3 4" xfId="22180" xr:uid="{EC6F1057-4BE1-4DE8-B8C4-132016A43537}"/>
    <cellStyle name="Comma 2 3 4 2" xfId="22181" xr:uid="{71FC0CD8-99D1-43E4-BB70-DD696A9475F0}"/>
    <cellStyle name="Comma 2 3 4 2 2" xfId="22182" xr:uid="{7A28C022-D5ED-406D-ADB5-AB09DCF09688}"/>
    <cellStyle name="Comma 2 3 4 3" xfId="22183" xr:uid="{B19C692F-A91B-43B0-86B8-F7AEC5D7F9EC}"/>
    <cellStyle name="Comma 2 3 4 3 2" xfId="22184" xr:uid="{DD09AA63-C560-454E-9A3C-1E32C8DDCA90}"/>
    <cellStyle name="Comma 2 3 4 4" xfId="22185" xr:uid="{64F44501-8B1C-4363-AFB7-C2CF654522B9}"/>
    <cellStyle name="Comma 2 3 4 4 2" xfId="22186" xr:uid="{A613D84F-BA51-466C-BDB3-FFEE5DD75585}"/>
    <cellStyle name="Comma 2 3 4 5" xfId="22187" xr:uid="{9F42ABFA-3CDC-4DEA-8CC3-D666E14537AA}"/>
    <cellStyle name="Comma 2 3 4 5 2" xfId="22188" xr:uid="{269558BC-4D6F-45C7-A727-DD0AA5D6E46E}"/>
    <cellStyle name="Comma 2 3 4 6" xfId="22189" xr:uid="{69BC862D-2DB9-4C9F-9457-51F489CBA914}"/>
    <cellStyle name="Comma 2 3 4 7" xfId="38583" xr:uid="{FEA691A1-A890-49AB-AB97-DD4D7279CD63}"/>
    <cellStyle name="Comma 2 3 5" xfId="22190" xr:uid="{66FDD201-F656-4136-8023-6AB169ECB88B}"/>
    <cellStyle name="Comma 2 3 6" xfId="22191" xr:uid="{5FECFD07-F595-4B96-A3EE-3F1D3C6456B9}"/>
    <cellStyle name="Comma 2 3 7" xfId="22192" xr:uid="{A27D17FA-56F8-4CE1-B57A-17CDB91BEA0A}"/>
    <cellStyle name="Comma 2 3 8" xfId="22193" xr:uid="{455FA5FB-E80F-419E-A964-F4445D8401FE}"/>
    <cellStyle name="Comma 2 3 9" xfId="22194" xr:uid="{18524B8C-164C-4770-8CB9-688091BECB03}"/>
    <cellStyle name="Comma 2 4" xfId="22195" xr:uid="{AE30A8F7-3D58-4BA4-89DA-3EA7D1652AA6}"/>
    <cellStyle name="Comma 2 4 10" xfId="22196" xr:uid="{978D2F9B-F3D0-4D5F-8E15-3DA1C48E05B5}"/>
    <cellStyle name="Comma 2 4 10 2" xfId="22197" xr:uid="{772BDBF8-01FC-49BD-A8C2-95B1EEC21E3B}"/>
    <cellStyle name="Comma 2 4 10 2 2" xfId="22198" xr:uid="{731A64D0-B0D7-4045-9046-EC0A5F5D71F5}"/>
    <cellStyle name="Comma 2 4 10 2 2 2" xfId="22199" xr:uid="{6A8DAA5D-495D-4A7B-A56F-ACDD3EF441DF}"/>
    <cellStyle name="Comma 2 4 10 2 2 2 2" xfId="22200" xr:uid="{99F36538-379B-49DB-B561-6A43BABFA742}"/>
    <cellStyle name="Comma 2 4 10 2 2 3" xfId="22201" xr:uid="{0A3CDE0D-8F69-4371-B1AE-FCECE2A2612C}"/>
    <cellStyle name="Comma 2 4 10 2 3" xfId="22202" xr:uid="{884C0509-6550-44EA-973B-EA3B801F2565}"/>
    <cellStyle name="Comma 2 4 10 2 3 2" xfId="22203" xr:uid="{E4A67DCE-DA4F-40BB-B549-98801E043EB2}"/>
    <cellStyle name="Comma 2 4 10 2 3 2 2" xfId="22204" xr:uid="{1729A107-930A-49D2-B40F-61CA1349956C}"/>
    <cellStyle name="Comma 2 4 10 2 3 3" xfId="22205" xr:uid="{1E6C986F-40FE-45BA-B5A0-547ED949CCEE}"/>
    <cellStyle name="Comma 2 4 10 2 4" xfId="22206" xr:uid="{D62C29FE-A51C-4A28-94FB-80ECD72ACD8D}"/>
    <cellStyle name="Comma 2 4 10 2 4 2" xfId="22207" xr:uid="{555AC96D-2790-4E34-9755-67D64761DCF8}"/>
    <cellStyle name="Comma 2 4 10 2 5" xfId="22208" xr:uid="{5F5E5780-52E1-4AC7-89C4-D471DE2DEE5A}"/>
    <cellStyle name="Comma 2 4 10 3" xfId="22209" xr:uid="{EFA0FD7D-EA8B-4E3C-8CF1-C135C5BDFC4A}"/>
    <cellStyle name="Comma 2 4 10 3 2" xfId="22210" xr:uid="{BDD1E9B8-B573-46F4-A942-B71CB863A73C}"/>
    <cellStyle name="Comma 2 4 10 3 2 2" xfId="22211" xr:uid="{0C7B8178-8ABC-4DE8-9CDF-A08A871C21F2}"/>
    <cellStyle name="Comma 2 4 10 3 3" xfId="22212" xr:uid="{6FCD03B9-4409-47E8-84CF-357FEF9CC01D}"/>
    <cellStyle name="Comma 2 4 10 4" xfId="22213" xr:uid="{6E720290-2D40-4AB4-8177-0EA236FA8D62}"/>
    <cellStyle name="Comma 2 4 10 4 2" xfId="22214" xr:uid="{75255C80-816F-43B9-9960-D126C855A19B}"/>
    <cellStyle name="Comma 2 4 10 4 2 2" xfId="22215" xr:uid="{F59FA13E-9926-4BC6-B284-279B7D3D7DCD}"/>
    <cellStyle name="Comma 2 4 10 4 3" xfId="22216" xr:uid="{2E0C65FB-5F52-49C3-8C01-502971337FDE}"/>
    <cellStyle name="Comma 2 4 10 5" xfId="22217" xr:uid="{11DAF52D-0D47-43DD-8625-854D361755AA}"/>
    <cellStyle name="Comma 2 4 10 5 2" xfId="22218" xr:uid="{A1C9958B-BCB5-4596-9596-814F19313FAD}"/>
    <cellStyle name="Comma 2 4 10 6" xfId="22219" xr:uid="{A4AABCB6-DA4F-4584-A783-7CA807992403}"/>
    <cellStyle name="Comma 2 4 11" xfId="22220" xr:uid="{FB0FAEDB-C9A4-465A-A8CB-0768655D1ECE}"/>
    <cellStyle name="Comma 2 4 11 2" xfId="22221" xr:uid="{0722A026-9356-4B61-B7D5-7D09E2E5D1DB}"/>
    <cellStyle name="Comma 2 4 11 2 2" xfId="22222" xr:uid="{EECC3AED-1E8E-4E94-8EE7-07ED681506E4}"/>
    <cellStyle name="Comma 2 4 11 2 2 2" xfId="22223" xr:uid="{3648D4F1-005C-4421-A223-07AC806534CB}"/>
    <cellStyle name="Comma 2 4 11 2 2 2 2" xfId="22224" xr:uid="{F55992DC-DE55-44AC-8D9F-627620B9AAD7}"/>
    <cellStyle name="Comma 2 4 11 2 2 3" xfId="22225" xr:uid="{4418296F-E112-4D15-A1BD-720502CB15DB}"/>
    <cellStyle name="Comma 2 4 11 2 3" xfId="22226" xr:uid="{5AB4EA69-63E5-426E-86D5-DC3236227CA7}"/>
    <cellStyle name="Comma 2 4 11 2 3 2" xfId="22227" xr:uid="{992EC28A-E9FB-49DC-84E7-27261295A1D5}"/>
    <cellStyle name="Comma 2 4 11 2 3 2 2" xfId="22228" xr:uid="{E1AF757E-CC29-42C1-BFD9-796164AF8C8F}"/>
    <cellStyle name="Comma 2 4 11 2 3 3" xfId="22229" xr:uid="{FEEEFE11-9E6F-4CAB-9F94-23978C5AF9CB}"/>
    <cellStyle name="Comma 2 4 11 2 4" xfId="22230" xr:uid="{25CEC0AC-0560-4D42-8BAE-74BBC4E4EC95}"/>
    <cellStyle name="Comma 2 4 11 2 4 2" xfId="22231" xr:uid="{2416FA82-D54C-46BE-A57A-7B3BF3B5C2DE}"/>
    <cellStyle name="Comma 2 4 11 2 5" xfId="22232" xr:uid="{E3CDECD1-6223-4F64-8331-E7AE1FFB9860}"/>
    <cellStyle name="Comma 2 4 11 3" xfId="22233" xr:uid="{D6091E89-F055-435E-8E01-636224AEE835}"/>
    <cellStyle name="Comma 2 4 11 3 2" xfId="22234" xr:uid="{18890C48-425B-44FE-BF04-4360B5A158A4}"/>
    <cellStyle name="Comma 2 4 11 3 2 2" xfId="22235" xr:uid="{22678593-2FD9-4A8A-838F-0DE3ECFD7BB3}"/>
    <cellStyle name="Comma 2 4 11 3 3" xfId="22236" xr:uid="{1D606D60-C80D-4648-B44F-2DF8F67FBDE4}"/>
    <cellStyle name="Comma 2 4 11 4" xfId="22237" xr:uid="{03999855-2DD0-49A5-8BF9-0E4FF8DE677B}"/>
    <cellStyle name="Comma 2 4 11 4 2" xfId="22238" xr:uid="{9DEAC026-C325-43DD-ABBD-E6CF6B0906E7}"/>
    <cellStyle name="Comma 2 4 11 4 2 2" xfId="22239" xr:uid="{E03C2ACF-621A-4A73-ACAC-DDDEEEE7DD8F}"/>
    <cellStyle name="Comma 2 4 11 4 3" xfId="22240" xr:uid="{858FD33A-0158-4F0A-B15D-1D9ACE4614CB}"/>
    <cellStyle name="Comma 2 4 11 5" xfId="22241" xr:uid="{D526FC30-8BD1-40FB-B4C1-5F792ECCD102}"/>
    <cellStyle name="Comma 2 4 11 5 2" xfId="22242" xr:uid="{A77C34E9-A2BB-4163-9C82-2D4EFAC24C7B}"/>
    <cellStyle name="Comma 2 4 11 6" xfId="22243" xr:uid="{16E58C51-9D89-428A-8065-0069C3B741F9}"/>
    <cellStyle name="Comma 2 4 12" xfId="22244" xr:uid="{8F22938F-3B9C-41A7-9FCE-36705B741242}"/>
    <cellStyle name="Comma 2 4 12 2" xfId="22245" xr:uid="{1B70AD5F-1338-4801-A4F8-0667CEE2FF17}"/>
    <cellStyle name="Comma 2 4 12 2 2" xfId="22246" xr:uid="{3CE1E4C7-EA68-48C9-BB9A-E7C831804214}"/>
    <cellStyle name="Comma 2 4 12 2 2 2" xfId="22247" xr:uid="{3ED96C15-0225-4489-8B7E-0880FB05ADE1}"/>
    <cellStyle name="Comma 2 4 12 2 3" xfId="22248" xr:uid="{3AFE6C15-80EA-414A-8F8C-87227954EAFF}"/>
    <cellStyle name="Comma 2 4 12 3" xfId="22249" xr:uid="{046776A9-D212-4C8C-A190-0CB96CAA5A74}"/>
    <cellStyle name="Comma 2 4 12 3 2" xfId="22250" xr:uid="{E30B51BE-0D68-4F18-8DB4-247ECEBAF1C7}"/>
    <cellStyle name="Comma 2 4 12 3 2 2" xfId="22251" xr:uid="{F9A1CA7D-C19F-45E7-B933-92E4C634E97E}"/>
    <cellStyle name="Comma 2 4 12 3 3" xfId="22252" xr:uid="{2C632AAC-E8AB-4DD0-841B-95FF21EC11B8}"/>
    <cellStyle name="Comma 2 4 12 4" xfId="22253" xr:uid="{F1202FFD-23DE-46D8-9FF7-121197AA86CF}"/>
    <cellStyle name="Comma 2 4 12 4 2" xfId="22254" xr:uid="{A215C893-4890-49D8-9E6A-9EBCF2594D91}"/>
    <cellStyle name="Comma 2 4 12 5" xfId="22255" xr:uid="{ECF497CC-24C5-4472-94FC-1B9B7932E71D}"/>
    <cellStyle name="Comma 2 4 13" xfId="22256" xr:uid="{08B60159-6D04-4694-85DD-486A51C3BA7B}"/>
    <cellStyle name="Comma 2 4 13 2" xfId="22257" xr:uid="{C087C76A-3794-4AE3-863D-8020AB5C36FA}"/>
    <cellStyle name="Comma 2 4 13 2 2" xfId="22258" xr:uid="{4AD83F93-16EA-47E1-AA43-E7AB29F0312A}"/>
    <cellStyle name="Comma 2 4 13 3" xfId="22259" xr:uid="{C148D99E-CBB7-4B60-9A94-D46ED4E63037}"/>
    <cellStyle name="Comma 2 4 14" xfId="22260" xr:uid="{7612D9BF-BB38-46C9-81B0-9C7E9D38D30D}"/>
    <cellStyle name="Comma 2 4 14 2" xfId="22261" xr:uid="{ADBFA03A-E5BA-4211-A7ED-8E433FC553BA}"/>
    <cellStyle name="Comma 2 4 14 2 2" xfId="22262" xr:uid="{C6A29894-2C8E-4427-B149-DB06182CD7E9}"/>
    <cellStyle name="Comma 2 4 14 3" xfId="22263" xr:uid="{C6398473-0593-4CCF-A323-A63D31B874CE}"/>
    <cellStyle name="Comma 2 4 15" xfId="22264" xr:uid="{8FEF7EF5-A0E3-4EE0-B1C1-77367784484B}"/>
    <cellStyle name="Comma 2 4 15 2" xfId="22265" xr:uid="{299FE46F-5A4E-4CD0-A249-C984421BA90F}"/>
    <cellStyle name="Comma 2 4 16" xfId="22266" xr:uid="{CAE884B2-34E2-474D-90A8-A76C53AA1074}"/>
    <cellStyle name="Comma 2 4 2" xfId="22267" xr:uid="{734BE97F-7740-4A74-8E44-B521696A889D}"/>
    <cellStyle name="Comma 2 4 2 2" xfId="22268" xr:uid="{30A991F2-8BA9-4CBB-B2D2-8C79D3C35057}"/>
    <cellStyle name="Comma 2 4 2 2 2" xfId="22269" xr:uid="{F0314AF2-09A2-4019-B3CC-7244535EB67F}"/>
    <cellStyle name="Comma 2 4 2 2 2 2" xfId="22270" xr:uid="{80A422A4-34B7-48F6-8A01-906C498C2295}"/>
    <cellStyle name="Comma 2 4 2 2 2 2 2" xfId="22271" xr:uid="{1D185349-C4C0-4731-8B49-346A7C490BB2}"/>
    <cellStyle name="Comma 2 4 2 2 2 3" xfId="22272" xr:uid="{3494C239-B1AB-4D27-A374-DDDD6AE8A44D}"/>
    <cellStyle name="Comma 2 4 2 2 3" xfId="22273" xr:uid="{E0442E1E-62D8-4E12-8449-950C59DC8EB5}"/>
    <cellStyle name="Comma 2 4 2 2 3 2" xfId="22274" xr:uid="{DF751C07-56DA-4577-8FF7-E54602635F9E}"/>
    <cellStyle name="Comma 2 4 2 2 3 2 2" xfId="22275" xr:uid="{6D633280-F6B9-40A6-BA1B-9B663211AD11}"/>
    <cellStyle name="Comma 2 4 2 2 3 3" xfId="22276" xr:uid="{4269EB5A-90E7-4718-93EE-22D66C4FFA95}"/>
    <cellStyle name="Comma 2 4 2 2 4" xfId="22277" xr:uid="{2F6E6420-BEEC-4A45-9157-7A8EC8296F5A}"/>
    <cellStyle name="Comma 2 4 2 2 4 2" xfId="22278" xr:uid="{242A08E4-8987-48EA-AC32-1C9CB62A127B}"/>
    <cellStyle name="Comma 2 4 2 2 5" xfId="22279" xr:uid="{D26A9757-64F5-4AE0-919D-C062E66F987A}"/>
    <cellStyle name="Comma 2 4 2 3" xfId="22280" xr:uid="{A205C4E1-C01D-4996-B0CF-8C5BB6E0CC68}"/>
    <cellStyle name="Comma 2 4 2 3 2" xfId="22281" xr:uid="{43C87FA1-7CD4-4A85-B285-627602281D55}"/>
    <cellStyle name="Comma 2 4 2 3 2 2" xfId="22282" xr:uid="{3FC1D4E5-9D15-441D-898D-B9CBC8091FA1}"/>
    <cellStyle name="Comma 2 4 2 3 3" xfId="22283" xr:uid="{11F78482-520F-49F4-86A9-4C9DA72120F0}"/>
    <cellStyle name="Comma 2 4 2 4" xfId="22284" xr:uid="{CFCA0950-B4B1-4E0D-A984-65FA51277FBB}"/>
    <cellStyle name="Comma 2 4 2 4 2" xfId="22285" xr:uid="{77427F12-F7F7-4F3E-8009-7C8E7C470B11}"/>
    <cellStyle name="Comma 2 4 2 4 2 2" xfId="22286" xr:uid="{49777393-4A99-4BB3-B46A-937D208B5CEA}"/>
    <cellStyle name="Comma 2 4 2 4 3" xfId="22287" xr:uid="{47E29153-290D-43DA-A47E-E1FFC5E1A3F0}"/>
    <cellStyle name="Comma 2 4 2 5" xfId="22288" xr:uid="{304FA388-1B24-4793-BF83-407CA2A1329A}"/>
    <cellStyle name="Comma 2 4 2 5 2" xfId="22289" xr:uid="{18E1940B-1704-4584-916F-AE3183CC42C8}"/>
    <cellStyle name="Comma 2 4 2 6" xfId="22290" xr:uid="{BD6A4535-764E-4E7D-A0A2-B91C403737B5}"/>
    <cellStyle name="Comma 2 4 3" xfId="22291" xr:uid="{A720693B-D2E2-4EF5-8607-7DBD1A014D61}"/>
    <cellStyle name="Comma 2 4 3 2" xfId="22292" xr:uid="{78F0ADB3-5E0B-465A-82D6-9E86C5E5DC24}"/>
    <cellStyle name="Comma 2 4 3 2 2" xfId="22293" xr:uid="{A195A50C-DCF2-4B5A-A333-91A9C16ED567}"/>
    <cellStyle name="Comma 2 4 3 2 2 2" xfId="22294" xr:uid="{3B0CB803-1613-4ACF-B81A-C0C448547D31}"/>
    <cellStyle name="Comma 2 4 3 2 2 2 2" xfId="22295" xr:uid="{D3F52968-792E-4A3B-9462-AB00F3D82F95}"/>
    <cellStyle name="Comma 2 4 3 2 2 3" xfId="22296" xr:uid="{36C455A9-72B2-4888-A75A-0B9A8A4FE9F1}"/>
    <cellStyle name="Comma 2 4 3 2 3" xfId="22297" xr:uid="{396C77C5-0F20-495C-A27D-D1BA5D1F1123}"/>
    <cellStyle name="Comma 2 4 3 2 3 2" xfId="22298" xr:uid="{B153E3DA-5882-4F17-BC00-3B44E72BA0DA}"/>
    <cellStyle name="Comma 2 4 3 2 3 2 2" xfId="22299" xr:uid="{BF4E1CD6-66B9-45A9-9C42-5F3B10DCCBA8}"/>
    <cellStyle name="Comma 2 4 3 2 3 3" xfId="22300" xr:uid="{26E2B421-6069-45B3-9D42-3C12860A1C03}"/>
    <cellStyle name="Comma 2 4 3 2 4" xfId="22301" xr:uid="{11A247DA-E619-4E8B-AF80-5045330BC68E}"/>
    <cellStyle name="Comma 2 4 3 2 4 2" xfId="22302" xr:uid="{1DDB905E-25CD-474A-83E9-EE89A0D67D0A}"/>
    <cellStyle name="Comma 2 4 3 2 5" xfId="22303" xr:uid="{EFCF9A17-B770-48DF-9ADA-66CC0BBCB0C7}"/>
    <cellStyle name="Comma 2 4 3 3" xfId="22304" xr:uid="{DBD48AE2-6DC0-4894-9830-402AFEA6D829}"/>
    <cellStyle name="Comma 2 4 3 3 2" xfId="22305" xr:uid="{FF9E2D1C-B3E1-4772-8827-F042285BFB03}"/>
    <cellStyle name="Comma 2 4 3 3 2 2" xfId="22306" xr:uid="{727DB0BB-D378-419A-B5BB-CC9983084094}"/>
    <cellStyle name="Comma 2 4 3 3 3" xfId="22307" xr:uid="{7BB36C31-C993-4851-9E9F-324E0DD45E25}"/>
    <cellStyle name="Comma 2 4 3 4" xfId="22308" xr:uid="{EAC5DE32-04B4-45BF-AD84-B427806CCDA6}"/>
    <cellStyle name="Comma 2 4 3 4 2" xfId="22309" xr:uid="{FDB40EF5-6DC4-420B-9D8B-1C871E511AC3}"/>
    <cellStyle name="Comma 2 4 3 4 2 2" xfId="22310" xr:uid="{11D11750-F91D-468A-857E-642A00E17D89}"/>
    <cellStyle name="Comma 2 4 3 4 3" xfId="22311" xr:uid="{1500044A-65EB-4F1E-AEB9-2A9C6DD5D9AD}"/>
    <cellStyle name="Comma 2 4 3 5" xfId="22312" xr:uid="{0A075E79-85A3-4C21-A2E3-C56E2133FA30}"/>
    <cellStyle name="Comma 2 4 3 5 2" xfId="22313" xr:uid="{64F9A2D5-C68A-4ED6-A8E7-05B6578BCF47}"/>
    <cellStyle name="Comma 2 4 3 6" xfId="22314" xr:uid="{BFFDD84E-A807-477D-848E-9EA612EEEE21}"/>
    <cellStyle name="Comma 2 4 4" xfId="22315" xr:uid="{91A9803E-7A43-4EE1-BD7B-3A892250E7CB}"/>
    <cellStyle name="Comma 2 4 4 2" xfId="22316" xr:uid="{E2D87E50-35B4-41AF-84BA-D3EC1A982BF2}"/>
    <cellStyle name="Comma 2 4 4 2 2" xfId="22317" xr:uid="{CE95F70B-79B5-4DE6-9FA9-8D695CDB9F93}"/>
    <cellStyle name="Comma 2 4 4 2 2 2" xfId="22318" xr:uid="{AE295176-51B5-4A36-B2F0-DF3A910E64E7}"/>
    <cellStyle name="Comma 2 4 4 2 2 2 2" xfId="22319" xr:uid="{4939C3B7-C6DA-4230-8DD5-A952AB074316}"/>
    <cellStyle name="Comma 2 4 4 2 2 3" xfId="22320" xr:uid="{5157FD35-0BF1-43BC-9946-009BDF77DAAB}"/>
    <cellStyle name="Comma 2 4 4 2 3" xfId="22321" xr:uid="{3A4DEF0A-C96E-47F0-9D91-5C085EA9A29B}"/>
    <cellStyle name="Comma 2 4 4 2 3 2" xfId="22322" xr:uid="{04AD481D-4AF6-411D-A8C9-A9F42A323FFE}"/>
    <cellStyle name="Comma 2 4 4 2 3 2 2" xfId="22323" xr:uid="{98B7109C-EB3B-4285-8BC4-BAC2E4D010BE}"/>
    <cellStyle name="Comma 2 4 4 2 3 3" xfId="22324" xr:uid="{EBC2C539-179F-4A75-8469-406ACC181DE2}"/>
    <cellStyle name="Comma 2 4 4 2 4" xfId="22325" xr:uid="{DD8C75AA-2C07-4082-906E-639AB928B296}"/>
    <cellStyle name="Comma 2 4 4 2 4 2" xfId="22326" xr:uid="{88EF2119-B4D9-4B87-A9B8-E9702506D233}"/>
    <cellStyle name="Comma 2 4 4 2 5" xfId="22327" xr:uid="{9985FE41-3CEF-450B-9668-3BF7D3A49692}"/>
    <cellStyle name="Comma 2 4 4 3" xfId="22328" xr:uid="{D6836602-D14A-4962-A6A5-0FC972ED355B}"/>
    <cellStyle name="Comma 2 4 4 3 2" xfId="22329" xr:uid="{8CDA1774-59A5-4C54-9AE6-BFDCDDC02B0A}"/>
    <cellStyle name="Comma 2 4 4 3 2 2" xfId="22330" xr:uid="{7F2DECB9-A16B-430B-B030-D62E0D58E078}"/>
    <cellStyle name="Comma 2 4 4 3 3" xfId="22331" xr:uid="{8395C843-0606-4189-A170-D8C42EB09F74}"/>
    <cellStyle name="Comma 2 4 4 4" xfId="22332" xr:uid="{C5F74BE7-4804-42A0-8853-6B82CE9FF9F2}"/>
    <cellStyle name="Comma 2 4 4 4 2" xfId="22333" xr:uid="{19C7C0FB-7689-4A56-8DCD-E016C3110EEC}"/>
    <cellStyle name="Comma 2 4 4 4 2 2" xfId="22334" xr:uid="{61970DA5-B91D-4B31-BAB0-5A0DF393E8E3}"/>
    <cellStyle name="Comma 2 4 4 4 3" xfId="22335" xr:uid="{EE579A99-FDC2-460D-A8C5-360450D259BB}"/>
    <cellStyle name="Comma 2 4 4 5" xfId="22336" xr:uid="{FD1DEC0B-0298-496F-AE3E-41B74E2151A2}"/>
    <cellStyle name="Comma 2 4 4 5 2" xfId="22337" xr:uid="{F62C01A9-B9B4-47B0-8B47-043C8FF06B95}"/>
    <cellStyle name="Comma 2 4 4 6" xfId="22338" xr:uid="{39D289D8-9A87-4DAF-A54E-2C42719C5439}"/>
    <cellStyle name="Comma 2 4 5" xfId="22339" xr:uid="{2573D2B2-21B2-4498-95EE-FDFD3E77D722}"/>
    <cellStyle name="Comma 2 4 5 2" xfId="22340" xr:uid="{85F42070-FC6E-4E34-A15F-209E07530A11}"/>
    <cellStyle name="Comma 2 4 5 2 2" xfId="22341" xr:uid="{F5C2B452-5878-40BC-8E8E-1CF4CC168039}"/>
    <cellStyle name="Comma 2 4 5 2 2 2" xfId="22342" xr:uid="{6A5E1425-0E8F-4185-8BD0-F717483D616D}"/>
    <cellStyle name="Comma 2 4 5 2 2 2 2" xfId="22343" xr:uid="{14DE4D3A-06A9-4C13-9639-44BF31EEEAFC}"/>
    <cellStyle name="Comma 2 4 5 2 2 3" xfId="22344" xr:uid="{D0287546-ECA9-4737-A7FB-4477BB63B797}"/>
    <cellStyle name="Comma 2 4 5 2 3" xfId="22345" xr:uid="{5C3DAC68-8E69-4114-A53C-C7C64914FE61}"/>
    <cellStyle name="Comma 2 4 5 2 3 2" xfId="22346" xr:uid="{7CBCDE87-661A-4BD2-857B-932842EBFE77}"/>
    <cellStyle name="Comma 2 4 5 2 3 2 2" xfId="22347" xr:uid="{DA84BF55-1173-47BF-9B88-E1B136039215}"/>
    <cellStyle name="Comma 2 4 5 2 3 3" xfId="22348" xr:uid="{903EB0C7-DE1B-4D25-AA5A-1C3026520C41}"/>
    <cellStyle name="Comma 2 4 5 2 4" xfId="22349" xr:uid="{B30F8CB9-351D-4319-9A8F-848B924354C7}"/>
    <cellStyle name="Comma 2 4 5 2 4 2" xfId="22350" xr:uid="{F3C1D1D3-9BDC-4D46-BDCA-746C109234D7}"/>
    <cellStyle name="Comma 2 4 5 2 5" xfId="22351" xr:uid="{C424D87B-2F8B-422F-A55D-1DBF3773B96D}"/>
    <cellStyle name="Comma 2 4 5 3" xfId="22352" xr:uid="{1F520442-3BEF-4AA9-AC8D-D582DF91B5EB}"/>
    <cellStyle name="Comma 2 4 5 3 2" xfId="22353" xr:uid="{ED0A9737-3809-4FEE-A74C-ABBE1D614359}"/>
    <cellStyle name="Comma 2 4 5 3 2 2" xfId="22354" xr:uid="{C608B4DA-C53E-421A-BADB-10DD869F2F9A}"/>
    <cellStyle name="Comma 2 4 5 3 3" xfId="22355" xr:uid="{BC155B1D-D184-4FD7-BB72-6AFE9F9E311A}"/>
    <cellStyle name="Comma 2 4 5 4" xfId="22356" xr:uid="{09DBF4B6-1B39-4C34-9870-93B814B0D34C}"/>
    <cellStyle name="Comma 2 4 5 4 2" xfId="22357" xr:uid="{2D85AD61-EE65-42BB-808D-B3EB65A45777}"/>
    <cellStyle name="Comma 2 4 5 4 2 2" xfId="22358" xr:uid="{0694DB73-4216-4668-83E7-3A48F658AD71}"/>
    <cellStyle name="Comma 2 4 5 4 3" xfId="22359" xr:uid="{3263F7A0-58D8-46D1-B7B5-2A43DCB02F2A}"/>
    <cellStyle name="Comma 2 4 5 5" xfId="22360" xr:uid="{CAE84951-12F2-4094-AC2A-E6F2041A4B84}"/>
    <cellStyle name="Comma 2 4 5 5 2" xfId="22361" xr:uid="{5653E462-E0A2-4B35-8680-BB2FDD06449D}"/>
    <cellStyle name="Comma 2 4 5 6" xfId="22362" xr:uid="{17A6705B-A8B9-4B27-9365-32AF3D756BF7}"/>
    <cellStyle name="Comma 2 4 6" xfId="22363" xr:uid="{C44C6802-C1B9-483C-B0F1-C4ABECA4329C}"/>
    <cellStyle name="Comma 2 4 6 2" xfId="22364" xr:uid="{C3D5EC60-8EA6-4B37-B103-B18DF4368941}"/>
    <cellStyle name="Comma 2 4 6 2 2" xfId="22365" xr:uid="{DF4E5C14-BE85-4422-86F1-5A2410039AB4}"/>
    <cellStyle name="Comma 2 4 6 2 2 2" xfId="22366" xr:uid="{3B65557A-10EA-4BE2-8AE7-DBE2D3C6B96E}"/>
    <cellStyle name="Comma 2 4 6 2 2 2 2" xfId="22367" xr:uid="{3A5C85F5-5E38-465F-9B05-9D961B7BE8F7}"/>
    <cellStyle name="Comma 2 4 6 2 2 3" xfId="22368" xr:uid="{4DDC8620-49EB-4343-801E-686ACC954651}"/>
    <cellStyle name="Comma 2 4 6 2 3" xfId="22369" xr:uid="{AF222C21-24BA-470A-9C21-2F10ACF4F4F1}"/>
    <cellStyle name="Comma 2 4 6 2 3 2" xfId="22370" xr:uid="{038BAB91-B794-41D6-AF19-ED610023982D}"/>
    <cellStyle name="Comma 2 4 6 2 3 2 2" xfId="22371" xr:uid="{9518560E-57A5-4A2E-8383-4D0485852860}"/>
    <cellStyle name="Comma 2 4 6 2 3 3" xfId="22372" xr:uid="{EFD00EE4-F7FA-4E24-BA0C-96D250105944}"/>
    <cellStyle name="Comma 2 4 6 2 4" xfId="22373" xr:uid="{811C2F90-9391-4935-B7AD-E9987A29D85B}"/>
    <cellStyle name="Comma 2 4 6 2 4 2" xfId="22374" xr:uid="{ABEA2C7D-446F-4302-B227-C3BD9EE3C5E6}"/>
    <cellStyle name="Comma 2 4 6 2 5" xfId="22375" xr:uid="{4AF15291-5F1A-4DE2-9B5B-8F1E4FC83B27}"/>
    <cellStyle name="Comma 2 4 6 3" xfId="22376" xr:uid="{0FCC159A-99F9-4EE9-959F-A3E3AB2A7C49}"/>
    <cellStyle name="Comma 2 4 6 3 2" xfId="22377" xr:uid="{B1A0EF4B-D947-4E83-8EEE-2C6A5E01DF78}"/>
    <cellStyle name="Comma 2 4 6 3 2 2" xfId="22378" xr:uid="{E22E203F-444D-423A-9E59-8C40DD53099C}"/>
    <cellStyle name="Comma 2 4 6 3 3" xfId="22379" xr:uid="{06A51846-2C97-4F67-9BD7-EF2B63AC7DD0}"/>
    <cellStyle name="Comma 2 4 6 4" xfId="22380" xr:uid="{4129802B-B5A2-4B20-B961-673EC397DA58}"/>
    <cellStyle name="Comma 2 4 6 4 2" xfId="22381" xr:uid="{A912513C-C4C9-4447-87FD-A78E248171FE}"/>
    <cellStyle name="Comma 2 4 6 4 2 2" xfId="22382" xr:uid="{BBB7FA5E-B60D-47EC-951B-D0119226D02F}"/>
    <cellStyle name="Comma 2 4 6 4 3" xfId="22383" xr:uid="{9EDBABA0-06E7-4B08-8BEF-2185FC19E81A}"/>
    <cellStyle name="Comma 2 4 6 5" xfId="22384" xr:uid="{E80ECD89-A5B5-4971-AD88-56E30B233A4A}"/>
    <cellStyle name="Comma 2 4 6 5 2" xfId="22385" xr:uid="{4567DC96-4CEA-4F72-B118-586E37FDC6F9}"/>
    <cellStyle name="Comma 2 4 6 6" xfId="22386" xr:uid="{95F25BF2-7154-4221-BF40-EA808404B899}"/>
    <cellStyle name="Comma 2 4 7" xfId="22387" xr:uid="{426954F8-B94D-4C4F-92C6-228CD50D59FF}"/>
    <cellStyle name="Comma 2 4 7 2" xfId="22388" xr:uid="{DBB097BD-9258-4E59-93E6-2451DD24CB61}"/>
    <cellStyle name="Comma 2 4 7 2 2" xfId="22389" xr:uid="{3121D6A9-17AD-4A8D-8951-7473CC9E309B}"/>
    <cellStyle name="Comma 2 4 7 2 2 2" xfId="22390" xr:uid="{5726FC77-2832-49D9-8593-D30C207E15BA}"/>
    <cellStyle name="Comma 2 4 7 2 2 2 2" xfId="22391" xr:uid="{D686E2D8-6FF7-423E-9979-49BDD60CE759}"/>
    <cellStyle name="Comma 2 4 7 2 2 3" xfId="22392" xr:uid="{E601CA45-B794-473A-8372-433F2486CD5E}"/>
    <cellStyle name="Comma 2 4 7 2 3" xfId="22393" xr:uid="{CDF798FB-434C-4208-B8C1-FB5ADA94C056}"/>
    <cellStyle name="Comma 2 4 7 2 3 2" xfId="22394" xr:uid="{BEABDC05-EBCD-43E5-8AC8-C58B188D1860}"/>
    <cellStyle name="Comma 2 4 7 2 3 2 2" xfId="22395" xr:uid="{D2C591C1-D828-4B98-87E4-B93C0A6FD3C7}"/>
    <cellStyle name="Comma 2 4 7 2 3 3" xfId="22396" xr:uid="{3FA4160E-E893-403E-819C-64F64025D4FD}"/>
    <cellStyle name="Comma 2 4 7 2 4" xfId="22397" xr:uid="{1F5F9D90-04B8-42FE-AED3-8BD0A5AB6FA5}"/>
    <cellStyle name="Comma 2 4 7 2 4 2" xfId="22398" xr:uid="{15978710-BD7C-4763-80CA-9A3F016757C8}"/>
    <cellStyle name="Comma 2 4 7 2 5" xfId="22399" xr:uid="{0C910389-E0CE-4BBF-A2DD-984CD66300BC}"/>
    <cellStyle name="Comma 2 4 7 3" xfId="22400" xr:uid="{3ECF468C-B9BF-4548-B8E9-C7F00258CB9A}"/>
    <cellStyle name="Comma 2 4 7 3 2" xfId="22401" xr:uid="{7904F9F4-163E-47A3-9915-838B47776B11}"/>
    <cellStyle name="Comma 2 4 7 3 2 2" xfId="22402" xr:uid="{5F388411-4DEB-4BDD-8336-5467DAB3CA07}"/>
    <cellStyle name="Comma 2 4 7 3 3" xfId="22403" xr:uid="{E05D3A52-FEC8-48BF-A528-40BCCFB619C9}"/>
    <cellStyle name="Comma 2 4 7 4" xfId="22404" xr:uid="{A839558D-1332-4132-BBF1-79DF23B15FE3}"/>
    <cellStyle name="Comma 2 4 7 4 2" xfId="22405" xr:uid="{149C7078-035F-4861-B322-C8C61BF2FCD3}"/>
    <cellStyle name="Comma 2 4 7 4 2 2" xfId="22406" xr:uid="{A9168984-4EC6-46F2-B7D1-54D4AF879178}"/>
    <cellStyle name="Comma 2 4 7 4 3" xfId="22407" xr:uid="{8AA5E3F4-7FC9-4592-9DDD-700A6487A782}"/>
    <cellStyle name="Comma 2 4 7 5" xfId="22408" xr:uid="{4499584C-0F24-4D41-97F7-C5FC7DD8604B}"/>
    <cellStyle name="Comma 2 4 7 5 2" xfId="22409" xr:uid="{6870AEC0-1975-4D63-AD65-DE0D793A4E67}"/>
    <cellStyle name="Comma 2 4 7 6" xfId="22410" xr:uid="{C82E7300-492F-44AE-804D-C0EDC695D115}"/>
    <cellStyle name="Comma 2 4 8" xfId="22411" xr:uid="{52719B9E-4720-4AD7-9B8F-019C0B0C279A}"/>
    <cellStyle name="Comma 2 4 8 2" xfId="22412" xr:uid="{E309CFC3-10A6-4831-A07C-BE84AED5BB1B}"/>
    <cellStyle name="Comma 2 4 8 2 2" xfId="22413" xr:uid="{07B8A187-96D0-43E4-BACE-2245132CCFF2}"/>
    <cellStyle name="Comma 2 4 8 2 2 2" xfId="22414" xr:uid="{132FB99F-3CD8-4BE2-8CEC-CC11B7DBF92C}"/>
    <cellStyle name="Comma 2 4 8 2 2 2 2" xfId="22415" xr:uid="{0A47BDD3-1868-4887-B230-7E9630E17F2F}"/>
    <cellStyle name="Comma 2 4 8 2 2 3" xfId="22416" xr:uid="{61D80466-B8C3-4867-9E12-5FD146065A91}"/>
    <cellStyle name="Comma 2 4 8 2 3" xfId="22417" xr:uid="{9993F4D5-ADF0-47DF-8E64-B875E92E3910}"/>
    <cellStyle name="Comma 2 4 8 2 3 2" xfId="22418" xr:uid="{467D61B0-824B-47AE-A609-8FF081E6FC43}"/>
    <cellStyle name="Comma 2 4 8 2 3 2 2" xfId="22419" xr:uid="{A35D6992-FCCE-4352-96CA-0B2A46B9651D}"/>
    <cellStyle name="Comma 2 4 8 2 3 3" xfId="22420" xr:uid="{A1FE5DA4-5132-4C5E-8DEF-E848FB5659F9}"/>
    <cellStyle name="Comma 2 4 8 2 4" xfId="22421" xr:uid="{107D2B4C-D087-4D80-940C-6D4205A2D51D}"/>
    <cellStyle name="Comma 2 4 8 2 4 2" xfId="22422" xr:uid="{888AFFB7-8F05-4A2C-AA2C-C07100DBCED7}"/>
    <cellStyle name="Comma 2 4 8 2 5" xfId="22423" xr:uid="{F58EF209-8968-4C1B-8FBE-2BD27090C8DB}"/>
    <cellStyle name="Comma 2 4 8 3" xfId="22424" xr:uid="{2A45A377-B402-44A9-ADD2-D42A4736EF45}"/>
    <cellStyle name="Comma 2 4 8 3 2" xfId="22425" xr:uid="{DA6CE8CD-59B3-4487-BD67-B3FCD9A122C6}"/>
    <cellStyle name="Comma 2 4 8 3 2 2" xfId="22426" xr:uid="{CC55E0DB-E0E3-49E7-ADF8-CE07FBC66D02}"/>
    <cellStyle name="Comma 2 4 8 3 3" xfId="22427" xr:uid="{0208F9DA-CB96-4F65-9899-E3979337B417}"/>
    <cellStyle name="Comma 2 4 8 4" xfId="22428" xr:uid="{8207513F-4CCE-4679-9A7D-5A1A17F8CE32}"/>
    <cellStyle name="Comma 2 4 8 4 2" xfId="22429" xr:uid="{AA7FD93C-A0D3-43AF-95B9-FEEFD0529E8C}"/>
    <cellStyle name="Comma 2 4 8 4 2 2" xfId="22430" xr:uid="{5E746358-12F4-4275-AA53-279F571A930C}"/>
    <cellStyle name="Comma 2 4 8 4 3" xfId="22431" xr:uid="{891C6EDE-7321-404D-8CDC-85D49520DD1F}"/>
    <cellStyle name="Comma 2 4 8 5" xfId="22432" xr:uid="{37DC5E09-C4C3-4899-B21D-C5D5DD0538DC}"/>
    <cellStyle name="Comma 2 4 8 5 2" xfId="22433" xr:uid="{DCEBF17F-21A8-4A43-AB42-4F66092CEA1F}"/>
    <cellStyle name="Comma 2 4 8 6" xfId="22434" xr:uid="{B5E48BFD-0BE3-4619-89B0-7BE7D6F2E95B}"/>
    <cellStyle name="Comma 2 4 9" xfId="22435" xr:uid="{A2A4C92A-B28A-4D03-A4AA-91B52FBD00C4}"/>
    <cellStyle name="Comma 2 4 9 2" xfId="22436" xr:uid="{4AEC5493-6FCD-4C96-9C43-32AA535EE2BE}"/>
    <cellStyle name="Comma 2 4 9 2 2" xfId="22437" xr:uid="{477B9BC3-C42F-41B6-80AB-0514C551ADB1}"/>
    <cellStyle name="Comma 2 4 9 2 2 2" xfId="22438" xr:uid="{CCB4694D-7FCA-46E0-BAA8-DFBC1C0F0293}"/>
    <cellStyle name="Comma 2 4 9 2 2 2 2" xfId="22439" xr:uid="{70467B06-DBB0-4A15-A799-E032A911EA95}"/>
    <cellStyle name="Comma 2 4 9 2 2 3" xfId="22440" xr:uid="{9BB93714-F742-409E-83A8-617416159F90}"/>
    <cellStyle name="Comma 2 4 9 2 3" xfId="22441" xr:uid="{70337C38-58FB-4071-ABFF-9BC8915E1FDC}"/>
    <cellStyle name="Comma 2 4 9 2 3 2" xfId="22442" xr:uid="{16DD71A9-541E-4567-8D92-5B912A9926B2}"/>
    <cellStyle name="Comma 2 4 9 2 3 2 2" xfId="22443" xr:uid="{A44CC132-EBCD-4038-97D8-519D743FD93D}"/>
    <cellStyle name="Comma 2 4 9 2 3 3" xfId="22444" xr:uid="{45EF0A66-3B98-4211-AE7D-E82CEEB456A4}"/>
    <cellStyle name="Comma 2 4 9 2 4" xfId="22445" xr:uid="{49F136E1-AACE-4D42-B9D5-58251D23B27A}"/>
    <cellStyle name="Comma 2 4 9 2 4 2" xfId="22446" xr:uid="{B497A573-CFE3-4ED6-A11B-F732CDB65995}"/>
    <cellStyle name="Comma 2 4 9 2 5" xfId="22447" xr:uid="{12C86BDD-1182-4BDE-A62E-5C63E5AACDDC}"/>
    <cellStyle name="Comma 2 4 9 3" xfId="22448" xr:uid="{36108E82-26D0-41E5-8646-59EF2134FD7A}"/>
    <cellStyle name="Comma 2 4 9 3 2" xfId="22449" xr:uid="{5E6D7040-0645-4603-B692-A515D026D37F}"/>
    <cellStyle name="Comma 2 4 9 3 2 2" xfId="22450" xr:uid="{2B46AA66-36A4-4C11-A399-F96B5234FFE6}"/>
    <cellStyle name="Comma 2 4 9 3 3" xfId="22451" xr:uid="{237F2A36-60E0-4EDC-8214-322EF7386EED}"/>
    <cellStyle name="Comma 2 4 9 4" xfId="22452" xr:uid="{D933A658-9F70-473F-BCAB-99B1C6C9DF01}"/>
    <cellStyle name="Comma 2 4 9 4 2" xfId="22453" xr:uid="{1867F708-93C7-4895-988D-3ED68C8CBB3A}"/>
    <cellStyle name="Comma 2 4 9 4 2 2" xfId="22454" xr:uid="{2B0770AC-FE42-4799-8A09-DF990D45764B}"/>
    <cellStyle name="Comma 2 4 9 4 3" xfId="22455" xr:uid="{C1FD3A73-59FD-4539-BC87-F3108862273C}"/>
    <cellStyle name="Comma 2 4 9 5" xfId="22456" xr:uid="{C3A171C6-6C46-49DD-8ED9-9CD51DEC252A}"/>
    <cellStyle name="Comma 2 4 9 5 2" xfId="22457" xr:uid="{DE144730-C371-402E-A994-1DC2984412C1}"/>
    <cellStyle name="Comma 2 4 9 6" xfId="22458" xr:uid="{D6AA8705-B42C-4507-8774-3A5BBE5AE382}"/>
    <cellStyle name="Comma 2 5" xfId="22459" xr:uid="{80CC9F40-136F-4C86-8CF3-98AC07ED2F52}"/>
    <cellStyle name="Comma 2 5 2" xfId="22460" xr:uid="{52F0A18E-19E6-414E-9FFA-49AA6653E197}"/>
    <cellStyle name="Comma 2 5 2 2" xfId="38584" xr:uid="{8A71FBDE-B676-4770-8844-75D2D374D3AB}"/>
    <cellStyle name="Comma 2 5 3" xfId="38585" xr:uid="{DD741FCE-A43E-4DDC-80E7-4B17DC8313FB}"/>
    <cellStyle name="Comma 2 5 4" xfId="38586" xr:uid="{3186CD78-D396-4C32-8578-F198A3EADBED}"/>
    <cellStyle name="Comma 2 6" xfId="22461" xr:uid="{4174B2B3-30E4-4501-A27C-519423D9F396}"/>
    <cellStyle name="Comma 2 6 2" xfId="22462" xr:uid="{2CB50786-F458-4570-9AFE-F5355E6FD664}"/>
    <cellStyle name="Comma 2 6 2 2" xfId="22463" xr:uid="{1B117E77-617A-4C34-9238-680BC57B0661}"/>
    <cellStyle name="Comma 2 6 2 2 2" xfId="22464" xr:uid="{DEFC4FBC-895F-455B-9527-D9807F1E68C5}"/>
    <cellStyle name="Comma 2 6 2 2 2 2" xfId="22465" xr:uid="{D4C11721-91E0-4275-A44D-7450902EB5CD}"/>
    <cellStyle name="Comma 2 6 2 2 3" xfId="22466" xr:uid="{B065B05C-3311-4125-A02D-A90547973135}"/>
    <cellStyle name="Comma 2 6 2 3" xfId="22467" xr:uid="{1ADEB936-BCBD-479A-8A9D-8478EB53DD18}"/>
    <cellStyle name="Comma 2 6 2 3 2" xfId="22468" xr:uid="{287D67E4-979A-403F-872A-E84B29DCA8EF}"/>
    <cellStyle name="Comma 2 6 2 3 2 2" xfId="22469" xr:uid="{B68FD319-F6EF-4582-BC75-BF6F72DD613B}"/>
    <cellStyle name="Comma 2 6 2 3 3" xfId="22470" xr:uid="{B1EFACB0-9D6A-48BA-B065-001A14DAA0D7}"/>
    <cellStyle name="Comma 2 6 2 4" xfId="22471" xr:uid="{F91404BA-28A5-4F7A-B132-72EF2A1867BD}"/>
    <cellStyle name="Comma 2 6 2 4 2" xfId="22472" xr:uid="{22009867-02EC-460E-927E-8A01E867C6BA}"/>
    <cellStyle name="Comma 2 6 2 5" xfId="22473" xr:uid="{C0E63047-FEF3-4387-8768-F4C55539E39F}"/>
    <cellStyle name="Comma 2 6 2 6" xfId="38587" xr:uid="{E238B89F-1F97-448C-A9B2-BBD17B8B9F08}"/>
    <cellStyle name="Comma 2 6 3" xfId="22474" xr:uid="{69AD3F6F-30AE-4A06-9A48-E9D1BE8DADA3}"/>
    <cellStyle name="Comma 2 6 3 2" xfId="22475" xr:uid="{7D2D645D-683E-45C2-B7C5-6A8CED11EB7E}"/>
    <cellStyle name="Comma 2 6 3 2 2" xfId="22476" xr:uid="{B84700B9-179E-4910-9019-76432E54E91F}"/>
    <cellStyle name="Comma 2 6 3 3" xfId="22477" xr:uid="{E84BE2E2-6820-4157-9982-1AF7DA41CBD7}"/>
    <cellStyle name="Comma 2 6 4" xfId="22478" xr:uid="{A3DA424A-D8EB-4470-BE27-25292EE3A721}"/>
    <cellStyle name="Comma 2 6 4 2" xfId="22479" xr:uid="{B40380CD-A65C-4627-9C57-E12F755279BE}"/>
    <cellStyle name="Comma 2 6 4 2 2" xfId="22480" xr:uid="{C2C2403B-E0C8-440F-8B0E-CE070A597A17}"/>
    <cellStyle name="Comma 2 6 4 3" xfId="22481" xr:uid="{0045E352-3F29-47F3-BFEE-FBA28D98BE6D}"/>
    <cellStyle name="Comma 2 6 5" xfId="22482" xr:uid="{63ED5692-DAD1-4D75-A108-66329D0377A0}"/>
    <cellStyle name="Comma 2 6 5 2" xfId="22483" xr:uid="{5B5A1DC5-F280-4276-B96F-C87D6DCAA9E4}"/>
    <cellStyle name="Comma 2 6 6" xfId="22484" xr:uid="{97073DDD-F1E4-4432-B933-F644A5D2AC9C}"/>
    <cellStyle name="Comma 2 6 7" xfId="38588" xr:uid="{C70037B6-4CC4-4DA4-BF2D-5A33F54AD9A7}"/>
    <cellStyle name="Comma 2 7" xfId="22485" xr:uid="{ADC3E644-9FB1-4234-833B-F09FEAC2AC41}"/>
    <cellStyle name="Comma 2 7 2" xfId="22486" xr:uid="{AD54C139-00AA-4678-BE3F-CA8A3C07073B}"/>
    <cellStyle name="Comma 2 7 2 2" xfId="22487" xr:uid="{F87055F2-0E86-4963-902A-BD7248301B78}"/>
    <cellStyle name="Comma 2 7 2 2 2" xfId="22488" xr:uid="{3D709183-072B-4436-8343-5A0F41CBA3C0}"/>
    <cellStyle name="Comma 2 7 2 2 2 2" xfId="22489" xr:uid="{2A6615E0-1667-4049-8070-95ECAB20332E}"/>
    <cellStyle name="Comma 2 7 2 2 3" xfId="22490" xr:uid="{C2A6BB95-A95F-4E7B-90D2-FD5132E3D13A}"/>
    <cellStyle name="Comma 2 7 2 3" xfId="22491" xr:uid="{3F5EF302-38D5-4EEE-A7DD-AE53355E7B00}"/>
    <cellStyle name="Comma 2 7 2 3 2" xfId="22492" xr:uid="{9DAEDA4D-6E90-443F-AFAC-85876E87B112}"/>
    <cellStyle name="Comma 2 7 2 3 2 2" xfId="22493" xr:uid="{428CA253-9017-40F0-A06F-4AE13191F933}"/>
    <cellStyle name="Comma 2 7 2 3 3" xfId="22494" xr:uid="{91D46E3A-D73F-4DCF-BB01-C6611F62D3A8}"/>
    <cellStyle name="Comma 2 7 2 4" xfId="22495" xr:uid="{B361555E-AEA0-4DC0-9D80-0B7BA9F2B024}"/>
    <cellStyle name="Comma 2 7 2 4 2" xfId="22496" xr:uid="{99A2F13C-FF5D-48F5-ADC2-5244BDF1E833}"/>
    <cellStyle name="Comma 2 7 2 5" xfId="22497" xr:uid="{6BD067B5-CF59-4E14-BFEB-66C4867E3E73}"/>
    <cellStyle name="Comma 2 7 3" xfId="22498" xr:uid="{1FA95C20-654A-497D-BBC9-3BC02FFEE6FB}"/>
    <cellStyle name="Comma 2 7 3 2" xfId="22499" xr:uid="{41537BF1-5407-48BF-995B-8F7E2B71DE6F}"/>
    <cellStyle name="Comma 2 7 3 2 2" xfId="22500" xr:uid="{F33A3C73-7726-4552-8029-83FD2C462FC2}"/>
    <cellStyle name="Comma 2 7 3 3" xfId="22501" xr:uid="{A07096A3-F194-445D-9ADE-A84A0331BB15}"/>
    <cellStyle name="Comma 2 7 4" xfId="22502" xr:uid="{FC264AAA-D3E3-42BF-BF41-B0516AEE5B8F}"/>
    <cellStyle name="Comma 2 7 4 2" xfId="22503" xr:uid="{44FC487B-C0AF-4E8F-AEA4-B94875599169}"/>
    <cellStyle name="Comma 2 7 4 2 2" xfId="22504" xr:uid="{FFC90E57-CC24-4C76-B91C-825BC32DA36D}"/>
    <cellStyle name="Comma 2 7 4 3" xfId="22505" xr:uid="{F3753191-9896-4A03-84AA-523246700BE7}"/>
    <cellStyle name="Comma 2 7 5" xfId="22506" xr:uid="{DF920F9C-33AC-447F-ABF2-4D8040362F29}"/>
    <cellStyle name="Comma 2 7 5 2" xfId="22507" xr:uid="{E7DD379C-9BCB-4C7B-B5C7-D8E3D071862B}"/>
    <cellStyle name="Comma 2 7 6" xfId="22508" xr:uid="{E8FDE03A-BE26-4727-AEB7-B7B4512A3377}"/>
    <cellStyle name="Comma 2 7 7" xfId="38589" xr:uid="{62B5F747-7E6D-4C37-8E96-E384761A4F4F}"/>
    <cellStyle name="Comma 2 8" xfId="22509" xr:uid="{098689E8-CB8B-42D0-95AA-8349F45CF759}"/>
    <cellStyle name="Comma 2 8 2" xfId="22510" xr:uid="{2A0F4153-CC02-4DB1-8BFB-21AB84ECAAB9}"/>
    <cellStyle name="Comma 2 8 2 2" xfId="22511" xr:uid="{DEE8919B-12CF-4E92-9915-A56579FE55ED}"/>
    <cellStyle name="Comma 2 8 2 2 2" xfId="22512" xr:uid="{C7B8CD63-A4BB-4147-837F-2B26105FAF63}"/>
    <cellStyle name="Comma 2 8 2 2 2 2" xfId="22513" xr:uid="{FDBC3C29-5EE2-4CD5-9B03-94FEF9D002F6}"/>
    <cellStyle name="Comma 2 8 2 2 3" xfId="22514" xr:uid="{75A5396F-2832-41BC-A5FE-281347E1AACB}"/>
    <cellStyle name="Comma 2 8 2 3" xfId="22515" xr:uid="{828B53B2-76C4-4632-8E10-90D0A5D50FA6}"/>
    <cellStyle name="Comma 2 8 2 3 2" xfId="22516" xr:uid="{4759B22C-3F67-4059-9440-0AE05C7813FA}"/>
    <cellStyle name="Comma 2 8 2 3 2 2" xfId="22517" xr:uid="{94797B6D-0055-4054-9ACB-478D26031C72}"/>
    <cellStyle name="Comma 2 8 2 3 3" xfId="22518" xr:uid="{C343B127-EE00-41E1-BEA8-5D0509C20A5F}"/>
    <cellStyle name="Comma 2 8 2 4" xfId="22519" xr:uid="{E5B5B1EF-E0DD-4545-A633-B20F1D26E878}"/>
    <cellStyle name="Comma 2 8 2 4 2" xfId="22520" xr:uid="{69C0A8FD-D6F9-4FF0-8A9C-769F6315E0E9}"/>
    <cellStyle name="Comma 2 8 2 5" xfId="22521" xr:uid="{E58579F7-7CEE-4496-9A3D-8207621B9E48}"/>
    <cellStyle name="Comma 2 8 3" xfId="22522" xr:uid="{E8667AC2-FCE2-4BBA-A487-2AEBE7530D97}"/>
    <cellStyle name="Comma 2 8 3 2" xfId="22523" xr:uid="{5E05DFF8-2469-4864-B4DF-31602787E21C}"/>
    <cellStyle name="Comma 2 8 3 2 2" xfId="22524" xr:uid="{7F45AE99-3DCC-4F28-9983-BF1FFA47BEE6}"/>
    <cellStyle name="Comma 2 8 3 3" xfId="22525" xr:uid="{C8A4ACA0-D493-4639-8FFB-3CE29F48460E}"/>
    <cellStyle name="Comma 2 8 3 4" xfId="38590" xr:uid="{D9BC86FA-8F00-4A4E-881E-4F61EEC25C30}"/>
    <cellStyle name="Comma 2 8 4" xfId="22526" xr:uid="{49B7FE08-3A77-4F0D-9C9A-166763A1A24A}"/>
    <cellStyle name="Comma 2 8 4 2" xfId="22527" xr:uid="{E53EAB0A-B340-4241-9212-6BA9F60A8ACF}"/>
    <cellStyle name="Comma 2 8 4 2 2" xfId="22528" xr:uid="{72E2E219-49E8-43A6-9D83-61E7B1A2578D}"/>
    <cellStyle name="Comma 2 8 4 3" xfId="22529" xr:uid="{0FBEA248-5A1D-4D48-9B73-6EE51C091E44}"/>
    <cellStyle name="Comma 2 8 5" xfId="22530" xr:uid="{64F0ECDB-D09B-4A23-8441-76E52CA3FF66}"/>
    <cellStyle name="Comma 2 8 5 2" xfId="22531" xr:uid="{933BC9B7-ABF5-4C44-900D-E751C5C06E6E}"/>
    <cellStyle name="Comma 2 8 6" xfId="38591" xr:uid="{3EA2B4D0-1CB0-4172-A32D-7025D50B3556}"/>
    <cellStyle name="Comma 2 9" xfId="22532" xr:uid="{41365804-9337-4488-B3C2-650BCFBC2FF7}"/>
    <cellStyle name="Comma 2 9 2" xfId="22533" xr:uid="{DFF291DD-8C65-4A79-A848-79017DA2E3B9}"/>
    <cellStyle name="Comma 2 9 2 2" xfId="22534" xr:uid="{1AB67922-EBD9-4697-967A-835166C3BDE4}"/>
    <cellStyle name="Comma 2 9 2 2 2" xfId="22535" xr:uid="{CE177DED-A7BB-4E6B-835F-8E689B4F8A0E}"/>
    <cellStyle name="Comma 2 9 2 2 2 2" xfId="22536" xr:uid="{95689239-6112-4ED2-ACBC-4622969B5C56}"/>
    <cellStyle name="Comma 2 9 2 2 3" xfId="22537" xr:uid="{AD01CCFE-9A0A-4F8B-B596-337FD5EF5DD3}"/>
    <cellStyle name="Comma 2 9 2 3" xfId="22538" xr:uid="{CF83488B-01BA-4CB8-A9B1-9F61FBD93360}"/>
    <cellStyle name="Comma 2 9 2 3 2" xfId="22539" xr:uid="{AB350D6C-945E-424F-83EA-9F73FF9A82D2}"/>
    <cellStyle name="Comma 2 9 2 3 2 2" xfId="22540" xr:uid="{D662F329-DB07-4A7D-BF5D-96E32B6A142C}"/>
    <cellStyle name="Comma 2 9 2 3 3" xfId="22541" xr:uid="{BBCEC7E2-F701-4408-9589-B489CC386731}"/>
    <cellStyle name="Comma 2 9 2 4" xfId="22542" xr:uid="{6F5CED79-A7C9-4D54-9634-310A823C7943}"/>
    <cellStyle name="Comma 2 9 2 4 2" xfId="22543" xr:uid="{48B434AC-D90B-419C-A2C3-BB0EB5EFFF5F}"/>
    <cellStyle name="Comma 2 9 2 5" xfId="22544" xr:uid="{E53BEC54-CCDD-420B-9C57-3CF97591245B}"/>
    <cellStyle name="Comma 2 9 3" xfId="22545" xr:uid="{C3BEEE3E-8679-49EB-AB72-2EA8C59589A3}"/>
    <cellStyle name="Comma 2 9 3 2" xfId="22546" xr:uid="{5C99B41D-16A2-4417-8A75-1C08D481A670}"/>
    <cellStyle name="Comma 2 9 3 2 2" xfId="22547" xr:uid="{0E42FF09-31B9-4A9B-B9DA-B22D975E9305}"/>
    <cellStyle name="Comma 2 9 3 3" xfId="22548" xr:uid="{6AF39C05-1715-475A-A6BE-9B96E0BA26CE}"/>
    <cellStyle name="Comma 2 9 4" xfId="22549" xr:uid="{49683504-1EED-4624-A754-A8E06D847AA8}"/>
    <cellStyle name="Comma 2 9 4 2" xfId="22550" xr:uid="{476CB379-0AD9-431B-B24E-E1484F60C6A7}"/>
    <cellStyle name="Comma 2 9 4 2 2" xfId="22551" xr:uid="{5C257B6A-D9CE-4EBB-9A81-8A1D3A6904B2}"/>
    <cellStyle name="Comma 2 9 4 3" xfId="22552" xr:uid="{2E35CE33-AE48-4378-B909-0A48F29D00B6}"/>
    <cellStyle name="Comma 2 9 5" xfId="22553" xr:uid="{3989A363-2E4D-476A-8BC0-E349D929362B}"/>
    <cellStyle name="Comma 2 9 5 2" xfId="22554" xr:uid="{1D5E07E4-C4E6-461F-88FD-B701A8CB0AF9}"/>
    <cellStyle name="Comma 2 9 6" xfId="22555" xr:uid="{49848982-A3EF-42D2-B2A3-563D2CA711D8}"/>
    <cellStyle name="Comma 20" xfId="22556" xr:uid="{C71AF310-0F43-4070-8EE1-4E8AD949D20B}"/>
    <cellStyle name="Comma 20 2" xfId="22557" xr:uid="{4C6DF809-351B-43C9-9D93-11AA573E40F3}"/>
    <cellStyle name="Comma 20 2 2" xfId="22558" xr:uid="{461F61C1-AA6B-45EE-B33F-D077942BE169}"/>
    <cellStyle name="Comma 20 2 2 2" xfId="22559" xr:uid="{011DADCF-EC5E-4EC6-A824-908BCF55FA15}"/>
    <cellStyle name="Comma 20 2 2 2 2" xfId="22560" xr:uid="{F15759DD-88D2-49ED-A9A7-CABEC3E51777}"/>
    <cellStyle name="Comma 20 2 2 3" xfId="22561" xr:uid="{44D58783-4AA6-4CB9-AC1A-82104E125A90}"/>
    <cellStyle name="Comma 20 2 3" xfId="22562" xr:uid="{C477499B-885D-4990-9AAF-FE8C767BDE1E}"/>
    <cellStyle name="Comma 20 2 3 2" xfId="22563" xr:uid="{73207AE5-3098-462F-B120-9A415F9B091A}"/>
    <cellStyle name="Comma 20 2 3 2 2" xfId="22564" xr:uid="{77278D7A-3818-4AEF-9565-4948674C623F}"/>
    <cellStyle name="Comma 20 2 3 3" xfId="22565" xr:uid="{2F2C4787-ABDA-42EF-B361-2670F93C7B55}"/>
    <cellStyle name="Comma 20 2 4" xfId="22566" xr:uid="{D60FDB92-20F4-4AB8-872A-64734161350A}"/>
    <cellStyle name="Comma 20 2 4 2" xfId="22567" xr:uid="{47C5705E-CC67-46E4-A75B-93FAD2D39937}"/>
    <cellStyle name="Comma 20 2 5" xfId="22568" xr:uid="{59546F92-187D-48D4-80CC-076319782BCF}"/>
    <cellStyle name="Comma 20 3" xfId="22569" xr:uid="{C7C49A6E-FA08-487C-908B-A31848EC12D9}"/>
    <cellStyle name="Comma 20 3 2" xfId="22570" xr:uid="{8F2209EB-8E6A-404E-915B-802B2ACBBDB8}"/>
    <cellStyle name="Comma 20 3 2 2" xfId="22571" xr:uid="{6A4027FA-831A-426F-B264-E204002043F3}"/>
    <cellStyle name="Comma 20 3 3" xfId="22572" xr:uid="{CB52C21A-1AB8-4168-AC90-A4A24561DAF0}"/>
    <cellStyle name="Comma 20 4" xfId="22573" xr:uid="{FCF34070-17A6-422E-B961-AF68B9A857E2}"/>
    <cellStyle name="Comma 20 4 2" xfId="22574" xr:uid="{90E7453A-97FE-4BB5-BF4F-C4A21B4B0B07}"/>
    <cellStyle name="Comma 20 4 2 2" xfId="22575" xr:uid="{52029D34-46BD-4533-A768-8245E5884A82}"/>
    <cellStyle name="Comma 20 4 3" xfId="22576" xr:uid="{4B51A3EB-9B31-4463-97FA-6E225AF64152}"/>
    <cellStyle name="Comma 20 5" xfId="22577" xr:uid="{509ED74C-5E5A-4E1A-8BAA-E18FA53EB5AF}"/>
    <cellStyle name="Comma 20 5 2" xfId="22578" xr:uid="{0D98E962-7315-4BE3-883E-B02AD7D21AE7}"/>
    <cellStyle name="Comma 20 6" xfId="22579" xr:uid="{94DF5078-01DE-4D8A-84AA-F14586CBEB3E}"/>
    <cellStyle name="Comma 21" xfId="22580" xr:uid="{4180EEF0-315E-467B-B547-5A05A81F7971}"/>
    <cellStyle name="Comma 21 2" xfId="22581" xr:uid="{6CD0CED5-6A5B-4D4B-9CCB-0BD15E2B9746}"/>
    <cellStyle name="Comma 21 2 2" xfId="22582" xr:uid="{859EA895-CF35-4DB7-98B4-85E60FC7BB05}"/>
    <cellStyle name="Comma 21 2 2 2" xfId="22583" xr:uid="{B80EDCF3-AF4D-42CC-87A1-126CCEA6D478}"/>
    <cellStyle name="Comma 21 2 2 2 2" xfId="22584" xr:uid="{1D93356E-E50F-492C-AC7C-4767DB22E44E}"/>
    <cellStyle name="Comma 21 2 2 3" xfId="22585" xr:uid="{22055D70-5570-407E-851A-65EA68E23B94}"/>
    <cellStyle name="Comma 21 2 3" xfId="22586" xr:uid="{9096D01E-8EBE-483A-9F0C-772E4AC27658}"/>
    <cellStyle name="Comma 21 2 3 2" xfId="22587" xr:uid="{B7B19451-8FAF-4294-B0A1-ED55B4664D86}"/>
    <cellStyle name="Comma 21 2 3 2 2" xfId="22588" xr:uid="{DD3E17C6-D9E3-4850-80AF-15DB736C17CC}"/>
    <cellStyle name="Comma 21 2 3 3" xfId="22589" xr:uid="{E170639F-4B26-4FC1-BE57-BE4538F40C20}"/>
    <cellStyle name="Comma 21 2 4" xfId="22590" xr:uid="{8E81AD49-DD7E-4044-BB05-20DE3A5AE067}"/>
    <cellStyle name="Comma 21 2 4 2" xfId="22591" xr:uid="{FE28C589-E340-4729-8703-68CA1B76E700}"/>
    <cellStyle name="Comma 21 2 5" xfId="22592" xr:uid="{6800799B-AA54-419E-988B-51ADAA61BAA4}"/>
    <cellStyle name="Comma 21 3" xfId="22593" xr:uid="{D0065C2D-ED5C-44BC-BA7C-1934AB40A227}"/>
    <cellStyle name="Comma 21 3 2" xfId="22594" xr:uid="{BFACC2C7-1275-465C-AB38-3A25CC7E56A5}"/>
    <cellStyle name="Comma 21 3 2 2" xfId="22595" xr:uid="{13640A65-66B0-433A-B7D1-F71796B292F7}"/>
    <cellStyle name="Comma 21 3 3" xfId="22596" xr:uid="{DEC2FD58-9261-46F9-BC37-A080FC892B2A}"/>
    <cellStyle name="Comma 21 4" xfId="22597" xr:uid="{8369E673-C7D9-45E6-BD1C-0D4EE745F94E}"/>
    <cellStyle name="Comma 21 4 2" xfId="22598" xr:uid="{D3FD378B-26F8-490C-B709-DFFD3BFD9434}"/>
    <cellStyle name="Comma 21 4 2 2" xfId="22599" xr:uid="{BA598EC2-E96A-4766-B747-BD108BBE323F}"/>
    <cellStyle name="Comma 21 4 3" xfId="22600" xr:uid="{A4C997A3-9D65-4F7A-B459-8FC67D9579EA}"/>
    <cellStyle name="Comma 21 5" xfId="22601" xr:uid="{6B4151CB-1C5C-4C3B-82D8-C1D495A76C36}"/>
    <cellStyle name="Comma 21 5 2" xfId="22602" xr:uid="{DFAF553B-C95A-4892-85E5-9E53B01BE853}"/>
    <cellStyle name="Comma 21 6" xfId="22603" xr:uid="{9DBA44C7-4B42-4D6C-9BFF-35BDFDC592E9}"/>
    <cellStyle name="Comma 22" xfId="22604" xr:uid="{8811B7F6-9378-4513-A8B3-9F8093607A98}"/>
    <cellStyle name="Comma 22 2" xfId="22605" xr:uid="{37108A37-5148-4FE4-A9B8-48C8DF236E46}"/>
    <cellStyle name="Comma 22 2 2" xfId="22606" xr:uid="{26561774-A6AB-4C16-BD6E-8AB5C6A0EA4A}"/>
    <cellStyle name="Comma 22 2 2 2" xfId="22607" xr:uid="{B512D23D-2484-4F7D-A36D-3639662CC2AE}"/>
    <cellStyle name="Comma 22 2 2 2 2" xfId="22608" xr:uid="{ACE2A20A-14EA-47AF-B8CB-6FD35E494E28}"/>
    <cellStyle name="Comma 22 2 2 3" xfId="22609" xr:uid="{8610F7F0-A5CF-453B-9C9E-82218433C2F7}"/>
    <cellStyle name="Comma 22 2 3" xfId="22610" xr:uid="{543FAFC6-F6AE-4008-B60F-F62F7CDB4C5E}"/>
    <cellStyle name="Comma 22 2 3 2" xfId="22611" xr:uid="{8458CCF3-4B2E-4EBA-B98A-9FD07122A5A4}"/>
    <cellStyle name="Comma 22 2 3 2 2" xfId="22612" xr:uid="{6300D548-AAE2-4F76-A5B0-56290F60A12D}"/>
    <cellStyle name="Comma 22 2 3 3" xfId="22613" xr:uid="{4A9917C2-1BD8-4959-9C85-0F58E36F2607}"/>
    <cellStyle name="Comma 22 2 4" xfId="22614" xr:uid="{C92F28B3-764E-4568-91C8-CBFEF56E68B5}"/>
    <cellStyle name="Comma 22 2 4 2" xfId="22615" xr:uid="{C30E393E-3BBF-4156-A32E-9DEC33BC80A4}"/>
    <cellStyle name="Comma 22 2 5" xfId="22616" xr:uid="{F0A09F24-D791-4FAF-BBB6-171159577DEB}"/>
    <cellStyle name="Comma 22 2 6" xfId="38592" xr:uid="{DF175556-F1FB-4E30-8CB1-F28872E1644C}"/>
    <cellStyle name="Comma 22 3" xfId="22617" xr:uid="{96AF1D15-8A7B-4C00-ABC1-7CD9A3743B82}"/>
    <cellStyle name="Comma 22 3 2" xfId="22618" xr:uid="{48E5A21E-ED0F-4CC9-A76C-420675EC093A}"/>
    <cellStyle name="Comma 22 3 2 2" xfId="22619" xr:uid="{5327C9C0-C51D-411B-B40C-F9AAB77F5ADA}"/>
    <cellStyle name="Comma 22 3 3" xfId="22620" xr:uid="{C8B172CF-0B40-4C2E-85AC-9E5D43E37F76}"/>
    <cellStyle name="Comma 22 4" xfId="22621" xr:uid="{1B7D3957-AD1E-49C9-9D1E-7698B35A347B}"/>
    <cellStyle name="Comma 22 4 2" xfId="22622" xr:uid="{6691FF1B-77B8-4503-8463-3BE62E37992F}"/>
    <cellStyle name="Comma 22 4 2 2" xfId="22623" xr:uid="{E920CCEF-4F89-43A1-BE39-C245052C0B8F}"/>
    <cellStyle name="Comma 22 4 3" xfId="22624" xr:uid="{0BDF3164-7C80-4758-91B3-110E690FBC73}"/>
    <cellStyle name="Comma 22 5" xfId="22625" xr:uid="{06F525AE-632D-41C4-B7B6-4D792E53649C}"/>
    <cellStyle name="Comma 22 5 2" xfId="22626" xr:uid="{FA06034C-436A-4A65-8D44-02BD401E9C5C}"/>
    <cellStyle name="Comma 22 6" xfId="22627" xr:uid="{C17EDC65-466E-4B51-805D-AC35944CCCBE}"/>
    <cellStyle name="Comma 22 7" xfId="38593" xr:uid="{4394B313-D6B8-4247-B81C-63550FEC2D9B}"/>
    <cellStyle name="Comma 23" xfId="22628" xr:uid="{623FCEE7-B086-4502-A03C-9337DDB03C51}"/>
    <cellStyle name="Comma 23 2" xfId="22629" xr:uid="{A651492A-594F-4BF1-A2E4-AECC57FE01BE}"/>
    <cellStyle name="Comma 23 2 2" xfId="22630" xr:uid="{766E98CB-0F36-4A4C-8163-74D0AD2408B3}"/>
    <cellStyle name="Comma 23 2 2 2" xfId="22631" xr:uid="{361FDB88-B0DC-42E4-A822-1A1F30E0227F}"/>
    <cellStyle name="Comma 23 2 2 2 2" xfId="22632" xr:uid="{FD96252B-A6ED-469F-B23E-DD430817B8EC}"/>
    <cellStyle name="Comma 23 2 2 3" xfId="22633" xr:uid="{7B19D628-70A5-4302-844E-261DF6B2F6D1}"/>
    <cellStyle name="Comma 23 2 3" xfId="22634" xr:uid="{B14A169C-4B0D-4C97-8BA8-3279D37F1247}"/>
    <cellStyle name="Comma 23 2 3 2" xfId="22635" xr:uid="{4D9F1448-F517-4651-B51D-58E20C2A7651}"/>
    <cellStyle name="Comma 23 2 3 2 2" xfId="22636" xr:uid="{D29A94EF-4F57-446D-9872-7544629258F3}"/>
    <cellStyle name="Comma 23 2 3 3" xfId="22637" xr:uid="{F435C26E-01C7-412B-9C70-244342089A3C}"/>
    <cellStyle name="Comma 23 2 4" xfId="22638" xr:uid="{4818B95D-852B-4DDB-A74B-3A231BBA2DB9}"/>
    <cellStyle name="Comma 23 2 4 2" xfId="22639" xr:uid="{9477D804-009A-424A-B058-700A4EC19E1C}"/>
    <cellStyle name="Comma 23 2 5" xfId="22640" xr:uid="{B8649664-291E-411F-A4C3-22151F85E720}"/>
    <cellStyle name="Comma 23 2 6" xfId="38594" xr:uid="{C7CA70A1-AE01-491A-B2BD-70422D2C171E}"/>
    <cellStyle name="Comma 23 3" xfId="22641" xr:uid="{7E33AB9D-38FA-4F27-B021-B4D0959E2BCA}"/>
    <cellStyle name="Comma 23 3 2" xfId="22642" xr:uid="{BEA1477A-4D26-4826-9198-91F3A430FDD5}"/>
    <cellStyle name="Comma 23 3 2 2" xfId="22643" xr:uid="{41212F0C-98E1-46FF-81F8-4639BA266BF1}"/>
    <cellStyle name="Comma 23 3 3" xfId="22644" xr:uid="{3CEBCFBB-330E-4C6E-971E-0F85A6155A06}"/>
    <cellStyle name="Comma 23 3 4" xfId="38595" xr:uid="{BA66945E-5B3B-4322-9422-39A422489EE1}"/>
    <cellStyle name="Comma 23 4" xfId="22645" xr:uid="{4DB56E2A-602E-4F0C-869A-411B384F980B}"/>
    <cellStyle name="Comma 23 4 2" xfId="22646" xr:uid="{4D45AB0F-1DE8-4DAD-9C0E-EF408D26482B}"/>
    <cellStyle name="Comma 23 4 2 2" xfId="22647" xr:uid="{584E6FFF-113C-4AA9-97E6-4E76DC60C3F7}"/>
    <cellStyle name="Comma 23 4 3" xfId="22648" xr:uid="{644DE93A-1FEB-4E7D-B67D-3D260529CE53}"/>
    <cellStyle name="Comma 23 5" xfId="22649" xr:uid="{73FDEEF1-68B3-4F8C-A92D-3C17DF870213}"/>
    <cellStyle name="Comma 23 5 2" xfId="22650" xr:uid="{970BA77B-1161-4745-9564-1E0BE2BED4D2}"/>
    <cellStyle name="Comma 23 6" xfId="22651" xr:uid="{CF77A733-50E3-488F-9E8C-51DD6F9DDED6}"/>
    <cellStyle name="Comma 23 7" xfId="38596" xr:uid="{3E0E082C-FD25-4A39-AED3-2E352800BA04}"/>
    <cellStyle name="Comma 24" xfId="22652" xr:uid="{FD845D1D-76C5-4BD0-A708-F50BE7888DAC}"/>
    <cellStyle name="Comma 24 2" xfId="22653" xr:uid="{6344E6D9-FB87-4655-BD26-85D4E5CCC6EF}"/>
    <cellStyle name="Comma 24 2 2" xfId="22654" xr:uid="{9AC8BAE7-D5A8-42F9-A73F-1202B7228409}"/>
    <cellStyle name="Comma 24 2 2 2" xfId="22655" xr:uid="{1F9288CB-40F4-4712-9348-2594B90234BA}"/>
    <cellStyle name="Comma 24 2 2 2 2" xfId="22656" xr:uid="{A19DCC69-A222-43FD-97BF-306B9DBD9162}"/>
    <cellStyle name="Comma 24 2 2 3" xfId="22657" xr:uid="{02312385-26DB-428C-A11E-C8FE21669D8F}"/>
    <cellStyle name="Comma 24 2 3" xfId="22658" xr:uid="{52573261-1A6E-413E-B58B-21497786773C}"/>
    <cellStyle name="Comma 24 2 3 2" xfId="22659" xr:uid="{4E6D9DD2-8199-418C-863D-425F6F06EE2E}"/>
    <cellStyle name="Comma 24 2 3 2 2" xfId="22660" xr:uid="{1C974193-47E9-4DFA-BEBA-8179B6E1C53B}"/>
    <cellStyle name="Comma 24 2 3 3" xfId="22661" xr:uid="{D1522214-4653-45A0-8A79-E5615AB75093}"/>
    <cellStyle name="Comma 24 2 4" xfId="22662" xr:uid="{4D3D9BEA-8041-447A-9D6D-0181C8A46C9A}"/>
    <cellStyle name="Comma 24 2 4 2" xfId="22663" xr:uid="{3E8B9DCE-862A-4FE3-835A-87AC2F32A4AB}"/>
    <cellStyle name="Comma 24 2 5" xfId="22664" xr:uid="{8813B555-6871-4A71-BDF2-DC44027DECDE}"/>
    <cellStyle name="Comma 24 3" xfId="22665" xr:uid="{5BA50D08-E68F-4087-9291-B51157E97CC2}"/>
    <cellStyle name="Comma 24 3 2" xfId="22666" xr:uid="{7F113341-DC89-44A4-8FCE-33DFC8332937}"/>
    <cellStyle name="Comma 24 3 2 2" xfId="22667" xr:uid="{20C6EA13-210C-4B81-932E-F62FCC68172E}"/>
    <cellStyle name="Comma 24 3 3" xfId="22668" xr:uid="{1AE67D5E-CE47-493A-80F1-0084E1746F61}"/>
    <cellStyle name="Comma 24 4" xfId="22669" xr:uid="{9A1F2745-2C92-49B5-9E72-9EF5987377AF}"/>
    <cellStyle name="Comma 24 4 2" xfId="22670" xr:uid="{80029F64-6FF5-436B-BE71-316B64535DD5}"/>
    <cellStyle name="Comma 24 4 2 2" xfId="22671" xr:uid="{9DC2EE60-3EE9-46BC-A4D6-60C9DE03B7B7}"/>
    <cellStyle name="Comma 24 4 3" xfId="22672" xr:uid="{EAF2DE1A-FD90-4083-AC68-1A82FD7E9AB0}"/>
    <cellStyle name="Comma 24 5" xfId="22673" xr:uid="{AE08671B-6557-436A-BEDC-E096D7F4D897}"/>
    <cellStyle name="Comma 24 5 2" xfId="22674" xr:uid="{4DF89703-A2C3-44AE-AF0E-E50208AF0CF6}"/>
    <cellStyle name="Comma 24 6" xfId="22675" xr:uid="{7826DBEC-CAD2-4C09-B223-CF560AFE1D59}"/>
    <cellStyle name="Comma 25" xfId="22676" xr:uid="{290968EB-2DD2-40CE-9CF3-49EA6C060889}"/>
    <cellStyle name="Comma 25 2" xfId="22677" xr:uid="{EE3A768F-A7B7-46E0-ADC4-714E6023DFB1}"/>
    <cellStyle name="Comma 25 2 2" xfId="22678" xr:uid="{C1190B68-1EF2-451D-B3A0-A336A28A0649}"/>
    <cellStyle name="Comma 25 2 2 2" xfId="22679" xr:uid="{298ED3CC-021D-4F98-BAD9-D38A32E92927}"/>
    <cellStyle name="Comma 25 2 2 2 2" xfId="22680" xr:uid="{ECE7C9FF-6998-49B0-8BA2-0948278872C4}"/>
    <cellStyle name="Comma 25 2 2 2 2 2" xfId="22681" xr:uid="{F587631D-1F81-4BFE-AA8F-FDE1DADA7F4A}"/>
    <cellStyle name="Comma 25 2 2 2 3" xfId="22682" xr:uid="{D3E68814-35F3-4485-80BE-27A950DE6F50}"/>
    <cellStyle name="Comma 25 2 2 3" xfId="22683" xr:uid="{D9A8270F-CC29-46C2-8976-41A6179D2846}"/>
    <cellStyle name="Comma 25 2 2 3 2" xfId="22684" xr:uid="{659BE5CA-7FBE-45D6-B7E7-25400CF4A9AD}"/>
    <cellStyle name="Comma 25 2 2 3 2 2" xfId="22685" xr:uid="{01E6CF8D-A896-4637-9FA5-CBDC4537FC67}"/>
    <cellStyle name="Comma 25 2 2 3 3" xfId="22686" xr:uid="{4489CFDC-0BD6-497C-91E6-293E2A064A64}"/>
    <cellStyle name="Comma 25 2 2 4" xfId="22687" xr:uid="{BEACDD98-7F7F-48F5-88F0-1F69D0194E08}"/>
    <cellStyle name="Comma 25 2 2 4 2" xfId="22688" xr:uid="{76BB5CAA-5175-4CFD-A038-C3D727D7FED6}"/>
    <cellStyle name="Comma 25 2 2 5" xfId="22689" xr:uid="{EBA47432-98D2-488D-8D9D-F3E0FF1610D1}"/>
    <cellStyle name="Comma 25 2 3" xfId="22690" xr:uid="{E7E383D8-96C9-4607-8915-4E623C68A465}"/>
    <cellStyle name="Comma 25 2 3 2" xfId="22691" xr:uid="{64FD34A6-EA17-45EC-BDCF-4CFA6E2D8DB8}"/>
    <cellStyle name="Comma 25 2 3 2 2" xfId="22692" xr:uid="{9FD66DB2-A5D5-4AD2-965A-3184C7838F15}"/>
    <cellStyle name="Comma 25 2 3 3" xfId="22693" xr:uid="{F3A22907-48EE-4C7B-BFE6-2AE7F7EF0607}"/>
    <cellStyle name="Comma 25 2 4" xfId="22694" xr:uid="{5D1FFB30-7089-4AFC-ADAC-65523EE33B7D}"/>
    <cellStyle name="Comma 25 2 4 2" xfId="22695" xr:uid="{B3A28507-DFA6-4362-AFE3-F0B5DB329368}"/>
    <cellStyle name="Comma 25 2 4 2 2" xfId="22696" xr:uid="{E3273E25-F81A-4C16-B6C7-45889FBFC7A1}"/>
    <cellStyle name="Comma 25 2 4 3" xfId="22697" xr:uid="{1A77102E-43C5-4C20-ACCC-3CD50F2B82A4}"/>
    <cellStyle name="Comma 25 2 5" xfId="22698" xr:uid="{740833F9-AF29-40B9-98CA-E9D4270F316A}"/>
    <cellStyle name="Comma 25 2 5 2" xfId="22699" xr:uid="{5BC47391-CE76-4132-84B0-CBA6F1E989F2}"/>
    <cellStyle name="Comma 25 2 6" xfId="22700" xr:uid="{B9B81752-44E8-4ACE-A1EB-5AF08261149B}"/>
    <cellStyle name="Comma 25 3" xfId="22701" xr:uid="{A35CC77B-4572-4434-BB17-78BEA50CBA52}"/>
    <cellStyle name="Comma 25 3 2" xfId="22702" xr:uid="{75F28C0C-F2FE-4FAA-848E-281F5B354115}"/>
    <cellStyle name="Comma 25 3 2 2" xfId="22703" xr:uid="{1E3782B1-BB81-4816-80B8-8171C265707F}"/>
    <cellStyle name="Comma 25 3 2 2 2" xfId="22704" xr:uid="{058FF9B1-D6A8-44F3-9100-1D5FED239387}"/>
    <cellStyle name="Comma 25 3 2 2 2 2" xfId="22705" xr:uid="{E6967933-C3D5-4A94-821C-890A4D778A13}"/>
    <cellStyle name="Comma 25 3 2 2 3" xfId="22706" xr:uid="{333641A8-B376-44C7-B571-C09C62C69F0E}"/>
    <cellStyle name="Comma 25 3 2 3" xfId="22707" xr:uid="{095E0EB0-8EC3-4362-8DEB-F872988BEDF7}"/>
    <cellStyle name="Comma 25 3 2 3 2" xfId="22708" xr:uid="{35EA1E0D-9F0D-401B-BA66-FB410F61E296}"/>
    <cellStyle name="Comma 25 3 2 3 2 2" xfId="22709" xr:uid="{F9A296F7-E9E3-4E09-B975-7F7E7882BC8B}"/>
    <cellStyle name="Comma 25 3 2 3 3" xfId="22710" xr:uid="{FB79CDC5-5B92-46C8-AE5E-A86F54023F31}"/>
    <cellStyle name="Comma 25 3 2 4" xfId="22711" xr:uid="{442AFFCA-B888-4D08-8EA0-8F7A6CFA45F2}"/>
    <cellStyle name="Comma 25 3 2 4 2" xfId="22712" xr:uid="{8035BDDD-6BCE-45F0-91EC-58C876BC0653}"/>
    <cellStyle name="Comma 25 3 2 5" xfId="22713" xr:uid="{88E1828E-71D5-445E-A8F9-CD0719DD0023}"/>
    <cellStyle name="Comma 25 3 3" xfId="22714" xr:uid="{B9C5834A-4466-4E85-B0A2-A1E8D4670263}"/>
    <cellStyle name="Comma 25 3 3 2" xfId="22715" xr:uid="{BAB47B89-CE11-42CF-B999-34B1B38F8272}"/>
    <cellStyle name="Comma 25 3 3 2 2" xfId="22716" xr:uid="{6011B005-927E-4DA0-BB6E-29BF76029B09}"/>
    <cellStyle name="Comma 25 3 3 3" xfId="22717" xr:uid="{EFDD6B78-BB31-4E58-87D2-899B0968764E}"/>
    <cellStyle name="Comma 25 3 4" xfId="22718" xr:uid="{3814236A-D045-4290-A5EB-E789CBA51F31}"/>
    <cellStyle name="Comma 25 3 4 2" xfId="22719" xr:uid="{6574E5B6-2B4E-4D0D-9D0D-7C6C9D901688}"/>
    <cellStyle name="Comma 25 3 4 2 2" xfId="22720" xr:uid="{76FB5DAB-C98B-47D3-B2F7-259139794136}"/>
    <cellStyle name="Comma 25 3 4 3" xfId="22721" xr:uid="{89E7F1D9-D1CE-4973-84D8-96BA68139551}"/>
    <cellStyle name="Comma 25 3 5" xfId="22722" xr:uid="{9738CA2E-F93A-4105-9B29-FF1EB36F5871}"/>
    <cellStyle name="Comma 25 3 5 2" xfId="22723" xr:uid="{D654A0A7-AEE0-4F6D-9BBF-428981BB6157}"/>
    <cellStyle name="Comma 25 3 6" xfId="22724" xr:uid="{260DDBB0-CFC3-4529-AE4D-E7C4AB9910AA}"/>
    <cellStyle name="Comma 25 4" xfId="22725" xr:uid="{A867DDEB-2445-48E7-829B-6D8056537E88}"/>
    <cellStyle name="Comma 25 4 2" xfId="22726" xr:uid="{7641762F-2F01-41CC-91B9-80C48D5D2B79}"/>
    <cellStyle name="Comma 25 4 2 2" xfId="22727" xr:uid="{BAE84BDA-C360-40EA-8D84-FB6E9D541181}"/>
    <cellStyle name="Comma 25 4 2 2 2" xfId="22728" xr:uid="{ED140C3B-E376-4657-98DF-B9CA069A5CAA}"/>
    <cellStyle name="Comma 25 4 2 3" xfId="22729" xr:uid="{8502BA67-1C72-4A6D-B44A-ED09DC04642C}"/>
    <cellStyle name="Comma 25 4 3" xfId="22730" xr:uid="{C4942D88-3DB0-446F-B77B-153866E02CB4}"/>
    <cellStyle name="Comma 25 4 3 2" xfId="22731" xr:uid="{8C0722D9-ECD7-42D9-8933-A2FBDB1C121D}"/>
    <cellStyle name="Comma 25 4 3 2 2" xfId="22732" xr:uid="{F5567647-95F5-4FCF-B14B-CC6507386595}"/>
    <cellStyle name="Comma 25 4 3 3" xfId="22733" xr:uid="{5EC3ECD7-4188-4144-8408-907C40E1A295}"/>
    <cellStyle name="Comma 25 4 4" xfId="22734" xr:uid="{DC5FE374-F929-4871-8AA5-8E0B73BEC081}"/>
    <cellStyle name="Comma 25 4 4 2" xfId="22735" xr:uid="{A0225E44-DFFE-40C3-B42D-65FFC02C9C00}"/>
    <cellStyle name="Comma 25 4 5" xfId="22736" xr:uid="{F214FE63-38F6-4BCF-9AB9-CDFCB7B0C3D9}"/>
    <cellStyle name="Comma 25 5" xfId="22737" xr:uid="{4DCED96D-964A-4E05-A047-AF16D3F225B9}"/>
    <cellStyle name="Comma 25 5 2" xfId="22738" xr:uid="{DAB6CE34-6B31-483C-B3B5-5C12B8AA7D3D}"/>
    <cellStyle name="Comma 25 5 2 2" xfId="22739" xr:uid="{A2BB2165-8792-4C4D-8C09-CED65DA8AAD0}"/>
    <cellStyle name="Comma 25 5 3" xfId="22740" xr:uid="{C3DBB8E9-9E8C-42D5-895F-6F72682ECD95}"/>
    <cellStyle name="Comma 25 6" xfId="22741" xr:uid="{652B69C2-8C0E-4FD4-B5A4-77DC432C3B03}"/>
    <cellStyle name="Comma 25 6 2" xfId="22742" xr:uid="{C23A3D4F-9897-4F46-BD4C-33BD946725F1}"/>
    <cellStyle name="Comma 25 6 2 2" xfId="22743" xr:uid="{7075307E-F0E6-438B-AED9-F82B8BDBA89F}"/>
    <cellStyle name="Comma 25 6 3" xfId="22744" xr:uid="{045C29DD-8F32-49E7-81B4-623C27D7731C}"/>
    <cellStyle name="Comma 25 7" xfId="22745" xr:uid="{647C5BAF-32A4-4A02-B28C-C96D51A5D074}"/>
    <cellStyle name="Comma 25 7 2" xfId="22746" xr:uid="{B323F68A-16BC-450D-9757-25985B00777F}"/>
    <cellStyle name="Comma 25 8" xfId="22747" xr:uid="{D5AF580E-BCD9-47C7-A3D9-865A0CAC0AEB}"/>
    <cellStyle name="Comma 26" xfId="22748" xr:uid="{5BCE7192-A79E-4295-9404-0F2A2C154576}"/>
    <cellStyle name="Comma 26 2" xfId="22749" xr:uid="{602E79EF-DB05-49FE-99B0-D1715DD41475}"/>
    <cellStyle name="Comma 26 2 2" xfId="22750" xr:uid="{2EE14391-F621-4D7D-9EF9-71D8FCC8D63D}"/>
    <cellStyle name="Comma 26 2 2 2" xfId="22751" xr:uid="{AD33B6B0-0C8F-45CA-8AD1-29AAD7DC8339}"/>
    <cellStyle name="Comma 26 2 2 2 2" xfId="22752" xr:uid="{11067B91-8AEE-4958-9B7A-F93C390E4217}"/>
    <cellStyle name="Comma 26 2 2 2 2 2" xfId="22753" xr:uid="{A52FFA7E-17FB-47D0-BCB0-37A3C37A2B8E}"/>
    <cellStyle name="Comma 26 2 2 2 3" xfId="22754" xr:uid="{653DBDA4-8C78-4FCF-8F4B-40820E15868E}"/>
    <cellStyle name="Comma 26 2 2 3" xfId="22755" xr:uid="{4A754941-58DC-436F-8E25-B610847A70D2}"/>
    <cellStyle name="Comma 26 2 2 3 2" xfId="22756" xr:uid="{B2E1CAC8-FFD7-4031-913D-8F59E7209FE8}"/>
    <cellStyle name="Comma 26 2 2 3 2 2" xfId="22757" xr:uid="{D1CF0BBD-A295-43F7-84AC-AF267335518F}"/>
    <cellStyle name="Comma 26 2 2 3 3" xfId="22758" xr:uid="{FD2E568E-1CAE-4460-AEBE-642CBD3340B3}"/>
    <cellStyle name="Comma 26 2 2 4" xfId="22759" xr:uid="{8C810BDB-89F7-4BF6-81B1-81F4AB704C04}"/>
    <cellStyle name="Comma 26 2 2 4 2" xfId="22760" xr:uid="{2DC22772-C8F9-427C-8A1F-E168E6B915A0}"/>
    <cellStyle name="Comma 26 2 2 5" xfId="22761" xr:uid="{854C64A4-F8E5-457C-947C-B6ED77434A92}"/>
    <cellStyle name="Comma 26 2 3" xfId="22762" xr:uid="{25343EB4-5D62-49CB-9526-7D26C01B1E39}"/>
    <cellStyle name="Comma 26 2 3 2" xfId="22763" xr:uid="{03A32E18-EA40-4818-B8A9-CD8F6BF9AA9B}"/>
    <cellStyle name="Comma 26 2 3 2 2" xfId="22764" xr:uid="{003BB29E-E306-4823-A2F0-2B9C37E31A66}"/>
    <cellStyle name="Comma 26 2 3 3" xfId="22765" xr:uid="{786F64D7-15AB-4AC1-BE5E-7358C52922FB}"/>
    <cellStyle name="Comma 26 2 4" xfId="22766" xr:uid="{36684533-B79B-42A4-922C-C5E1BD630C63}"/>
    <cellStyle name="Comma 26 2 4 2" xfId="22767" xr:uid="{BA604122-F90C-496C-BBB0-3C443032EA3C}"/>
    <cellStyle name="Comma 26 2 4 2 2" xfId="22768" xr:uid="{A64899D6-B0BB-4C5D-A2BF-D26B8E5EF36F}"/>
    <cellStyle name="Comma 26 2 4 3" xfId="22769" xr:uid="{ABB23E7C-3384-4510-AB5F-FB2815279023}"/>
    <cellStyle name="Comma 26 2 5" xfId="22770" xr:uid="{9EF4F6C8-9C35-470E-93CF-10EE11F6ACB6}"/>
    <cellStyle name="Comma 26 2 5 2" xfId="22771" xr:uid="{3B5C634F-E98E-4761-B875-5CBBBECA6C8C}"/>
    <cellStyle name="Comma 26 2 6" xfId="22772" xr:uid="{8B805994-2DAD-469E-BC3D-325348F022B6}"/>
    <cellStyle name="Comma 26 3" xfId="22773" xr:uid="{CCBAD208-E6AC-4FC8-87BA-71DF0BCE7716}"/>
    <cellStyle name="Comma 26 3 2" xfId="22774" xr:uid="{C193CD8A-AD6E-4297-A6BF-67A5C8010D4B}"/>
    <cellStyle name="Comma 26 3 2 2" xfId="22775" xr:uid="{64A00D27-1762-4498-AAB7-70A71ACF2F00}"/>
    <cellStyle name="Comma 26 3 2 2 2" xfId="22776" xr:uid="{5878CBAA-5AC0-4DBB-BF34-8C6633FB83A6}"/>
    <cellStyle name="Comma 26 3 2 3" xfId="22777" xr:uid="{A823A994-FE21-490C-8C5B-E530EBC59081}"/>
    <cellStyle name="Comma 26 3 3" xfId="22778" xr:uid="{80838D09-DBEE-413A-B634-0C3AB98BAF46}"/>
    <cellStyle name="Comma 26 3 3 2" xfId="22779" xr:uid="{DDA522ED-1D58-438C-BA39-0433EA332F8F}"/>
    <cellStyle name="Comma 26 3 3 2 2" xfId="22780" xr:uid="{1B4C80F5-ED91-4201-9D34-56D27B7782FA}"/>
    <cellStyle name="Comma 26 3 3 3" xfId="22781" xr:uid="{BFFB6017-BB2C-4665-AF44-4CB233ACDFF9}"/>
    <cellStyle name="Comma 26 3 4" xfId="22782" xr:uid="{C5B1787B-B3D9-4186-BC5C-C20E88411E89}"/>
    <cellStyle name="Comma 26 3 4 2" xfId="22783" xr:uid="{BEE74EC4-58E8-47DE-8496-B78E910A1796}"/>
    <cellStyle name="Comma 26 3 5" xfId="22784" xr:uid="{ABC0BAE8-13B7-4DDB-961C-396AD48FAC8B}"/>
    <cellStyle name="Comma 26 4" xfId="22785" xr:uid="{DAC21369-1EC9-4A42-8D84-8B8BA8C295EF}"/>
    <cellStyle name="Comma 26 4 2" xfId="22786" xr:uid="{1C5DB5A5-AFD6-40FA-8110-F6B6AE29A437}"/>
    <cellStyle name="Comma 26 4 2 2" xfId="22787" xr:uid="{1C03C079-88F6-43E0-8BBE-4A51A9225936}"/>
    <cellStyle name="Comma 26 4 3" xfId="22788" xr:uid="{B16DC363-39B2-4AF2-A1A9-F21BA08EA396}"/>
    <cellStyle name="Comma 26 5" xfId="22789" xr:uid="{95958D4B-06B7-4E73-BCC0-C888C478533F}"/>
    <cellStyle name="Comma 26 5 2" xfId="22790" xr:uid="{4A0A19A2-71A2-448E-9B34-B5F48DE3D69F}"/>
    <cellStyle name="Comma 26 5 2 2" xfId="22791" xr:uid="{E3C2C7BB-04C5-4D74-9DA4-3D8DB47230CC}"/>
    <cellStyle name="Comma 26 5 3" xfId="22792" xr:uid="{73E01F1C-7B02-48F1-BD1C-416D42E17955}"/>
    <cellStyle name="Comma 26 6" xfId="22793" xr:uid="{2EAC6991-123B-4BCC-A003-24952F18F629}"/>
    <cellStyle name="Comma 26 6 2" xfId="22794" xr:uid="{797C0CDF-120B-482F-AAE0-580C2EF7C354}"/>
    <cellStyle name="Comma 26 7" xfId="38597" xr:uid="{64CC5BAA-6852-4D61-B6AE-7B514850472C}"/>
    <cellStyle name="Comma 27" xfId="22795" xr:uid="{62EC9351-4F51-4604-9796-13684A6B3F53}"/>
    <cellStyle name="Comma 27 2" xfId="22796" xr:uid="{AB829599-51B5-426B-A363-8BEBFAFD3620}"/>
    <cellStyle name="Comma 27 2 2" xfId="22797" xr:uid="{A8F93F2D-3705-44C3-B974-E57D838E1A61}"/>
    <cellStyle name="Comma 27 2 2 2" xfId="22798" xr:uid="{6919C6F2-168B-42B8-BA3A-BDBBF47A5BF6}"/>
    <cellStyle name="Comma 27 2 2 2 2" xfId="22799" xr:uid="{AE2F4F8F-67E4-4CCF-893A-E5B75C74590E}"/>
    <cellStyle name="Comma 27 2 2 3" xfId="22800" xr:uid="{646BA0F9-C8AD-4B66-98C8-F00B43D07F20}"/>
    <cellStyle name="Comma 27 2 3" xfId="22801" xr:uid="{DFE53F73-2B89-4B1F-A26C-85B3DEA6A440}"/>
    <cellStyle name="Comma 27 2 3 2" xfId="22802" xr:uid="{59DF3C51-232A-40B6-BCBB-D7F1FE64CA72}"/>
    <cellStyle name="Comma 27 2 3 2 2" xfId="22803" xr:uid="{C051FB3B-2CFC-4048-A303-DA30DD30A4CA}"/>
    <cellStyle name="Comma 27 2 3 3" xfId="22804" xr:uid="{59FB4FD4-2A23-4BAF-9F9F-6A7DAD78E02A}"/>
    <cellStyle name="Comma 27 2 4" xfId="22805" xr:uid="{CB49E181-C5E3-4794-9B75-FBB5B4D2CFF5}"/>
    <cellStyle name="Comma 27 2 4 2" xfId="22806" xr:uid="{641CF369-A594-4C52-B87D-DD3E32938BBF}"/>
    <cellStyle name="Comma 27 2 5" xfId="22807" xr:uid="{2EB7C970-FEC7-4D6C-BDBF-AD5FC1480A71}"/>
    <cellStyle name="Comma 27 3" xfId="22808" xr:uid="{156522B5-F0A7-404B-B6EB-4FA784B4D0CB}"/>
    <cellStyle name="Comma 27 3 2" xfId="22809" xr:uid="{BF818C2E-1586-4E85-B83E-AA5F9CD6CBBD}"/>
    <cellStyle name="Comma 27 3 2 2" xfId="22810" xr:uid="{1AD859E5-EF80-4C85-BE65-551D4D13C0A3}"/>
    <cellStyle name="Comma 27 3 3" xfId="22811" xr:uid="{B9B13603-B285-47D9-BE41-5279C0B63F43}"/>
    <cellStyle name="Comma 27 4" xfId="22812" xr:uid="{404DCC5B-17A3-446E-B425-7AF959E82700}"/>
    <cellStyle name="Comma 27 4 2" xfId="22813" xr:uid="{43F51F94-AE3E-48AE-B8FE-3EC62643B89D}"/>
    <cellStyle name="Comma 27 4 2 2" xfId="22814" xr:uid="{B381EE27-B4C9-4FA7-9CD7-A4ED2A1CE3F3}"/>
    <cellStyle name="Comma 27 4 3" xfId="22815" xr:uid="{582F1396-81B3-467C-A951-F0322CA53269}"/>
    <cellStyle name="Comma 27 5" xfId="22816" xr:uid="{CE495C48-8A60-4344-97BD-F49E37A0A28B}"/>
    <cellStyle name="Comma 27 5 2" xfId="22817" xr:uid="{9949EE06-3292-4869-B802-7485CDE5CFC1}"/>
    <cellStyle name="Comma 27 6" xfId="22818" xr:uid="{F1AD5D66-D18C-4DB6-825B-9752CBA87203}"/>
    <cellStyle name="Comma 27 7" xfId="38598" xr:uid="{BA30E945-3BA1-4BF7-956E-50A4C7A7BF76}"/>
    <cellStyle name="Comma 28" xfId="22819" xr:uid="{A7B4D00D-5FAA-4D15-A5DC-5BE0B21F771B}"/>
    <cellStyle name="Comma 28 2" xfId="22820" xr:uid="{38CC7422-32F2-4FA7-B4DC-0A49B0E2EF46}"/>
    <cellStyle name="Comma 28 2 2" xfId="22821" xr:uid="{E88D2708-5F2C-408F-BF38-371476651691}"/>
    <cellStyle name="Comma 28 2 2 2" xfId="22822" xr:uid="{EA622840-5DF1-47F6-8730-9784FE02B31B}"/>
    <cellStyle name="Comma 28 2 2 2 2" xfId="22823" xr:uid="{C94780CF-AE6C-485B-967D-FAFF27499D0A}"/>
    <cellStyle name="Comma 28 2 2 3" xfId="22824" xr:uid="{37A58E86-97C2-443E-B2AE-827A2B698022}"/>
    <cellStyle name="Comma 28 2 3" xfId="22825" xr:uid="{39E5040B-D22D-486E-B73B-CE6C8D4E7F87}"/>
    <cellStyle name="Comma 28 2 3 2" xfId="22826" xr:uid="{C427C1D5-73D3-4CC8-B730-C180C1D8654B}"/>
    <cellStyle name="Comma 28 2 3 2 2" xfId="22827" xr:uid="{2D691502-F228-4E12-AAD8-D68FA31D0A94}"/>
    <cellStyle name="Comma 28 2 3 3" xfId="22828" xr:uid="{A01EE717-045F-452E-B789-5D76056C9C57}"/>
    <cellStyle name="Comma 28 2 4" xfId="22829" xr:uid="{BDA67743-FA21-4FFF-8832-BEF116BB0C26}"/>
    <cellStyle name="Comma 28 2 4 2" xfId="22830" xr:uid="{038D291C-E64D-4938-AC17-B7EB7DAAAFD8}"/>
    <cellStyle name="Comma 28 2 5" xfId="22831" xr:uid="{22624FD3-05B8-4473-BED4-34BE1B563428}"/>
    <cellStyle name="Comma 28 3" xfId="22832" xr:uid="{A8473CA1-F9E2-4D9F-AA43-524333F3EEC1}"/>
    <cellStyle name="Comma 28 3 2" xfId="22833" xr:uid="{836D5957-A0D6-412F-B455-BE43999ECB99}"/>
    <cellStyle name="Comma 28 3 2 2" xfId="22834" xr:uid="{1B7F9C03-2660-4A16-A9CB-0E45DD420D05}"/>
    <cellStyle name="Comma 28 3 3" xfId="22835" xr:uid="{9199E672-05B2-4C0C-B630-9FB6BC1005D1}"/>
    <cellStyle name="Comma 28 4" xfId="22836" xr:uid="{46A7D6CC-E573-4EED-B914-4F5E9CECC50B}"/>
    <cellStyle name="Comma 28 4 2" xfId="22837" xr:uid="{B72102A1-3168-4AAB-961F-17AC0011288C}"/>
    <cellStyle name="Comma 28 4 2 2" xfId="22838" xr:uid="{7DC10612-4AEF-4C28-9DE1-F38B4EC8062D}"/>
    <cellStyle name="Comma 28 4 3" xfId="22839" xr:uid="{F902867C-2FD8-4995-A516-6A04C0C15FC3}"/>
    <cellStyle name="Comma 28 5" xfId="22840" xr:uid="{A6F49123-FD2A-4C7F-AE52-7F544964F998}"/>
    <cellStyle name="Comma 28 5 2" xfId="22841" xr:uid="{53C517E5-1F3D-4D32-8A08-A98F423E88BF}"/>
    <cellStyle name="Comma 28 6" xfId="22842" xr:uid="{A943FA3E-1E63-47EF-835A-D48F3C5D0A1A}"/>
    <cellStyle name="Comma 28 7" xfId="38599" xr:uid="{063E31A4-B90A-4C4E-8244-923320348F4D}"/>
    <cellStyle name="Comma 29" xfId="22843" xr:uid="{901D5DF9-E509-4280-B663-2F6BD45131AE}"/>
    <cellStyle name="Comma 29 2" xfId="22844" xr:uid="{868C4700-EB4D-4447-ACC5-D9F5649B20E9}"/>
    <cellStyle name="Comma 29 2 2" xfId="22845" xr:uid="{8BD55635-6B93-4E16-AA62-80EC555EC1DB}"/>
    <cellStyle name="Comma 29 2 2 2" xfId="22846" xr:uid="{F8CA4AB9-92F1-40DE-BBD6-478331147475}"/>
    <cellStyle name="Comma 29 2 2 2 2" xfId="22847" xr:uid="{3652C054-76DD-4D33-92A1-9F8B2E6B5C2F}"/>
    <cellStyle name="Comma 29 2 2 3" xfId="22848" xr:uid="{6F43B700-CF20-4A22-A89A-BAC75E239603}"/>
    <cellStyle name="Comma 29 2 3" xfId="22849" xr:uid="{BB64F135-37D4-4F16-A8A6-51DA1033F3AF}"/>
    <cellStyle name="Comma 29 2 3 2" xfId="22850" xr:uid="{0A1C4487-2CBC-4DEC-8C83-79BA835637CF}"/>
    <cellStyle name="Comma 29 2 3 2 2" xfId="22851" xr:uid="{52804373-8174-4244-806D-B69E4ACADD86}"/>
    <cellStyle name="Comma 29 2 3 3" xfId="22852" xr:uid="{6F7C6314-C583-4F21-89EB-2B38E92E5B8E}"/>
    <cellStyle name="Comma 29 2 4" xfId="22853" xr:uid="{DF7E8E3B-A752-44D4-8E73-B67B3BC0F62C}"/>
    <cellStyle name="Comma 29 2 4 2" xfId="22854" xr:uid="{2C8A4B82-1165-4B25-80C1-141AEAF6ACC4}"/>
    <cellStyle name="Comma 29 2 5" xfId="22855" xr:uid="{B55EBBC1-6E44-49AE-9AB1-4E8928353C96}"/>
    <cellStyle name="Comma 29 3" xfId="22856" xr:uid="{1DA2F0F0-EB27-48D6-A672-D1C2AC558830}"/>
    <cellStyle name="Comma 29 3 2" xfId="22857" xr:uid="{A9B58F3A-C0EB-4F68-B560-442CD4CDE1A6}"/>
    <cellStyle name="Comma 29 3 2 2" xfId="22858" xr:uid="{F5149E2A-60D5-4127-B835-953CCA565C00}"/>
    <cellStyle name="Comma 29 3 3" xfId="22859" xr:uid="{E9302B35-9A11-4284-BFC4-0FB947654358}"/>
    <cellStyle name="Comma 29 4" xfId="22860" xr:uid="{A1380606-A3E3-4CEA-B84D-6D04DF973045}"/>
    <cellStyle name="Comma 29 4 2" xfId="22861" xr:uid="{3A091C0C-B026-4B74-861F-A03E4F13C2EA}"/>
    <cellStyle name="Comma 29 4 2 2" xfId="22862" xr:uid="{C151AFA4-1328-40D4-BEAE-F632DF9641B6}"/>
    <cellStyle name="Comma 29 4 3" xfId="22863" xr:uid="{2C51C35D-E873-4EAD-A22C-EE7513E57937}"/>
    <cellStyle name="Comma 29 5" xfId="22864" xr:uid="{55D1C550-F7F7-42BA-BB65-50DAF943538B}"/>
    <cellStyle name="Comma 29 5 2" xfId="22865" xr:uid="{F0F0EB60-3E48-4734-9F64-F7D8554BF5C6}"/>
    <cellStyle name="Comma 29 6" xfId="22866" xr:uid="{FD4DF1F0-2F24-4B9F-AC6E-F0823E85F71C}"/>
    <cellStyle name="Comma 29 7" xfId="38600" xr:uid="{3D58F96E-21DD-4E38-9AB8-CA0436FBF250}"/>
    <cellStyle name="Comma 3" xfId="80" xr:uid="{546E91EB-5B80-4AD4-9C93-72351FCDCC59}"/>
    <cellStyle name="Comma 3 10" xfId="22868" xr:uid="{07694EB8-D8BA-4F07-B776-C5E398739EC8}"/>
    <cellStyle name="Comma 3 11" xfId="22869" xr:uid="{8F06B5AA-BF6C-4BB4-9B3E-5DA9CAD7D9FA}"/>
    <cellStyle name="Comma 3 12" xfId="22870" xr:uid="{DBCA86F1-6956-48A2-B68B-61D5741A4B7F}"/>
    <cellStyle name="Comma 3 12 2" xfId="22871" xr:uid="{E9A4FECD-4CF6-46DB-8209-DD573B2BF507}"/>
    <cellStyle name="Comma 3 12 2 2" xfId="22872" xr:uid="{E9DF7AFC-0575-40A7-BDD4-7F28FF99937C}"/>
    <cellStyle name="Comma 3 12 2 2 2" xfId="22873" xr:uid="{539C7EE5-AE0B-4ABB-A7C8-5D9A94875D92}"/>
    <cellStyle name="Comma 3 12 2 3" xfId="22874" xr:uid="{42DD8905-BB1E-4992-B6B9-0CF74349B92F}"/>
    <cellStyle name="Comma 3 12 3" xfId="22875" xr:uid="{7185BEB6-8384-4525-B6FF-0F7DB3AE421E}"/>
    <cellStyle name="Comma 3 12 3 2" xfId="22876" xr:uid="{491E5341-E302-4CA1-97E0-D998EFDCABA5}"/>
    <cellStyle name="Comma 3 12 3 2 2" xfId="22877" xr:uid="{0F43DAFC-7EF5-466E-8376-5830CFB481CF}"/>
    <cellStyle name="Comma 3 12 3 3" xfId="22878" xr:uid="{4AFE7D2E-F7D1-4274-BFCB-E0E120570C64}"/>
    <cellStyle name="Comma 3 12 4" xfId="22879" xr:uid="{FBB09FFB-577D-41DB-9BB0-9CF5DE11EB95}"/>
    <cellStyle name="Comma 3 12 4 2" xfId="22880" xr:uid="{357093B9-55F8-4B08-9CCD-619E0E74BEC8}"/>
    <cellStyle name="Comma 3 12 5" xfId="22881" xr:uid="{C1C80C3B-AB4F-4DCF-A4C6-400E41AA9402}"/>
    <cellStyle name="Comma 3 13" xfId="22882" xr:uid="{5DA7A5CE-FAAF-4250-B23E-1916F19E4CE1}"/>
    <cellStyle name="Comma 3 13 2" xfId="22883" xr:uid="{085C2A01-886E-4C4E-BCAE-021FE5A6601E}"/>
    <cellStyle name="Comma 3 13 2 2" xfId="22884" xr:uid="{61BA675D-7B07-4477-88F0-E6B750531A82}"/>
    <cellStyle name="Comma 3 13 3" xfId="22885" xr:uid="{46F13403-0E5F-433E-AADC-8F84E51D5CF9}"/>
    <cellStyle name="Comma 3 14" xfId="22886" xr:uid="{E3421B25-558F-4823-BE5F-9418934F0430}"/>
    <cellStyle name="Comma 3 14 2" xfId="22887" xr:uid="{462E3AAB-57F1-4A19-B641-087D39F2A0BB}"/>
    <cellStyle name="Comma 3 14 2 2" xfId="22888" xr:uid="{4D5C1CEA-BCC1-4519-B824-F348F261AF77}"/>
    <cellStyle name="Comma 3 14 3" xfId="22889" xr:uid="{B1D7FA4A-04DC-4D86-9D40-1CBB532FCA90}"/>
    <cellStyle name="Comma 3 15" xfId="22890" xr:uid="{089B4016-5F70-4405-9C22-322B22DF08ED}"/>
    <cellStyle name="Comma 3 15 2" xfId="22891" xr:uid="{4A0247B9-0A42-4F00-A25D-417B7C044C1D}"/>
    <cellStyle name="Comma 3 16" xfId="22892" xr:uid="{0B0AC4C6-D3CD-4D16-8237-9E209DA1A217}"/>
    <cellStyle name="Comma 3 17" xfId="22893" xr:uid="{1C58FDCC-99CD-47CF-AE66-4AB17771DC1E}"/>
    <cellStyle name="Comma 3 18" xfId="38601" xr:uid="{D8B94535-B0FB-4AEF-8A23-29C329BF8CDC}"/>
    <cellStyle name="Comma 3 19" xfId="22867" xr:uid="{54C1C6B8-147E-465C-9094-ABD0F07C9F2C}"/>
    <cellStyle name="Comma 3 2" xfId="131" xr:uid="{56D44CBA-A467-4B03-940A-4CE2D7F67B9B}"/>
    <cellStyle name="Comma 3 2 2" xfId="22895" xr:uid="{89695339-7931-4D04-9193-C607174EC35A}"/>
    <cellStyle name="Comma 3 2 2 2" xfId="38602" xr:uid="{48101B18-9C90-403F-AA2E-C817546B64F8}"/>
    <cellStyle name="Comma 3 2 2 2 2" xfId="38603" xr:uid="{4102CD80-B307-42FF-AA5E-270B488329AD}"/>
    <cellStyle name="Comma 3 2 2 2 2 2" xfId="38604" xr:uid="{2E4DAD44-431C-409D-953E-57FC6E5809F0}"/>
    <cellStyle name="Comma 3 2 2 2 2 2 2" xfId="38605" xr:uid="{EF3564F5-526C-43F6-9B45-6F273AE88BF5}"/>
    <cellStyle name="Comma 3 2 2 2 2 2 2 2" xfId="38606" xr:uid="{EE4E8A41-F97D-400C-A210-FA3E575DD182}"/>
    <cellStyle name="Comma 3 2 2 2 2 2 2 2 2" xfId="38607" xr:uid="{C41DC14B-EE55-4263-9591-A438B773A6E2}"/>
    <cellStyle name="Comma 3 2 2 3" xfId="38608" xr:uid="{5C79053D-FC20-45E3-A1F6-342930C504E6}"/>
    <cellStyle name="Comma 3 2 3" xfId="38609" xr:uid="{7AA4D1ED-9A02-4F85-B0B2-A5EF08BF9A1D}"/>
    <cellStyle name="Comma 3 2 4" xfId="38610" xr:uid="{613122F0-AE0C-4C37-A90A-5CA98F511F00}"/>
    <cellStyle name="Comma 3 2 5" xfId="22894" xr:uid="{0E72367B-A7AB-4D73-8655-1F2242808C13}"/>
    <cellStyle name="Comma 3 20" xfId="129" xr:uid="{B7CD4793-0BE1-4DE7-97F5-765DF48DD4E3}"/>
    <cellStyle name="Comma 3 3" xfId="22896" xr:uid="{FF9E19D4-74B5-49E8-8E90-FA1332D1808D}"/>
    <cellStyle name="Comma 3 3 2" xfId="22897" xr:uid="{50DB6568-D8CD-4AE3-B40F-26D9AF761D9C}"/>
    <cellStyle name="Comma 3 3 2 2" xfId="22898" xr:uid="{305CF4B6-CBA7-445F-9971-534C4F48EE83}"/>
    <cellStyle name="Comma 3 3 3" xfId="22899" xr:uid="{815E06FD-A8EC-49E8-9C22-AD88A80FB75D}"/>
    <cellStyle name="Comma 3 3 4" xfId="38611" xr:uid="{79396249-51C4-4159-900B-4F6BA2C64805}"/>
    <cellStyle name="Comma 3 3 5" xfId="38612" xr:uid="{CE726ABC-DE18-452A-813E-9245A3FFB381}"/>
    <cellStyle name="Comma 3 4" xfId="22900" xr:uid="{86DD9734-4BF7-4843-B890-A9B8E52125C8}"/>
    <cellStyle name="Comma 3 4 2" xfId="22901" xr:uid="{F3B7BEF0-A935-415B-9A16-DEF94888C668}"/>
    <cellStyle name="Comma 3 4 2 2" xfId="38613" xr:uid="{C598CEB0-14E4-49F3-9013-29851C729C66}"/>
    <cellStyle name="Comma 3 4 3" xfId="38614" xr:uid="{AD3C5C1F-8BB4-4B53-BBB8-6FD00A6F47A0}"/>
    <cellStyle name="Comma 3 4 4" xfId="38615" xr:uid="{4D998754-22B2-4867-BA0C-2C19C51F2AFE}"/>
    <cellStyle name="Comma 3 5" xfId="22902" xr:uid="{2D7C3942-1A2D-4E55-A50B-289F0DF89A14}"/>
    <cellStyle name="Comma 3 5 2" xfId="38616" xr:uid="{6A6EF394-C475-4012-8790-96594A9D27EC}"/>
    <cellStyle name="Comma 3 6" xfId="22903" xr:uid="{A4861A70-2CCA-4204-B937-44A6AF1123F1}"/>
    <cellStyle name="Comma 3 6 2" xfId="38617" xr:uid="{031E0790-5650-4B5C-A0A3-88FF3A783FD9}"/>
    <cellStyle name="Comma 3 6 3" xfId="38618" xr:uid="{AB57FD22-5263-44C7-9DEE-091671036B0C}"/>
    <cellStyle name="Comma 3 7" xfId="22904" xr:uid="{E0E7104E-75A5-43A1-9570-3E0D9A52F063}"/>
    <cellStyle name="Comma 3 8" xfId="22905" xr:uid="{B0EEE53B-73B2-4069-98F2-2BEF41BE7387}"/>
    <cellStyle name="Comma 3 9" xfId="22906" xr:uid="{EAC860FB-237A-4E0D-B04C-6EE097FE9726}"/>
    <cellStyle name="Comma 30" xfId="22907" xr:uid="{A57C7166-1224-4506-9DA4-823266F24955}"/>
    <cellStyle name="Comma 30 2" xfId="22908" xr:uid="{A5F76AB8-90A2-4E45-B296-AFFC9F82F1DF}"/>
    <cellStyle name="Comma 30 2 2" xfId="22909" xr:uid="{E3162E2F-95C7-4C65-A0D3-AA38D20A1EDE}"/>
    <cellStyle name="Comma 30 2 2 2" xfId="22910" xr:uid="{D1B92971-A07A-4970-8C36-F03AA375126C}"/>
    <cellStyle name="Comma 30 2 3" xfId="22911" xr:uid="{EA1F2724-1628-4473-AE11-EA9D95E55D6E}"/>
    <cellStyle name="Comma 30 3" xfId="22912" xr:uid="{FD61CFD5-7372-4E71-A804-1055CCF5FF88}"/>
    <cellStyle name="Comma 30 3 2" xfId="22913" xr:uid="{80B4D2AB-FF73-479C-BBB7-AF52CE5AB6E7}"/>
    <cellStyle name="Comma 30 3 2 2" xfId="22914" xr:uid="{9DB1246C-7DCB-4458-AF21-662C36DB1AD9}"/>
    <cellStyle name="Comma 30 3 3" xfId="22915" xr:uid="{C6AF547B-FFC6-48E6-BAFC-E7994AAB8BE3}"/>
    <cellStyle name="Comma 30 4" xfId="22916" xr:uid="{37E29B9C-842B-4311-A465-CEAD1DDAA04D}"/>
    <cellStyle name="Comma 31" xfId="22917" xr:uid="{9F6141BD-62F6-4357-A7EE-699A43E0E7C1}"/>
    <cellStyle name="Comma 31 2" xfId="22918" xr:uid="{17245526-529F-443B-B07F-3C52FB12D7BF}"/>
    <cellStyle name="Comma 31 2 2" xfId="22919" xr:uid="{6CFEFDBD-BC69-4729-8CFD-581EE7CB0884}"/>
    <cellStyle name="Comma 31 2 2 2" xfId="22920" xr:uid="{E7D031C5-82AF-4C0D-A144-E4B47C0A68F6}"/>
    <cellStyle name="Comma 31 2 2 2 2" xfId="22921" xr:uid="{CB6DA44F-8B8C-4A0D-9B37-308D32536C59}"/>
    <cellStyle name="Comma 31 2 2 3" xfId="22922" xr:uid="{487C8E83-1187-4216-A910-192A46025BDD}"/>
    <cellStyle name="Comma 31 2 3" xfId="22923" xr:uid="{42B80B5F-9BDD-44D7-855F-041B8DE7F23A}"/>
    <cellStyle name="Comma 31 2 3 2" xfId="22924" xr:uid="{0BE7A67A-C069-46BF-971D-64A3F3276D41}"/>
    <cellStyle name="Comma 31 2 3 2 2" xfId="22925" xr:uid="{4BD734F5-0C24-4F44-8193-EF37F9A69DE4}"/>
    <cellStyle name="Comma 31 2 3 3" xfId="22926" xr:uid="{A6E110B1-CE50-4F51-AA80-0C7A04B54B9C}"/>
    <cellStyle name="Comma 31 2 4" xfId="22927" xr:uid="{64666046-F98A-4222-B928-634FE5178D3E}"/>
    <cellStyle name="Comma 31 2 4 2" xfId="22928" xr:uid="{1D5C3F7D-6783-4589-A68D-B813BCDDF3D8}"/>
    <cellStyle name="Comma 31 2 5" xfId="22929" xr:uid="{FE7E24E7-6A17-4444-8B19-65B4FD9427C7}"/>
    <cellStyle name="Comma 31 3" xfId="22930" xr:uid="{CCB11F58-240B-44C2-825A-F4AA34FFA8A7}"/>
    <cellStyle name="Comma 31 3 2" xfId="22931" xr:uid="{D1FF442E-6C36-4EEB-B8A3-747D17ABF6BB}"/>
    <cellStyle name="Comma 31 3 2 2" xfId="22932" xr:uid="{8881C67A-2096-4631-AAD9-7E66708C6F95}"/>
    <cellStyle name="Comma 31 3 3" xfId="22933" xr:uid="{51793C9B-8F0B-43A2-A453-3F14B13DC09B}"/>
    <cellStyle name="Comma 31 4" xfId="22934" xr:uid="{9E7FA48B-A0FD-45A0-98A4-B0C31E2FA4E5}"/>
    <cellStyle name="Comma 31 4 2" xfId="22935" xr:uid="{7505C13C-F701-4A12-8D6C-5F977C5F8C0E}"/>
    <cellStyle name="Comma 31 4 2 2" xfId="22936" xr:uid="{7660E043-AB6B-426B-8E7D-51C21F840A3C}"/>
    <cellStyle name="Comma 31 4 3" xfId="22937" xr:uid="{BE7DCE1D-698A-49B5-A9D5-6AD456C95468}"/>
    <cellStyle name="Comma 31 5" xfId="22938" xr:uid="{EA256A47-2B16-4256-BED4-D51524AE0561}"/>
    <cellStyle name="Comma 31 5 2" xfId="22939" xr:uid="{F9E8DBF7-CD36-4403-B54D-26614D186F21}"/>
    <cellStyle name="Comma 31 6" xfId="22940" xr:uid="{C512AA72-B999-4DA5-82CB-7ED193FC77F5}"/>
    <cellStyle name="Comma 32" xfId="22941" xr:uid="{54036B9C-A3C9-42B9-B1DA-D238CFE6E0FC}"/>
    <cellStyle name="Comma 32 2" xfId="22942" xr:uid="{58AFE60D-497C-4F73-B669-64A260391664}"/>
    <cellStyle name="Comma 32 2 2" xfId="22943" xr:uid="{2DDE5D13-B7D6-4B7C-9932-7731CA935C63}"/>
    <cellStyle name="Comma 32 2 2 2" xfId="22944" xr:uid="{60572F88-2858-4CBF-8E95-F528A920E86C}"/>
    <cellStyle name="Comma 32 2 2 2 2" xfId="22945" xr:uid="{144F9B83-89E5-4E3E-976C-7DF418714C5F}"/>
    <cellStyle name="Comma 32 2 2 3" xfId="22946" xr:uid="{3A5F30DD-BE09-4D7E-8AD7-1BE492AC45E5}"/>
    <cellStyle name="Comma 32 2 3" xfId="22947" xr:uid="{8A143D45-13AC-4716-82FC-0D3683B1A7F9}"/>
    <cellStyle name="Comma 32 2 3 2" xfId="22948" xr:uid="{0851E120-8715-46CB-B392-6481A26B92CB}"/>
    <cellStyle name="Comma 32 2 3 2 2" xfId="22949" xr:uid="{04E822BA-C80A-407C-BA3B-4CBFA6E9EC17}"/>
    <cellStyle name="Comma 32 2 3 3" xfId="22950" xr:uid="{9972CEBD-5C23-40C7-B68F-B0A3E89B36B9}"/>
    <cellStyle name="Comma 32 2 4" xfId="22951" xr:uid="{9E73222B-0B31-4D82-A48E-F424DB9C7BE7}"/>
    <cellStyle name="Comma 32 2 4 2" xfId="22952" xr:uid="{E6424126-0A92-48BF-BEDE-C5DDD1C8B904}"/>
    <cellStyle name="Comma 32 2 5" xfId="22953" xr:uid="{FEC6E80C-1EAF-4331-9093-406362C873B7}"/>
    <cellStyle name="Comma 32 3" xfId="22954" xr:uid="{1732DC05-8173-427C-BC19-6B1A5F49BA0D}"/>
    <cellStyle name="Comma 32 3 2" xfId="22955" xr:uid="{6132954E-CC9A-4F5A-A922-B30683BCE35B}"/>
    <cellStyle name="Comma 32 3 2 2" xfId="22956" xr:uid="{E9297B21-3FE3-45D8-8E02-1CB63EC4FEC1}"/>
    <cellStyle name="Comma 32 3 2 2 2" xfId="22957" xr:uid="{673F5BA2-B9D6-45B5-8DE7-DB6F43ACE53B}"/>
    <cellStyle name="Comma 32 3 2 3" xfId="22958" xr:uid="{26BA78FA-C040-408F-A314-77F2DD6EE306}"/>
    <cellStyle name="Comma 32 3 3" xfId="22959" xr:uid="{4224D83F-8B8D-4178-AAB3-E488D74B8E44}"/>
    <cellStyle name="Comma 32 3 3 2" xfId="22960" xr:uid="{54CA148A-E997-4EC5-A644-F125AB1E3210}"/>
    <cellStyle name="Comma 32 3 3 2 2" xfId="22961" xr:uid="{0DFE9F65-C0E7-421C-B23B-F37FDA122321}"/>
    <cellStyle name="Comma 32 3 3 3" xfId="22962" xr:uid="{BDEF8A82-3728-4003-BCAC-C268C1B6F608}"/>
    <cellStyle name="Comma 32 3 4" xfId="22963" xr:uid="{42E665A0-0105-44CD-B9FC-39EC333EC66E}"/>
    <cellStyle name="Comma 32 3 4 2" xfId="22964" xr:uid="{DD518B68-0246-4BCB-B6C8-47C821138941}"/>
    <cellStyle name="Comma 32 3 5" xfId="22965" xr:uid="{16C89FF7-6676-4A09-BDBC-F0EB3ABA4E55}"/>
    <cellStyle name="Comma 32 4" xfId="22966" xr:uid="{B418BA1C-987C-4F05-B73E-BA64E65217E3}"/>
    <cellStyle name="Comma 32 4 2" xfId="22967" xr:uid="{CBAE84F1-C878-4F37-8747-3056DA879BF8}"/>
    <cellStyle name="Comma 32 4 2 2" xfId="22968" xr:uid="{77BF10FE-4960-43A3-AD42-6889FE1A902A}"/>
    <cellStyle name="Comma 32 4 3" xfId="22969" xr:uid="{EBD02665-0FB0-4DA7-A964-A726F1E97ECA}"/>
    <cellStyle name="Comma 32 5" xfId="22970" xr:uid="{55226B49-B89C-4190-89EE-51B5A0302E12}"/>
    <cellStyle name="Comma 32 5 2" xfId="22971" xr:uid="{9D28D665-CBDD-4F9A-81AC-21A5090A0939}"/>
    <cellStyle name="Comma 32 5 2 2" xfId="22972" xr:uid="{9B2DC69F-582C-462C-8B56-CB2E8D25EB28}"/>
    <cellStyle name="Comma 32 5 3" xfId="22973" xr:uid="{AFA8FD70-49F7-4C48-89D6-190E6D9A58BB}"/>
    <cellStyle name="Comma 32 6" xfId="22974" xr:uid="{6E3CFA31-A9CF-49BE-9C28-FD5CED0123B3}"/>
    <cellStyle name="Comma 32 6 2" xfId="22975" xr:uid="{C4F9A8FD-BEF3-4F4E-8CCF-7C372A21CCA2}"/>
    <cellStyle name="Comma 32 7" xfId="22976" xr:uid="{F532E854-0382-4D75-915D-ED5670225855}"/>
    <cellStyle name="Comma 33" xfId="22977" xr:uid="{4060C849-F129-4797-80B0-D25725947A8E}"/>
    <cellStyle name="Comma 33 2" xfId="22978" xr:uid="{249F45D3-0610-4FB9-98F9-9FB71C40B0BA}"/>
    <cellStyle name="Comma 33 2 2" xfId="22979" xr:uid="{5F222252-1D65-48CB-87BD-1C7BFEED5289}"/>
    <cellStyle name="Comma 33 2 2 2" xfId="22980" xr:uid="{D28C6761-6F84-455F-A225-15242E3A7DB7}"/>
    <cellStyle name="Comma 33 2 2 2 2" xfId="22981" xr:uid="{AFFED2E1-CB6E-42F7-BDF0-F78620841996}"/>
    <cellStyle name="Comma 33 2 2 2 2 2" xfId="22982" xr:uid="{33FBD07C-171E-4F89-B397-7D96A03271B8}"/>
    <cellStyle name="Comma 33 2 2 2 3" xfId="22983" xr:uid="{DF5051C5-BD2A-4CBD-8223-D81E90004EE5}"/>
    <cellStyle name="Comma 33 2 2 3" xfId="22984" xr:uid="{36EEA808-E24F-4886-93C3-8FE79D09BD25}"/>
    <cellStyle name="Comma 33 2 2 3 2" xfId="22985" xr:uid="{530BD1D1-BAA2-4435-A9AD-BB88BE10EBE1}"/>
    <cellStyle name="Comma 33 2 2 3 2 2" xfId="22986" xr:uid="{372784CC-ABA8-42B7-8756-5E10717E82A5}"/>
    <cellStyle name="Comma 33 2 2 3 3" xfId="22987" xr:uid="{5384C0F0-964A-436F-BD6A-4487CD9871BF}"/>
    <cellStyle name="Comma 33 2 2 4" xfId="22988" xr:uid="{26764C23-4CB1-4E01-922D-F6416F5F10E1}"/>
    <cellStyle name="Comma 33 2 2 4 2" xfId="22989" xr:uid="{1C93F46B-97F1-4A86-92C9-142C02310026}"/>
    <cellStyle name="Comma 33 2 2 5" xfId="22990" xr:uid="{95A8E733-DE53-445E-99E5-582D519B8E36}"/>
    <cellStyle name="Comma 33 2 3" xfId="22991" xr:uid="{129E28AC-5FA5-4C46-9E7C-468F87097C58}"/>
    <cellStyle name="Comma 33 2 3 2" xfId="22992" xr:uid="{90F7F249-5709-4E1A-84C8-4ED060AE26B6}"/>
    <cellStyle name="Comma 33 2 3 2 2" xfId="22993" xr:uid="{C3734C40-0E19-4EB9-A85F-1864448CD942}"/>
    <cellStyle name="Comma 33 2 3 2 2 2" xfId="22994" xr:uid="{2AA80DBE-D9AE-4F3E-AD18-06CE477B15AB}"/>
    <cellStyle name="Comma 33 2 3 2 3" xfId="22995" xr:uid="{6481278A-FDBA-4218-AB35-B27C57A0513D}"/>
    <cellStyle name="Comma 33 2 3 3" xfId="22996" xr:uid="{B47599C0-8CC0-4D90-B658-2DF9152AB1C1}"/>
    <cellStyle name="Comma 33 2 3 3 2" xfId="22997" xr:uid="{99AE3C5E-43C9-4882-B3EB-7B206526BE13}"/>
    <cellStyle name="Comma 33 2 3 3 2 2" xfId="22998" xr:uid="{B62B71C5-415E-4F33-ACCA-25213CB6E1A4}"/>
    <cellStyle name="Comma 33 2 3 3 3" xfId="22999" xr:uid="{31528C4B-F650-4569-9CE8-CBFB6940AF0E}"/>
    <cellStyle name="Comma 33 2 3 4" xfId="23000" xr:uid="{726814CF-DC0C-4A89-BA93-EF24E75586B3}"/>
    <cellStyle name="Comma 33 2 3 4 2" xfId="23001" xr:uid="{31EFA168-8DC1-45C0-9F2A-C8C92F2AE4B2}"/>
    <cellStyle name="Comma 33 2 3 5" xfId="23002" xr:uid="{49D4E8B5-6C20-46EB-B8AD-9122A8DEB585}"/>
    <cellStyle name="Comma 33 2 4" xfId="23003" xr:uid="{DD69FB4D-12D2-446E-8555-2D1C7F6A98CB}"/>
    <cellStyle name="Comma 33 2 4 2" xfId="23004" xr:uid="{2F8ABBEE-7D2D-4846-94EF-389DF72AC447}"/>
    <cellStyle name="Comma 33 2 4 2 2" xfId="23005" xr:uid="{A0648B80-9224-40CB-9435-3F10D730A3C3}"/>
    <cellStyle name="Comma 33 2 4 3" xfId="23006" xr:uid="{DD9C15E9-B1FF-47E3-A1E6-2926F1D42F0B}"/>
    <cellStyle name="Comma 33 2 5" xfId="23007" xr:uid="{695D15B5-F30E-4732-A56D-F17A9F1F9ABB}"/>
    <cellStyle name="Comma 33 2 5 2" xfId="23008" xr:uid="{0C4C2A3D-DF3B-4006-89A4-7773803822E6}"/>
    <cellStyle name="Comma 33 2 5 2 2" xfId="23009" xr:uid="{308214C8-9871-430B-8BFC-1479A7E152C3}"/>
    <cellStyle name="Comma 33 2 5 3" xfId="23010" xr:uid="{824E8DCF-A352-4E55-9306-D3B06A8E873B}"/>
    <cellStyle name="Comma 33 2 6" xfId="23011" xr:uid="{B026C1CC-D517-4AE7-82A8-EB69FA8850BC}"/>
    <cellStyle name="Comma 33 2 6 2" xfId="23012" xr:uid="{A4531494-EBC2-45FD-A681-547BBB54981D}"/>
    <cellStyle name="Comma 33 2 7" xfId="23013" xr:uid="{3F5C7B5B-8EEE-4E46-9B19-56E06D91ACA5}"/>
    <cellStyle name="Comma 33 3" xfId="23014" xr:uid="{46334482-6EFB-477B-81A4-7B10F980542F}"/>
    <cellStyle name="Comma 33 3 2" xfId="23015" xr:uid="{C2AA2770-7927-415E-A800-913C1A56C1BA}"/>
    <cellStyle name="Comma 33 3 2 2" xfId="23016" xr:uid="{61CFA1EE-3475-47A5-A6EB-33A0ED57B7E7}"/>
    <cellStyle name="Comma 33 3 2 2 2" xfId="23017" xr:uid="{7EC67B4A-8BDF-4FEB-975D-4DD48D76DEB5}"/>
    <cellStyle name="Comma 33 3 2 3" xfId="23018" xr:uid="{AE139709-B614-4E27-9DAE-A26516919A57}"/>
    <cellStyle name="Comma 33 3 3" xfId="23019" xr:uid="{73F8C20C-1A57-4545-B7C0-7C96D6D8CA71}"/>
    <cellStyle name="Comma 33 3 3 2" xfId="23020" xr:uid="{8E353EB8-AD1E-455A-BF19-EB003E639415}"/>
    <cellStyle name="Comma 33 3 3 2 2" xfId="23021" xr:uid="{27037BA3-3396-48C6-9BAD-FDFBF958A401}"/>
    <cellStyle name="Comma 33 3 3 3" xfId="23022" xr:uid="{DA66D90D-A15B-479E-9079-014F272F92D2}"/>
    <cellStyle name="Comma 33 3 4" xfId="23023" xr:uid="{6663BDE5-F69F-4389-8D79-7614B52681AE}"/>
    <cellStyle name="Comma 33 3 4 2" xfId="23024" xr:uid="{89E07013-82A5-450B-A5AD-C18C37B85D66}"/>
    <cellStyle name="Comma 33 3 5" xfId="23025" xr:uid="{EA8F60C6-DE92-40E8-8643-0F13AE6B3CC1}"/>
    <cellStyle name="Comma 33 4" xfId="23026" xr:uid="{1F728981-BA9F-4892-B6C2-D9E20DF719E4}"/>
    <cellStyle name="Comma 33 4 2" xfId="23027" xr:uid="{A2950F83-A66D-44E6-82A8-6032F9034A58}"/>
    <cellStyle name="Comma 33 4 2 2" xfId="23028" xr:uid="{52348266-1AC8-4AD3-86F8-BD3F05EF6B58}"/>
    <cellStyle name="Comma 33 4 3" xfId="23029" xr:uid="{663D5080-2996-449C-B1BA-8FD6CD57A51C}"/>
    <cellStyle name="Comma 33 5" xfId="23030" xr:uid="{40F5B60F-70D8-411E-A586-C95BA8EBD6E0}"/>
    <cellStyle name="Comma 33 5 2" xfId="23031" xr:uid="{ED1ED908-FBE1-477F-98FC-41133AE65B17}"/>
    <cellStyle name="Comma 33 5 2 2" xfId="23032" xr:uid="{9B3DE577-190E-43C4-953C-A4F888A715F3}"/>
    <cellStyle name="Comma 33 5 3" xfId="23033" xr:uid="{DE2A1E4B-8F03-42F7-BD60-3D7C8DC838E7}"/>
    <cellStyle name="Comma 33 6" xfId="23034" xr:uid="{02C44271-6187-4267-9211-5CA3010E64A5}"/>
    <cellStyle name="Comma 33 6 2" xfId="23035" xr:uid="{1B0ACC2F-07C3-41D2-831F-919124C8ED84}"/>
    <cellStyle name="Comma 33 7" xfId="23036" xr:uid="{EB402425-3B53-4228-B6D5-8AC8BDF8358A}"/>
    <cellStyle name="Comma 34" xfId="23037" xr:uid="{887C8DE1-A8B2-4D3F-99B3-B70BD8243F18}"/>
    <cellStyle name="Comma 34 2" xfId="23038" xr:uid="{89A5FFD3-383E-47D1-AFFD-50F8C9DE83C5}"/>
    <cellStyle name="Comma 34 2 2" xfId="23039" xr:uid="{D92F5222-38B9-4F57-ADCE-822FE4DB719E}"/>
    <cellStyle name="Comma 34 3" xfId="23040" xr:uid="{75A85A0F-C0AD-4F0B-832C-DD28136F7F38}"/>
    <cellStyle name="Comma 34 3 2" xfId="23041" xr:uid="{0A04A1E8-DFA1-4FA0-95F9-6E6C1E989FDC}"/>
    <cellStyle name="Comma 34 4" xfId="23042" xr:uid="{AA528469-5499-46B6-9CC3-8897EB19152F}"/>
    <cellStyle name="Comma 35" xfId="23043" xr:uid="{7F909031-E2BA-43C1-B401-EB5360216644}"/>
    <cellStyle name="Comma 35 2" xfId="23044" xr:uid="{FCDCC7B9-43AD-4FD8-A74F-69190C42320D}"/>
    <cellStyle name="Comma 35 2 2" xfId="23045" xr:uid="{E6795D58-A143-458C-9050-55C661A5E894}"/>
    <cellStyle name="Comma 35 2 2 2" xfId="23046" xr:uid="{839D06FD-125B-48EC-B229-570E9F7AC232}"/>
    <cellStyle name="Comma 35 2 2 2 2" xfId="23047" xr:uid="{83DA7D62-F181-428E-99ED-E2AB6326DBBE}"/>
    <cellStyle name="Comma 35 2 2 3" xfId="23048" xr:uid="{AE8DEF9B-8405-4C67-B522-DC86008D9CB4}"/>
    <cellStyle name="Comma 35 2 3" xfId="23049" xr:uid="{87CE7AB0-55F7-4F5E-A6A4-AC6CCF9A7D0C}"/>
    <cellStyle name="Comma 35 2 3 2" xfId="23050" xr:uid="{6E5FACBE-647A-46A6-BCC8-92848C3391D9}"/>
    <cellStyle name="Comma 35 2 3 2 2" xfId="23051" xr:uid="{9C707B55-8B3B-4CD3-B177-AA508A17B385}"/>
    <cellStyle name="Comma 35 2 3 3" xfId="23052" xr:uid="{CDE0B28D-C850-41E6-B470-260E6905E8BE}"/>
    <cellStyle name="Comma 35 2 4" xfId="23053" xr:uid="{15185207-61B1-4DB6-9E73-6F1522F3B7BD}"/>
    <cellStyle name="Comma 35 2 4 2" xfId="23054" xr:uid="{D5B1FBF9-803B-4219-86E1-60F29BF807D6}"/>
    <cellStyle name="Comma 35 2 5" xfId="23055" xr:uid="{331604C0-E38B-44F7-B9B9-1CA7BECA338F}"/>
    <cellStyle name="Comma 35 3" xfId="23056" xr:uid="{52A771A1-9807-4C37-9375-2D26A8AEF952}"/>
    <cellStyle name="Comma 35 3 2" xfId="23057" xr:uid="{74BD8A08-46D3-4ABE-A0A6-10800DEC6225}"/>
    <cellStyle name="Comma 35 3 2 2" xfId="23058" xr:uid="{8E5102B3-0B8B-48C9-8064-2616B1EC31A2}"/>
    <cellStyle name="Comma 35 3 2 2 2" xfId="23059" xr:uid="{D170BDEA-957D-452C-8138-2A01DA90C1F6}"/>
    <cellStyle name="Comma 35 3 2 3" xfId="23060" xr:uid="{96211CC6-6D90-475F-8090-55175A41D2EF}"/>
    <cellStyle name="Comma 35 3 3" xfId="23061" xr:uid="{13698939-7A5F-48DE-8385-D70FBD14E9B3}"/>
    <cellStyle name="Comma 35 3 3 2" xfId="23062" xr:uid="{FACFFA28-DBD3-4334-9C09-93E004282EFF}"/>
    <cellStyle name="Comma 35 3 3 2 2" xfId="23063" xr:uid="{455C9EF1-74DD-47A4-A9EA-2D7C0C4550BD}"/>
    <cellStyle name="Comma 35 3 3 3" xfId="23064" xr:uid="{659F3B73-4E80-46B7-94E6-6D58E7CE6DB2}"/>
    <cellStyle name="Comma 35 3 4" xfId="23065" xr:uid="{1534BB42-D9ED-4D78-9BC2-F08739AA5373}"/>
    <cellStyle name="Comma 35 3 4 2" xfId="23066" xr:uid="{44F6204E-E32B-41CA-B7BB-15DA185B0036}"/>
    <cellStyle name="Comma 35 3 5" xfId="23067" xr:uid="{AC9B100B-8DCA-4C4F-B5A3-5D40431A5A93}"/>
    <cellStyle name="Comma 35 4" xfId="23068" xr:uid="{29E7513C-8184-4700-B506-A95E9FCD50F6}"/>
    <cellStyle name="Comma 35 4 2" xfId="23069" xr:uid="{C7863CF1-D956-48EF-847B-A5694BF260B7}"/>
    <cellStyle name="Comma 35 4 2 2" xfId="23070" xr:uid="{6A4CC135-C1E2-4B54-91B1-6942B7C8A5DA}"/>
    <cellStyle name="Comma 35 4 2 2 2" xfId="23071" xr:uid="{2764151F-6AA1-40EE-90C3-D0E5504C422F}"/>
    <cellStyle name="Comma 35 4 2 3" xfId="23072" xr:uid="{AF6007DC-063D-4A27-B1D9-9AD6D1BFCF90}"/>
    <cellStyle name="Comma 35 4 3" xfId="23073" xr:uid="{2DEB3036-61BA-4052-A284-15ADA143AC13}"/>
    <cellStyle name="Comma 35 4 3 2" xfId="23074" xr:uid="{1A349443-ECE8-49A6-998A-67A348E698A9}"/>
    <cellStyle name="Comma 35 4 3 2 2" xfId="23075" xr:uid="{DF3041A8-0D73-4C58-B80F-E86370C7B243}"/>
    <cellStyle name="Comma 35 4 3 3" xfId="23076" xr:uid="{F83488E7-FC4C-4234-AFA6-040D9D5FE3FB}"/>
    <cellStyle name="Comma 35 4 4" xfId="23077" xr:uid="{B176F28B-6C67-401F-9A7F-2C47C539297C}"/>
    <cellStyle name="Comma 35 4 4 2" xfId="23078" xr:uid="{77D5823D-8B67-4DA0-A245-D27CFD7FBEB5}"/>
    <cellStyle name="Comma 35 4 5" xfId="23079" xr:uid="{6DB66CF0-E4E6-410B-9141-F882250D7561}"/>
    <cellStyle name="Comma 35 5" xfId="23080" xr:uid="{2EDBBBEA-EF11-4A15-BDE8-FD4AE2F3FFF1}"/>
    <cellStyle name="Comma 35 5 2" xfId="23081" xr:uid="{47069A03-4C76-46C7-AF4F-A77E11BE8B80}"/>
    <cellStyle name="Comma 35 5 2 2" xfId="23082" xr:uid="{261AA6B9-BCAD-47BD-8E5B-CAE491EBAC16}"/>
    <cellStyle name="Comma 35 5 3" xfId="23083" xr:uid="{15792AE3-75C6-4356-ABAC-591E5964CDA3}"/>
    <cellStyle name="Comma 35 6" xfId="23084" xr:uid="{034BD7E9-AA68-43FE-B15D-64F75E5C2051}"/>
    <cellStyle name="Comma 35 6 2" xfId="23085" xr:uid="{E34C67E3-9EB8-4A73-BCDB-8795CEA08784}"/>
    <cellStyle name="Comma 35 6 2 2" xfId="23086" xr:uid="{D86A6E0D-73F8-459D-8A7E-7DB98D859520}"/>
    <cellStyle name="Comma 35 6 3" xfId="23087" xr:uid="{01A3160D-B5F5-4F67-B842-F0D5F6D3AB94}"/>
    <cellStyle name="Comma 35 7" xfId="23088" xr:uid="{ECD06C4C-616E-468C-B436-69DF160BA819}"/>
    <cellStyle name="Comma 35 7 2" xfId="23089" xr:uid="{B89D88C1-B4A3-4B7B-AEF6-AB7A15BC26A0}"/>
    <cellStyle name="Comma 35 8" xfId="23090" xr:uid="{5BDEF90C-5B99-4701-A951-253A4E36BBF6}"/>
    <cellStyle name="Comma 36" xfId="23091" xr:uid="{9C4F98D6-CF08-407F-B02F-C5E377C22661}"/>
    <cellStyle name="Comma 37" xfId="23092" xr:uid="{02AA284C-44C1-4AF5-834F-905AABA51117}"/>
    <cellStyle name="Comma 37 2" xfId="23093" xr:uid="{E7C50BB4-1592-4ECA-AECF-F718E0D4A3B8}"/>
    <cellStyle name="Comma 37 2 2" xfId="23094" xr:uid="{585A453C-673C-4E6E-914B-678903F2B258}"/>
    <cellStyle name="Comma 37 2 2 2" xfId="23095" xr:uid="{A4CE6CC4-5A89-4766-A876-DCE58CE6ACBC}"/>
    <cellStyle name="Comma 37 2 3" xfId="23096" xr:uid="{16AFC1EE-DD91-4B64-887F-FAD5E9FBE21F}"/>
    <cellStyle name="Comma 37 3" xfId="23097" xr:uid="{E3CDCBEB-51BD-4383-93FF-A21F1E7E7F7D}"/>
    <cellStyle name="Comma 37 3 2" xfId="23098" xr:uid="{08C993D1-5F4D-4EF0-8DCD-6C7A7989F81A}"/>
    <cellStyle name="Comma 37 3 2 2" xfId="23099" xr:uid="{56520C7B-0606-4EA6-89A8-670169A7D0CC}"/>
    <cellStyle name="Comma 37 3 3" xfId="23100" xr:uid="{53BCABE7-4AA6-47AA-9A52-BDA819A3553C}"/>
    <cellStyle name="Comma 37 4" xfId="23101" xr:uid="{5FA2BE58-5705-4149-9ACA-E0D5D4C2A7F5}"/>
    <cellStyle name="Comma 37 4 2" xfId="23102" xr:uid="{58256E84-8482-436C-B9D3-9358B5539B79}"/>
    <cellStyle name="Comma 37 5" xfId="23103" xr:uid="{94ACAE40-4185-4A15-A85B-EC9FFDBFB3FF}"/>
    <cellStyle name="Comma 38" xfId="23104" xr:uid="{73D4F484-8A9E-49F1-9002-608B3BA87968}"/>
    <cellStyle name="Comma 38 2" xfId="23105" xr:uid="{C72F4EF2-C1BB-4AE4-9880-C9216E8FA5FF}"/>
    <cellStyle name="Comma 38 2 2" xfId="23106" xr:uid="{FE96EA39-D5C7-485C-97B7-E0B28A6DAA12}"/>
    <cellStyle name="Comma 38 2 2 2" xfId="23107" xr:uid="{D15705D7-4122-4B4E-A5E1-C6CC8DE67ECE}"/>
    <cellStyle name="Comma 38 2 3" xfId="23108" xr:uid="{25F1BC71-C1F2-44ED-B6B3-9A2D1DDC7273}"/>
    <cellStyle name="Comma 38 3" xfId="23109" xr:uid="{C292422E-9C07-4BFA-A46E-63D04E1F9A1B}"/>
    <cellStyle name="Comma 38 3 2" xfId="23110" xr:uid="{6AABF3B7-0FA2-465F-8C96-0934EC2AFEAE}"/>
    <cellStyle name="Comma 38 3 2 2" xfId="23111" xr:uid="{5ED844A6-4551-4347-9C95-60A27ECDB654}"/>
    <cellStyle name="Comma 38 3 3" xfId="23112" xr:uid="{48D05D8D-E485-446E-BA1D-F3D6989E2A8E}"/>
    <cellStyle name="Comma 38 4" xfId="23113" xr:uid="{8381E59B-684B-4D16-99A0-A9D1B19FB4E9}"/>
    <cellStyle name="Comma 38 4 2" xfId="23114" xr:uid="{F8C8003A-65F3-47A3-9F12-C85828C5EA2A}"/>
    <cellStyle name="Comma 38 5" xfId="23115" xr:uid="{3B8B7D7F-CBAA-40E3-927C-C62602D0657B}"/>
    <cellStyle name="Comma 39" xfId="23116" xr:uid="{1DFC6CB3-58CA-4587-8BA7-FF55FE6D2F61}"/>
    <cellStyle name="Comma 39 2" xfId="23117" xr:uid="{133B6B78-2D87-435C-9C53-17750DE33CDC}"/>
    <cellStyle name="Comma 39 2 2" xfId="23118" xr:uid="{0D3CBBA5-4852-4C2F-8258-CD4E17FADA97}"/>
    <cellStyle name="Comma 39 2 2 2" xfId="23119" xr:uid="{0B47FC85-925F-4BFF-80EE-ACF4191EB574}"/>
    <cellStyle name="Comma 39 2 3" xfId="23120" xr:uid="{B49BFAFA-3D98-47FA-A1EB-9154CEC0BE45}"/>
    <cellStyle name="Comma 39 3" xfId="23121" xr:uid="{2C3D765B-B840-4687-AEE4-2ADFABE9F04C}"/>
    <cellStyle name="Comma 39 3 2" xfId="23122" xr:uid="{DBC6D4E0-DF48-4C64-9F28-C515C084E74E}"/>
    <cellStyle name="Comma 39 3 2 2" xfId="23123" xr:uid="{4E7B8373-42E8-48AD-99CC-1144BF71FA09}"/>
    <cellStyle name="Comma 39 3 3" xfId="23124" xr:uid="{5F0BCB7E-DFCD-4DE7-AC5D-0C6756A1ECE0}"/>
    <cellStyle name="Comma 39 4" xfId="23125" xr:uid="{04A2E261-DB9E-45BF-B813-87279381931C}"/>
    <cellStyle name="Comma 39 4 2" xfId="23126" xr:uid="{765C30AD-A89F-4BB3-80E2-48A3072A2C1F}"/>
    <cellStyle name="Comma 39 5" xfId="23127" xr:uid="{FFAC3465-8E49-4B1A-B7E6-487246A0A010}"/>
    <cellStyle name="Comma 4" xfId="132" xr:uid="{DAED6D91-CAED-4537-9E0D-F98AE4BE6C6C}"/>
    <cellStyle name="Comma 4 10" xfId="23129" xr:uid="{1EE5DFF9-3AFF-4F6A-B5AB-27110E9610E2}"/>
    <cellStyle name="Comma 4 11" xfId="23130" xr:uid="{C6DED1D0-53F9-409E-88FC-B545187E3807}"/>
    <cellStyle name="Comma 4 12" xfId="23131" xr:uid="{41ADF46B-CDAB-43EE-A642-28C00F8331A6}"/>
    <cellStyle name="Comma 4 12 2" xfId="23132" xr:uid="{28BACE95-E46F-4804-93EA-4441672D0BAB}"/>
    <cellStyle name="Comma 4 12 2 2" xfId="23133" xr:uid="{3B5F56E9-120F-426F-A267-8E349D899D7B}"/>
    <cellStyle name="Comma 4 12 2 2 2" xfId="23134" xr:uid="{53AC2B11-AD66-4A55-AE18-E05C3650D422}"/>
    <cellStyle name="Comma 4 12 2 3" xfId="23135" xr:uid="{EBCEDE96-B833-42AC-A75D-C2B014BAA09C}"/>
    <cellStyle name="Comma 4 12 3" xfId="23136" xr:uid="{20A4D8CF-F3B3-4EBE-9990-7185FFE0B6A3}"/>
    <cellStyle name="Comma 4 12 3 2" xfId="23137" xr:uid="{710392AD-9AE7-4457-A71E-388060D4F8E9}"/>
    <cellStyle name="Comma 4 12 3 2 2" xfId="23138" xr:uid="{DAC9114B-9408-4462-AC7C-49ECBCD77923}"/>
    <cellStyle name="Comma 4 12 3 3" xfId="23139" xr:uid="{0EA4B007-AC90-4743-8883-C39A2A654A02}"/>
    <cellStyle name="Comma 4 12 4" xfId="23140" xr:uid="{FDFAACEE-2C58-4FD1-B490-444F46EEDEA3}"/>
    <cellStyle name="Comma 4 12 4 2" xfId="23141" xr:uid="{EFB50294-B46B-4AB8-8AA0-FD01C0B68838}"/>
    <cellStyle name="Comma 4 12 5" xfId="23142" xr:uid="{A9E7F37D-8C44-40EE-A56D-83653FF39CE5}"/>
    <cellStyle name="Comma 4 13" xfId="23143" xr:uid="{AB43AE2E-F197-4F97-8556-7467BB99A8B0}"/>
    <cellStyle name="Comma 4 13 2" xfId="23144" xr:uid="{82E38D89-4AE9-4A19-AC46-2F3FEB4D8D67}"/>
    <cellStyle name="Comma 4 13 2 2" xfId="23145" xr:uid="{C5D60E28-10F2-4C48-8B98-9C58E93B7B2A}"/>
    <cellStyle name="Comma 4 13 3" xfId="23146" xr:uid="{614CBB93-C21A-4B2D-A480-65B2E29939BA}"/>
    <cellStyle name="Comma 4 14" xfId="23147" xr:uid="{3DE1EADE-57A2-49E5-BEA8-3B381B68737E}"/>
    <cellStyle name="Comma 4 14 2" xfId="23148" xr:uid="{99F9BDDB-9ACF-4D30-8318-2403B91B50F2}"/>
    <cellStyle name="Comma 4 14 2 2" xfId="23149" xr:uid="{A9A57894-9DFE-44C1-B038-054614ED8DF6}"/>
    <cellStyle name="Comma 4 14 3" xfId="23150" xr:uid="{73ED0076-80E1-4AD3-872E-C52647E25D68}"/>
    <cellStyle name="Comma 4 15" xfId="23151" xr:uid="{4B236FEB-057A-4746-A685-F28554CDB82A}"/>
    <cellStyle name="Comma 4 15 2" xfId="23152" xr:uid="{5BF35524-5BC0-4D1E-816E-987D00BD4D1C}"/>
    <cellStyle name="Comma 4 16" xfId="23153" xr:uid="{0427DB60-D263-4A85-BA70-DD2C55DBDA70}"/>
    <cellStyle name="Comma 4 17" xfId="23154" xr:uid="{DA948BD6-BF33-406E-A178-FD1118F1F669}"/>
    <cellStyle name="Comma 4 18" xfId="38619" xr:uid="{092C5917-2459-488A-9BEF-A44D0C2DA7B3}"/>
    <cellStyle name="Comma 4 19" xfId="23128" xr:uid="{FDA9F762-FE42-47D9-B017-892020ACA943}"/>
    <cellStyle name="Comma 4 2" xfId="23155" xr:uid="{0CC9AB50-55EF-4173-83EB-EACE6EE1E704}"/>
    <cellStyle name="Comma 4 2 2" xfId="23156" xr:uid="{5ED11916-E995-475F-AFD9-793EDA78B3E7}"/>
    <cellStyle name="Comma 4 2 2 2" xfId="23157" xr:uid="{9120D79C-53E5-4AB8-978E-EEBE0A6CF607}"/>
    <cellStyle name="Comma 4 2 2 3" xfId="38620" xr:uid="{08340922-C031-4ECC-A2CE-656669CB74D5}"/>
    <cellStyle name="Comma 4 2 3" xfId="23158" xr:uid="{69D36F60-33FA-4AEE-91EC-39811F4E89C0}"/>
    <cellStyle name="Comma 4 2 3 2" xfId="38621" xr:uid="{A9AC62C9-F676-4AC0-ACB0-A971A7686540}"/>
    <cellStyle name="Comma 4 2 4" xfId="38622" xr:uid="{585C62B9-87AE-4848-BCDE-F423505557F9}"/>
    <cellStyle name="Comma 4 3" xfId="23159" xr:uid="{D19BC924-51C2-4659-B513-2A1F4CAC50B1}"/>
    <cellStyle name="Comma 4 3 2" xfId="23160" xr:uid="{45F4F0AE-8392-4C2E-A946-BB653E00B2B2}"/>
    <cellStyle name="Comma 4 3 2 2" xfId="23161" xr:uid="{AB616612-13BE-44F7-B7C8-CA673403805D}"/>
    <cellStyle name="Comma 4 3 2 3" xfId="38623" xr:uid="{8AA5EC6E-C606-444C-85DC-EB32D7ACDE72}"/>
    <cellStyle name="Comma 4 3 3" xfId="23162" xr:uid="{CB3085B0-84CA-44C2-AC00-C9CCBCD1B070}"/>
    <cellStyle name="Comma 4 3 3 2" xfId="23163" xr:uid="{411B0597-4D44-44F0-8239-6076F5301C69}"/>
    <cellStyle name="Comma 4 3 4" xfId="23164" xr:uid="{B281F077-12CA-4D57-9EE6-BCF06553259E}"/>
    <cellStyle name="Comma 4 3 5" xfId="38624" xr:uid="{191A7993-9FAA-43A3-A1BF-2E2E57AAFDC4}"/>
    <cellStyle name="Comma 4 4" xfId="23165" xr:uid="{9B2B7C0D-0477-404C-9C2B-974E507D9A33}"/>
    <cellStyle name="Comma 4 4 2" xfId="38625" xr:uid="{2E8C0B3D-36C5-44C5-BE2C-F4B286B9B113}"/>
    <cellStyle name="Comma 4 5" xfId="23166" xr:uid="{A442A781-B61E-4B6E-99F8-3EFFEA967EA8}"/>
    <cellStyle name="Comma 4 6" xfId="23167" xr:uid="{DE549B1C-A77E-4C5D-A34C-46A11BCC177E}"/>
    <cellStyle name="Comma 4 7" xfId="23168" xr:uid="{F4448296-3570-4725-9F23-16BC8670A8B2}"/>
    <cellStyle name="Comma 4 8" xfId="23169" xr:uid="{84727DF5-4B96-47E6-86F7-CD4B90032C5C}"/>
    <cellStyle name="Comma 4 9" xfId="23170" xr:uid="{120CE8FD-D88A-4669-8CFB-8206C47F94FD}"/>
    <cellStyle name="Comma 40" xfId="23171" xr:uid="{B2FEB448-CD95-4B0E-A754-4B2B3DE71993}"/>
    <cellStyle name="Comma 40 2" xfId="23172" xr:uid="{2006A413-526A-4ACE-AA00-D0C3C1B00750}"/>
    <cellStyle name="Comma 40 2 2" xfId="23173" xr:uid="{328C1195-53C0-4423-8684-5579009CE73B}"/>
    <cellStyle name="Comma 40 2 2 2" xfId="23174" xr:uid="{663C8AFD-738E-4F50-BBFE-724FED1679C4}"/>
    <cellStyle name="Comma 40 2 3" xfId="23175" xr:uid="{A67880B9-2E82-4BC1-8B73-67C90F7C7C62}"/>
    <cellStyle name="Comma 40 3" xfId="23176" xr:uid="{0197292B-5EA5-4142-92B5-634A80B2B2E7}"/>
    <cellStyle name="Comma 40 3 2" xfId="23177" xr:uid="{3E437870-A177-4316-BBDD-F87BBA43FD2D}"/>
    <cellStyle name="Comma 40 3 2 2" xfId="23178" xr:uid="{A91D885C-24D1-425F-B5FD-705CC436D709}"/>
    <cellStyle name="Comma 40 3 3" xfId="23179" xr:uid="{E8D2C78F-F892-4E95-9235-43056A8AA86D}"/>
    <cellStyle name="Comma 40 4" xfId="23180" xr:uid="{A661C115-9FE3-4D1F-A13D-BBAE56797ED3}"/>
    <cellStyle name="Comma 40 4 2" xfId="23181" xr:uid="{D878C783-A32B-4FD4-9408-A32E85EC9793}"/>
    <cellStyle name="Comma 40 5" xfId="23182" xr:uid="{5B58C70F-653D-46C6-B526-6FBEA4019085}"/>
    <cellStyle name="Comma 41" xfId="23183" xr:uid="{63D8EDEA-5916-4198-80D6-CDDB1E00AE54}"/>
    <cellStyle name="Comma 41 2" xfId="23184" xr:uid="{3648D80D-C22C-41C9-B845-F5015CFC2740}"/>
    <cellStyle name="Comma 41 2 2" xfId="23185" xr:uid="{6FEFB4E7-9D2D-458D-AFFC-67E7C4C30847}"/>
    <cellStyle name="Comma 41 2 2 2" xfId="23186" xr:uid="{AE7697C0-AFCD-4B26-8EE4-A96570FE5DDD}"/>
    <cellStyle name="Comma 41 2 3" xfId="23187" xr:uid="{69AE30A0-D18A-498F-A5D6-C7603BE2E98C}"/>
    <cellStyle name="Comma 41 3" xfId="23188" xr:uid="{3A73C595-3DB1-42D2-9377-25FE37C4E463}"/>
    <cellStyle name="Comma 41 3 2" xfId="23189" xr:uid="{01E91450-DDBB-4D03-9F16-8699BD04A2DF}"/>
    <cellStyle name="Comma 41 3 2 2" xfId="23190" xr:uid="{37B0A222-3847-4482-9C22-8DC405BAAA54}"/>
    <cellStyle name="Comma 41 3 3" xfId="23191" xr:uid="{4EA0B134-74AE-4F03-90AB-CC0D851E7DCE}"/>
    <cellStyle name="Comma 41 4" xfId="23192" xr:uid="{A90B2BCE-BC51-49AC-ADC2-B456362D0900}"/>
    <cellStyle name="Comma 41 4 2" xfId="23193" xr:uid="{1C548DE4-E36D-4928-9F3D-1B1F87C90D4D}"/>
    <cellStyle name="Comma 41 5" xfId="23194" xr:uid="{9065000F-1B18-47BB-B538-21BEA4B3C914}"/>
    <cellStyle name="Comma 42" xfId="23195" xr:uid="{BB5D97B0-F11F-453C-84BA-8637C55AB55E}"/>
    <cellStyle name="Comma 42 2" xfId="23196" xr:uid="{DDC30975-69CE-4B89-956D-E57573A6E14A}"/>
    <cellStyle name="Comma 42 2 2" xfId="23197" xr:uid="{8681E7FA-E174-4678-8C49-91BB2D0AF3DC}"/>
    <cellStyle name="Comma 42 3" xfId="23198" xr:uid="{0B1634DB-0DDC-4B1B-8A95-26C736C5CEC7}"/>
    <cellStyle name="Comma 42 3 2" xfId="23199" xr:uid="{CD8F6C85-06EC-411C-852F-FB6F040421C1}"/>
    <cellStyle name="Comma 42 4" xfId="23200" xr:uid="{AFCF3A3E-1520-488D-8796-A3A01289EF13}"/>
    <cellStyle name="Comma 43" xfId="23201" xr:uid="{EF49701C-6CC1-4DC5-9EF3-0CEAA9A4526D}"/>
    <cellStyle name="Comma 43 2" xfId="23202" xr:uid="{C7ECD38F-CDDE-4502-9303-0BF1C2651B7D}"/>
    <cellStyle name="Comma 43 2 2" xfId="23203" xr:uid="{710D2C61-025F-4395-806B-59BBBD70D602}"/>
    <cellStyle name="Comma 43 2 2 2" xfId="23204" xr:uid="{A99CFC15-CFB5-485F-B9B0-FBE24CEF1C35}"/>
    <cellStyle name="Comma 43 2 3" xfId="23205" xr:uid="{27D95516-D84F-42AC-99D8-8912DFC1FECB}"/>
    <cellStyle name="Comma 43 3" xfId="23206" xr:uid="{03E13633-4281-459A-B1B8-FF3B4D9AAEC1}"/>
    <cellStyle name="Comma 43 3 2" xfId="23207" xr:uid="{6330920E-A966-4E3C-B404-01D9BC39FC32}"/>
    <cellStyle name="Comma 43 3 2 2" xfId="23208" xr:uid="{0089C8AE-2F7B-4332-889E-88586534D1EC}"/>
    <cellStyle name="Comma 43 3 3" xfId="23209" xr:uid="{6CB52375-190F-4408-BDE8-919A6878B85F}"/>
    <cellStyle name="Comma 43 4" xfId="23210" xr:uid="{D9F48C48-7D07-4706-88FB-8FB5058B3EB4}"/>
    <cellStyle name="Comma 43 4 2" xfId="23211" xr:uid="{85ADB6CA-7040-4657-A5F8-7CB4D8426C96}"/>
    <cellStyle name="Comma 43 5" xfId="23212" xr:uid="{D54F820F-5555-400B-B248-F240FF4505C9}"/>
    <cellStyle name="Comma 44" xfId="23213" xr:uid="{1122F723-F56D-41A7-AB00-5D5F474FDA6F}"/>
    <cellStyle name="Comma 44 2" xfId="23214" xr:uid="{A5AC1A08-FB72-46EC-A3B2-32B78E22951A}"/>
    <cellStyle name="Comma 44 2 2" xfId="23215" xr:uid="{3DCDED61-9AB0-4C60-95EC-4B0DD6CA6307}"/>
    <cellStyle name="Comma 44 2 2 2" xfId="23216" xr:uid="{60B38C1F-E89A-438C-A295-F485FFA671B8}"/>
    <cellStyle name="Comma 44 2 3" xfId="23217" xr:uid="{3C6ECC42-7290-42C2-9CE6-2F17644EC083}"/>
    <cellStyle name="Comma 44 3" xfId="23218" xr:uid="{3C618BCF-6B8F-426A-A7CB-36B2F1F4FEC5}"/>
    <cellStyle name="Comma 44 3 2" xfId="23219" xr:uid="{63F7E22E-0581-4E10-8D78-8097BAC9D400}"/>
    <cellStyle name="Comma 44 3 2 2" xfId="23220" xr:uid="{D457F0C7-0DDC-44C2-BD46-AE755C6606A1}"/>
    <cellStyle name="Comma 44 3 3" xfId="23221" xr:uid="{58800C17-EF91-4DA7-B5BA-760120F05EA6}"/>
    <cellStyle name="Comma 44 4" xfId="23222" xr:uid="{0484DB1A-616C-4808-9F95-DAF00D24C658}"/>
    <cellStyle name="Comma 44 4 2" xfId="23223" xr:uid="{BC1164FD-E63F-4489-8259-32180ABC1E69}"/>
    <cellStyle name="Comma 44 5" xfId="23224" xr:uid="{12F6AC7E-ACA9-4322-B61B-162E6A3440F6}"/>
    <cellStyle name="Comma 45" xfId="23225" xr:uid="{8D535DBB-B3AE-436D-B823-95F06A90277E}"/>
    <cellStyle name="Comma 45 2" xfId="23226" xr:uid="{4BDB0D96-8856-48AB-A4B9-3F8258DA3A59}"/>
    <cellStyle name="Comma 45 2 2" xfId="23227" xr:uid="{0AD88740-E380-417B-8A55-3FA88CC7D5B4}"/>
    <cellStyle name="Comma 45 2 2 2" xfId="23228" xr:uid="{596C0711-17F0-4E4A-BE0C-F98B33EF8B4B}"/>
    <cellStyle name="Comma 45 2 3" xfId="23229" xr:uid="{B45AD923-16FC-4165-B619-B7AB4194311C}"/>
    <cellStyle name="Comma 45 3" xfId="23230" xr:uid="{8E03F428-9986-47DB-BF91-3A06C22D57D5}"/>
    <cellStyle name="Comma 45 3 2" xfId="23231" xr:uid="{13B077B0-B2C6-441B-8EC7-827BFB3D3160}"/>
    <cellStyle name="Comma 45 3 2 2" xfId="23232" xr:uid="{8F9126F3-8223-4FE7-92FD-892CC2679004}"/>
    <cellStyle name="Comma 45 3 3" xfId="23233" xr:uid="{124C8274-9FFB-419E-898D-0CDECCAF0473}"/>
    <cellStyle name="Comma 46" xfId="23234" xr:uid="{B580C22D-E299-4CF3-BE47-CF0C1D225DFF}"/>
    <cellStyle name="Comma 46 2" xfId="23235" xr:uid="{FACE2061-CD38-404F-9890-7BC9F221962F}"/>
    <cellStyle name="Comma 46 2 2" xfId="23236" xr:uid="{81F2A2B1-1713-4485-B9E9-3F2A5E887FED}"/>
    <cellStyle name="Comma 46 2 2 2" xfId="23237" xr:uid="{608A4F30-55C3-47CF-A661-B7676F4C944F}"/>
    <cellStyle name="Comma 46 2 3" xfId="23238" xr:uid="{DA61F6BB-8DF5-4295-B4D7-40A147FA2BEB}"/>
    <cellStyle name="Comma 46 3" xfId="23239" xr:uid="{C22B2F94-6C33-4FAF-BFD0-739F5181358D}"/>
    <cellStyle name="Comma 46 3 2" xfId="23240" xr:uid="{49E2D897-7BD9-4B44-9F79-59B63D9B70FC}"/>
    <cellStyle name="Comma 46 3 2 2" xfId="23241" xr:uid="{D6149FDC-22BC-4B64-A532-9D7A0EE64EFD}"/>
    <cellStyle name="Comma 46 3 3" xfId="23242" xr:uid="{C4F40B34-1EF2-441D-9D8C-831C4257CD00}"/>
    <cellStyle name="Comma 46 4" xfId="23243" xr:uid="{E4F1A062-21C8-4E53-A10B-E003838D51A7}"/>
    <cellStyle name="Comma 46 4 2" xfId="23244" xr:uid="{09722D42-7248-4A8A-A872-9D08F0AEE324}"/>
    <cellStyle name="Comma 46 5" xfId="23245" xr:uid="{008FB8DA-1D9E-4767-81E8-5E1846984FBB}"/>
    <cellStyle name="Comma 47" xfId="23246" xr:uid="{51CE2081-23E1-4FE0-82BE-84C73C50678B}"/>
    <cellStyle name="Comma 47 2" xfId="23247" xr:uid="{86E2B157-DA01-4051-94F5-AD0A567FAFDC}"/>
    <cellStyle name="Comma 47 2 2" xfId="23248" xr:uid="{274FC631-B286-44FE-A728-EF655F5F6772}"/>
    <cellStyle name="Comma 47 2 2 2" xfId="23249" xr:uid="{1A223359-144C-48CE-A884-D199CF848FB1}"/>
    <cellStyle name="Comma 47 2 3" xfId="23250" xr:uid="{E77281A8-B900-4A62-ADF3-DF0F06800907}"/>
    <cellStyle name="Comma 47 3" xfId="23251" xr:uid="{F1F195CD-93FB-4C86-92DA-F9E1E2FA222B}"/>
    <cellStyle name="Comma 47 3 2" xfId="23252" xr:uid="{162A5D93-6CA9-4180-A600-4A44F292B43F}"/>
    <cellStyle name="Comma 47 3 2 2" xfId="23253" xr:uid="{673C3A73-DB55-44CA-9864-E7882F27EAD0}"/>
    <cellStyle name="Comma 47 3 3" xfId="23254" xr:uid="{92B21BDB-8143-4A63-8C45-5366EE771AAA}"/>
    <cellStyle name="Comma 47 4" xfId="23255" xr:uid="{482BF7B5-3022-4C4A-B904-C158F6415A0A}"/>
    <cellStyle name="Comma 47 4 2" xfId="23256" xr:uid="{1884E819-B00A-4C43-B300-E91086FCCAE8}"/>
    <cellStyle name="Comma 47 5" xfId="23257" xr:uid="{7791FE5E-ACA6-41DB-88F8-44614B272370}"/>
    <cellStyle name="Comma 48" xfId="23258" xr:uid="{CF95C3E7-0C59-4747-854E-B343EF754871}"/>
    <cellStyle name="Comma 48 2" xfId="23259" xr:uid="{35C3B59F-FEAE-4653-8333-C24A36CE42C3}"/>
    <cellStyle name="Comma 48 2 2" xfId="23260" xr:uid="{C53823C5-2E70-4736-859F-0F0CEA06338C}"/>
    <cellStyle name="Comma 48 2 2 2" xfId="23261" xr:uid="{DB550D62-C493-46FC-ACC6-397B4FD45288}"/>
    <cellStyle name="Comma 48 2 2 2 2" xfId="23262" xr:uid="{F607F05F-82AF-4318-A261-AC56A3F6B1F7}"/>
    <cellStyle name="Comma 48 2 2 3" xfId="23263" xr:uid="{BF5B411F-1B02-4E14-B283-A2EAA2538429}"/>
    <cellStyle name="Comma 48 2 3" xfId="23264" xr:uid="{DB60D027-EE24-416C-81E5-5EACB40302EB}"/>
    <cellStyle name="Comma 48 2 3 2" xfId="23265" xr:uid="{1EB685E4-F6EF-4F33-A48A-E9150D7458E6}"/>
    <cellStyle name="Comma 48 2 3 2 2" xfId="23266" xr:uid="{1D6F858A-8C60-4493-835F-0FCBFD082EC1}"/>
    <cellStyle name="Comma 48 2 3 3" xfId="23267" xr:uid="{05E51C4E-4A53-4FD1-B159-737670DD2213}"/>
    <cellStyle name="Comma 48 2 4" xfId="23268" xr:uid="{90F879A5-B00A-4056-B51F-55BD4F0E8262}"/>
    <cellStyle name="Comma 48 2 4 2" xfId="23269" xr:uid="{20976B6F-EC42-4F74-BD2D-E653E6E145B9}"/>
    <cellStyle name="Comma 48 2 5" xfId="23270" xr:uid="{A8348459-4787-4C74-8975-126018A5B846}"/>
    <cellStyle name="Comma 48 3" xfId="23271" xr:uid="{EE56AE9F-9243-4F96-BD06-368B755AC0B7}"/>
    <cellStyle name="Comma 48 3 2" xfId="23272" xr:uid="{02C8657A-A297-4BD3-B90C-6034CCB83342}"/>
    <cellStyle name="Comma 48 3 2 2" xfId="23273" xr:uid="{6A98F064-79F1-492E-9A8C-0D3BC706F049}"/>
    <cellStyle name="Comma 48 3 3" xfId="23274" xr:uid="{5137AC2F-BA82-4FEA-B858-487E16AE8967}"/>
    <cellStyle name="Comma 48 4" xfId="23275" xr:uid="{099A9A93-69AF-4388-BCE9-4F472914AD5D}"/>
    <cellStyle name="Comma 48 4 2" xfId="23276" xr:uid="{A3BCEB57-B97B-4A6F-9EA4-914894819311}"/>
    <cellStyle name="Comma 48 4 2 2" xfId="23277" xr:uid="{CD7EF566-BFEB-438E-AB18-FE7D4ED8A5E2}"/>
    <cellStyle name="Comma 48 4 3" xfId="23278" xr:uid="{77B13FCF-6FDB-4175-A706-B995484EDCC2}"/>
    <cellStyle name="Comma 48 5" xfId="23279" xr:uid="{7321C303-45B2-48A0-B34D-2F7A1A46B7E6}"/>
    <cellStyle name="Comma 48 5 2" xfId="23280" xr:uid="{372AB556-8DD1-43C1-AF1D-5877DFD940C3}"/>
    <cellStyle name="Comma 48 6" xfId="23281" xr:uid="{01DD116C-2B9B-45B4-B5BE-D1063E8CF582}"/>
    <cellStyle name="Comma 49" xfId="23282" xr:uid="{A013DE14-25FA-426D-9FE9-8E491A15A7A8}"/>
    <cellStyle name="Comma 49 2" xfId="23283" xr:uid="{3E951A92-E002-440C-875F-75EE0B4BF583}"/>
    <cellStyle name="Comma 49 2 2" xfId="23284" xr:uid="{3186D5FA-BF6B-45B0-B163-64E910340466}"/>
    <cellStyle name="Comma 49 2 2 2" xfId="23285" xr:uid="{4D7FEF65-57A2-4F7F-B396-C3F6471F877C}"/>
    <cellStyle name="Comma 49 2 3" xfId="23286" xr:uid="{03D5426E-9BFD-4F57-B220-AE464759E089}"/>
    <cellStyle name="Comma 49 3" xfId="23287" xr:uid="{27835F4E-7842-42E1-B454-27452630651C}"/>
    <cellStyle name="Comma 49 3 2" xfId="23288" xr:uid="{652E88C7-F4C2-4B4C-8E2B-11825792B878}"/>
    <cellStyle name="Comma 49 3 2 2" xfId="23289" xr:uid="{F00F50BF-E581-445E-9CB0-E17F006BA4AE}"/>
    <cellStyle name="Comma 49 3 3" xfId="23290" xr:uid="{669F91E3-8C40-4C81-B946-61CFEFE69EB8}"/>
    <cellStyle name="Comma 49 4" xfId="23291" xr:uid="{7EF05993-AF24-4A07-93EE-5D4106F7F4C4}"/>
    <cellStyle name="Comma 49 4 2" xfId="23292" xr:uid="{72040588-D6BE-4D69-B149-5F7BBEAE51B2}"/>
    <cellStyle name="Comma 49 5" xfId="23293" xr:uid="{E8F94504-374A-4317-8AD2-B05BC036F8BA}"/>
    <cellStyle name="Comma 5" xfId="136" xr:uid="{721464FE-C072-4BCA-A581-9CD2BBF893C9}"/>
    <cellStyle name="Comma 5 10" xfId="23295" xr:uid="{DDDE687E-1DC6-4454-85F9-79059622C9F5}"/>
    <cellStyle name="Comma 5 11" xfId="23296" xr:uid="{7BF6E4DC-1EF6-49D1-87A0-93A74FDEF173}"/>
    <cellStyle name="Comma 5 12" xfId="23294" xr:uid="{B0A4FB0A-0F4D-45C2-9A11-2A20D4AB5C25}"/>
    <cellStyle name="Comma 5 2" xfId="23297" xr:uid="{4230011E-D46B-44A2-870B-DDADF4E18027}"/>
    <cellStyle name="Comma 5 2 2" xfId="23298" xr:uid="{F93832FE-673C-45E7-B72D-CF876878216D}"/>
    <cellStyle name="Comma 5 2 2 2" xfId="23299" xr:uid="{A6DB81C4-F183-4ABA-8A1A-1CA8362BADB5}"/>
    <cellStyle name="Comma 5 2 2 2 2" xfId="23300" xr:uid="{A55724F3-3E3F-48C2-B3B5-7DD3E01A63E7}"/>
    <cellStyle name="Comma 5 2 2 2 3" xfId="38626" xr:uid="{35B786BD-F830-40DA-912F-CE52714284C7}"/>
    <cellStyle name="Comma 5 2 2 3" xfId="23301" xr:uid="{69002C15-D109-43FF-86DD-2D9C5649B2D1}"/>
    <cellStyle name="Comma 5 2 2 4" xfId="38627" xr:uid="{314661C6-9A36-4E4A-BD10-03229BA909EE}"/>
    <cellStyle name="Comma 5 2 3" xfId="23302" xr:uid="{87FF7E13-8A68-4B66-8618-71DE383817DB}"/>
    <cellStyle name="Comma 5 2 3 2" xfId="38628" xr:uid="{C82E027F-4F64-4D03-ACCC-5794984CA0C6}"/>
    <cellStyle name="Comma 5 2 4" xfId="38629" xr:uid="{E454B0FD-2623-4049-B8D1-FA632AD7F389}"/>
    <cellStyle name="Comma 5 3" xfId="23303" xr:uid="{5BCCABD1-83B9-4848-BDC4-749EFA0DA9BE}"/>
    <cellStyle name="Comma 5 3 2" xfId="23304" xr:uid="{8805834E-DF86-4351-9D9E-7671F7BE02DC}"/>
    <cellStyle name="Comma 5 3 2 2" xfId="38630" xr:uid="{A17629BF-CEAA-434F-B0CB-EB192DD6D6E4}"/>
    <cellStyle name="Comma 5 3 3" xfId="38631" xr:uid="{35522DA2-B8BF-4AFD-B9E1-9D4FBD68682A}"/>
    <cellStyle name="Comma 5 4" xfId="23305" xr:uid="{EDABE752-EF79-4CAD-9E3E-9ED23CD534A3}"/>
    <cellStyle name="Comma 5 4 2" xfId="38632" xr:uid="{AB146467-D60C-4EE4-9B90-5EC6F412438A}"/>
    <cellStyle name="Comma 5 5" xfId="23306" xr:uid="{BE1174A2-45AC-4B55-A13B-E09A6B45F416}"/>
    <cellStyle name="Comma 5 6" xfId="23307" xr:uid="{9DB50FA7-1F4D-4599-8A47-46C0F26C7F9D}"/>
    <cellStyle name="Comma 5 7" xfId="23308" xr:uid="{E2BBC6D3-2F71-43D0-9658-2A6EE743B4B1}"/>
    <cellStyle name="Comma 5 8" xfId="23309" xr:uid="{11842975-C1D6-43E0-87BC-585607A965A0}"/>
    <cellStyle name="Comma 5 9" xfId="23310" xr:uid="{97F9CCBF-0F09-4021-9582-60FE726FB092}"/>
    <cellStyle name="Comma 50" xfId="23311" xr:uid="{4C2FDCF1-E1E6-4C78-B497-7E0999CAF64D}"/>
    <cellStyle name="Comma 50 2" xfId="23312" xr:uid="{695CABFB-23C3-49CE-8A22-D1F6FC50B6B3}"/>
    <cellStyle name="Comma 50 2 2" xfId="23313" xr:uid="{BD217A4E-2AAD-4695-97CE-9BA816C05776}"/>
    <cellStyle name="Comma 50 2 2 2" xfId="23314" xr:uid="{EF928F88-2BBC-4A57-B845-E70D45C91365}"/>
    <cellStyle name="Comma 50 2 3" xfId="23315" xr:uid="{CB959DF2-5A9B-4A09-BFE2-18ACA62C0FC0}"/>
    <cellStyle name="Comma 50 3" xfId="23316" xr:uid="{721BB629-D510-455D-AFEC-E59571D581FF}"/>
    <cellStyle name="Comma 50 3 2" xfId="23317" xr:uid="{41438712-9103-4633-97F6-4EFD909D6A7E}"/>
    <cellStyle name="Comma 50 3 2 2" xfId="23318" xr:uid="{1C3370AF-D19A-41BA-BD43-C19E88F242E1}"/>
    <cellStyle name="Comma 50 3 3" xfId="23319" xr:uid="{9F73BD9F-85D7-4EC5-8205-CD1CF3C9F42E}"/>
    <cellStyle name="Comma 50 4" xfId="23320" xr:uid="{D7D4FDA7-7023-40EB-AFAE-AA1D54F0C82C}"/>
    <cellStyle name="Comma 50 4 2" xfId="23321" xr:uid="{39E8CA65-6F15-4442-AAF0-1057BB14436F}"/>
    <cellStyle name="Comma 50 4 2 2" xfId="23322" xr:uid="{A4FC0F89-B8AC-429F-B214-CE5A64D014E3}"/>
    <cellStyle name="Comma 50 4 3" xfId="23323" xr:uid="{B9F74E36-2A09-4B19-AFDB-B430A8574519}"/>
    <cellStyle name="Comma 50 5" xfId="23324" xr:uid="{B7D0AB2D-730F-412E-8E3F-F2BECB63966D}"/>
    <cellStyle name="Comma 50 5 2" xfId="23325" xr:uid="{C55FF9A2-7AC8-4F9B-BDE0-DC61F96C0F71}"/>
    <cellStyle name="Comma 50 6" xfId="23326" xr:uid="{7E0A55E1-122E-4718-8158-BE20F2D08EAB}"/>
    <cellStyle name="Comma 51" xfId="23327" xr:uid="{4E9F4F86-4854-4223-B217-528AA53AD195}"/>
    <cellStyle name="Comma 51 2" xfId="23328" xr:uid="{B27478BF-9F79-4438-80CB-DE78A6017FE1}"/>
    <cellStyle name="Comma 51 2 2" xfId="23329" xr:uid="{158C2A46-91B9-4308-96B9-F0594BBF6294}"/>
    <cellStyle name="Comma 51 2 2 2" xfId="23330" xr:uid="{D7B624CB-30E8-4DE5-9B70-2D65DE60C4DE}"/>
    <cellStyle name="Comma 51 2 3" xfId="23331" xr:uid="{1E67313F-8A18-4E4B-BEE5-3C35A6682752}"/>
    <cellStyle name="Comma 51 3" xfId="23332" xr:uid="{1277E266-2391-4D55-B41A-25EFB9692224}"/>
    <cellStyle name="Comma 51 3 2" xfId="23333" xr:uid="{DA3BCB44-DA45-4403-8247-C1E261F0D13E}"/>
    <cellStyle name="Comma 51 3 2 2" xfId="23334" xr:uid="{8A2A9ADE-198B-4EC0-9BE8-F39E25E55269}"/>
    <cellStyle name="Comma 51 3 3" xfId="23335" xr:uid="{02B9B9AA-A926-4E92-8696-665801AB9790}"/>
    <cellStyle name="Comma 51 4" xfId="23336" xr:uid="{921FC910-8723-4058-9A10-7E4B9A0CD484}"/>
    <cellStyle name="Comma 51 4 2" xfId="23337" xr:uid="{CC817E32-B15D-48CF-A412-728371C508EB}"/>
    <cellStyle name="Comma 51 4 2 2" xfId="23338" xr:uid="{C331ACE8-3522-46D1-938A-AFE7C2B63DEA}"/>
    <cellStyle name="Comma 51 4 3" xfId="23339" xr:uid="{16407F9F-E69E-4FF2-A0AF-539C9921AC20}"/>
    <cellStyle name="Comma 51 5" xfId="23340" xr:uid="{022CC948-F41D-42CB-8F5C-A61EC72C69C9}"/>
    <cellStyle name="Comma 51 5 2" xfId="23341" xr:uid="{79EB28B8-FCE6-4F40-8E17-0A7217F26D17}"/>
    <cellStyle name="Comma 51 6" xfId="23342" xr:uid="{8698FB37-B9AF-44F1-A7DE-6375FB5B57F4}"/>
    <cellStyle name="Comma 52" xfId="23343" xr:uid="{4810522C-962E-47C8-9265-48DE4FBFF7B2}"/>
    <cellStyle name="Comma 52 2" xfId="23344" xr:uid="{D0B6E57F-997C-40A8-94EC-35F97B97DBA5}"/>
    <cellStyle name="Comma 52 2 2" xfId="23345" xr:uid="{A590F10C-3B51-4A88-ACFE-180B265C16E5}"/>
    <cellStyle name="Comma 52 3" xfId="23346" xr:uid="{46E5896A-318F-4361-9C77-B237F60B082A}"/>
    <cellStyle name="Comma 53" xfId="23347" xr:uid="{013EE6DF-6F23-4FFC-8392-8034C4FE5D19}"/>
    <cellStyle name="Comma 53 2" xfId="23348" xr:uid="{740CCD61-49F6-4241-976C-6E0A87DAD5E7}"/>
    <cellStyle name="Comma 53 2 2" xfId="23349" xr:uid="{24C45FA5-3724-46F4-B182-60D050C538B7}"/>
    <cellStyle name="Comma 53 3" xfId="23350" xr:uid="{9E3795CF-77EE-4FED-9990-4B8710F76B7E}"/>
    <cellStyle name="Comma 54" xfId="23351" xr:uid="{E63DF643-3B13-46F3-9BBB-C1D943CB004D}"/>
    <cellStyle name="Comma 54 2" xfId="23352" xr:uid="{8F8DE132-2156-4186-A078-25D5882E5A2C}"/>
    <cellStyle name="Comma 54 2 2" xfId="23353" xr:uid="{C8C42F7D-0475-4101-9E04-7CE32F9AC6D0}"/>
    <cellStyle name="Comma 54 3" xfId="23354" xr:uid="{A6882210-D50B-4D44-928C-6A4F6991017F}"/>
    <cellStyle name="Comma 55" xfId="23355" xr:uid="{09E444BC-5A0E-4D50-BFE5-FEE0B4EC66FB}"/>
    <cellStyle name="Comma 55 2" xfId="23356" xr:uid="{BA760A94-4799-47F4-A8F9-EF82E7751385}"/>
    <cellStyle name="Comma 55 2 2" xfId="23357" xr:uid="{D975B7D4-0545-4BBB-83DB-DBC895754F4C}"/>
    <cellStyle name="Comma 55 3" xfId="23358" xr:uid="{465A14D4-E7D1-4074-B6AE-031812A922C3}"/>
    <cellStyle name="Comma 56" xfId="23359" xr:uid="{E5C1E51F-D89F-437C-BF39-05D8DA276DB7}"/>
    <cellStyle name="Comma 56 2" xfId="23360" xr:uid="{E5BE3C87-8340-4807-A49E-DA93654A5BED}"/>
    <cellStyle name="Comma 56 2 2" xfId="23361" xr:uid="{C2CF59C9-0C6A-4F7A-A44C-BC03790E064A}"/>
    <cellStyle name="Comma 56 3" xfId="23362" xr:uid="{E3014B89-882D-4C95-92D0-943F14D0BFF7}"/>
    <cellStyle name="Comma 56 4" xfId="23363" xr:uid="{45072E8A-12D9-4C3B-BB5E-B45C8A5B6066}"/>
    <cellStyle name="Comma 56 5" xfId="23364" xr:uid="{2FEB3283-CD8F-46AC-B518-2DA52F1DAB1D}"/>
    <cellStyle name="Comma 57" xfId="23365" xr:uid="{1A52A718-DE11-4D75-941B-F21BC59F0B23}"/>
    <cellStyle name="Comma 57 2" xfId="23366" xr:uid="{6E6315EA-127A-42D5-9FE5-F575A4109348}"/>
    <cellStyle name="Comma 58" xfId="23367" xr:uid="{9B35B7F2-690B-456D-A50B-10A4AA8FBE36}"/>
    <cellStyle name="Comma 58 2" xfId="23368" xr:uid="{A0CAC5BD-BEF5-4CA9-86A5-35DD18057D7A}"/>
    <cellStyle name="Comma 59" xfId="23369" xr:uid="{37A8630C-85AE-46FE-8B75-C3C1525769AF}"/>
    <cellStyle name="Comma 6" xfId="23370" xr:uid="{FA5C6304-F872-4C77-B2F3-E3925FAA19F1}"/>
    <cellStyle name="Comma 6 10" xfId="23371" xr:uid="{C5D749DF-CE71-4B3D-9ED5-D5123E797E99}"/>
    <cellStyle name="Comma 6 11" xfId="23372" xr:uid="{74163BC1-1E58-4CF5-8C3D-3B177EF2CB4F}"/>
    <cellStyle name="Comma 6 2" xfId="23373" xr:uid="{46356583-70FA-4668-BCD5-49C3796D012A}"/>
    <cellStyle name="Comma 6 2 2" xfId="23374" xr:uid="{A9FE772F-BD0A-4368-917A-B7D1887EA59E}"/>
    <cellStyle name="Comma 6 2 2 2" xfId="38633" xr:uid="{0111485F-3B77-4BB1-B93B-70F8CFD527D5}"/>
    <cellStyle name="Comma 6 2 2 3" xfId="38634" xr:uid="{D2A9E2BE-9FD2-4A80-8AF6-234C6603A099}"/>
    <cellStyle name="Comma 6 2 3" xfId="38635" xr:uid="{3B5BA038-C0E3-460D-9618-90EEC2F2620F}"/>
    <cellStyle name="Comma 6 2 4" xfId="38636" xr:uid="{FE8ADEBB-F3B4-415F-B425-163EF8FD7C01}"/>
    <cellStyle name="Comma 6 2 5" xfId="38637" xr:uid="{91C28FC1-15D5-4464-9CB8-B379A450A822}"/>
    <cellStyle name="Comma 6 3" xfId="23375" xr:uid="{1EDD369C-5C43-4C8A-BE72-438C49A117F1}"/>
    <cellStyle name="Comma 6 3 2" xfId="23376" xr:uid="{E16A8672-A9F3-4395-BF75-8A64712352E5}"/>
    <cellStyle name="Comma 6 3 3" xfId="38638" xr:uid="{10E608AA-9BBE-4F9E-852D-D389F80FE1F0}"/>
    <cellStyle name="Comma 6 4" xfId="23377" xr:uid="{F80FFF53-8362-457B-8402-E4C8B5DD4C6D}"/>
    <cellStyle name="Comma 6 4 2" xfId="38639" xr:uid="{30AADB77-803C-45E7-A9B0-FE0DEF14A4F4}"/>
    <cellStyle name="Comma 6 5" xfId="23378" xr:uid="{C1F16041-DC7B-4F13-91D3-EEDFB43426A5}"/>
    <cellStyle name="Comma 6 6" xfId="23379" xr:uid="{AEAAA07D-CD83-44D2-A965-F4742B3C1DAE}"/>
    <cellStyle name="Comma 6 7" xfId="23380" xr:uid="{A874E46A-1C73-46CB-A3FB-E0AF3BFCEFB9}"/>
    <cellStyle name="Comma 6 8" xfId="23381" xr:uid="{38123E82-63FE-4A3E-B865-D16451CCF1B0}"/>
    <cellStyle name="Comma 6 9" xfId="23382" xr:uid="{F1504DA1-993E-4C76-A422-77ED08E69EAD}"/>
    <cellStyle name="Comma 60" xfId="23383" xr:uid="{7490031E-F7D6-45F9-A50D-8A67EBE19D2F}"/>
    <cellStyle name="Comma 61" xfId="23384" xr:uid="{5FE2CB50-AB21-408C-8482-A5A798F5EE45}"/>
    <cellStyle name="Comma 62" xfId="23385" xr:uid="{8F043F1F-754F-4741-92AC-FFB711B32329}"/>
    <cellStyle name="Comma 63" xfId="23386" xr:uid="{7ADA574F-E024-44C7-A61F-DE7932A0D5C8}"/>
    <cellStyle name="Comma 64" xfId="23387" xr:uid="{5FAB6149-D40E-4235-B70F-BB593EF23944}"/>
    <cellStyle name="Comma 65" xfId="23388" xr:uid="{6A91FCE0-C22B-4CBF-B563-7185D616F7C7}"/>
    <cellStyle name="Comma 66" xfId="23389" xr:uid="{625BCC00-C4B8-48B6-8FE6-6811075A2825}"/>
    <cellStyle name="Comma 67" xfId="23390" xr:uid="{04B3E79B-2AFD-4586-B7DC-703693BA3ADE}"/>
    <cellStyle name="Comma 68" xfId="23391" xr:uid="{989C25DA-622F-466E-A4E4-5BCCDB703239}"/>
    <cellStyle name="Comma 69" xfId="23392" xr:uid="{D9748B73-4FC6-47FF-AA90-AC65FA2E4834}"/>
    <cellStyle name="Comma 7" xfId="23393" xr:uid="{229F0978-0279-48E5-AFC0-36DAB61A10B0}"/>
    <cellStyle name="Comma 7 2" xfId="23394" xr:uid="{F7D66424-6585-4CF8-BAEE-DF7022DEBEE4}"/>
    <cellStyle name="Comma 7 2 2" xfId="23395" xr:uid="{93DD3ABE-D272-4AA2-8E58-A79F5C8673F0}"/>
    <cellStyle name="Comma 7 2 2 2" xfId="23396" xr:uid="{C81CA7A6-10EA-4DF2-B516-2D4A81084644}"/>
    <cellStyle name="Comma 7 2 2 3" xfId="38640" xr:uid="{6C79C2C7-C357-49D3-8EDC-3ED8BA251BE5}"/>
    <cellStyle name="Comma 7 2 3" xfId="38641" xr:uid="{68F9436F-0471-4928-8B33-CE2D18DC0ABC}"/>
    <cellStyle name="Comma 7 3" xfId="38642" xr:uid="{D4DD1950-CC6A-4942-8868-69167D3C58ED}"/>
    <cellStyle name="Comma 70" xfId="38643" xr:uid="{7E94BE86-B955-4FBD-8536-BD89D96EE1E7}"/>
    <cellStyle name="Comma 71" xfId="38644" xr:uid="{41109FD9-A1D3-404F-8325-EFB615C59C46}"/>
    <cellStyle name="Comma 8" xfId="23397" xr:uid="{44BFE2D4-B6DF-4141-90ED-88B8235977DA}"/>
    <cellStyle name="Comma 8 10" xfId="23398" xr:uid="{46C819D0-B5DC-4612-8A8F-5EDA94865E39}"/>
    <cellStyle name="Comma 8 10 2" xfId="23399" xr:uid="{F08BD7B4-79D7-402B-91C7-DDCD4CAB51DC}"/>
    <cellStyle name="Comma 8 10 2 2" xfId="23400" xr:uid="{34077021-A95B-437F-82D3-36C47C74CBC1}"/>
    <cellStyle name="Comma 8 10 2 2 2" xfId="23401" xr:uid="{C3A50F3C-316B-4F88-8C3F-CEFE2313A079}"/>
    <cellStyle name="Comma 8 10 2 2 2 2" xfId="23402" xr:uid="{582E2FDA-B023-4A0F-BE24-8F1B7990F79F}"/>
    <cellStyle name="Comma 8 10 2 2 3" xfId="23403" xr:uid="{29EA45DF-4BE0-4D16-A786-6BDF1CD8B83D}"/>
    <cellStyle name="Comma 8 10 2 3" xfId="23404" xr:uid="{78969D27-30E2-4AEB-AB6F-84FC194F92D1}"/>
    <cellStyle name="Comma 8 10 2 3 2" xfId="23405" xr:uid="{2B9FE547-C50F-4B4E-AEBE-D3D95C5F5EAF}"/>
    <cellStyle name="Comma 8 10 2 3 2 2" xfId="23406" xr:uid="{6182519F-9271-4A4C-8166-185766E6EDCC}"/>
    <cellStyle name="Comma 8 10 2 3 3" xfId="23407" xr:uid="{7D1B9EB2-0BF9-41C8-B9A6-435DD6D26493}"/>
    <cellStyle name="Comma 8 10 2 4" xfId="23408" xr:uid="{4A0A8E99-BFF6-4E0B-AC17-8783E1D7422E}"/>
    <cellStyle name="Comma 8 10 2 4 2" xfId="23409" xr:uid="{1FA5F915-1983-4E6B-9E82-4DB73AB7AF1D}"/>
    <cellStyle name="Comma 8 10 2 5" xfId="23410" xr:uid="{71AFB6A9-713A-42B1-A71D-20A3B0D311B6}"/>
    <cellStyle name="Comma 8 10 3" xfId="23411" xr:uid="{5D2D3F31-FC70-47C7-8EED-E29DABB7FD95}"/>
    <cellStyle name="Comma 8 10 3 2" xfId="23412" xr:uid="{EAE3BE6D-FC30-4084-B4F9-0DCDFDB87379}"/>
    <cellStyle name="Comma 8 10 3 2 2" xfId="23413" xr:uid="{6B9A1CA2-91A0-4085-9F1B-3F364D3E5D26}"/>
    <cellStyle name="Comma 8 10 3 3" xfId="23414" xr:uid="{06C328F1-EA22-4691-808D-A3688B4298CF}"/>
    <cellStyle name="Comma 8 10 4" xfId="23415" xr:uid="{B6BDBE7C-1596-401F-89BA-850051D75FBA}"/>
    <cellStyle name="Comma 8 10 4 2" xfId="23416" xr:uid="{7265F079-5C95-406F-8C77-A9B9410BDF51}"/>
    <cellStyle name="Comma 8 10 4 2 2" xfId="23417" xr:uid="{D6FBDEC5-C357-4D8B-9FAD-CEE436944718}"/>
    <cellStyle name="Comma 8 10 4 3" xfId="23418" xr:uid="{76E13CD0-7D55-4A0A-83AD-00EDB68EBA06}"/>
    <cellStyle name="Comma 8 10 5" xfId="23419" xr:uid="{AA3CFE96-E70A-491E-BE08-B31A254DB662}"/>
    <cellStyle name="Comma 8 10 5 2" xfId="23420" xr:uid="{8B4B1483-F7A1-465D-BA4E-9CF35E0DB22B}"/>
    <cellStyle name="Comma 8 10 6" xfId="23421" xr:uid="{F3AA3F3D-F753-4BC6-BE74-F2E656931B1B}"/>
    <cellStyle name="Comma 8 11" xfId="23422" xr:uid="{6BE29717-7EEB-4163-83E2-D8196E1374AB}"/>
    <cellStyle name="Comma 8 11 2" xfId="23423" xr:uid="{4C7A2840-F9E1-4635-B2A5-2AD5ABE30B7D}"/>
    <cellStyle name="Comma 8 11 2 2" xfId="23424" xr:uid="{0A1172EB-00F8-4056-A25E-09BCF888AB6D}"/>
    <cellStyle name="Comma 8 11 2 2 2" xfId="23425" xr:uid="{8C678DA4-20D2-4E53-9091-45FC25F53C95}"/>
    <cellStyle name="Comma 8 11 2 3" xfId="23426" xr:uid="{3EE4DE08-3719-4657-8EF0-805B3A6D358E}"/>
    <cellStyle name="Comma 8 11 3" xfId="23427" xr:uid="{30AEEC7F-0C3C-46D0-951F-15EAFEEE8B77}"/>
    <cellStyle name="Comma 8 11 3 2" xfId="23428" xr:uid="{617D31C0-040A-4C49-867E-249C081067FD}"/>
    <cellStyle name="Comma 8 11 3 2 2" xfId="23429" xr:uid="{AF5F0585-CEF3-4A9E-8C5C-E0870838FB2A}"/>
    <cellStyle name="Comma 8 11 3 3" xfId="23430" xr:uid="{A62A51F1-8669-4302-B1D8-CA5D4E2459AC}"/>
    <cellStyle name="Comma 8 11 4" xfId="23431" xr:uid="{8D985E14-7116-4BA9-AE5D-2700C196872A}"/>
    <cellStyle name="Comma 8 11 4 2" xfId="23432" xr:uid="{940AED96-70C9-48B9-BBB3-69D41C080D7C}"/>
    <cellStyle name="Comma 8 11 5" xfId="23433" xr:uid="{B96C0084-D95B-4A96-B3FD-76EE1178FF49}"/>
    <cellStyle name="Comma 8 12" xfId="23434" xr:uid="{DD442CD2-E901-4C87-A067-9173CD790873}"/>
    <cellStyle name="Comma 8 12 2" xfId="23435" xr:uid="{BC775307-C1E3-4DAD-8A5D-1CA9CA1C7239}"/>
    <cellStyle name="Comma 8 12 2 2" xfId="23436" xr:uid="{B7AD3549-8D62-4241-B7C8-A9CA7C320C7F}"/>
    <cellStyle name="Comma 8 12 3" xfId="23437" xr:uid="{543C0054-64A5-484D-AA64-CB0DDAA21F81}"/>
    <cellStyle name="Comma 8 13" xfId="23438" xr:uid="{5676D50E-051F-47F5-A1E8-E6B0611E3CF2}"/>
    <cellStyle name="Comma 8 13 2" xfId="23439" xr:uid="{A9C82139-A074-4771-A94F-19EB599B7E30}"/>
    <cellStyle name="Comma 8 13 2 2" xfId="23440" xr:uid="{6DD5B9EF-851D-4767-8341-1AEE1C966157}"/>
    <cellStyle name="Comma 8 13 3" xfId="23441" xr:uid="{0493D6DD-E479-4FBE-BAAB-BB7FB7BC301D}"/>
    <cellStyle name="Comma 8 14" xfId="23442" xr:uid="{CBCEB800-EF49-453F-A76E-02C029A472AF}"/>
    <cellStyle name="Comma 8 14 2" xfId="23443" xr:uid="{2A58FE01-02D9-4327-B5BA-2B0DFF3E0ED9}"/>
    <cellStyle name="Comma 8 15" xfId="23444" xr:uid="{069376CD-DA5C-48AA-8D61-660EDB93D82F}"/>
    <cellStyle name="Comma 8 16" xfId="23445" xr:uid="{D7F4DF24-7C38-4E17-AC79-A61707B7D8A1}"/>
    <cellStyle name="Comma 8 17" xfId="38645" xr:uid="{D400C0A6-246E-4F6B-B719-56BCAB5D9D94}"/>
    <cellStyle name="Comma 8 2" xfId="23446" xr:uid="{182ED846-B6E0-4DC0-A8F3-F4A1257671CF}"/>
    <cellStyle name="Comma 8 2 2" xfId="23447" xr:uid="{708992C1-9F2F-46ED-ABE2-989FF8E1B0BF}"/>
    <cellStyle name="Comma 8 2 2 2" xfId="23448" xr:uid="{315F1E95-E874-46F7-8CEE-E56214BE08B0}"/>
    <cellStyle name="Comma 8 2 2 2 2" xfId="23449" xr:uid="{FC2BDA78-FF2F-477D-90A0-33EFE055D98E}"/>
    <cellStyle name="Comma 8 2 2 2 2 2" xfId="23450" xr:uid="{24869655-7BDF-450E-8E4E-C6295AC5D50B}"/>
    <cellStyle name="Comma 8 2 2 2 3" xfId="23451" xr:uid="{D5577F36-5E62-41AF-85D8-D3C80EC7F8FE}"/>
    <cellStyle name="Comma 8 2 2 3" xfId="23452" xr:uid="{EE5820E3-C8A0-487C-8500-69F7FF1019A2}"/>
    <cellStyle name="Comma 8 2 2 3 2" xfId="23453" xr:uid="{579012DF-4D5C-489B-82FC-C4FF840182FE}"/>
    <cellStyle name="Comma 8 2 2 3 2 2" xfId="23454" xr:uid="{26058FE1-FBC8-47B1-9572-F54E6D0326B2}"/>
    <cellStyle name="Comma 8 2 2 3 3" xfId="23455" xr:uid="{7F49CF8C-3BCA-43B5-B94C-1CB105731DAA}"/>
    <cellStyle name="Comma 8 2 2 4" xfId="23456" xr:uid="{FCB56592-9FD5-4865-A388-0428EFCC8C6F}"/>
    <cellStyle name="Comma 8 2 2 4 2" xfId="23457" xr:uid="{F1AE6836-468D-4CD6-9F71-02644681B74E}"/>
    <cellStyle name="Comma 8 2 2 5" xfId="23458" xr:uid="{961FF71C-C4C4-4043-B226-5F8D4A6B29D6}"/>
    <cellStyle name="Comma 8 2 3" xfId="23459" xr:uid="{D80D76C5-5088-48FF-B984-7A073BCAF86A}"/>
    <cellStyle name="Comma 8 2 3 2" xfId="23460" xr:uid="{711955CA-0D2C-4B36-AD93-E317CED5F749}"/>
    <cellStyle name="Comma 8 2 3 2 2" xfId="23461" xr:uid="{901386E2-BF94-48ED-9566-595CA1D25705}"/>
    <cellStyle name="Comma 8 2 3 3" xfId="23462" xr:uid="{0A03FC08-2206-46E6-9937-3507CF397163}"/>
    <cellStyle name="Comma 8 2 4" xfId="23463" xr:uid="{BF60A800-C9A2-4911-8B77-AC3885BCF136}"/>
    <cellStyle name="Comma 8 2 4 2" xfId="23464" xr:uid="{C731B26F-116F-4133-A428-6F1D7B692C23}"/>
    <cellStyle name="Comma 8 2 4 2 2" xfId="23465" xr:uid="{7E7F5FFD-694C-4AA0-8194-C5805FE1F64B}"/>
    <cellStyle name="Comma 8 2 4 3" xfId="23466" xr:uid="{790F1865-1050-4FB9-AC83-6BA6C72E4F67}"/>
    <cellStyle name="Comma 8 2 5" xfId="23467" xr:uid="{4F49812B-F934-490F-BA3D-4F47604C44A6}"/>
    <cellStyle name="Comma 8 2 5 2" xfId="23468" xr:uid="{2E8CC7F6-1D38-48A1-9B00-694146FE28E7}"/>
    <cellStyle name="Comma 8 2 6" xfId="23469" xr:uid="{F4508ABD-7490-44FB-98B0-AE90DB5BBA46}"/>
    <cellStyle name="Comma 8 2 7" xfId="23470" xr:uid="{9E2AEB9E-A6E3-4D64-B265-DCEC9ADFADCA}"/>
    <cellStyle name="Comma 8 3" xfId="23471" xr:uid="{44E8EE23-1814-4A32-A073-6F4EFABD6523}"/>
    <cellStyle name="Comma 8 3 2" xfId="23472" xr:uid="{F88CC430-44E2-4618-B714-D2514BE94FA9}"/>
    <cellStyle name="Comma 8 3 2 2" xfId="23473" xr:uid="{7BEFC139-2659-4F7B-94E4-729C811658CB}"/>
    <cellStyle name="Comma 8 3 2 2 2" xfId="23474" xr:uid="{5D85C174-7DC8-4F8F-A407-56A82D4EC62C}"/>
    <cellStyle name="Comma 8 3 2 2 2 2" xfId="23475" xr:uid="{46DDB241-74CB-41C2-9C94-82B38CF0CCDF}"/>
    <cellStyle name="Comma 8 3 2 2 3" xfId="23476" xr:uid="{C7A32538-936B-4911-B53C-75AF91323698}"/>
    <cellStyle name="Comma 8 3 2 3" xfId="23477" xr:uid="{1A9A05C3-8B7C-40BF-88A1-F7B7DA33A820}"/>
    <cellStyle name="Comma 8 3 2 3 2" xfId="23478" xr:uid="{2BC81358-8E23-4E4B-B717-5DAA44101039}"/>
    <cellStyle name="Comma 8 3 2 3 2 2" xfId="23479" xr:uid="{BDC8B46F-D8F0-46FA-A4CB-281E53873ED5}"/>
    <cellStyle name="Comma 8 3 2 3 3" xfId="23480" xr:uid="{A0DAD5A8-2D2F-49CD-AE0A-65B5BFBA9CF8}"/>
    <cellStyle name="Comma 8 3 2 4" xfId="23481" xr:uid="{CC076009-54E7-4910-9E0C-70F4B84F2B4E}"/>
    <cellStyle name="Comma 8 3 2 4 2" xfId="23482" xr:uid="{B03ED24C-A97D-45EC-ABE2-B427E762CABA}"/>
    <cellStyle name="Comma 8 3 2 5" xfId="23483" xr:uid="{F3BE61DA-7DF8-4190-95BA-00DC6CCDA86D}"/>
    <cellStyle name="Comma 8 3 3" xfId="23484" xr:uid="{F7281020-5DF5-407F-898D-CEE7D390788D}"/>
    <cellStyle name="Comma 8 3 3 2" xfId="23485" xr:uid="{C7101205-3981-4693-920E-A4D7C6C14603}"/>
    <cellStyle name="Comma 8 3 3 2 2" xfId="23486" xr:uid="{577FA5C1-16E5-4896-879B-707E8CA64550}"/>
    <cellStyle name="Comma 8 3 3 3" xfId="23487" xr:uid="{30B0B5BB-A834-4454-893C-F82F1C4D2EF3}"/>
    <cellStyle name="Comma 8 3 4" xfId="23488" xr:uid="{4C171D48-95D5-4A4B-BCDC-38213BD5D42D}"/>
    <cellStyle name="Comma 8 3 4 2" xfId="23489" xr:uid="{24969089-98E3-41E4-8C67-F1044405954F}"/>
    <cellStyle name="Comma 8 3 4 2 2" xfId="23490" xr:uid="{52511DBA-A90A-4896-8B18-FA403C2387F7}"/>
    <cellStyle name="Comma 8 3 4 3" xfId="23491" xr:uid="{D9D87A9C-08C4-4C56-B7AD-39D81F505F26}"/>
    <cellStyle name="Comma 8 3 5" xfId="23492" xr:uid="{6D637A2E-27BD-444D-92B9-E8BCD88A5B28}"/>
    <cellStyle name="Comma 8 3 5 2" xfId="23493" xr:uid="{8C81FABF-156E-4C35-B5AC-A6EDDBF47FF8}"/>
    <cellStyle name="Comma 8 3 6" xfId="23494" xr:uid="{53CA95D2-5F11-4FB7-9494-0BF9A81F0129}"/>
    <cellStyle name="Comma 8 3 7" xfId="38646" xr:uid="{F0A7A11C-D961-419B-92C9-C3CD759F4FBA}"/>
    <cellStyle name="Comma 8 4" xfId="23495" xr:uid="{4DE7EECE-D5DD-4447-B1BB-0A36AF63BC95}"/>
    <cellStyle name="Comma 8 4 2" xfId="23496" xr:uid="{8085DBAE-D946-4F82-840D-005463671E0D}"/>
    <cellStyle name="Comma 8 4 2 2" xfId="23497" xr:uid="{3F7245DD-8ED9-4C00-B18D-E03044A8E49A}"/>
    <cellStyle name="Comma 8 4 2 2 2" xfId="23498" xr:uid="{8CC0DB6F-CED5-4C86-B951-155B4FC93E82}"/>
    <cellStyle name="Comma 8 4 2 2 2 2" xfId="23499" xr:uid="{9CFDBBE4-6939-4CE2-A238-2F689EC63D13}"/>
    <cellStyle name="Comma 8 4 2 2 3" xfId="23500" xr:uid="{96B182D8-FD60-424D-A99D-2E4FD84F8FA3}"/>
    <cellStyle name="Comma 8 4 2 3" xfId="23501" xr:uid="{3EF9B57A-19C6-4531-8F78-DF0854CF857E}"/>
    <cellStyle name="Comma 8 4 2 3 2" xfId="23502" xr:uid="{DCF93D97-BA9F-4977-9E77-77883819A36A}"/>
    <cellStyle name="Comma 8 4 2 3 2 2" xfId="23503" xr:uid="{24582FCD-2E70-4FF2-9BC6-1D9597625CFA}"/>
    <cellStyle name="Comma 8 4 2 3 3" xfId="23504" xr:uid="{73ACF4F6-9403-4875-A424-CD15BAE5AD5C}"/>
    <cellStyle name="Comma 8 4 2 4" xfId="23505" xr:uid="{FCF59B32-D28E-4597-98BD-15107C069EBF}"/>
    <cellStyle name="Comma 8 4 2 4 2" xfId="23506" xr:uid="{01AAD7B4-FEB8-41CE-B363-1A8F7B3502E0}"/>
    <cellStyle name="Comma 8 4 2 5" xfId="23507" xr:uid="{754B6C62-95F3-43DA-B506-0216B9D67BE7}"/>
    <cellStyle name="Comma 8 4 3" xfId="23508" xr:uid="{BC674F2C-FDA0-4640-8C93-D9E92D527096}"/>
    <cellStyle name="Comma 8 4 3 2" xfId="23509" xr:uid="{1D9AC81D-2D11-48DE-89D3-4F8D77BCF5A6}"/>
    <cellStyle name="Comma 8 4 3 2 2" xfId="23510" xr:uid="{BBC8F4AE-64FC-41E7-8AD1-25DBD1C99793}"/>
    <cellStyle name="Comma 8 4 3 3" xfId="23511" xr:uid="{45875D46-3B56-4AAA-BAD1-9FEBFB7E4651}"/>
    <cellStyle name="Comma 8 4 4" xfId="23512" xr:uid="{A7A8E78F-D04C-4BF0-9BCF-6B1C069BD917}"/>
    <cellStyle name="Comma 8 4 4 2" xfId="23513" xr:uid="{C688681E-9D61-4B30-9489-B37C8F03E0CE}"/>
    <cellStyle name="Comma 8 4 4 2 2" xfId="23514" xr:uid="{6154FA6F-CFBF-4997-8608-25CCBB242C4A}"/>
    <cellStyle name="Comma 8 4 4 3" xfId="23515" xr:uid="{F871A71D-B5ED-4C6C-9F2E-46929B2BABAD}"/>
    <cellStyle name="Comma 8 4 5" xfId="23516" xr:uid="{529DD3D6-FA0A-4840-A0C5-5C7D1FE87AA4}"/>
    <cellStyle name="Comma 8 4 5 2" xfId="23517" xr:uid="{DDCFBC97-1B45-47D6-9AFC-66C130B196DD}"/>
    <cellStyle name="Comma 8 4 6" xfId="23518" xr:uid="{5900323C-00CB-4FE2-9851-39B40993F594}"/>
    <cellStyle name="Comma 8 5" xfId="23519" xr:uid="{1EC48510-1DC2-49B1-B577-210CFDDD7CD4}"/>
    <cellStyle name="Comma 8 5 2" xfId="23520" xr:uid="{9197EE21-20C3-469A-9349-6C98AF165D4D}"/>
    <cellStyle name="Comma 8 5 2 2" xfId="23521" xr:uid="{3FEE30F2-F8CD-43DC-A138-72ED952C4BD8}"/>
    <cellStyle name="Comma 8 5 2 2 2" xfId="23522" xr:uid="{4091C367-A28F-48C0-B71A-C2127216E783}"/>
    <cellStyle name="Comma 8 5 2 2 2 2" xfId="23523" xr:uid="{53AFCBB0-C750-48BD-8D40-45A36652FC73}"/>
    <cellStyle name="Comma 8 5 2 2 3" xfId="23524" xr:uid="{3947272D-0C3C-47EA-93FA-CC3618E9D3F8}"/>
    <cellStyle name="Comma 8 5 2 3" xfId="23525" xr:uid="{BA81DA33-2FB3-42DB-8215-7AB91C3ACF33}"/>
    <cellStyle name="Comma 8 5 2 3 2" xfId="23526" xr:uid="{532B4963-ED76-4336-B743-4CC242A79E34}"/>
    <cellStyle name="Comma 8 5 2 3 2 2" xfId="23527" xr:uid="{3888D7E4-80A3-4156-BCDB-01D1D9BE2F08}"/>
    <cellStyle name="Comma 8 5 2 3 3" xfId="23528" xr:uid="{57F73ACE-93B9-4E51-B08A-BEB8ED6888CF}"/>
    <cellStyle name="Comma 8 5 2 4" xfId="23529" xr:uid="{4C49A42B-CE85-4E59-8270-2FF417D7ABCE}"/>
    <cellStyle name="Comma 8 5 2 4 2" xfId="23530" xr:uid="{C393F7E2-43C3-47AB-975F-9261EAB84CAC}"/>
    <cellStyle name="Comma 8 5 2 5" xfId="23531" xr:uid="{2798BAC4-2508-4C8B-87E5-92B8D74B02A0}"/>
    <cellStyle name="Comma 8 5 3" xfId="23532" xr:uid="{D86BEB5F-5B8C-4CA1-B746-E1C4C7B50494}"/>
    <cellStyle name="Comma 8 5 3 2" xfId="23533" xr:uid="{7F0E33BD-1B23-42C2-9C4E-C28E8E6F9760}"/>
    <cellStyle name="Comma 8 5 3 2 2" xfId="23534" xr:uid="{0872587B-5DC1-4BBA-BA4E-DA1AB567D9FA}"/>
    <cellStyle name="Comma 8 5 3 3" xfId="23535" xr:uid="{55930D35-A2D3-4474-9648-7819BEDCAD03}"/>
    <cellStyle name="Comma 8 5 4" xfId="23536" xr:uid="{B398D429-1523-4F9F-B233-B9464E45185A}"/>
    <cellStyle name="Comma 8 5 4 2" xfId="23537" xr:uid="{316F6295-B376-42F0-B57E-9274F4C706FB}"/>
    <cellStyle name="Comma 8 5 4 2 2" xfId="23538" xr:uid="{385C7737-7CFE-4BF1-9AE4-0B976DAD14BF}"/>
    <cellStyle name="Comma 8 5 4 3" xfId="23539" xr:uid="{3AFA0A04-DF80-4AFA-AB7B-77BCFF541948}"/>
    <cellStyle name="Comma 8 5 5" xfId="23540" xr:uid="{AD6DCBCF-133B-40F2-908C-6DDC66125D81}"/>
    <cellStyle name="Comma 8 5 5 2" xfId="23541" xr:uid="{92C698F8-2A69-4463-BAFA-643BB853954C}"/>
    <cellStyle name="Comma 8 5 6" xfId="23542" xr:uid="{44E4A466-26BB-4B4F-8CF8-FB39F9B1DF59}"/>
    <cellStyle name="Comma 8 6" xfId="23543" xr:uid="{BA65C7D7-F907-434D-A300-5DCA6B748361}"/>
    <cellStyle name="Comma 8 6 2" xfId="23544" xr:uid="{26AE18B6-0636-450D-BCA5-73206AC1B072}"/>
    <cellStyle name="Comma 8 6 2 2" xfId="23545" xr:uid="{09E7F1EA-36DB-443F-B086-221873533096}"/>
    <cellStyle name="Comma 8 6 2 2 2" xfId="23546" xr:uid="{48F60E3E-00E8-470A-B45A-DBA63769035B}"/>
    <cellStyle name="Comma 8 6 2 2 2 2" xfId="23547" xr:uid="{D2125361-828C-4F45-9DD3-7C31B1E6AACE}"/>
    <cellStyle name="Comma 8 6 2 2 3" xfId="23548" xr:uid="{5E75A9D3-3FBC-4538-89ED-39AF35F356AC}"/>
    <cellStyle name="Comma 8 6 2 3" xfId="23549" xr:uid="{397714FC-5423-41FE-874B-394624A4F9F6}"/>
    <cellStyle name="Comma 8 6 2 3 2" xfId="23550" xr:uid="{AB168257-867E-4EFA-AA33-DBCCCBD01999}"/>
    <cellStyle name="Comma 8 6 2 3 2 2" xfId="23551" xr:uid="{E507A861-602C-4E20-B111-46B327A612E5}"/>
    <cellStyle name="Comma 8 6 2 3 3" xfId="23552" xr:uid="{2B4458F1-518B-4FDD-8823-26331F704540}"/>
    <cellStyle name="Comma 8 6 2 4" xfId="23553" xr:uid="{1E887FAD-D411-4039-8E04-7C747EA8A79A}"/>
    <cellStyle name="Comma 8 6 2 4 2" xfId="23554" xr:uid="{8EBABA8C-98A7-4044-A0F9-6976390E53D4}"/>
    <cellStyle name="Comma 8 6 2 5" xfId="23555" xr:uid="{79DF4836-BB7D-49F8-A958-5ACEAB4369E8}"/>
    <cellStyle name="Comma 8 6 3" xfId="23556" xr:uid="{A0AA99B1-62E4-4EDA-80C7-AED634CD3639}"/>
    <cellStyle name="Comma 8 6 3 2" xfId="23557" xr:uid="{E64EC113-4C91-4A65-985A-8C0ED52682A3}"/>
    <cellStyle name="Comma 8 6 3 2 2" xfId="23558" xr:uid="{88180751-75C6-4BFA-A198-A2DC2B0B457F}"/>
    <cellStyle name="Comma 8 6 3 3" xfId="23559" xr:uid="{7CDF9510-38B1-4535-9B67-FC88A5C18CCB}"/>
    <cellStyle name="Comma 8 6 4" xfId="23560" xr:uid="{C3488617-9F4B-4576-8531-75AF0D0FDC42}"/>
    <cellStyle name="Comma 8 6 4 2" xfId="23561" xr:uid="{92B667A1-D368-4826-B609-1836DF730D55}"/>
    <cellStyle name="Comma 8 6 4 2 2" xfId="23562" xr:uid="{8EFFA43D-0068-46A7-BDC4-3FC79AEB227F}"/>
    <cellStyle name="Comma 8 6 4 3" xfId="23563" xr:uid="{BA367B61-EE29-4BD3-9332-47596BAE61EE}"/>
    <cellStyle name="Comma 8 6 5" xfId="23564" xr:uid="{A292AD01-281A-408B-BA60-16B5B42D9A4E}"/>
    <cellStyle name="Comma 8 6 5 2" xfId="23565" xr:uid="{816DE6FE-1886-4D0C-A439-E4EBFE619E41}"/>
    <cellStyle name="Comma 8 6 6" xfId="23566" xr:uid="{1538339A-0EB9-42A3-84F3-ABEF5F61B296}"/>
    <cellStyle name="Comma 8 7" xfId="23567" xr:uid="{94A804FE-9A72-4FCB-8FC2-8D3333F1DBFE}"/>
    <cellStyle name="Comma 8 7 2" xfId="23568" xr:uid="{604D29A8-1CD2-4AFD-B83A-3345114DC062}"/>
    <cellStyle name="Comma 8 7 2 2" xfId="23569" xr:uid="{ACBB4FB2-7E10-423B-BFF4-27F1561A695F}"/>
    <cellStyle name="Comma 8 7 2 2 2" xfId="23570" xr:uid="{5CADE47E-02F2-4CB7-9947-9A9CB30017D7}"/>
    <cellStyle name="Comma 8 7 2 2 2 2" xfId="23571" xr:uid="{B8402E89-2F1D-4D53-87C9-E05AA195AF51}"/>
    <cellStyle name="Comma 8 7 2 2 3" xfId="23572" xr:uid="{0AAEEFF8-4E1B-4A36-A61C-DA0F6EB7F757}"/>
    <cellStyle name="Comma 8 7 2 3" xfId="23573" xr:uid="{1D297BD7-1940-4FBB-A970-38AF2DF940A8}"/>
    <cellStyle name="Comma 8 7 2 3 2" xfId="23574" xr:uid="{2CE5B46F-16E5-425D-BC3B-40AA15C762EB}"/>
    <cellStyle name="Comma 8 7 2 3 2 2" xfId="23575" xr:uid="{B0519577-CEB8-436A-9448-0D8879CC7062}"/>
    <cellStyle name="Comma 8 7 2 3 3" xfId="23576" xr:uid="{AD5EF408-A519-4176-B117-61C30B4342F8}"/>
    <cellStyle name="Comma 8 7 2 4" xfId="23577" xr:uid="{D49FEB2D-7CA3-4CD3-982A-17D9DA1E632D}"/>
    <cellStyle name="Comma 8 7 2 4 2" xfId="23578" xr:uid="{1DEF0B45-64E0-43ED-801D-7CF74E59C48C}"/>
    <cellStyle name="Comma 8 7 2 5" xfId="23579" xr:uid="{B1F006FC-98F2-44D1-A0EC-4B1A6B865713}"/>
    <cellStyle name="Comma 8 7 3" xfId="23580" xr:uid="{8A546ACB-2CEE-4825-996B-6E610525C679}"/>
    <cellStyle name="Comma 8 7 3 2" xfId="23581" xr:uid="{0BE423A5-3DBF-4F51-AE43-953DF2E9CA4E}"/>
    <cellStyle name="Comma 8 7 3 2 2" xfId="23582" xr:uid="{7BC74C60-B6CC-43F7-871F-D3EBA218E00C}"/>
    <cellStyle name="Comma 8 7 3 3" xfId="23583" xr:uid="{294A1815-EA49-4813-BB64-AA77BDD53B8D}"/>
    <cellStyle name="Comma 8 7 4" xfId="23584" xr:uid="{1D8C59C0-143A-4157-A682-09518033B7EB}"/>
    <cellStyle name="Comma 8 7 4 2" xfId="23585" xr:uid="{9DC74FC0-F85A-4905-9F45-2F3A160C546C}"/>
    <cellStyle name="Comma 8 7 4 2 2" xfId="23586" xr:uid="{EA921562-A738-488B-8F46-323D13C681A2}"/>
    <cellStyle name="Comma 8 7 4 3" xfId="23587" xr:uid="{A53D53B5-2B61-4CD5-90DA-794B56699F62}"/>
    <cellStyle name="Comma 8 7 5" xfId="23588" xr:uid="{7B7866EF-0739-4A3F-ACF6-E3B54B5C1480}"/>
    <cellStyle name="Comma 8 7 5 2" xfId="23589" xr:uid="{61321D5C-7DBF-462D-AF00-FC3B112169AC}"/>
    <cellStyle name="Comma 8 7 6" xfId="23590" xr:uid="{9357D9FB-57D3-45BC-A801-360A6C658209}"/>
    <cellStyle name="Comma 8 8" xfId="23591" xr:uid="{93E9B709-32A3-4ACA-9ABE-3910D32EFBB3}"/>
    <cellStyle name="Comma 8 8 2" xfId="23592" xr:uid="{0644C35C-485C-41CC-B560-900BFEAC4E48}"/>
    <cellStyle name="Comma 8 8 2 2" xfId="23593" xr:uid="{00639511-26CA-4AB8-9268-7D23FA6138AF}"/>
    <cellStyle name="Comma 8 8 2 2 2" xfId="23594" xr:uid="{3FC7B499-7604-43B2-B48D-1548CE82A303}"/>
    <cellStyle name="Comma 8 8 2 2 2 2" xfId="23595" xr:uid="{689813AB-DE33-4950-9109-AFC581EE8D7B}"/>
    <cellStyle name="Comma 8 8 2 2 3" xfId="23596" xr:uid="{480B2178-9596-4F79-9B29-7E3E41E4967B}"/>
    <cellStyle name="Comma 8 8 2 3" xfId="23597" xr:uid="{52559E86-BEA0-4ECF-8CAC-185D9609536B}"/>
    <cellStyle name="Comma 8 8 2 3 2" xfId="23598" xr:uid="{29EC12C8-DFCF-4408-B23C-A8107E50E03B}"/>
    <cellStyle name="Comma 8 8 2 3 2 2" xfId="23599" xr:uid="{BD2CD126-4623-4151-89DD-D3C440FBAA4E}"/>
    <cellStyle name="Comma 8 8 2 3 3" xfId="23600" xr:uid="{8AF9D3C1-66B5-4A65-8B03-AC4E7C92C924}"/>
    <cellStyle name="Comma 8 8 2 4" xfId="23601" xr:uid="{F7FF4E05-03F9-4AB7-B2D9-00B258230141}"/>
    <cellStyle name="Comma 8 8 2 4 2" xfId="23602" xr:uid="{9CB3E0E5-5D6B-46FD-81A1-E81C917B23C5}"/>
    <cellStyle name="Comma 8 8 2 5" xfId="23603" xr:uid="{76E5AB80-5CA6-4B8E-9116-CBABC6366FF9}"/>
    <cellStyle name="Comma 8 8 3" xfId="23604" xr:uid="{7A919190-EEE2-4F76-B193-669B831B9B4B}"/>
    <cellStyle name="Comma 8 8 3 2" xfId="23605" xr:uid="{A028C5FC-8E86-44CD-BD0B-B050A7152BF2}"/>
    <cellStyle name="Comma 8 8 3 2 2" xfId="23606" xr:uid="{3C43F14B-FE36-4DB9-914F-0A949D7B809E}"/>
    <cellStyle name="Comma 8 8 3 3" xfId="23607" xr:uid="{D9DBCE49-4892-4B5D-9373-E2F78B748608}"/>
    <cellStyle name="Comma 8 8 4" xfId="23608" xr:uid="{73DA109E-D163-40E0-A8B1-79C6DD3C8CD7}"/>
    <cellStyle name="Comma 8 8 4 2" xfId="23609" xr:uid="{DFC7787B-B229-4F6C-861A-00185F3646E0}"/>
    <cellStyle name="Comma 8 8 4 2 2" xfId="23610" xr:uid="{DC4B577B-D8E8-4ABA-B49D-B96C4A4B28EF}"/>
    <cellStyle name="Comma 8 8 4 3" xfId="23611" xr:uid="{3C3011A2-96DF-44CE-8FC7-BFBFF6138367}"/>
    <cellStyle name="Comma 8 8 5" xfId="23612" xr:uid="{D2AE335A-B9F5-4985-BF1B-EA3039EB7EA5}"/>
    <cellStyle name="Comma 8 8 5 2" xfId="23613" xr:uid="{DCE34545-DEF2-4BA5-9145-42B18FFCC354}"/>
    <cellStyle name="Comma 8 8 6" xfId="23614" xr:uid="{284755A5-CDA6-4163-A28D-79CA4302EFFC}"/>
    <cellStyle name="Comma 8 9" xfId="23615" xr:uid="{AFEB12EC-0A3B-42C6-8875-62ED275B3658}"/>
    <cellStyle name="Comma 8 9 2" xfId="23616" xr:uid="{82DBA672-4BD0-475C-8FEE-04E07F576955}"/>
    <cellStyle name="Comma 8 9 2 2" xfId="23617" xr:uid="{FFF90439-9733-4362-B3F5-5789A0501207}"/>
    <cellStyle name="Comma 8 9 2 2 2" xfId="23618" xr:uid="{9EF31296-E5C7-4570-9733-43D67E169DA4}"/>
    <cellStyle name="Comma 8 9 2 2 2 2" xfId="23619" xr:uid="{6D97ECBB-39FC-48D0-A49A-D5BBB2D15CE9}"/>
    <cellStyle name="Comma 8 9 2 2 3" xfId="23620" xr:uid="{91732321-17E1-40A6-9B23-67333873AF67}"/>
    <cellStyle name="Comma 8 9 2 3" xfId="23621" xr:uid="{4EC7367C-07E5-4EF0-95F6-26E0893B0B4E}"/>
    <cellStyle name="Comma 8 9 2 3 2" xfId="23622" xr:uid="{2813F252-C8FF-472B-8FC5-405AA71834DE}"/>
    <cellStyle name="Comma 8 9 2 3 2 2" xfId="23623" xr:uid="{D1F61F44-EAAD-475E-9DCE-51E8EDDA0BF7}"/>
    <cellStyle name="Comma 8 9 2 3 3" xfId="23624" xr:uid="{18AAB6BB-FB70-4675-9BB3-6A43EFCC6C23}"/>
    <cellStyle name="Comma 8 9 2 4" xfId="23625" xr:uid="{6D7C4265-2F08-45B8-9416-6F088DA39CC6}"/>
    <cellStyle name="Comma 8 9 2 4 2" xfId="23626" xr:uid="{B4053067-BA47-4014-8F42-6800EDCF70AF}"/>
    <cellStyle name="Comma 8 9 2 5" xfId="23627" xr:uid="{34B7422B-6366-4253-B6C2-9864516C47F4}"/>
    <cellStyle name="Comma 8 9 3" xfId="23628" xr:uid="{77079368-196A-4DE1-BD30-ADFD372F435D}"/>
    <cellStyle name="Comma 8 9 3 2" xfId="23629" xr:uid="{4E6ACB9C-B249-430C-9200-24B4F19E418B}"/>
    <cellStyle name="Comma 8 9 3 2 2" xfId="23630" xr:uid="{7360FBBC-C344-4EBC-8DDE-22D046786E85}"/>
    <cellStyle name="Comma 8 9 3 3" xfId="23631" xr:uid="{CFB169B5-6F1D-4442-8075-1CA450E31E64}"/>
    <cellStyle name="Comma 8 9 4" xfId="23632" xr:uid="{547DD451-225F-4A69-AABF-D3703C5EF6A9}"/>
    <cellStyle name="Comma 8 9 4 2" xfId="23633" xr:uid="{5AF72003-1478-4A8A-8850-9AE30741C7AC}"/>
    <cellStyle name="Comma 8 9 4 2 2" xfId="23634" xr:uid="{B337820D-4F8A-428D-8FD0-1F0C3C49EB4C}"/>
    <cellStyle name="Comma 8 9 4 3" xfId="23635" xr:uid="{6A338082-D906-4EC4-BCC5-F65327FB3F63}"/>
    <cellStyle name="Comma 8 9 5" xfId="23636" xr:uid="{8BB2C4FE-45E3-41B8-AE57-F0A04D4B0361}"/>
    <cellStyle name="Comma 8 9 5 2" xfId="23637" xr:uid="{9DC4DE21-B6E6-432D-A480-9875EB02FC35}"/>
    <cellStyle name="Comma 8 9 6" xfId="23638" xr:uid="{4EF9DBF9-B663-4B43-AEB9-C275291F379E}"/>
    <cellStyle name="Comma 9" xfId="23639" xr:uid="{0691338A-446B-4124-BAA7-74937CDB7207}"/>
    <cellStyle name="Comma 9 10" xfId="23640" xr:uid="{C037BA70-4C13-4DD5-94CF-224CD86ADA8C}"/>
    <cellStyle name="Comma 9 10 2" xfId="23641" xr:uid="{DF05F5BC-3AE2-48BA-8923-73FB71A61697}"/>
    <cellStyle name="Comma 9 10 2 2" xfId="23642" xr:uid="{D9CE4276-5870-4C19-B904-E3D82E825593}"/>
    <cellStyle name="Comma 9 10 2 2 2" xfId="23643" xr:uid="{7AA5ABBC-1B1D-4EEF-979C-A6BE3B08723F}"/>
    <cellStyle name="Comma 9 10 2 2 2 2" xfId="23644" xr:uid="{6EA29384-C7A8-4CC8-817F-8A2E67ABA7B4}"/>
    <cellStyle name="Comma 9 10 2 2 3" xfId="23645" xr:uid="{038D3C6E-7751-42A1-A5C3-5CB27B0A06D0}"/>
    <cellStyle name="Comma 9 10 2 3" xfId="23646" xr:uid="{8517AFEF-A965-42E7-B4E6-794CFF7AD485}"/>
    <cellStyle name="Comma 9 10 2 3 2" xfId="23647" xr:uid="{5C91E5DE-1098-44C3-850C-70E9F6D4167A}"/>
    <cellStyle name="Comma 9 10 2 3 2 2" xfId="23648" xr:uid="{73D49738-FA06-4917-AC8A-18B30A8FF62F}"/>
    <cellStyle name="Comma 9 10 2 3 3" xfId="23649" xr:uid="{197139D5-D56B-4E61-B323-54DB2786FF49}"/>
    <cellStyle name="Comma 9 10 2 4" xfId="23650" xr:uid="{53C83AD3-1BCF-49BC-B0CA-05E0CB4FC838}"/>
    <cellStyle name="Comma 9 10 2 4 2" xfId="23651" xr:uid="{3DC5A4DB-E07F-4D13-A265-4605A6FBA534}"/>
    <cellStyle name="Comma 9 10 2 5" xfId="23652" xr:uid="{DBD9CBC0-8B20-4334-8EF2-082409E9BAA4}"/>
    <cellStyle name="Comma 9 10 3" xfId="23653" xr:uid="{C4D76B49-E454-4DFB-85CE-B6F0EFE7AFCF}"/>
    <cellStyle name="Comma 9 10 3 2" xfId="23654" xr:uid="{AFAC4C21-70AB-4CAE-A6AA-C2D2D48C6910}"/>
    <cellStyle name="Comma 9 10 3 2 2" xfId="23655" xr:uid="{2B735D4B-1808-4C7B-B9BB-4C00C925758A}"/>
    <cellStyle name="Comma 9 10 3 3" xfId="23656" xr:uid="{FD37F47E-6B90-457F-958F-F71EB630BB48}"/>
    <cellStyle name="Comma 9 10 4" xfId="23657" xr:uid="{2D9A4417-B84C-4CA9-B1E2-A671FF889A04}"/>
    <cellStyle name="Comma 9 10 4 2" xfId="23658" xr:uid="{1B0E9152-E329-4E95-A8E1-8E48BB235EA5}"/>
    <cellStyle name="Comma 9 10 4 2 2" xfId="23659" xr:uid="{A4190031-5D29-4764-B3D5-2E53FFA0F605}"/>
    <cellStyle name="Comma 9 10 4 3" xfId="23660" xr:uid="{34773FEF-579E-48BC-9499-7E6BF9431148}"/>
    <cellStyle name="Comma 9 10 5" xfId="23661" xr:uid="{124F4134-6B3C-4BFA-B9E3-BDB9416FC5EA}"/>
    <cellStyle name="Comma 9 10 5 2" xfId="23662" xr:uid="{FBB2B397-81F7-4410-8E64-2ACB94A07304}"/>
    <cellStyle name="Comma 9 10 6" xfId="23663" xr:uid="{3DF3CB4D-EBDF-4D77-8F6B-3A5CB21BCC32}"/>
    <cellStyle name="Comma 9 11" xfId="23664" xr:uid="{D40432BD-6165-4CA3-9B84-686BD6876641}"/>
    <cellStyle name="Comma 9 11 2" xfId="23665" xr:uid="{B446FE0D-B6AB-48CE-9D22-76075FDB9F73}"/>
    <cellStyle name="Comma 9 11 2 2" xfId="23666" xr:uid="{DA6E47C7-485D-4141-B78E-C59C10FDA66B}"/>
    <cellStyle name="Comma 9 11 2 2 2" xfId="23667" xr:uid="{07BE5BEE-1852-4BFD-A90C-3BE7CAE44689}"/>
    <cellStyle name="Comma 9 11 2 3" xfId="23668" xr:uid="{B016F1BF-DFD2-4984-AAB9-7B9BFE8B85E3}"/>
    <cellStyle name="Comma 9 11 3" xfId="23669" xr:uid="{FFEC4C81-A512-4250-8A73-81AE07765484}"/>
    <cellStyle name="Comma 9 11 3 2" xfId="23670" xr:uid="{D31AED17-ABC6-4D5A-94BB-03BDC2FBDB46}"/>
    <cellStyle name="Comma 9 11 3 2 2" xfId="23671" xr:uid="{6549C248-2054-49A5-A747-46F8E9840E22}"/>
    <cellStyle name="Comma 9 11 3 3" xfId="23672" xr:uid="{7A76C6CD-00BC-458E-9431-19F33427E8E3}"/>
    <cellStyle name="Comma 9 11 4" xfId="23673" xr:uid="{B0DFBFF8-2A82-403C-A76B-2FEAD00A9AB5}"/>
    <cellStyle name="Comma 9 11 4 2" xfId="23674" xr:uid="{E83E350D-02FD-4CA0-8C61-517B238CC16F}"/>
    <cellStyle name="Comma 9 11 5" xfId="23675" xr:uid="{0019DA65-08B5-455C-85E4-51588A444C07}"/>
    <cellStyle name="Comma 9 12" xfId="23676" xr:uid="{AE9253A6-CB89-49A4-96EC-544258FD067B}"/>
    <cellStyle name="Comma 9 12 2" xfId="23677" xr:uid="{68520F8C-454F-4E13-AF4D-8B4AF6C0A794}"/>
    <cellStyle name="Comma 9 12 2 2" xfId="23678" xr:uid="{07846B4F-E4B5-4EFD-B5E9-ED6E37864131}"/>
    <cellStyle name="Comma 9 12 3" xfId="23679" xr:uid="{4330C6E4-C9A1-428D-8A05-EC1532436C37}"/>
    <cellStyle name="Comma 9 13" xfId="23680" xr:uid="{BB17CF67-50BF-4E31-82AD-860AA7076FA4}"/>
    <cellStyle name="Comma 9 13 2" xfId="23681" xr:uid="{5826ACDC-2175-469D-B861-09970E1DE2EF}"/>
    <cellStyle name="Comma 9 13 2 2" xfId="23682" xr:uid="{EC7CDF5E-0575-4833-9EBE-BC1467FD155E}"/>
    <cellStyle name="Comma 9 13 3" xfId="23683" xr:uid="{ADBDFA4C-2DE0-474D-8881-BFED36E20222}"/>
    <cellStyle name="Comma 9 14" xfId="23684" xr:uid="{5A0E7035-4BC3-468D-93BA-13F90CCF0E84}"/>
    <cellStyle name="Comma 9 14 2" xfId="23685" xr:uid="{24EE825F-A60F-4B65-8E98-83A1CBF81093}"/>
    <cellStyle name="Comma 9 15" xfId="23686" xr:uid="{39DEE8E0-7E66-4672-86A3-002FE3608C6C}"/>
    <cellStyle name="Comma 9 2" xfId="23687" xr:uid="{2B20E9AF-DCAC-4A17-9611-8F71D58BD0BB}"/>
    <cellStyle name="Comma 9 2 2" xfId="23688" xr:uid="{4BE50E56-D185-4BA9-A0B6-D1915502D30A}"/>
    <cellStyle name="Comma 9 2 2 2" xfId="23689" xr:uid="{10B792AC-1E18-4113-BA1D-DC6E87867C02}"/>
    <cellStyle name="Comma 9 2 2 2 2" xfId="23690" xr:uid="{EACA2C87-E6A9-4F3A-9DE8-0870C513F085}"/>
    <cellStyle name="Comma 9 2 2 2 2 2" xfId="23691" xr:uid="{008BFA92-C9E9-4131-979B-0EA07B8FC95B}"/>
    <cellStyle name="Comma 9 2 2 2 3" xfId="23692" xr:uid="{1DF33B8D-ACD3-4781-927E-DDDB226A25DE}"/>
    <cellStyle name="Comma 9 2 2 3" xfId="23693" xr:uid="{24EBC52D-EC0C-45CE-9609-53F5DA6180C5}"/>
    <cellStyle name="Comma 9 2 2 3 2" xfId="23694" xr:uid="{01F2930A-634C-49D8-8133-EC8DAD045132}"/>
    <cellStyle name="Comma 9 2 2 3 2 2" xfId="23695" xr:uid="{3BEB0DED-8567-4FAF-BF7A-7C04EA753E68}"/>
    <cellStyle name="Comma 9 2 2 3 3" xfId="23696" xr:uid="{3181ACAC-B396-409F-8EFB-2C1DC3C9D0E3}"/>
    <cellStyle name="Comma 9 2 2 4" xfId="23697" xr:uid="{38801023-BE1D-4894-AB0F-4F9AD03F4E3E}"/>
    <cellStyle name="Comma 9 2 2 4 2" xfId="23698" xr:uid="{73D46C01-9F33-4648-9A83-270F2B48CFC2}"/>
    <cellStyle name="Comma 9 2 2 5" xfId="23699" xr:uid="{8D0DA41F-2180-43CF-90E0-2042BC5578D7}"/>
    <cellStyle name="Comma 9 2 2 6" xfId="38647" xr:uid="{9B97792B-4A87-4E6D-8C59-8CE1328C625F}"/>
    <cellStyle name="Comma 9 2 3" xfId="23700" xr:uid="{F942443E-5BEE-47B7-AAD0-A089FE5D674A}"/>
    <cellStyle name="Comma 9 2 3 2" xfId="23701" xr:uid="{54B51517-863B-48DD-91A8-205FF104E677}"/>
    <cellStyle name="Comma 9 2 3 2 2" xfId="23702" xr:uid="{F33E9D48-4966-4390-BBDF-765654E618F1}"/>
    <cellStyle name="Comma 9 2 3 3" xfId="23703" xr:uid="{27AD5CC6-991C-49A1-BE49-E5CACC8B3DF9}"/>
    <cellStyle name="Comma 9 2 4" xfId="23704" xr:uid="{4AE30558-FAC8-452C-B7CE-513C82AE9864}"/>
    <cellStyle name="Comma 9 2 4 2" xfId="23705" xr:uid="{CC4C140F-2A45-444B-9223-E915D07620CA}"/>
    <cellStyle name="Comma 9 2 4 2 2" xfId="23706" xr:uid="{5888931F-315A-47DA-BADE-18EA112DB5ED}"/>
    <cellStyle name="Comma 9 2 4 3" xfId="23707" xr:uid="{16040D0F-ACBD-43FB-99D3-8E6E3AC23256}"/>
    <cellStyle name="Comma 9 2 5" xfId="23708" xr:uid="{82AE652A-E11D-4637-959E-EBC25DE8E256}"/>
    <cellStyle name="Comma 9 2 5 2" xfId="23709" xr:uid="{21D3E693-3957-4F48-9FB8-3C9F1143413E}"/>
    <cellStyle name="Comma 9 2 6" xfId="23710" xr:uid="{F1523EAB-6EDE-4547-8C69-FA9F0A353F12}"/>
    <cellStyle name="Comma 9 2 7" xfId="38648" xr:uid="{020D4ED8-85BC-4E97-8B2E-3CAB86765DC1}"/>
    <cellStyle name="Comma 9 3" xfId="23711" xr:uid="{5E8D4865-F868-471E-9A21-4B7F837F554E}"/>
    <cellStyle name="Comma 9 3 2" xfId="23712" xr:uid="{B35FB262-A320-4AF7-B316-5D03504AF087}"/>
    <cellStyle name="Comma 9 3 2 2" xfId="23713" xr:uid="{3B30343B-97B6-47DE-A975-AADA89E1EFEE}"/>
    <cellStyle name="Comma 9 3 2 2 2" xfId="23714" xr:uid="{EDB3D23D-3986-47DF-B46F-70A85B29233D}"/>
    <cellStyle name="Comma 9 3 2 2 2 2" xfId="23715" xr:uid="{0EC120AC-9C4C-46B6-A942-974AA842C9F5}"/>
    <cellStyle name="Comma 9 3 2 2 3" xfId="23716" xr:uid="{F422CABF-7E2B-43AF-961B-D909DC17244E}"/>
    <cellStyle name="Comma 9 3 2 3" xfId="23717" xr:uid="{CF73E111-C67A-4F49-A56D-9792BEE25E4B}"/>
    <cellStyle name="Comma 9 3 2 3 2" xfId="23718" xr:uid="{25FB2D44-3C31-4015-90C3-9598B586BBFE}"/>
    <cellStyle name="Comma 9 3 2 3 2 2" xfId="23719" xr:uid="{7D264F32-BFFE-4737-B499-590B015A3843}"/>
    <cellStyle name="Comma 9 3 2 3 3" xfId="23720" xr:uid="{AC0347A1-DF53-4DC7-A2FB-0CA0443CEA3D}"/>
    <cellStyle name="Comma 9 3 2 4" xfId="23721" xr:uid="{BD2B8D65-5C8C-4B2F-9213-B73296D592C7}"/>
    <cellStyle name="Comma 9 3 2 4 2" xfId="23722" xr:uid="{EF98F8A6-AF08-41BF-95A9-B95843374D83}"/>
    <cellStyle name="Comma 9 3 2 5" xfId="23723" xr:uid="{39DF969F-7639-4CA4-9075-6AC22A90C88F}"/>
    <cellStyle name="Comma 9 3 3" xfId="23724" xr:uid="{56BD5448-22FB-4EBD-8475-EAA53017534B}"/>
    <cellStyle name="Comma 9 3 3 2" xfId="23725" xr:uid="{C6953C12-0760-4955-913E-522C8EBB8666}"/>
    <cellStyle name="Comma 9 3 3 2 2" xfId="23726" xr:uid="{86681062-BF25-4CBB-B583-4FB82EC0337E}"/>
    <cellStyle name="Comma 9 3 3 3" xfId="23727" xr:uid="{05CA7F3E-FDC0-4BA8-9CEA-D2031345A2F3}"/>
    <cellStyle name="Comma 9 3 4" xfId="23728" xr:uid="{70B0953E-7902-4858-B404-BFA710BAB1F7}"/>
    <cellStyle name="Comma 9 3 4 2" xfId="23729" xr:uid="{B7AC4D5D-9128-449D-A1AC-7AB039CA83CC}"/>
    <cellStyle name="Comma 9 3 4 2 2" xfId="23730" xr:uid="{A7AC6D75-6DAF-43C0-92FA-8B6085C0F99F}"/>
    <cellStyle name="Comma 9 3 4 3" xfId="23731" xr:uid="{9030651F-19C5-4327-9DC9-08F42AF2AB3D}"/>
    <cellStyle name="Comma 9 3 5" xfId="23732" xr:uid="{C1A6DACD-6B43-4F7D-9ABE-5AB596AB2045}"/>
    <cellStyle name="Comma 9 3 5 2" xfId="23733" xr:uid="{AB177274-0D73-4827-BEE3-1D0555535C40}"/>
    <cellStyle name="Comma 9 3 6" xfId="23734" xr:uid="{2C914731-37D9-4F08-948C-42CB48098A99}"/>
    <cellStyle name="Comma 9 4" xfId="23735" xr:uid="{72AC8B21-C802-45EA-9094-4FF9C186BA81}"/>
    <cellStyle name="Comma 9 4 2" xfId="23736" xr:uid="{EC45015B-C42D-4545-90D3-AD558012AD05}"/>
    <cellStyle name="Comma 9 4 2 2" xfId="23737" xr:uid="{B2F91973-0C32-44FC-9FA6-B895FF6943CC}"/>
    <cellStyle name="Comma 9 4 2 2 2" xfId="23738" xr:uid="{7D1F449F-D224-43EF-A022-66BB0BE45C4C}"/>
    <cellStyle name="Comma 9 4 2 2 2 2" xfId="23739" xr:uid="{39026929-F6D6-457A-8028-6D6815DED2DA}"/>
    <cellStyle name="Comma 9 4 2 2 3" xfId="23740" xr:uid="{BD127C7C-1113-4B5F-8F83-F4BAD67D9AC2}"/>
    <cellStyle name="Comma 9 4 2 3" xfId="23741" xr:uid="{25EF99AB-BD4A-428A-A381-1E7D4D8804C9}"/>
    <cellStyle name="Comma 9 4 2 3 2" xfId="23742" xr:uid="{46561D94-5177-47A3-9E65-BA3A9C24D25C}"/>
    <cellStyle name="Comma 9 4 2 3 2 2" xfId="23743" xr:uid="{B10623CF-6ECE-4EDF-AABA-B01C0CB4930F}"/>
    <cellStyle name="Comma 9 4 2 3 3" xfId="23744" xr:uid="{178FF5D0-DF46-4C6C-A16D-E1B543E1CD4D}"/>
    <cellStyle name="Comma 9 4 2 4" xfId="23745" xr:uid="{A38685F0-7AA0-4C7E-A8DE-7A6E979BC748}"/>
    <cellStyle name="Comma 9 4 2 4 2" xfId="23746" xr:uid="{500265D4-4DD1-4D39-9BA9-01A59D0A00E0}"/>
    <cellStyle name="Comma 9 4 2 5" xfId="23747" xr:uid="{DE53CD4C-CE14-4AA7-AE8C-A5C653B2559A}"/>
    <cellStyle name="Comma 9 4 3" xfId="23748" xr:uid="{56EC0E98-1514-4D3E-A77F-F02CA490D2D0}"/>
    <cellStyle name="Comma 9 4 3 2" xfId="23749" xr:uid="{72EFB09C-77BD-4DCF-84FC-7C9C2F78B6E0}"/>
    <cellStyle name="Comma 9 4 3 2 2" xfId="23750" xr:uid="{F3643423-C1C3-426C-8083-6B009E71325C}"/>
    <cellStyle name="Comma 9 4 3 3" xfId="23751" xr:uid="{D4BFE32F-A6F0-44C4-8A6C-167CC89685CE}"/>
    <cellStyle name="Comma 9 4 4" xfId="23752" xr:uid="{AD4CD14D-0376-44A2-BE11-CA1905621AF8}"/>
    <cellStyle name="Comma 9 4 4 2" xfId="23753" xr:uid="{8059C730-21A1-43FB-8CEE-FBCF39D282A3}"/>
    <cellStyle name="Comma 9 4 4 2 2" xfId="23754" xr:uid="{AE318FD0-F517-4332-B08A-A8DCA382302A}"/>
    <cellStyle name="Comma 9 4 4 3" xfId="23755" xr:uid="{77405EA6-DA9E-44EE-A52F-9B1EF400EA68}"/>
    <cellStyle name="Comma 9 4 5" xfId="23756" xr:uid="{97E346CD-DB61-4B57-9061-211B97FD40DA}"/>
    <cellStyle name="Comma 9 4 5 2" xfId="23757" xr:uid="{6659488F-F609-41A4-8F4F-1B6015BBB445}"/>
    <cellStyle name="Comma 9 4 6" xfId="23758" xr:uid="{4777C6EC-6C25-493C-9ED4-BB51313499D2}"/>
    <cellStyle name="Comma 9 5" xfId="23759" xr:uid="{67D15887-1F2B-4705-A16A-89B38BFC02BC}"/>
    <cellStyle name="Comma 9 5 2" xfId="23760" xr:uid="{50B484F1-A5B1-4616-8DB3-892B5DCF6850}"/>
    <cellStyle name="Comma 9 5 2 2" xfId="23761" xr:uid="{4640B043-ED0F-4AE8-B68B-DA58A40B57B8}"/>
    <cellStyle name="Comma 9 5 2 2 2" xfId="23762" xr:uid="{57AD02F2-E619-4FFD-A265-982E41CCFF1F}"/>
    <cellStyle name="Comma 9 5 2 2 2 2" xfId="23763" xr:uid="{681E0480-A203-47CD-8703-31C72FDED811}"/>
    <cellStyle name="Comma 9 5 2 2 3" xfId="23764" xr:uid="{2FCAEAB4-AABA-481C-81F9-0BEA45FDFED0}"/>
    <cellStyle name="Comma 9 5 2 3" xfId="23765" xr:uid="{31334C51-BCA7-4944-A656-43DA134CB40B}"/>
    <cellStyle name="Comma 9 5 2 3 2" xfId="23766" xr:uid="{9A082709-7D05-424D-BC55-9F48C179919D}"/>
    <cellStyle name="Comma 9 5 2 3 2 2" xfId="23767" xr:uid="{CCE204DC-B038-44FE-8CD4-544F3EB7C5F7}"/>
    <cellStyle name="Comma 9 5 2 3 3" xfId="23768" xr:uid="{E1E73059-4AC1-462E-A13A-480C7F1F91B0}"/>
    <cellStyle name="Comma 9 5 2 4" xfId="23769" xr:uid="{E82E00A6-62B7-4204-B0C1-2352427F4336}"/>
    <cellStyle name="Comma 9 5 2 4 2" xfId="23770" xr:uid="{9B2AC9AC-7F8B-483B-BE79-7BFB8E679F32}"/>
    <cellStyle name="Comma 9 5 2 5" xfId="23771" xr:uid="{6A5FFC3F-3B11-43CF-8192-91D94215F343}"/>
    <cellStyle name="Comma 9 5 3" xfId="23772" xr:uid="{BB1DD4E7-B870-49B9-86D4-1D51157CB775}"/>
    <cellStyle name="Comma 9 5 3 2" xfId="23773" xr:uid="{DFC61AA5-CBFB-44E5-8DD3-81A047FCC30D}"/>
    <cellStyle name="Comma 9 5 3 2 2" xfId="23774" xr:uid="{E94DFBCA-C148-4853-8934-39C6762ACFE4}"/>
    <cellStyle name="Comma 9 5 3 3" xfId="23775" xr:uid="{D7B0D794-5669-4309-9397-964EF6692EF4}"/>
    <cellStyle name="Comma 9 5 4" xfId="23776" xr:uid="{2B9229E4-9F7E-4C08-91EA-F0A74C3774E3}"/>
    <cellStyle name="Comma 9 5 4 2" xfId="23777" xr:uid="{F522EDFA-51FF-4037-89AF-98495BA46D2F}"/>
    <cellStyle name="Comma 9 5 4 2 2" xfId="23778" xr:uid="{FA9039ED-E069-4086-8E51-884016E0C89B}"/>
    <cellStyle name="Comma 9 5 4 3" xfId="23779" xr:uid="{43705FC3-A2EE-4A74-AA19-ED3920C36E16}"/>
    <cellStyle name="Comma 9 5 5" xfId="23780" xr:uid="{7F55B53D-AC3A-4425-A800-EC903755F443}"/>
    <cellStyle name="Comma 9 5 5 2" xfId="23781" xr:uid="{59A601F0-8936-4B92-86C7-36DC7A4BD90C}"/>
    <cellStyle name="Comma 9 5 6" xfId="23782" xr:uid="{278C6ED1-3702-4C09-B1AA-A1CCD802EE66}"/>
    <cellStyle name="Comma 9 6" xfId="23783" xr:uid="{E9707536-A57C-4D23-B177-58F990B00FEB}"/>
    <cellStyle name="Comma 9 6 2" xfId="23784" xr:uid="{9CC6F0C9-0170-4C6F-B00A-2C010B94D68C}"/>
    <cellStyle name="Comma 9 6 2 2" xfId="23785" xr:uid="{0C09ABA4-FAFA-48DA-BDEE-7BB25537C461}"/>
    <cellStyle name="Comma 9 6 2 2 2" xfId="23786" xr:uid="{77DBAAA8-DB0A-4B58-B45D-8F447D1A89FC}"/>
    <cellStyle name="Comma 9 6 2 2 2 2" xfId="23787" xr:uid="{BCD5ADF7-85FD-4EC1-A223-59B2B26F2D48}"/>
    <cellStyle name="Comma 9 6 2 2 3" xfId="23788" xr:uid="{5F3A49AF-F78B-47CE-AD66-5E1824186ED5}"/>
    <cellStyle name="Comma 9 6 2 3" xfId="23789" xr:uid="{2AE6870F-007E-4D64-8CC8-1F13800DDBCD}"/>
    <cellStyle name="Comma 9 6 2 3 2" xfId="23790" xr:uid="{A2D50A2E-FE88-4FB2-94FF-67C1173FF938}"/>
    <cellStyle name="Comma 9 6 2 3 2 2" xfId="23791" xr:uid="{DD75CEA6-FB0B-44A2-BF98-4B2603AB9130}"/>
    <cellStyle name="Comma 9 6 2 3 3" xfId="23792" xr:uid="{4364D1FB-7426-4B96-AC95-957B79D64A66}"/>
    <cellStyle name="Comma 9 6 2 4" xfId="23793" xr:uid="{B9D76F93-A354-475D-BD96-627835F8D4E6}"/>
    <cellStyle name="Comma 9 6 2 4 2" xfId="23794" xr:uid="{FDA18E39-1BCB-4208-B1FE-EF8176610B6F}"/>
    <cellStyle name="Comma 9 6 2 5" xfId="23795" xr:uid="{72A90F73-F153-494E-885C-12823F777520}"/>
    <cellStyle name="Comma 9 6 3" xfId="23796" xr:uid="{A8F30DDB-95BA-47B3-A38F-DB016276D641}"/>
    <cellStyle name="Comma 9 6 3 2" xfId="23797" xr:uid="{92F7C982-13A6-4970-93BB-81F14DEF8DEA}"/>
    <cellStyle name="Comma 9 6 3 2 2" xfId="23798" xr:uid="{FD372704-1E7E-447B-AC95-8446DD653774}"/>
    <cellStyle name="Comma 9 6 3 3" xfId="23799" xr:uid="{520CAC28-0480-4062-8167-D3DFA3C78046}"/>
    <cellStyle name="Comma 9 6 4" xfId="23800" xr:uid="{F4F22480-5B8D-48EA-A6B7-C308407EB7A3}"/>
    <cellStyle name="Comma 9 6 4 2" xfId="23801" xr:uid="{86B74186-F776-4531-BF0E-B5B9071CDC7F}"/>
    <cellStyle name="Comma 9 6 4 2 2" xfId="23802" xr:uid="{5B625E4A-0D7C-46D1-ACCB-8C1B090F16ED}"/>
    <cellStyle name="Comma 9 6 4 3" xfId="23803" xr:uid="{4E8805AA-D892-453E-B006-2ABDE2937080}"/>
    <cellStyle name="Comma 9 6 5" xfId="23804" xr:uid="{AAD547E4-9B0C-4F91-8374-FF08CCCB912E}"/>
    <cellStyle name="Comma 9 6 5 2" xfId="23805" xr:uid="{3D060383-4E53-4BB0-883B-F1ADB7A0C61E}"/>
    <cellStyle name="Comma 9 6 6" xfId="23806" xr:uid="{CC4FE36C-E999-42A3-8F70-E39712297537}"/>
    <cellStyle name="Comma 9 7" xfId="23807" xr:uid="{4775E2B6-B618-4F66-A325-3F2348CDFD20}"/>
    <cellStyle name="Comma 9 7 2" xfId="23808" xr:uid="{0403E395-D2C4-49C6-B671-A99E04E87D8D}"/>
    <cellStyle name="Comma 9 7 2 2" xfId="23809" xr:uid="{23591FB7-FFEB-4D4B-B0EA-A236BCB61D07}"/>
    <cellStyle name="Comma 9 7 2 2 2" xfId="23810" xr:uid="{27DCA252-82FD-4021-8819-F44A69DB0F4C}"/>
    <cellStyle name="Comma 9 7 2 2 2 2" xfId="23811" xr:uid="{255DD6E9-63FD-4D7F-A511-FF04D58DD42D}"/>
    <cellStyle name="Comma 9 7 2 2 3" xfId="23812" xr:uid="{D9FD5812-514B-46B2-B457-9C5DB4AD0366}"/>
    <cellStyle name="Comma 9 7 2 3" xfId="23813" xr:uid="{599A50E4-2048-46CD-90C7-902DFF412896}"/>
    <cellStyle name="Comma 9 7 2 3 2" xfId="23814" xr:uid="{16A6D638-9886-4F49-87D0-C8550DE5A41F}"/>
    <cellStyle name="Comma 9 7 2 3 2 2" xfId="23815" xr:uid="{03BE4010-7C69-4AB5-B257-F7AECC46FAB5}"/>
    <cellStyle name="Comma 9 7 2 3 3" xfId="23816" xr:uid="{D5C2E715-3054-49F7-9D2F-DE239CB44F1E}"/>
    <cellStyle name="Comma 9 7 2 4" xfId="23817" xr:uid="{0693995F-BCF1-428A-9B0B-2E98946575EF}"/>
    <cellStyle name="Comma 9 7 2 4 2" xfId="23818" xr:uid="{3A8CAE7D-7B3F-4491-9003-DB42C9292DCA}"/>
    <cellStyle name="Comma 9 7 2 5" xfId="23819" xr:uid="{BA298318-8CA8-41F5-BBBB-2DD06ECF184E}"/>
    <cellStyle name="Comma 9 7 3" xfId="23820" xr:uid="{41CC0EBF-D68C-4FAA-AAD3-B5151FCAF976}"/>
    <cellStyle name="Comma 9 7 3 2" xfId="23821" xr:uid="{933A1F7A-376D-495C-AB51-1C6AED92ECF5}"/>
    <cellStyle name="Comma 9 7 3 2 2" xfId="23822" xr:uid="{D0DBA246-E6E4-45F9-B220-5570D3F3A117}"/>
    <cellStyle name="Comma 9 7 3 3" xfId="23823" xr:uid="{10081CF7-4193-48DC-80B0-D1B3A20FA7FF}"/>
    <cellStyle name="Comma 9 7 4" xfId="23824" xr:uid="{06E459BC-A5A2-48DC-83EF-6C522C7E4B36}"/>
    <cellStyle name="Comma 9 7 4 2" xfId="23825" xr:uid="{6533A5AA-5EFB-4D0C-8B42-226206426A24}"/>
    <cellStyle name="Comma 9 7 4 2 2" xfId="23826" xr:uid="{7591AD27-1E00-436F-A38D-B834AEC8868D}"/>
    <cellStyle name="Comma 9 7 4 3" xfId="23827" xr:uid="{BF0BEA9D-13B2-4AC0-9D49-73F9B92D2BA1}"/>
    <cellStyle name="Comma 9 7 5" xfId="23828" xr:uid="{8F344671-7FEC-40EE-AD10-639FB66F5F2B}"/>
    <cellStyle name="Comma 9 7 5 2" xfId="23829" xr:uid="{8D5C5C1D-098A-4AF7-B1F2-4F0CE7F8A00D}"/>
    <cellStyle name="Comma 9 7 6" xfId="23830" xr:uid="{49C80244-E988-40CC-93CD-9E76B6181A8A}"/>
    <cellStyle name="Comma 9 8" xfId="23831" xr:uid="{43AF3566-43A5-421D-A6B1-E8701026E3E9}"/>
    <cellStyle name="Comma 9 8 2" xfId="23832" xr:uid="{C89D0399-516A-4DBF-AB42-3D58683C9083}"/>
    <cellStyle name="Comma 9 8 2 2" xfId="23833" xr:uid="{A4764BB8-6811-4BCC-9971-583124BE4EA9}"/>
    <cellStyle name="Comma 9 8 2 2 2" xfId="23834" xr:uid="{E1E269EC-2368-49B2-BCF1-937D366C4015}"/>
    <cellStyle name="Comma 9 8 2 2 2 2" xfId="23835" xr:uid="{EFE5AFF8-4C13-4D46-B02D-9E5FF642FD0E}"/>
    <cellStyle name="Comma 9 8 2 2 3" xfId="23836" xr:uid="{3566C478-2D80-4872-9E5E-E3DCAD22C8B8}"/>
    <cellStyle name="Comma 9 8 2 3" xfId="23837" xr:uid="{FD8A43D5-4F9C-4E07-8E4D-CD0EFD906B0C}"/>
    <cellStyle name="Comma 9 8 2 3 2" xfId="23838" xr:uid="{88B4C5F6-DE05-4AF5-9BAF-8D6125A04DFB}"/>
    <cellStyle name="Comma 9 8 2 3 2 2" xfId="23839" xr:uid="{6B439856-184C-4592-9D59-E655B613EC56}"/>
    <cellStyle name="Comma 9 8 2 3 3" xfId="23840" xr:uid="{B504B521-FADC-4E53-9F29-0D4575AD5CE9}"/>
    <cellStyle name="Comma 9 8 2 4" xfId="23841" xr:uid="{AF1409E4-87BA-4F65-AD9F-8D57FEB86634}"/>
    <cellStyle name="Comma 9 8 2 4 2" xfId="23842" xr:uid="{14A550B4-28AE-49C9-979C-AAF9BFAB05F9}"/>
    <cellStyle name="Comma 9 8 2 5" xfId="23843" xr:uid="{707342DF-8F87-432D-BAEB-68242E0E33BD}"/>
    <cellStyle name="Comma 9 8 3" xfId="23844" xr:uid="{3E912CCB-56B4-4632-A1FF-F980E96517E9}"/>
    <cellStyle name="Comma 9 8 3 2" xfId="23845" xr:uid="{42583183-5016-4A2D-8BBE-2F197FB0FD1A}"/>
    <cellStyle name="Comma 9 8 3 2 2" xfId="23846" xr:uid="{7823713F-7B2D-4674-A1FF-47ECCD87B45A}"/>
    <cellStyle name="Comma 9 8 3 3" xfId="23847" xr:uid="{30BC8C84-DBF1-4BB1-807A-1D2E9FFC064A}"/>
    <cellStyle name="Comma 9 8 4" xfId="23848" xr:uid="{5AC10B3E-B67F-4B14-9A53-3DA7E737D01C}"/>
    <cellStyle name="Comma 9 8 4 2" xfId="23849" xr:uid="{4B2E71A0-11CF-4074-AF48-A8C9D4EC7937}"/>
    <cellStyle name="Comma 9 8 4 2 2" xfId="23850" xr:uid="{A2BA45B3-CEAE-45ED-B408-29DEBB636DF7}"/>
    <cellStyle name="Comma 9 8 4 3" xfId="23851" xr:uid="{35773617-FBC2-43B2-8700-35C40DF3FCF0}"/>
    <cellStyle name="Comma 9 8 5" xfId="23852" xr:uid="{3EB28D09-C139-4518-AB76-613B727C7E13}"/>
    <cellStyle name="Comma 9 8 5 2" xfId="23853" xr:uid="{5C21D424-B86B-4269-BD01-B79C856B939F}"/>
    <cellStyle name="Comma 9 8 6" xfId="23854" xr:uid="{AE5DDFCF-5FA9-431B-97FA-EDDC7A2D4C34}"/>
    <cellStyle name="Comma 9 9" xfId="23855" xr:uid="{F203C0CA-F663-4151-AFA4-F78B0FACCCAB}"/>
    <cellStyle name="Comma 9 9 2" xfId="23856" xr:uid="{FFC4716A-D8B8-4D27-9368-C0394AEAC745}"/>
    <cellStyle name="Comma 9 9 2 2" xfId="23857" xr:uid="{B7EDF959-A756-4DB6-BDA1-522AF6564E8F}"/>
    <cellStyle name="Comma 9 9 2 2 2" xfId="23858" xr:uid="{F2E4E25F-8401-4985-BD7A-929BDD28BB85}"/>
    <cellStyle name="Comma 9 9 2 2 2 2" xfId="23859" xr:uid="{CC3E8190-5884-4863-A72E-22C3E7A37C91}"/>
    <cellStyle name="Comma 9 9 2 2 3" xfId="23860" xr:uid="{115582C0-7AF8-43BF-9677-ED7E81FA66FF}"/>
    <cellStyle name="Comma 9 9 2 3" xfId="23861" xr:uid="{D7A9F641-3DF7-4346-A503-2564CDDE16FE}"/>
    <cellStyle name="Comma 9 9 2 3 2" xfId="23862" xr:uid="{5CF8AB4F-1F4A-4492-B543-D5A0195CF023}"/>
    <cellStyle name="Comma 9 9 2 3 2 2" xfId="23863" xr:uid="{15E88F99-7F15-4111-98F5-E9D9B3B04A48}"/>
    <cellStyle name="Comma 9 9 2 3 3" xfId="23864" xr:uid="{DAAB76A5-18EF-4BD4-A3B0-AA2C73AE86D3}"/>
    <cellStyle name="Comma 9 9 2 4" xfId="23865" xr:uid="{D643089C-989B-4DBC-B407-231940C8F445}"/>
    <cellStyle name="Comma 9 9 2 4 2" xfId="23866" xr:uid="{4B0A3234-BCF2-4B5F-BD38-54C70A3CA197}"/>
    <cellStyle name="Comma 9 9 2 5" xfId="23867" xr:uid="{262EF62C-2238-410D-8216-6C50CE6E5A6F}"/>
    <cellStyle name="Comma 9 9 3" xfId="23868" xr:uid="{ECADBFF9-C4CD-4877-B266-B139C9DEDCF3}"/>
    <cellStyle name="Comma 9 9 3 2" xfId="23869" xr:uid="{C402B557-861D-437F-A0BC-3EC3683E9FA5}"/>
    <cellStyle name="Comma 9 9 3 2 2" xfId="23870" xr:uid="{44A71C00-A236-46B2-B3D6-C21F5CB6D2C4}"/>
    <cellStyle name="Comma 9 9 3 3" xfId="23871" xr:uid="{9B19D220-E74A-4CAD-A106-2B5C6384B943}"/>
    <cellStyle name="Comma 9 9 4" xfId="23872" xr:uid="{7F2B5C84-3C52-4356-9D6C-EE71B9D21D33}"/>
    <cellStyle name="Comma 9 9 4 2" xfId="23873" xr:uid="{8325055F-59D8-43F5-8464-BF48CE709696}"/>
    <cellStyle name="Comma 9 9 4 2 2" xfId="23874" xr:uid="{E5A00A84-8053-488E-87B3-5EF1354B5904}"/>
    <cellStyle name="Comma 9 9 4 3" xfId="23875" xr:uid="{883AEBAB-EB27-4E9B-8156-AB0DF81E77AD}"/>
    <cellStyle name="Comma 9 9 5" xfId="23876" xr:uid="{500E814C-6859-402C-BEB4-30AD579994C9}"/>
    <cellStyle name="Comma 9 9 5 2" xfId="23877" xr:uid="{5FE43275-C369-46C6-8887-5B7D0BB93BB8}"/>
    <cellStyle name="Comma 9 9 6" xfId="23878" xr:uid="{7D380181-B8FD-4465-9B01-244E9736E267}"/>
    <cellStyle name="comma zerodec" xfId="23879" xr:uid="{6D85D394-E7A9-412D-8B06-B9CA8BF85F1B}"/>
    <cellStyle name="Currency" xfId="62" builtinId="4" hidden="1"/>
    <cellStyle name="Currency [0]" xfId="63" builtinId="7" hidden="1"/>
    <cellStyle name="Currency [00]" xfId="23880" xr:uid="{D47B4531-018C-44DA-B00F-B13948C921B7}"/>
    <cellStyle name="Currency 2" xfId="23881" xr:uid="{39C0D0DB-234A-406A-A3EF-82E2315BC98A}"/>
    <cellStyle name="Currency 2 10" xfId="23882" xr:uid="{229AB6C7-451F-4354-ADA8-C360A622F66F}"/>
    <cellStyle name="Currency 2 2" xfId="23883" xr:uid="{52BB3431-7412-4812-9DB8-69FF047DA459}"/>
    <cellStyle name="Currency 2 2 2" xfId="23884" xr:uid="{B00A8C1A-5991-4E38-90C9-40ABA0F4012A}"/>
    <cellStyle name="Currency 2 3" xfId="23885" xr:uid="{6D029C65-93BD-42A6-872B-DE7DE06CCA7B}"/>
    <cellStyle name="Currency 2 4" xfId="23886" xr:uid="{8EAFD862-50EE-4F7C-817D-0F48A91401F4}"/>
    <cellStyle name="Currency 3" xfId="23887" xr:uid="{8C0A4928-CC42-403C-A3B4-9D0FAB33630D}"/>
    <cellStyle name="Currency 3 2" xfId="23888" xr:uid="{AA8B4498-26C4-4501-ADCE-FB0A38491F21}"/>
    <cellStyle name="Currency1" xfId="23889" xr:uid="{491D5510-6A06-4E57-9C22-91AB36F6C82F}"/>
    <cellStyle name="Date" xfId="61" xr:uid="{00000000-0005-0000-0000-000023000000}"/>
    <cellStyle name="Date 2" xfId="23890" xr:uid="{A293E79B-DAF5-4F73-B6F1-2DAF6C48A395}"/>
    <cellStyle name="Date Short" xfId="23891" xr:uid="{51AD13D6-1A73-4697-BB90-789AD1683DC4}"/>
    <cellStyle name="Define your own named style" xfId="23892" xr:uid="{1FA619C7-0B51-4D89-A2DD-06E90520BAB0}"/>
    <cellStyle name="Dezimal [0]_2003 Headcount" xfId="23893" xr:uid="{9A8684D9-AFBD-4122-B96B-DA69AED2816D}"/>
    <cellStyle name="Dezimal_2003 Headcount" xfId="23894" xr:uid="{3D3EAEF0-6D39-41BB-B80A-0C1BF1D0F0EF}"/>
    <cellStyle name="Dollar (zero dec)" xfId="23895" xr:uid="{2DD5DE12-0E10-462C-99F3-9B2833F7D065}"/>
    <cellStyle name="Draw lines around data in range" xfId="23896" xr:uid="{FE917F19-783C-4001-85C8-4E8043A80A36}"/>
    <cellStyle name="Draw shadow and lines within range" xfId="23897" xr:uid="{45BF1A7E-7266-4604-8672-56D6B8408F3D}"/>
    <cellStyle name="Empty_Cell" xfId="2" xr:uid="{00000000-0005-0000-0000-000024000000}"/>
    <cellStyle name="Encadré girs" xfId="23898" xr:uid="{5FA8077F-8F6D-4DED-A7D9-7A81A869B732}"/>
    <cellStyle name="Ênfase1" xfId="23899" xr:uid="{D00866E0-DD74-46F4-8B56-9D232F626E6A}"/>
    <cellStyle name="Ênfase2" xfId="23900" xr:uid="{A4BD53DC-334E-4E22-82A7-164B62E92F3A}"/>
    <cellStyle name="Ênfase3" xfId="23901" xr:uid="{591C2BB4-1441-4678-8B7D-C202DEF7AFE6}"/>
    <cellStyle name="Ênfase4" xfId="23902" xr:uid="{912109B9-C469-4042-B66E-1FAB37267ADA}"/>
    <cellStyle name="Ênfase5" xfId="23903" xr:uid="{32C6655C-5B9E-430B-BD35-D1507950DDED}"/>
    <cellStyle name="Ênfase6" xfId="23904" xr:uid="{0F1C4888-D397-443C-8F53-CADE453BF7C7}"/>
    <cellStyle name="Enlarge title text, yellow on blue" xfId="23905" xr:uid="{A60F8463-908F-4885-9619-2A16CCCD01F2}"/>
    <cellStyle name="Enter Currency (0)" xfId="23906" xr:uid="{45E0AA89-7942-4CAC-97DF-FE3C175394F9}"/>
    <cellStyle name="Enter Currency (2)" xfId="23907" xr:uid="{A364200E-2498-4740-A54D-B9D3AF51F148}"/>
    <cellStyle name="Enter Units (0)" xfId="23908" xr:uid="{525C088E-8012-4B34-9FF5-A53230603437}"/>
    <cellStyle name="Enter Units (1)" xfId="23909" xr:uid="{E0CD19F5-B369-4EB3-AE01-505F170DD843}"/>
    <cellStyle name="Enter Units (2)" xfId="23910" xr:uid="{15AC0340-6D9C-4D00-81DE-9A57E2B00862}"/>
    <cellStyle name="Entrada" xfId="23911" xr:uid="{4E4EF2BB-803F-44FF-8500-8F80399A7871}"/>
    <cellStyle name="Euro" xfId="23912" xr:uid="{987110C4-2563-4363-8D92-B4BEFD5ACB34}"/>
    <cellStyle name="Euro 2" xfId="23913" xr:uid="{A6BA465B-4548-4E9C-BDAE-D826B8C2CE6A}"/>
    <cellStyle name="Explanation" xfId="23914" xr:uid="{0A53A3E3-E697-4FDF-8E70-81E0385BDE2B}"/>
    <cellStyle name="Explanatory Text" xfId="28" builtinId="53" hidden="1"/>
    <cellStyle name="Explanatory Text" xfId="102" builtinId="53" customBuiltin="1"/>
    <cellStyle name="Explanatory Text 10" xfId="23915" xr:uid="{F2341420-2FC0-4DCC-B222-60BD79225797}"/>
    <cellStyle name="Explanatory Text 10 2" xfId="38649" xr:uid="{95730971-9DAB-4DCB-A1FD-E94D1A8E0516}"/>
    <cellStyle name="Explanatory Text 10 3" xfId="38650" xr:uid="{ED7C111D-569F-4C07-89CD-DAB47365C312}"/>
    <cellStyle name="Explanatory Text 100" xfId="23916" xr:uid="{2878AF3C-770C-46E5-BA57-00C6FD948645}"/>
    <cellStyle name="Explanatory Text 101" xfId="23917" xr:uid="{4FF6A44F-80CD-4D36-8B3A-D03FFD9CD224}"/>
    <cellStyle name="Explanatory Text 102" xfId="23918" xr:uid="{1080ED04-94E4-4C63-B4D8-738199DCED98}"/>
    <cellStyle name="Explanatory Text 103" xfId="23919" xr:uid="{30EB0BB4-71E4-482F-855C-C3472654394F}"/>
    <cellStyle name="Explanatory Text 104" xfId="23920" xr:uid="{8863A883-A8FF-4D48-A69B-D3741CBB685B}"/>
    <cellStyle name="Explanatory Text 105" xfId="23921" xr:uid="{1255240D-7274-4223-A46E-01B3BBC5213D}"/>
    <cellStyle name="Explanatory Text 106" xfId="23922" xr:uid="{58DDA7FC-80E6-4374-9515-BEFCBEC03738}"/>
    <cellStyle name="Explanatory Text 107" xfId="23923" xr:uid="{F23EED96-CDC0-453B-9043-71C5EB3E0429}"/>
    <cellStyle name="Explanatory Text 108" xfId="23924" xr:uid="{009CC763-4161-43D9-909E-62C8BC7AC535}"/>
    <cellStyle name="Explanatory Text 109" xfId="23925" xr:uid="{36ACBB2B-A1F9-439D-A71B-A30FA2D881CB}"/>
    <cellStyle name="Explanatory Text 11" xfId="23926" xr:uid="{11B30A66-055B-4DC4-8EAC-B245E161BA0B}"/>
    <cellStyle name="Explanatory Text 11 2" xfId="38651" xr:uid="{2C530CCD-25C2-4A38-BE0A-AB58B14779FC}"/>
    <cellStyle name="Explanatory Text 11 3" xfId="38652" xr:uid="{E2EEA8EB-E9D1-49CE-B457-5EAE79C5EBBE}"/>
    <cellStyle name="Explanatory Text 110" xfId="23927" xr:uid="{FC5B4A9C-CAB8-4665-9E14-47FA2BA5199B}"/>
    <cellStyle name="Explanatory Text 111" xfId="23928" xr:uid="{3D910A2C-BE77-4DBF-9345-C899DFCF4CFC}"/>
    <cellStyle name="Explanatory Text 112" xfId="23929" xr:uid="{3A132211-A9B1-4795-864E-775CA9387845}"/>
    <cellStyle name="Explanatory Text 113" xfId="23930" xr:uid="{B9E25BC9-9A71-4107-9C4A-0336CEDE6525}"/>
    <cellStyle name="Explanatory Text 114" xfId="23931" xr:uid="{03FF4379-9AF3-4E42-8B6B-7790FBB7ED10}"/>
    <cellStyle name="Explanatory Text 115" xfId="23932" xr:uid="{76C37CAA-4C28-4A38-9F21-C4B8D0B42355}"/>
    <cellStyle name="Explanatory Text 116" xfId="23933" xr:uid="{CCB9142E-99D8-4879-BF15-6F2D25E351EE}"/>
    <cellStyle name="Explanatory Text 117" xfId="23934" xr:uid="{5D236C21-3152-41AB-B8E1-2C5E631AC22F}"/>
    <cellStyle name="Explanatory Text 118" xfId="23935" xr:uid="{FC04575D-8F45-4F47-BD53-86BF9B99B771}"/>
    <cellStyle name="Explanatory Text 119" xfId="23936" xr:uid="{38F862EE-63B6-4A20-B071-8E11D94AF51B}"/>
    <cellStyle name="Explanatory Text 12" xfId="23937" xr:uid="{78F39436-9F55-4B40-BA59-627D1AE2CBB0}"/>
    <cellStyle name="Explanatory Text 12 2" xfId="38653" xr:uid="{AE9E5897-1E38-4B3E-BD06-C9F6F2EB302F}"/>
    <cellStyle name="Explanatory Text 12 3" xfId="38654" xr:uid="{2DF80A17-7897-41BB-8D83-07627B1BA94A}"/>
    <cellStyle name="Explanatory Text 120" xfId="23938" xr:uid="{4146626F-41F9-47E7-88BC-9535B2A54B7C}"/>
    <cellStyle name="Explanatory Text 121" xfId="23939" xr:uid="{747AC766-D6D4-477A-96D3-23B7593B1C37}"/>
    <cellStyle name="Explanatory Text 122" xfId="23940" xr:uid="{3A705CD0-830A-4A47-B730-EA8F0FD2F4CC}"/>
    <cellStyle name="Explanatory Text 123" xfId="23941" xr:uid="{2ECF35D2-F43C-4257-B4E4-709B805CD7A0}"/>
    <cellStyle name="Explanatory Text 124" xfId="23942" xr:uid="{CFB13C51-CBCE-45BF-96AB-329E689D8349}"/>
    <cellStyle name="Explanatory Text 125" xfId="23943" xr:uid="{2EE1F8E4-A0AD-40FC-B664-1D1525904254}"/>
    <cellStyle name="Explanatory Text 126" xfId="23944" xr:uid="{8CB5D1CC-97F3-4E3C-9A6D-BB3611D4BCF0}"/>
    <cellStyle name="Explanatory Text 127" xfId="23945" xr:uid="{09932F42-57AC-4CC5-9BD5-1E9D25355DE9}"/>
    <cellStyle name="Explanatory Text 128" xfId="23946" xr:uid="{CA9D2F1E-7BC9-4B48-B0CE-E7F4DCE11FBE}"/>
    <cellStyle name="Explanatory Text 129" xfId="23947" xr:uid="{6F159B27-7CE7-4F39-AED9-E57D9DF33F9E}"/>
    <cellStyle name="Explanatory Text 13" xfId="23948" xr:uid="{3AC3C962-1834-416B-A0B1-FF5833C43576}"/>
    <cellStyle name="Explanatory Text 13 2" xfId="38655" xr:uid="{460BDF09-8BF4-4C6D-8AD1-A34C595BD439}"/>
    <cellStyle name="Explanatory Text 13 3" xfId="38656" xr:uid="{CA343C5C-6C71-4AA5-AD53-86E94D98644E}"/>
    <cellStyle name="Explanatory Text 130" xfId="23949" xr:uid="{C130F447-42F0-4134-9AC4-E8D6C96541B5}"/>
    <cellStyle name="Explanatory Text 131" xfId="23950" xr:uid="{67FB05EB-E766-4A1C-99BD-F5ED96EA6332}"/>
    <cellStyle name="Explanatory Text 132" xfId="23951" xr:uid="{FCE2623B-CA25-494C-916C-79455ECC9200}"/>
    <cellStyle name="Explanatory Text 133" xfId="23952" xr:uid="{95700408-6F02-47F9-826E-630A139C17AA}"/>
    <cellStyle name="Explanatory Text 134" xfId="23953" xr:uid="{FD8214B5-7B3F-486C-813E-BE92F8C9899E}"/>
    <cellStyle name="Explanatory Text 135" xfId="23954" xr:uid="{2ABB9F98-1653-4A02-B926-304B2D3B5AA2}"/>
    <cellStyle name="Explanatory Text 136" xfId="23955" xr:uid="{3D6EDF74-40E4-4766-BB85-7270E23BBCCD}"/>
    <cellStyle name="Explanatory Text 137" xfId="23956" xr:uid="{C0D831F2-DF31-4EC7-A60E-87320F208D23}"/>
    <cellStyle name="Explanatory Text 138" xfId="23957" xr:uid="{988CB5CF-5B50-43BF-9207-F506098CA866}"/>
    <cellStyle name="Explanatory Text 139" xfId="23958" xr:uid="{137912F3-D5E5-43DF-89DF-0DA9B3DC4B5B}"/>
    <cellStyle name="Explanatory Text 14" xfId="23959" xr:uid="{54F305A5-2E64-4246-A125-52C5402C9AF7}"/>
    <cellStyle name="Explanatory Text 14 2" xfId="38657" xr:uid="{08C4C670-916C-4DB7-A27C-9F53E47B5D65}"/>
    <cellStyle name="Explanatory Text 14 3" xfId="38658" xr:uid="{41AD76BF-722B-4CD2-8444-E78B66735CAC}"/>
    <cellStyle name="Explanatory Text 140" xfId="23960" xr:uid="{E9AB5B23-A73C-424B-9019-85885AA38DD4}"/>
    <cellStyle name="Explanatory Text 141" xfId="23961" xr:uid="{7343A848-DDC3-47F0-9286-D43A25ED4ED9}"/>
    <cellStyle name="Explanatory Text 142" xfId="23962" xr:uid="{8363E97E-B61F-443D-99AD-A4994ADA4CA2}"/>
    <cellStyle name="Explanatory Text 143" xfId="23963" xr:uid="{C199FEB5-5753-42AE-B8B6-CEB4B875020A}"/>
    <cellStyle name="Explanatory Text 144" xfId="23964" xr:uid="{763E40D6-7A7F-42A4-A373-E4E5435F846C}"/>
    <cellStyle name="Explanatory Text 145" xfId="23965" xr:uid="{2D9A0A3E-EA4D-4F5C-832F-F1817C9A3F9E}"/>
    <cellStyle name="Explanatory Text 146" xfId="23966" xr:uid="{903BB519-76D7-4CC8-A5ED-4F8743B24D86}"/>
    <cellStyle name="Explanatory Text 147" xfId="23967" xr:uid="{5814F657-E59C-41A6-AC67-A72FB989A1E6}"/>
    <cellStyle name="Explanatory Text 148" xfId="23968" xr:uid="{5A973C27-351E-4C99-931C-A95A9999D5C6}"/>
    <cellStyle name="Explanatory Text 149" xfId="23969" xr:uid="{B922D216-20C2-41CF-BD3E-9D70C82D15C5}"/>
    <cellStyle name="Explanatory Text 15" xfId="23970" xr:uid="{F1F5075F-2B39-4731-83CE-D93F73746F19}"/>
    <cellStyle name="Explanatory Text 15 2" xfId="38659" xr:uid="{71BFADAA-E050-4656-876B-3353C06F6999}"/>
    <cellStyle name="Explanatory Text 15 3" xfId="38660" xr:uid="{CAE785B0-8295-4A02-9660-006D6DA16751}"/>
    <cellStyle name="Explanatory Text 150" xfId="23971" xr:uid="{A1AD69E2-3F96-4E76-906C-E65E3F73250A}"/>
    <cellStyle name="Explanatory Text 151" xfId="23972" xr:uid="{C5D7C9DF-858B-4698-90A5-0D241E25F38D}"/>
    <cellStyle name="Explanatory Text 152" xfId="23973" xr:uid="{CF95B5E3-2842-4C64-9211-D3F93C9E4719}"/>
    <cellStyle name="Explanatory Text 153" xfId="23974" xr:uid="{7C0F30A3-ACC5-49BB-8B71-912104C3E239}"/>
    <cellStyle name="Explanatory Text 154" xfId="23975" xr:uid="{5426933A-9089-4F7A-9A10-1395BFE56511}"/>
    <cellStyle name="Explanatory Text 155" xfId="23976" xr:uid="{55C7EBDD-99D8-4E1E-B638-AF32C77A3E66}"/>
    <cellStyle name="Explanatory Text 156" xfId="23977" xr:uid="{AB2531D5-84F4-4092-AA80-B1A66811727E}"/>
    <cellStyle name="Explanatory Text 157" xfId="23978" xr:uid="{4D57BBB2-1076-49A3-9FB2-152DC10EC1C0}"/>
    <cellStyle name="Explanatory Text 158" xfId="23979" xr:uid="{8B82FEA3-7EDE-464A-ABC6-03382EF772C1}"/>
    <cellStyle name="Explanatory Text 159" xfId="23980" xr:uid="{F8936D7B-97D6-4E98-A5C3-D08764C2AB29}"/>
    <cellStyle name="Explanatory Text 16" xfId="23981" xr:uid="{47A1E800-1FFC-4F6A-AA9E-E77D7D6ECF54}"/>
    <cellStyle name="Explanatory Text 16 2" xfId="38661" xr:uid="{210F5C66-6812-4CAB-8307-D9F32C10011C}"/>
    <cellStyle name="Explanatory Text 16 3" xfId="38662" xr:uid="{131FEC27-2F28-423B-BF7A-D2A17ADAAFA0}"/>
    <cellStyle name="Explanatory Text 160" xfId="23982" xr:uid="{7B0CB652-7993-4A09-AA85-AE1C25CB8DAE}"/>
    <cellStyle name="Explanatory Text 17" xfId="23983" xr:uid="{F4A216A0-85F5-4258-AA18-37DF787E25A3}"/>
    <cellStyle name="Explanatory Text 17 2" xfId="38663" xr:uid="{215E5C8F-E4C4-4F07-946C-FF4EF94365DE}"/>
    <cellStyle name="Explanatory Text 17 3" xfId="38664" xr:uid="{305D22D4-6B3D-4B18-B308-7FEBCFB77CA7}"/>
    <cellStyle name="Explanatory Text 18" xfId="23984" xr:uid="{B661ABCC-3B53-478B-AD3B-F3D3625090FF}"/>
    <cellStyle name="Explanatory Text 18 2" xfId="38665" xr:uid="{D8060DFD-6DF2-4559-A02C-D3467E47D771}"/>
    <cellStyle name="Explanatory Text 18 3" xfId="38666" xr:uid="{7C1B1A82-6314-4321-86D2-3A352BB591EB}"/>
    <cellStyle name="Explanatory Text 19" xfId="23985" xr:uid="{D381DBC7-169F-42E7-8508-99FF30D32AC1}"/>
    <cellStyle name="Explanatory Text 19 2" xfId="38667" xr:uid="{25A075E6-20D8-4DCC-B2AE-A9CF37CCFF54}"/>
    <cellStyle name="Explanatory Text 2" xfId="23986" xr:uid="{0B1C00DD-8896-4A7C-A6AB-D1C80E994912}"/>
    <cellStyle name="Explanatory Text 2 2" xfId="23987" xr:uid="{CDCB3721-0866-4D79-AE3B-3E0EE0323BB6}"/>
    <cellStyle name="Explanatory Text 2 3" xfId="38668" xr:uid="{C3BD0253-9716-4E01-A29A-CF9CA3343E83}"/>
    <cellStyle name="Explanatory Text 2 4" xfId="38669" xr:uid="{995A1520-C4A2-4CA5-8E9C-5EEAECFC220A}"/>
    <cellStyle name="Explanatory Text 2 5" xfId="38670" xr:uid="{6CE1DDD1-A52E-4BAC-B9E7-A5ACEE38C8A2}"/>
    <cellStyle name="Explanatory Text 20" xfId="23988" xr:uid="{5A0CA9C7-0559-469D-AA48-D9FC6B775E2B}"/>
    <cellStyle name="Explanatory Text 20 2" xfId="38671" xr:uid="{20DC71D1-7312-487C-99EE-67BBBF707783}"/>
    <cellStyle name="Explanatory Text 21" xfId="23989" xr:uid="{1FA7CA4E-E988-4ECA-A2CD-DBE83F6FC93B}"/>
    <cellStyle name="Explanatory Text 21 2" xfId="38672" xr:uid="{615834F5-C310-49EB-AECF-83A9115D2B0C}"/>
    <cellStyle name="Explanatory Text 22" xfId="23990" xr:uid="{E523E4EF-4280-42A2-BDF5-A81AABC2F3A8}"/>
    <cellStyle name="Explanatory Text 22 2" xfId="38673" xr:uid="{FCAD7211-8CCE-42FD-BBEC-98C426C4FCE1}"/>
    <cellStyle name="Explanatory Text 23" xfId="23991" xr:uid="{18831AEA-A165-4BFF-A976-4A8F5AA374D4}"/>
    <cellStyle name="Explanatory Text 23 2" xfId="38674" xr:uid="{D7DDCAF7-AB2C-4094-AED2-9E8AD102AC70}"/>
    <cellStyle name="Explanatory Text 24" xfId="23992" xr:uid="{4943A8E1-BBBA-4BCF-9202-756E56B35237}"/>
    <cellStyle name="Explanatory Text 24 2" xfId="38675" xr:uid="{9ECA50AF-F367-4F5C-87EB-6EB9497B5D5B}"/>
    <cellStyle name="Explanatory Text 25" xfId="23993" xr:uid="{AADE3688-AE41-44AF-BBE7-114119D26C73}"/>
    <cellStyle name="Explanatory Text 25 2" xfId="38676" xr:uid="{1876B589-3136-43B0-91F0-E0BC9F943447}"/>
    <cellStyle name="Explanatory Text 26" xfId="23994" xr:uid="{FFB1245F-A4C3-427E-B6AB-3E0651A18703}"/>
    <cellStyle name="Explanatory Text 26 2" xfId="38677" xr:uid="{AA940650-0D67-42CD-A4C7-FB3BAE9849EF}"/>
    <cellStyle name="Explanatory Text 27" xfId="23995" xr:uid="{02C60E4E-857E-492C-B96F-727171F602EC}"/>
    <cellStyle name="Explanatory Text 27 2" xfId="38678" xr:uid="{8D207870-8F58-45A8-9A24-6E4EABEEDAAC}"/>
    <cellStyle name="Explanatory Text 28" xfId="23996" xr:uid="{089DF582-6E94-4C0E-966B-E271573C266D}"/>
    <cellStyle name="Explanatory Text 28 2" xfId="38679" xr:uid="{50AF954E-D204-4FD7-BA98-E65A2F5BECE0}"/>
    <cellStyle name="Explanatory Text 29" xfId="23997" xr:uid="{C052A24C-D1F4-44EC-8D48-6FFA1C91CF5E}"/>
    <cellStyle name="Explanatory Text 29 2" xfId="23998" xr:uid="{6988A54B-F7A6-4E0D-9F18-7E908510C94D}"/>
    <cellStyle name="Explanatory Text 29 3" xfId="38680" xr:uid="{08C21E27-C2EA-42B0-B946-2B7A8A7F7D3D}"/>
    <cellStyle name="Explanatory Text 3" xfId="23999" xr:uid="{551FF3DF-6063-4842-80ED-E384DBCA27DE}"/>
    <cellStyle name="Explanatory Text 3 2" xfId="24000" xr:uid="{08947582-40B7-41AA-ACC8-46532CFE4536}"/>
    <cellStyle name="Explanatory Text 3 3" xfId="38681" xr:uid="{4E9AFECC-3548-4886-B6D6-F7812E640672}"/>
    <cellStyle name="Explanatory Text 3 4" xfId="38682" xr:uid="{C4EB696C-6D1B-44E4-9FF0-0E91558B1D30}"/>
    <cellStyle name="Explanatory Text 30" xfId="24001" xr:uid="{032974C4-10BC-42F9-A681-681183E50A9B}"/>
    <cellStyle name="Explanatory Text 30 2" xfId="38683" xr:uid="{38F41088-8AEB-4285-9400-BF24B7AAACA6}"/>
    <cellStyle name="Explanatory Text 31" xfId="24002" xr:uid="{96E55725-FB0E-40D1-802D-0A55EE6C92D4}"/>
    <cellStyle name="Explanatory Text 32" xfId="24003" xr:uid="{0BB6D540-A3DF-436E-A605-B0391E2F98C6}"/>
    <cellStyle name="Explanatory Text 33" xfId="24004" xr:uid="{2D4D6B56-FEA4-494D-BFC1-296D91C1668C}"/>
    <cellStyle name="Explanatory Text 34" xfId="24005" xr:uid="{70792829-E735-4B62-B165-A92512D78376}"/>
    <cellStyle name="Explanatory Text 35" xfId="24006" xr:uid="{601B2ACC-DE99-457B-8A4A-B5D2B523E00E}"/>
    <cellStyle name="Explanatory Text 36" xfId="24007" xr:uid="{8F3909E0-EFFF-482B-B303-D0469C37BBE5}"/>
    <cellStyle name="Explanatory Text 37" xfId="24008" xr:uid="{D0DE63E6-D02B-4E94-85FC-B9553929F2E8}"/>
    <cellStyle name="Explanatory Text 38" xfId="24009" xr:uid="{9468A111-504C-4F7D-B1DE-D6F43C5232CD}"/>
    <cellStyle name="Explanatory Text 39" xfId="24010" xr:uid="{FDD3B893-4C58-4368-9737-53A14ADEB116}"/>
    <cellStyle name="Explanatory Text 4" xfId="24011" xr:uid="{1B85EE74-DF75-42BD-ACB5-CCA9DD859429}"/>
    <cellStyle name="Explanatory Text 4 2" xfId="38684" xr:uid="{AF867636-5669-4143-B191-B36370220D98}"/>
    <cellStyle name="Explanatory Text 4 3" xfId="38685" xr:uid="{34F3074E-4BE8-461D-9293-0B81FB6B05D0}"/>
    <cellStyle name="Explanatory Text 40" xfId="24012" xr:uid="{439A64B5-66FA-4E0B-A415-9D1237A89C14}"/>
    <cellStyle name="Explanatory Text 41" xfId="24013" xr:uid="{58DEAB3D-ED72-4AE3-8D28-EED8AF9176A7}"/>
    <cellStyle name="Explanatory Text 42" xfId="24014" xr:uid="{46762FB7-468F-4E69-99C5-95AAAAAF2082}"/>
    <cellStyle name="Explanatory Text 43" xfId="24015" xr:uid="{DD23F0FF-841B-44D7-978D-29A054A58287}"/>
    <cellStyle name="Explanatory Text 44" xfId="24016" xr:uid="{226DC4E2-83A4-4AAA-A07D-F8E3826B915E}"/>
    <cellStyle name="Explanatory Text 45" xfId="24017" xr:uid="{06D58114-BAE4-4CE0-9669-BB0C21E39C6C}"/>
    <cellStyle name="Explanatory Text 46" xfId="24018" xr:uid="{BDF5BA49-5DE7-4E1E-B7A8-7624D97E8782}"/>
    <cellStyle name="Explanatory Text 47" xfId="24019" xr:uid="{6EFEC810-424F-4200-B3C6-ADC7E4EEA330}"/>
    <cellStyle name="Explanatory Text 48" xfId="24020" xr:uid="{6ABF7E4F-A708-4333-B40F-664140482E23}"/>
    <cellStyle name="Explanatory Text 49" xfId="24021" xr:uid="{082C8E7F-76F9-413D-B5C3-C5E983D7E391}"/>
    <cellStyle name="Explanatory Text 5" xfId="24022" xr:uid="{44913C59-D3F8-4449-9573-087EA485E6C4}"/>
    <cellStyle name="Explanatory Text 5 2" xfId="38686" xr:uid="{1097570A-59B5-429E-8FC8-32845897DB51}"/>
    <cellStyle name="Explanatory Text 5 3" xfId="38687" xr:uid="{F500087A-D534-4432-BB37-2A7CCA47AC3A}"/>
    <cellStyle name="Explanatory Text 50" xfId="24023" xr:uid="{478366A0-475A-4B9F-B57A-9F37EC2FFE40}"/>
    <cellStyle name="Explanatory Text 51" xfId="24024" xr:uid="{A6705997-889B-4AB8-BE06-D1255DAAFBD2}"/>
    <cellStyle name="Explanatory Text 52" xfId="24025" xr:uid="{471AA5B3-C55B-44D1-9CFB-CCC190B21C5F}"/>
    <cellStyle name="Explanatory Text 53" xfId="24026" xr:uid="{52534A58-89F9-4393-91E8-93DBD7AC4492}"/>
    <cellStyle name="Explanatory Text 54" xfId="24027" xr:uid="{C3134D52-2C99-4CC5-BFF0-0ADAC5F965E9}"/>
    <cellStyle name="Explanatory Text 55" xfId="24028" xr:uid="{C5966619-35A7-4E17-B23B-994A97F56CD7}"/>
    <cellStyle name="Explanatory Text 56" xfId="24029" xr:uid="{3B472C29-7657-40F3-B37D-3F025AC77043}"/>
    <cellStyle name="Explanatory Text 57" xfId="24030" xr:uid="{5A191B8A-6B8C-43CA-9912-3DD0FEB189E2}"/>
    <cellStyle name="Explanatory Text 58" xfId="24031" xr:uid="{2D991B8E-0043-4354-961D-E2F97895E103}"/>
    <cellStyle name="Explanatory Text 59" xfId="24032" xr:uid="{24F73E6A-C801-46E6-A677-0E62C826612A}"/>
    <cellStyle name="Explanatory Text 6" xfId="24033" xr:uid="{11B4FD9A-2863-4F16-B767-A87567FCF657}"/>
    <cellStyle name="Explanatory Text 6 2" xfId="38688" xr:uid="{571DF2A8-A117-4504-B7C1-DCBD80255CFA}"/>
    <cellStyle name="Explanatory Text 6 3" xfId="38689" xr:uid="{14B65D78-BC40-42F0-9BAD-B9A82643AB41}"/>
    <cellStyle name="Explanatory Text 60" xfId="24034" xr:uid="{4D144CAA-6854-4763-B4F4-A9F9143EB17C}"/>
    <cellStyle name="Explanatory Text 61" xfId="24035" xr:uid="{15CDBC78-E927-44EF-AAD3-1D6D8D4035FC}"/>
    <cellStyle name="Explanatory Text 62" xfId="24036" xr:uid="{87CE3805-DBC9-4C4C-B805-64A3CF81A547}"/>
    <cellStyle name="Explanatory Text 63" xfId="24037" xr:uid="{731E87D3-A375-487C-AEFB-D81739401451}"/>
    <cellStyle name="Explanatory Text 64" xfId="24038" xr:uid="{B7C950BB-016C-40AC-BC07-AAF0684C0239}"/>
    <cellStyle name="Explanatory Text 65" xfId="24039" xr:uid="{1A918F8B-E35A-4C44-A90E-F2D3974D2E04}"/>
    <cellStyle name="Explanatory Text 66" xfId="24040" xr:uid="{14DC2C97-91BB-4CD7-9C1A-C9C0F4E4F314}"/>
    <cellStyle name="Explanatory Text 67" xfId="24041" xr:uid="{9D5BA712-9D5C-4F95-984D-25A31A9A6B6C}"/>
    <cellStyle name="Explanatory Text 68" xfId="24042" xr:uid="{0894A37C-855B-4757-995C-CF523D6B150A}"/>
    <cellStyle name="Explanatory Text 69" xfId="24043" xr:uid="{D87D6D16-0198-4426-878F-271001D16BDD}"/>
    <cellStyle name="Explanatory Text 7" xfId="24044" xr:uid="{C43778B5-8F10-423C-8D23-650AA8AA5400}"/>
    <cellStyle name="Explanatory Text 7 2" xfId="38690" xr:uid="{F6002D41-44B2-4BD5-8A7F-8D1B2158B9E9}"/>
    <cellStyle name="Explanatory Text 7 3" xfId="38691" xr:uid="{4FB1F3AF-30D5-4B36-AC49-A61EAC06389E}"/>
    <cellStyle name="Explanatory Text 70" xfId="24045" xr:uid="{FC2A853B-910A-4D3C-935F-A7E1676E0A53}"/>
    <cellStyle name="Explanatory Text 71" xfId="24046" xr:uid="{317A12DA-A20B-4867-9676-187C5DDE7C87}"/>
    <cellStyle name="Explanatory Text 72" xfId="24047" xr:uid="{869E010D-9726-4EDB-84AB-62FF3B13A00D}"/>
    <cellStyle name="Explanatory Text 73" xfId="24048" xr:uid="{B08642A4-A619-46BB-A128-9F9E11A280B0}"/>
    <cellStyle name="Explanatory Text 74" xfId="24049" xr:uid="{F7F7668E-CAC3-46EC-8C60-EBFA9929DDE5}"/>
    <cellStyle name="Explanatory Text 75" xfId="24050" xr:uid="{6975C652-9D34-43CC-BA04-B4D79843B4E4}"/>
    <cellStyle name="Explanatory Text 76" xfId="24051" xr:uid="{C6EBA5B1-EBF9-4084-9FCC-6CF5E228F730}"/>
    <cellStyle name="Explanatory Text 77" xfId="24052" xr:uid="{49740FB1-F1A0-4631-A1CA-590229401D16}"/>
    <cellStyle name="Explanatory Text 78" xfId="24053" xr:uid="{2DE22ADF-3138-40E9-A3D0-BBA7906947E7}"/>
    <cellStyle name="Explanatory Text 79" xfId="24054" xr:uid="{DBB523B2-D0AF-459E-9305-E2A157BE93ED}"/>
    <cellStyle name="Explanatory Text 8" xfId="24055" xr:uid="{30E27C9C-4C4D-4951-A5C1-5C22DC4FA1B8}"/>
    <cellStyle name="Explanatory Text 8 2" xfId="38692" xr:uid="{EABF427B-657E-4151-91D0-D7045FF3991B}"/>
    <cellStyle name="Explanatory Text 8 3" xfId="38693" xr:uid="{C2EECE5C-8C65-49EF-A4ED-D6AD27991BDA}"/>
    <cellStyle name="Explanatory Text 80" xfId="24056" xr:uid="{A6D54BEB-507E-4306-8A88-572406748F18}"/>
    <cellStyle name="Explanatory Text 81" xfId="24057" xr:uid="{D88A642F-8C61-417C-B368-69B8BA0FA3BB}"/>
    <cellStyle name="Explanatory Text 82" xfId="24058" xr:uid="{DE6DF1C3-8D83-4CE5-8A19-F546A5E37FE6}"/>
    <cellStyle name="Explanatory Text 83" xfId="24059" xr:uid="{370CA02B-F817-43B6-824A-09CD501C2FAE}"/>
    <cellStyle name="Explanatory Text 84" xfId="24060" xr:uid="{09C0CC8C-B058-4869-8D9A-CD833AE6E949}"/>
    <cellStyle name="Explanatory Text 85" xfId="24061" xr:uid="{5D69B6DE-DA1F-42EE-A81C-0C8431C8949D}"/>
    <cellStyle name="Explanatory Text 86" xfId="24062" xr:uid="{F0FF88B1-B207-4CE7-A88C-CF4BBB13D299}"/>
    <cellStyle name="Explanatory Text 87" xfId="24063" xr:uid="{AEBB31B2-C5C9-45C1-9F6C-A4B89C2CD984}"/>
    <cellStyle name="Explanatory Text 88" xfId="24064" xr:uid="{59C3622F-28CC-4B22-ABDA-2200D0756A3D}"/>
    <cellStyle name="Explanatory Text 89" xfId="24065" xr:uid="{426AB11C-088D-4659-A577-C205A8983068}"/>
    <cellStyle name="Explanatory Text 9" xfId="24066" xr:uid="{704584C6-D0E7-407C-9846-7C2D32CAB77B}"/>
    <cellStyle name="Explanatory Text 9 2" xfId="38694" xr:uid="{EE365C09-7544-470D-90B3-771451AAF409}"/>
    <cellStyle name="Explanatory Text 9 3" xfId="38695" xr:uid="{1586F2CA-EDCD-41C6-B403-EB205FF6ED20}"/>
    <cellStyle name="Explanatory Text 90" xfId="24067" xr:uid="{17E416D3-C204-418D-B9BC-543647A4E55D}"/>
    <cellStyle name="Explanatory Text 91" xfId="24068" xr:uid="{F9408FC5-4935-471F-B67D-96D82155A9D2}"/>
    <cellStyle name="Explanatory Text 92" xfId="24069" xr:uid="{AD2DE989-FD85-4F04-8ED8-82DF4E2079BE}"/>
    <cellStyle name="Explanatory Text 93" xfId="24070" xr:uid="{1009DF0B-C5E3-4D04-B0A9-1702335AD55C}"/>
    <cellStyle name="Explanatory Text 94" xfId="24071" xr:uid="{F1E5B18F-AFDD-480E-A732-5707C4E389FC}"/>
    <cellStyle name="Explanatory Text 95" xfId="24072" xr:uid="{9759517C-AE0B-4210-84E7-BB3C6E05D3A5}"/>
    <cellStyle name="Explanatory Text 96" xfId="24073" xr:uid="{269DCCF3-495E-4F6E-811F-374FE744E805}"/>
    <cellStyle name="Explanatory Text 97" xfId="24074" xr:uid="{78FD920F-82B8-47CB-B756-D2266318D043}"/>
    <cellStyle name="Explanatory Text 98" xfId="24075" xr:uid="{0239C5CA-87C2-4C89-B72B-B5A9CD324B96}"/>
    <cellStyle name="Explanatory Text 99" xfId="24076" xr:uid="{66AE3CD0-18BD-4264-9451-89F0C94DAFC2}"/>
    <cellStyle name="Fixed" xfId="24077" xr:uid="{4B9AD103-78C5-4EA5-9E09-FB150D01C042}"/>
    <cellStyle name="Flag" xfId="3" xr:uid="{00000000-0005-0000-0000-000026000000}"/>
    <cellStyle name="Format a column of totals" xfId="24078" xr:uid="{EC047B78-4C88-495D-B3EA-8F41F3F18025}"/>
    <cellStyle name="Format a row of totals" xfId="24079" xr:uid="{78D6DDBD-1B3C-41BD-8EA4-B585FBCD05EC}"/>
    <cellStyle name="Format text as bold, black on yellow" xfId="24080" xr:uid="{5DBB2F09-1540-495D-8212-4D54AF968C87}"/>
    <cellStyle name="General" xfId="24081" xr:uid="{AA6DBC31-D55D-479C-B6D2-4A1713242FB8}"/>
    <cellStyle name="Good" xfId="20" builtinId="26" hidden="1"/>
    <cellStyle name="Good" xfId="92" builtinId="26" customBuiltin="1"/>
    <cellStyle name="Good 10" xfId="24082" xr:uid="{4DB88CE5-5638-4F57-9719-30374F1204C6}"/>
    <cellStyle name="Good 10 2" xfId="38696" xr:uid="{D702C56C-FA84-4C2D-A7F2-17182B5839ED}"/>
    <cellStyle name="Good 10 3" xfId="38697" xr:uid="{10C562D3-4A76-4B13-8F4C-CB68561AECB8}"/>
    <cellStyle name="Good 100" xfId="24083" xr:uid="{EDF41E25-657C-4305-8657-E4657F95C062}"/>
    <cellStyle name="Good 101" xfId="24084" xr:uid="{2C023CD3-E356-48A7-9AA2-BE588874056F}"/>
    <cellStyle name="Good 102" xfId="24085" xr:uid="{D236A3BA-8444-45B7-B540-484423319B65}"/>
    <cellStyle name="Good 103" xfId="24086" xr:uid="{686975B1-3CF9-454D-A87B-C92ED59EA475}"/>
    <cellStyle name="Good 104" xfId="24087" xr:uid="{79A626F0-768E-4A93-BDC9-E7425F4F4451}"/>
    <cellStyle name="Good 105" xfId="24088" xr:uid="{BDDA8D9D-90BB-49ED-9F23-040559752E39}"/>
    <cellStyle name="Good 106" xfId="24089" xr:uid="{5B53E388-91C8-4259-827B-A3DFC51647F2}"/>
    <cellStyle name="Good 107" xfId="24090" xr:uid="{7991ABA3-E540-40C5-BF00-DA36AC4E18CC}"/>
    <cellStyle name="Good 108" xfId="24091" xr:uid="{078DC601-71F7-4B10-BFCA-D8A945C050CF}"/>
    <cellStyle name="Good 109" xfId="24092" xr:uid="{2F80C7E6-46A4-4F3F-A47E-30A96A3EA224}"/>
    <cellStyle name="Good 11" xfId="24093" xr:uid="{CD8E4376-6612-431F-8359-F76AC904D264}"/>
    <cellStyle name="Good 11 2" xfId="38698" xr:uid="{A97E76A2-F103-4117-9D12-B5D0FEA2EB87}"/>
    <cellStyle name="Good 11 3" xfId="38699" xr:uid="{9E74483C-2233-4F3F-9686-DFAF2CED2039}"/>
    <cellStyle name="Good 110" xfId="24094" xr:uid="{D03D243E-C158-4B21-9C49-41F607989440}"/>
    <cellStyle name="Good 111" xfId="24095" xr:uid="{B471B493-B92E-4324-9366-9DE5BC6639B2}"/>
    <cellStyle name="Good 112" xfId="24096" xr:uid="{CBAB2313-05F8-452F-ADAA-B86482B331BC}"/>
    <cellStyle name="Good 113" xfId="24097" xr:uid="{C0C4F072-ACB0-4215-8B56-8DC918E3E4CC}"/>
    <cellStyle name="Good 114" xfId="24098" xr:uid="{2888CBF2-1B2E-4BE9-B182-08F9B1B384FA}"/>
    <cellStyle name="Good 115" xfId="24099" xr:uid="{5FB76459-0CF7-4B50-B220-3AC3EF137B43}"/>
    <cellStyle name="Good 116" xfId="24100" xr:uid="{6E611958-F476-4CBE-B467-D2D241BB1BFF}"/>
    <cellStyle name="Good 117" xfId="24101" xr:uid="{E9BF7B40-CF1E-404E-9872-482CFEF431F2}"/>
    <cellStyle name="Good 118" xfId="24102" xr:uid="{22524F28-78E9-4C3C-95B8-0690B1AAA907}"/>
    <cellStyle name="Good 119" xfId="24103" xr:uid="{B47AB262-313A-428D-928F-81712B9C17B5}"/>
    <cellStyle name="Good 12" xfId="24104" xr:uid="{9AABA650-7A13-4B1D-B613-91E7720D8929}"/>
    <cellStyle name="Good 12 2" xfId="38700" xr:uid="{079A001B-7700-4BF7-985F-16E9BA7320D5}"/>
    <cellStyle name="Good 12 3" xfId="38701" xr:uid="{873A12A7-EB0A-4AFF-962F-238617FA4383}"/>
    <cellStyle name="Good 120" xfId="24105" xr:uid="{8C999EFA-1BAB-4F80-8D04-F066D6070B8B}"/>
    <cellStyle name="Good 121" xfId="24106" xr:uid="{990A211E-1372-4F44-9368-B14A0DACCA69}"/>
    <cellStyle name="Good 122" xfId="24107" xr:uid="{65D3D617-E682-4494-BE50-B7A2E752521A}"/>
    <cellStyle name="Good 123" xfId="24108" xr:uid="{9E2DAECF-1C53-4E95-A90C-0D4B72676FEF}"/>
    <cellStyle name="Good 124" xfId="24109" xr:uid="{B1C03644-189C-4D5C-9F17-1BFA10B6270B}"/>
    <cellStyle name="Good 125" xfId="24110" xr:uid="{40BA03E6-6701-4B86-B852-B48E6BD98D93}"/>
    <cellStyle name="Good 126" xfId="24111" xr:uid="{50A39964-728E-4122-9E74-552F3B031C2B}"/>
    <cellStyle name="Good 127" xfId="24112" xr:uid="{97AA8FB8-DE88-4934-8017-674383814E9D}"/>
    <cellStyle name="Good 128" xfId="24113" xr:uid="{98D1CB57-0AF0-4295-85E9-CBC89F3654B4}"/>
    <cellStyle name="Good 129" xfId="24114" xr:uid="{D061805D-2072-4B08-ABC8-ECA937B10820}"/>
    <cellStyle name="Good 13" xfId="24115" xr:uid="{586D6621-FD55-422B-83BA-10ACE1BAD629}"/>
    <cellStyle name="Good 13 2" xfId="38702" xr:uid="{A9BE3A0B-81E0-40B9-8FCF-1D6542A3C238}"/>
    <cellStyle name="Good 13 3" xfId="38703" xr:uid="{DE6BC246-BB84-4CD4-AB8A-142074B4BD15}"/>
    <cellStyle name="Good 130" xfId="24116" xr:uid="{5D24C0F4-9F0A-42F6-B996-0CB97C9DA0DC}"/>
    <cellStyle name="Good 131" xfId="24117" xr:uid="{A07924AE-43EE-44BC-B7EF-F3DB63AB4987}"/>
    <cellStyle name="Good 132" xfId="24118" xr:uid="{0B72755C-AE22-4009-95C1-8C7A74E5C12E}"/>
    <cellStyle name="Good 133" xfId="24119" xr:uid="{74ECDE3E-AE2F-4904-BC18-CD43984EC156}"/>
    <cellStyle name="Good 134" xfId="24120" xr:uid="{85927D82-5D90-47B9-9B8A-42AF0F3804DD}"/>
    <cellStyle name="Good 135" xfId="24121" xr:uid="{0D3BA8CE-F355-422B-8F88-97311092C19A}"/>
    <cellStyle name="Good 136" xfId="24122" xr:uid="{D76C29C8-99DF-4AD7-8DC7-DD074F07DF7D}"/>
    <cellStyle name="Good 137" xfId="24123" xr:uid="{2B10CF5D-B863-4BE6-A27A-CE8E9FC414E3}"/>
    <cellStyle name="Good 138" xfId="24124" xr:uid="{906D35A0-84D2-45C1-AC56-5004BFFABEC3}"/>
    <cellStyle name="Good 139" xfId="24125" xr:uid="{7F1F77E4-FAE3-4F8D-806C-02F003FCDDED}"/>
    <cellStyle name="Good 14" xfId="24126" xr:uid="{6608B2C7-B27B-404E-AE37-61C2F89BB8A0}"/>
    <cellStyle name="Good 14 2" xfId="38704" xr:uid="{FE48617E-A6A5-4B0D-8221-288BEB55A15E}"/>
    <cellStyle name="Good 14 3" xfId="38705" xr:uid="{33BD8594-EBBA-4E85-8515-80C52782024C}"/>
    <cellStyle name="Good 140" xfId="24127" xr:uid="{F2B557D9-E51E-47B3-B6E4-E4FB95B39661}"/>
    <cellStyle name="Good 141" xfId="24128" xr:uid="{834593AE-0822-4D06-9EFE-027BC6BA4C94}"/>
    <cellStyle name="Good 142" xfId="24129" xr:uid="{F11CBB7F-DB53-4170-97C3-87C2F3C0A3BA}"/>
    <cellStyle name="Good 143" xfId="24130" xr:uid="{03F8ED45-C99D-4DE1-ACBF-8C7A31C637C7}"/>
    <cellStyle name="Good 144" xfId="24131" xr:uid="{61965A3D-223C-4ED3-870A-93FC5A886A07}"/>
    <cellStyle name="Good 145" xfId="24132" xr:uid="{B0F993D2-F988-4161-B893-371A43B69C12}"/>
    <cellStyle name="Good 146" xfId="24133" xr:uid="{E4E71799-9356-4A21-8B14-58685E36E1DD}"/>
    <cellStyle name="Good 147" xfId="24134" xr:uid="{4F42DE82-0F58-469D-BD8E-3C2461F73953}"/>
    <cellStyle name="Good 148" xfId="24135" xr:uid="{E1762147-FB83-4822-8DE8-CB0B8996DC33}"/>
    <cellStyle name="Good 149" xfId="24136" xr:uid="{25195CCB-5052-49BD-B9D6-2AB289757624}"/>
    <cellStyle name="Good 15" xfId="24137" xr:uid="{7B7B075E-8DC7-43EA-A672-2FB5070F4732}"/>
    <cellStyle name="Good 15 2" xfId="38706" xr:uid="{B4733A20-1CEF-41B4-8696-844AF6667496}"/>
    <cellStyle name="Good 15 3" xfId="38707" xr:uid="{26F2FF9A-3EC4-4292-9B6B-6426C4A183EA}"/>
    <cellStyle name="Good 150" xfId="24138" xr:uid="{9E8777DB-F524-4FAC-B618-A2B801E83292}"/>
    <cellStyle name="Good 151" xfId="24139" xr:uid="{AC3FB974-3F30-4469-B552-92DEE0DF7964}"/>
    <cellStyle name="Good 152" xfId="24140" xr:uid="{749D12A0-11C4-4351-9A56-91A2C25DB5C4}"/>
    <cellStyle name="Good 153" xfId="24141" xr:uid="{4FC19D69-A4A3-4059-9B8F-651A570CFBC5}"/>
    <cellStyle name="Good 154" xfId="24142" xr:uid="{E0FDE23A-49DE-4302-A3A0-4328186D1CFF}"/>
    <cellStyle name="Good 155" xfId="24143" xr:uid="{0E800012-740A-40B6-865D-15BA26E70BDC}"/>
    <cellStyle name="Good 156" xfId="24144" xr:uid="{01E1549E-E67A-41DE-9CAC-FBEEE7CC141B}"/>
    <cellStyle name="Good 157" xfId="24145" xr:uid="{74E83F94-E7AF-46FD-8516-9824914A5AA5}"/>
    <cellStyle name="Good 158" xfId="24146" xr:uid="{24BAB6EB-0812-4E86-B9E0-5C7EA18AF4C5}"/>
    <cellStyle name="Good 159" xfId="24147" xr:uid="{702F000F-615F-4474-8B46-E91DE2512AA0}"/>
    <cellStyle name="Good 16" xfId="24148" xr:uid="{806876CA-B4E6-4DB1-8772-4EF57598E34B}"/>
    <cellStyle name="Good 16 2" xfId="38708" xr:uid="{A1284E8D-0CB7-4D33-8822-68B7A26DBAB3}"/>
    <cellStyle name="Good 16 3" xfId="38709" xr:uid="{CA8DE27E-FC76-4C1C-ACAB-618E2B05F1A2}"/>
    <cellStyle name="Good 160" xfId="24149" xr:uid="{82399204-B081-479A-B008-6D8AB8A1E6F8}"/>
    <cellStyle name="Good 17" xfId="24150" xr:uid="{6291990F-B1CC-4F30-BF97-76EC53CA53A0}"/>
    <cellStyle name="Good 17 2" xfId="38710" xr:uid="{E9880C15-92FB-4AAC-AEBC-D58F698E7FAC}"/>
    <cellStyle name="Good 17 3" xfId="38711" xr:uid="{92B420F7-B4F2-4AED-9220-FE87497DE3D6}"/>
    <cellStyle name="Good 18" xfId="24151" xr:uid="{C481B648-4C26-4512-94D6-114AF9D3D0B2}"/>
    <cellStyle name="Good 18 2" xfId="38712" xr:uid="{2319DC2E-A806-4CEB-A825-119BFAC7FB87}"/>
    <cellStyle name="Good 18 3" xfId="38713" xr:uid="{E8A3CEA8-B0B1-4623-9A16-0596B8D69FAD}"/>
    <cellStyle name="Good 19" xfId="24152" xr:uid="{50E01F49-39A7-4B84-921B-8456B3DE968C}"/>
    <cellStyle name="Good 19 2" xfId="38714" xr:uid="{DC10AF24-E080-4238-9E5B-061FF49C33EF}"/>
    <cellStyle name="Good 2" xfId="24153" xr:uid="{D72E152F-3A7E-4406-A202-39785411F290}"/>
    <cellStyle name="Good 2 2" xfId="24154" xr:uid="{D7BB2891-2935-44AD-B1D5-DE6FD048AF66}"/>
    <cellStyle name="Good 2 3" xfId="38715" xr:uid="{E8549EF9-811D-429B-BE15-458760909067}"/>
    <cellStyle name="Good 2 4" xfId="38716" xr:uid="{19BCFAC4-8A9D-4FE0-99EF-FFA6213DFD8F}"/>
    <cellStyle name="Good 2 5" xfId="38717" xr:uid="{638492A1-4FB1-4077-8EBF-CE6B0F0AB1A0}"/>
    <cellStyle name="Good 20" xfId="24155" xr:uid="{467BBE00-B409-4C6B-B349-553F7E01BD20}"/>
    <cellStyle name="Good 20 2" xfId="38718" xr:uid="{4B880A72-CE63-4C15-B9DF-0967662BD9CC}"/>
    <cellStyle name="Good 21" xfId="24156" xr:uid="{1F8011CD-419B-453C-87E3-6E3893CC4D8E}"/>
    <cellStyle name="Good 21 2" xfId="38719" xr:uid="{119E1C39-3937-467C-8ABB-BFB95C68564D}"/>
    <cellStyle name="Good 22" xfId="24157" xr:uid="{8697E7E5-CE71-40A6-9F94-20CA5E1D990F}"/>
    <cellStyle name="Good 22 2" xfId="38720" xr:uid="{D764A6E2-FBA3-4AB1-9346-4944369CC531}"/>
    <cellStyle name="Good 23" xfId="24158" xr:uid="{415633A5-0D94-4458-A6C4-36601AF85DA8}"/>
    <cellStyle name="Good 23 2" xfId="38721" xr:uid="{C0D94AD4-E01F-4A2C-809F-65027ABD52B6}"/>
    <cellStyle name="Good 24" xfId="24159" xr:uid="{DFB98C8C-3F0E-4F5C-8651-C987B5C2FF76}"/>
    <cellStyle name="Good 24 2" xfId="38722" xr:uid="{3057D30E-5CCE-4CB9-9EF3-95FAFBDCE9FA}"/>
    <cellStyle name="Good 25" xfId="24160" xr:uid="{9F9C9D4E-EA64-4447-B489-4CBE93693967}"/>
    <cellStyle name="Good 25 2" xfId="38723" xr:uid="{AC6D5A78-4ED6-4A47-A6AC-60999BB986DC}"/>
    <cellStyle name="Good 26" xfId="24161" xr:uid="{1E36ACC9-9253-42CA-9D50-5394779355D9}"/>
    <cellStyle name="Good 26 2" xfId="38724" xr:uid="{D9B94DD7-0B04-44F6-B5F5-BDDD3055A97A}"/>
    <cellStyle name="Good 27" xfId="24162" xr:uid="{35C40357-0659-4D3C-94DA-E3C20E01A595}"/>
    <cellStyle name="Good 27 2" xfId="38725" xr:uid="{69300874-AE32-47DD-AF70-14C8031DE2D7}"/>
    <cellStyle name="Good 28" xfId="24163" xr:uid="{8EFC5095-172A-4B85-81AD-66DF3D7A9C56}"/>
    <cellStyle name="Good 28 2" xfId="38726" xr:uid="{E7455198-FB0B-4761-8E20-48E37CA80F04}"/>
    <cellStyle name="Good 29" xfId="24164" xr:uid="{43A0A128-D1C3-403A-BCE3-62AF0D220655}"/>
    <cellStyle name="Good 29 2" xfId="24165" xr:uid="{7AD89737-111F-41DE-A06F-20AC0C835D6A}"/>
    <cellStyle name="Good 29 3" xfId="38727" xr:uid="{7F58D263-306F-4AEC-8B81-180AE9810123}"/>
    <cellStyle name="Good 3" xfId="24166" xr:uid="{F950EE2F-4CAF-4C2B-A4AE-CDB900F217BE}"/>
    <cellStyle name="Good 3 2" xfId="24167" xr:uid="{FBF139EE-15BE-467E-A2D9-E25589EE534C}"/>
    <cellStyle name="Good 3 3" xfId="38728" xr:uid="{EC03201B-E8D5-4A4D-8EFD-DB191C9DD97C}"/>
    <cellStyle name="Good 3 4" xfId="38729" xr:uid="{812D1057-03F5-418F-A594-BA31FF51CCB8}"/>
    <cellStyle name="Good 30" xfId="24168" xr:uid="{DD8CB61B-909A-46C5-83BB-33B0D5BAA800}"/>
    <cellStyle name="Good 30 2" xfId="38730" xr:uid="{F332D1F1-D05B-43C5-8032-3146511F2555}"/>
    <cellStyle name="Good 31" xfId="24169" xr:uid="{58D08EF8-18CF-4B41-BCCE-5EF91CE67E6F}"/>
    <cellStyle name="Good 32" xfId="24170" xr:uid="{BD5B299D-9AC3-45DD-BD3A-3EA3BEE5BA1B}"/>
    <cellStyle name="Good 33" xfId="24171" xr:uid="{49480731-76C7-4FB1-9D70-9E4CD6733D73}"/>
    <cellStyle name="Good 34" xfId="24172" xr:uid="{13702C2B-A9C5-4696-83F3-A2FA265FB8F9}"/>
    <cellStyle name="Good 35" xfId="24173" xr:uid="{4A3C024E-C283-4130-818D-3E30C359F88D}"/>
    <cellStyle name="Good 36" xfId="24174" xr:uid="{3BA70264-58C6-4319-B850-BE384CF1B6F9}"/>
    <cellStyle name="Good 37" xfId="24175" xr:uid="{0187B32A-C01E-4410-875F-5E98642F4140}"/>
    <cellStyle name="Good 38" xfId="24176" xr:uid="{38CA7004-0D71-4740-B682-9EA257E8E56A}"/>
    <cellStyle name="Good 39" xfId="24177" xr:uid="{8D022609-7056-4DFC-8677-138943A95FB9}"/>
    <cellStyle name="Good 4" xfId="24178" xr:uid="{C2C818E6-A461-49D2-9506-06E239E5150F}"/>
    <cellStyle name="Good 4 2" xfId="38731" xr:uid="{CF066BF9-7F2D-42C7-A3CB-FB6A6F976699}"/>
    <cellStyle name="Good 4 3" xfId="38732" xr:uid="{5C5F962D-72A8-4E60-9CCD-6C194869C66D}"/>
    <cellStyle name="Good 40" xfId="24179" xr:uid="{1C10B15E-A9A0-4CE2-ACE6-FB20B66BAA03}"/>
    <cellStyle name="Good 41" xfId="24180" xr:uid="{129946B2-B92D-4BD6-98E5-C254FE8E5DD2}"/>
    <cellStyle name="Good 42" xfId="24181" xr:uid="{1C7AC58B-E98F-4763-B3E4-F0530970BBE5}"/>
    <cellStyle name="Good 43" xfId="24182" xr:uid="{8E5D938F-4793-4943-A1AA-5AD903323F80}"/>
    <cellStyle name="Good 44" xfId="24183" xr:uid="{BE072697-D162-485C-99E0-C374CA0E5C47}"/>
    <cellStyle name="Good 45" xfId="24184" xr:uid="{1583BD2B-4FAF-4C84-8253-EC3A5BACBD46}"/>
    <cellStyle name="Good 46" xfId="24185" xr:uid="{0FA29CD0-A63B-4BB7-875E-BBCDBE8429B5}"/>
    <cellStyle name="Good 47" xfId="24186" xr:uid="{63509187-3909-4A4F-866E-E2AB4C78BCEC}"/>
    <cellStyle name="Good 48" xfId="24187" xr:uid="{321EA65D-D3E4-481A-90CF-35D0E0FF9E70}"/>
    <cellStyle name="Good 49" xfId="24188" xr:uid="{285F001B-FB8E-4FE0-8158-1D262F37AFD5}"/>
    <cellStyle name="Good 5" xfId="24189" xr:uid="{06140851-BA21-4852-9B2B-43EC8B70D5A8}"/>
    <cellStyle name="Good 5 2" xfId="38733" xr:uid="{42864A66-AD43-4EEE-A9F1-C66EDF7F3F81}"/>
    <cellStyle name="Good 5 3" xfId="38734" xr:uid="{7E36FB34-AB3A-489C-970B-7474D7CA4F5B}"/>
    <cellStyle name="Good 50" xfId="24190" xr:uid="{FA58F242-62B3-45C2-9D65-57677B34B5DE}"/>
    <cellStyle name="Good 51" xfId="24191" xr:uid="{B2783DF5-724B-4593-B021-589403812978}"/>
    <cellStyle name="Good 52" xfId="24192" xr:uid="{8F7EF09B-836B-4966-B3BE-797FAFC7BBAE}"/>
    <cellStyle name="Good 53" xfId="24193" xr:uid="{6417751A-CCE0-4F6F-AE52-ADFD490DDDAA}"/>
    <cellStyle name="Good 54" xfId="24194" xr:uid="{014E462F-6C41-43E1-BD0C-B54D8A498267}"/>
    <cellStyle name="Good 55" xfId="24195" xr:uid="{F281051F-E9C8-4EEF-9C40-B7C64F7C2315}"/>
    <cellStyle name="Good 56" xfId="24196" xr:uid="{1ED727FB-74A1-4041-A491-CB50143C491F}"/>
    <cellStyle name="Good 57" xfId="24197" xr:uid="{56484B4B-63BC-4F34-BEE9-B0737E89AE9E}"/>
    <cellStyle name="Good 58" xfId="24198" xr:uid="{E72D8071-7200-4CA5-8C46-D70E7FC8A2E7}"/>
    <cellStyle name="Good 59" xfId="24199" xr:uid="{92D3ED7A-A848-4842-A24B-6FA8D7166564}"/>
    <cellStyle name="Good 6" xfId="24200" xr:uid="{E7DD64F0-A9F7-4FF1-950A-B7E536849767}"/>
    <cellStyle name="Good 6 2" xfId="38735" xr:uid="{161B7727-EA7F-4EBB-A422-31922D46C3FF}"/>
    <cellStyle name="Good 6 3" xfId="38736" xr:uid="{2D048802-549C-4303-A9E9-3B20143A2B25}"/>
    <cellStyle name="Good 60" xfId="24201" xr:uid="{BE6287DC-99A7-4139-A3BA-389EF380F125}"/>
    <cellStyle name="Good 61" xfId="24202" xr:uid="{BBB2E638-733C-4770-B23D-7773BE49E55B}"/>
    <cellStyle name="Good 62" xfId="24203" xr:uid="{2BA30EFB-F13B-4693-8AA2-CC6221955A18}"/>
    <cellStyle name="Good 63" xfId="24204" xr:uid="{C11414DF-ED61-4039-A05F-DF2859F90946}"/>
    <cellStyle name="Good 64" xfId="24205" xr:uid="{98FDFB1A-8B5D-4499-9208-E481917E443C}"/>
    <cellStyle name="Good 65" xfId="24206" xr:uid="{5D58914B-13A5-4CBF-89E5-AEF2479666F1}"/>
    <cellStyle name="Good 66" xfId="24207" xr:uid="{64BD9708-490A-4DDE-BB6F-B69A4E6699B3}"/>
    <cellStyle name="Good 67" xfId="24208" xr:uid="{CEC4B443-879C-451D-B14B-1E9AF57DA6A6}"/>
    <cellStyle name="Good 68" xfId="24209" xr:uid="{ACF513AF-9D4F-47EE-B3DD-EF716A26AE58}"/>
    <cellStyle name="Good 69" xfId="24210" xr:uid="{CCD13365-64F5-491B-BCA5-66B495C79D68}"/>
    <cellStyle name="Good 7" xfId="24211" xr:uid="{84F041AC-3BDB-46F2-B94A-2EB45E94149D}"/>
    <cellStyle name="Good 7 2" xfId="38737" xr:uid="{F177E888-78AB-4FA7-A9B6-99DFBC241EDE}"/>
    <cellStyle name="Good 7 3" xfId="38738" xr:uid="{F72A1099-BF3B-41A6-9E0A-2473710827A2}"/>
    <cellStyle name="Good 70" xfId="24212" xr:uid="{A0C8F127-2CE0-47D8-997F-D9D2A1539A58}"/>
    <cellStyle name="Good 71" xfId="24213" xr:uid="{6346768D-42AE-422C-96EB-E779B75F89A8}"/>
    <cellStyle name="Good 72" xfId="24214" xr:uid="{7D76F44E-65B0-41D4-9417-63C6DDEAEA65}"/>
    <cellStyle name="Good 73" xfId="24215" xr:uid="{2B087A50-0DAF-4415-B843-5BC416800051}"/>
    <cellStyle name="Good 74" xfId="24216" xr:uid="{C93AC7B7-E5CB-479C-9477-4BC44095DC01}"/>
    <cellStyle name="Good 75" xfId="24217" xr:uid="{9439B29C-5B02-451F-B045-49BC527054D1}"/>
    <cellStyle name="Good 76" xfId="24218" xr:uid="{A9AF4DBF-87EF-4677-8E44-2F7AA04305E8}"/>
    <cellStyle name="Good 77" xfId="24219" xr:uid="{149333AF-A494-4217-9D1E-70649C8755B4}"/>
    <cellStyle name="Good 78" xfId="24220" xr:uid="{22A37D2A-81E5-49AD-B498-63E4D44891DB}"/>
    <cellStyle name="Good 79" xfId="24221" xr:uid="{7B7C36C2-62AC-43B7-B087-E61489A0F825}"/>
    <cellStyle name="Good 8" xfId="24222" xr:uid="{AC2613A8-0580-4FBD-AB7F-D38A7B1EC914}"/>
    <cellStyle name="Good 8 2" xfId="38739" xr:uid="{C5BC9CED-E802-4B07-991B-92C6E00E7EEF}"/>
    <cellStyle name="Good 8 3" xfId="38740" xr:uid="{6F88DDE9-53EA-45B5-8048-3B96EB62F90E}"/>
    <cellStyle name="Good 80" xfId="24223" xr:uid="{E4BF7C16-CE5E-4F05-AB72-599301E487CD}"/>
    <cellStyle name="Good 81" xfId="24224" xr:uid="{86E1840C-38CB-4E83-BD02-A8E7032735DE}"/>
    <cellStyle name="Good 82" xfId="24225" xr:uid="{662DB980-AC3D-4C8E-869A-A9082A0C4DF2}"/>
    <cellStyle name="Good 83" xfId="24226" xr:uid="{E17D0126-1FB9-41CB-85C7-BE8CAD387BE1}"/>
    <cellStyle name="Good 84" xfId="24227" xr:uid="{5D2AB82A-D293-4D29-A208-E529B6884BA9}"/>
    <cellStyle name="Good 85" xfId="24228" xr:uid="{25570C8A-5606-4E4E-8D14-E2A69E09E367}"/>
    <cellStyle name="Good 86" xfId="24229" xr:uid="{86FE2BAA-9D7F-4AAC-9CB1-329FDE769F37}"/>
    <cellStyle name="Good 87" xfId="24230" xr:uid="{403490ED-88FC-4EBA-9F0C-99C7A6DF0A02}"/>
    <cellStyle name="Good 88" xfId="24231" xr:uid="{B0EE59C2-976F-46B4-B41D-39851DF22F82}"/>
    <cellStyle name="Good 89" xfId="24232" xr:uid="{A54554C4-0EF2-4479-B52D-C1E568B03778}"/>
    <cellStyle name="Good 9" xfId="24233" xr:uid="{93447FF3-2383-4D57-913B-F49505202ECD}"/>
    <cellStyle name="Good 9 2" xfId="38741" xr:uid="{CC58DFA3-F4C2-4220-A6EA-4456E1E31022}"/>
    <cellStyle name="Good 9 3" xfId="38742" xr:uid="{82CEE73B-84F8-486E-9543-8DA25A4C2159}"/>
    <cellStyle name="Good 90" xfId="24234" xr:uid="{8B8D5210-9683-4F51-A880-25C3DA3C8DFD}"/>
    <cellStyle name="Good 91" xfId="24235" xr:uid="{61F6B1C4-C162-44D7-94D7-4199EF543B9D}"/>
    <cellStyle name="Good 92" xfId="24236" xr:uid="{8F141CC3-0004-4A8E-9F51-89FA84A78913}"/>
    <cellStyle name="Good 93" xfId="24237" xr:uid="{8CCB8FF6-EA32-4A34-91A5-33569D92FE09}"/>
    <cellStyle name="Good 94" xfId="24238" xr:uid="{31662CF2-9EC5-4CAA-8658-34FB6223ADCF}"/>
    <cellStyle name="Good 95" xfId="24239" xr:uid="{72C81056-A355-4595-96E3-4CDF89BE460D}"/>
    <cellStyle name="Good 96" xfId="24240" xr:uid="{46CD21BE-50D6-492A-B7E8-1A29262521DC}"/>
    <cellStyle name="Good 97" xfId="24241" xr:uid="{6E46C2FD-20B9-4261-B82D-52B30F6B28F5}"/>
    <cellStyle name="Good 98" xfId="24242" xr:uid="{A5D1DEC1-43AF-4F98-AED3-BEE4B3E0B4B2}"/>
    <cellStyle name="Good 99" xfId="24243" xr:uid="{EF664916-B917-4CE9-804A-50D1187AEFEA}"/>
    <cellStyle name="Grey" xfId="24244" xr:uid="{306784FA-8CC7-4DD1-BF32-E8123550A148}"/>
    <cellStyle name="Greyed" xfId="24245" xr:uid="{DB0ABCE0-212D-4CDD-81E6-7E96EB6313A3}"/>
    <cellStyle name="Header0" xfId="54" xr:uid="{00000000-0005-0000-0000-000028000000}"/>
    <cellStyle name="Header1" xfId="65" xr:uid="{00000000-0005-0000-0000-000029000000}"/>
    <cellStyle name="Header1 2" xfId="24246" xr:uid="{919A1FE7-1F6B-4BFB-8941-AF2DC10A88AF}"/>
    <cellStyle name="Header2" xfId="4" xr:uid="{00000000-0005-0000-0000-00002A000000}"/>
    <cellStyle name="Header2 2" xfId="24247" xr:uid="{4B805C8B-A4F6-4FEC-8F7D-A5A3E8F97AC9}"/>
    <cellStyle name="Header3" xfId="5" xr:uid="{00000000-0005-0000-0000-00002B000000}"/>
    <cellStyle name="Heading" xfId="24248" xr:uid="{880B55FB-3E47-49F5-950E-95651A1491E6}"/>
    <cellStyle name="Heading 1" xfId="16" builtinId="16" hidden="1"/>
    <cellStyle name="Heading 1" xfId="88" builtinId="16" customBuiltin="1"/>
    <cellStyle name="Heading 1 10" xfId="24249" xr:uid="{CCDBAF25-DFA2-4398-9785-01114817D2C8}"/>
    <cellStyle name="Heading 1 10 2" xfId="38743" xr:uid="{C4DC6893-6A5B-4714-8FF5-41E09887F024}"/>
    <cellStyle name="Heading 1 11" xfId="24250" xr:uid="{71823609-A214-4173-8282-C6924CA7E207}"/>
    <cellStyle name="Heading 1 11 2" xfId="38744" xr:uid="{2F7AC2E9-48B0-4F19-AC37-D96FEBADF3C0}"/>
    <cellStyle name="Heading 1 12" xfId="24251" xr:uid="{85D80E7B-CFF7-451D-8CF1-95963CBE63CE}"/>
    <cellStyle name="Heading 1 12 2" xfId="38745" xr:uid="{DBA31129-D8A5-41C1-8196-48361244BB38}"/>
    <cellStyle name="Heading 1 13" xfId="24252" xr:uid="{D482F6CC-4237-4385-AA11-6BCABA524CBD}"/>
    <cellStyle name="Heading 1 13 2" xfId="38746" xr:uid="{4870464D-BAA9-48F8-9283-F8E0104CCF48}"/>
    <cellStyle name="Heading 1 14" xfId="24253" xr:uid="{D210A936-AE84-425B-9ACD-90B7A79EAEB1}"/>
    <cellStyle name="Heading 1 14 2" xfId="38747" xr:uid="{0A188C97-B592-4167-B85F-2C4BF72B0ADC}"/>
    <cellStyle name="Heading 1 15" xfId="24254" xr:uid="{42910488-C842-4ED9-AF36-0F14DBEAB1AC}"/>
    <cellStyle name="Heading 1 15 2" xfId="38748" xr:uid="{D1294890-25C9-4BF5-90BF-BCF038FBB5B6}"/>
    <cellStyle name="Heading 1 16" xfId="24255" xr:uid="{CE96F93B-F33D-4C4C-915C-247FA05466C3}"/>
    <cellStyle name="Heading 1 16 2" xfId="38749" xr:uid="{4C13AD25-E8A8-4D49-B502-A5D5F2A2327B}"/>
    <cellStyle name="Heading 1 17" xfId="24256" xr:uid="{F3BCFB05-5973-4832-8F46-4A385BE39EB3}"/>
    <cellStyle name="Heading 1 17 2" xfId="38750" xr:uid="{E24816D7-F61B-4F18-971E-3F7DCDD6E6B9}"/>
    <cellStyle name="Heading 1 18" xfId="24257" xr:uid="{AC6D3CA7-83F0-48DD-8BC4-93A76E31AC2E}"/>
    <cellStyle name="Heading 1 18 2" xfId="38751" xr:uid="{E327D585-6F00-4910-90D4-EE135B9FA963}"/>
    <cellStyle name="Heading 1 19" xfId="24258" xr:uid="{D822DEEB-F786-45CD-9377-FD9A61C2CAA7}"/>
    <cellStyle name="Heading 1 2" xfId="24259" xr:uid="{8370DF9F-F081-49B9-9A25-B3E1D3F4776E}"/>
    <cellStyle name="Heading 1 2 2" xfId="38752" xr:uid="{97647B28-0C33-4BD4-9492-70B80DE3FC8E}"/>
    <cellStyle name="Heading 1 2 3" xfId="38753" xr:uid="{6B1156E1-A240-4F4F-AA29-9CC5FA792354}"/>
    <cellStyle name="Heading 1 2 4" xfId="38754" xr:uid="{348DB018-DF30-47CC-8139-3C2EFA2707CE}"/>
    <cellStyle name="Heading 1 20" xfId="24260" xr:uid="{1A3AAC0C-1AE3-49E9-8293-907961000B56}"/>
    <cellStyle name="Heading 1 21" xfId="24261" xr:uid="{1489AE1C-0FA6-4E91-9F84-C9ADBC23CF8B}"/>
    <cellStyle name="Heading 1 22" xfId="24262" xr:uid="{33E605DF-C016-42F8-A2AE-045DEF7BA27F}"/>
    <cellStyle name="Heading 1 23" xfId="24263" xr:uid="{7E19AEB9-C616-4190-BA2F-37AA63F6AFB3}"/>
    <cellStyle name="Heading 1 24" xfId="24264" xr:uid="{20266DDF-D981-466B-9CB4-70F1FE9197C7}"/>
    <cellStyle name="Heading 1 25" xfId="24265" xr:uid="{3A3BB6CE-A3CD-4377-B2B1-E4BA46987376}"/>
    <cellStyle name="Heading 1 26" xfId="24266" xr:uid="{2AAE7757-F779-4594-8CC3-BC9D3A22F94D}"/>
    <cellStyle name="Heading 1 27" xfId="24267" xr:uid="{C8F77288-E041-4B65-B0A6-E7850943D798}"/>
    <cellStyle name="Heading 1 28" xfId="24268" xr:uid="{AE8219A1-0C1A-43E1-85D7-034E84145CAC}"/>
    <cellStyle name="Heading 1 29" xfId="24269" xr:uid="{339A940F-172C-4519-B5DB-0DCF09562AB9}"/>
    <cellStyle name="Heading 1 29 2" xfId="24270" xr:uid="{C1A82994-CE9F-428C-B685-1165DB77B386}"/>
    <cellStyle name="Heading 1 3" xfId="24271" xr:uid="{43DAE9D6-8E4C-4A32-96E2-45B4C90DF5E3}"/>
    <cellStyle name="Heading 1 3 2" xfId="38755" xr:uid="{F480F057-0AE2-4856-8F9F-CC6C8735E168}"/>
    <cellStyle name="Heading 1 3 3" xfId="38756" xr:uid="{8F84A639-DD85-4AD1-B27C-47A35CC07CF5}"/>
    <cellStyle name="Heading 1 30" xfId="24272" xr:uid="{43E1CDD8-B856-4DEB-88B9-8CC2D9D5DA5F}"/>
    <cellStyle name="Heading 1 4" xfId="24273" xr:uid="{A9925FBE-DF27-434C-8E73-CADC08E8CA25}"/>
    <cellStyle name="Heading 1 4 2" xfId="38757" xr:uid="{D6DE1930-DBEE-40E8-BC0B-133CD3E02996}"/>
    <cellStyle name="Heading 1 5" xfId="24274" xr:uid="{DC921AC7-857B-4AA5-89CB-67ED0857DABE}"/>
    <cellStyle name="Heading 1 5 2" xfId="38758" xr:uid="{58881FA8-2B8D-44AC-AC0A-2A7E1BC00957}"/>
    <cellStyle name="Heading 1 6" xfId="24275" xr:uid="{C2722810-ACA8-430E-9BA3-A58947F4E9B7}"/>
    <cellStyle name="Heading 1 6 2" xfId="38759" xr:uid="{DDE67370-0257-43A0-A2B1-6D3F876E3AAC}"/>
    <cellStyle name="Heading 1 7" xfId="24276" xr:uid="{41D91477-6E8D-4B9B-8B80-0BA992C9B9FD}"/>
    <cellStyle name="Heading 1 7 2" xfId="38760" xr:uid="{5BB3350C-6B3B-4FE9-B82F-4119AA77EE26}"/>
    <cellStyle name="Heading 1 8" xfId="24277" xr:uid="{B323E452-0F36-46EA-A262-448D13D537F4}"/>
    <cellStyle name="Heading 1 8 2" xfId="38761" xr:uid="{92376F76-3F8C-42B9-92CB-8D8463ED5441}"/>
    <cellStyle name="Heading 1 9" xfId="24278" xr:uid="{648A89A9-AE98-43F9-A20A-BF7816B6FD81}"/>
    <cellStyle name="Heading 1 9 2" xfId="38762" xr:uid="{7C7C68C4-19FD-4184-A0C9-61399F3D66B2}"/>
    <cellStyle name="Heading 2" xfId="17" builtinId="17" hidden="1"/>
    <cellStyle name="Heading 2" xfId="89" builtinId="17" customBuiltin="1"/>
    <cellStyle name="Heading 2 10" xfId="24279" xr:uid="{7BA7455E-E91F-4070-B653-275208C6F8CD}"/>
    <cellStyle name="Heading 2 10 2" xfId="38763" xr:uid="{AABCB113-3609-4994-B8C1-2E1CC07C4455}"/>
    <cellStyle name="Heading 2 11" xfId="24280" xr:uid="{2C6286C5-786D-4558-BC30-A69FA9DAA9E5}"/>
    <cellStyle name="Heading 2 11 2" xfId="38764" xr:uid="{1BFF4582-4C9F-48E5-948F-2626847384BD}"/>
    <cellStyle name="Heading 2 12" xfId="24281" xr:uid="{C5998555-C0E9-4DF6-96A9-6A3E39559A3B}"/>
    <cellStyle name="Heading 2 12 2" xfId="38765" xr:uid="{C1ACBC8F-7933-4F62-AD0A-2B15B5786EB5}"/>
    <cellStyle name="Heading 2 13" xfId="24282" xr:uid="{AF3AC1F8-ED85-477C-A1F3-38F7BD441201}"/>
    <cellStyle name="Heading 2 13 2" xfId="38766" xr:uid="{A5492DB1-187C-4F37-8087-D2E4C7FCEE61}"/>
    <cellStyle name="Heading 2 14" xfId="24283" xr:uid="{6BBF16BA-BEEE-4777-BAA3-4A1D525B7117}"/>
    <cellStyle name="Heading 2 14 2" xfId="38767" xr:uid="{CA4C9C2B-5F79-41A5-BF63-307EBF66F30D}"/>
    <cellStyle name="Heading 2 15" xfId="24284" xr:uid="{06C7859A-0DEB-4B66-B69A-60183867770E}"/>
    <cellStyle name="Heading 2 15 2" xfId="38768" xr:uid="{18C0BFAE-C74D-493F-AC2D-F5A6D08C6C8A}"/>
    <cellStyle name="Heading 2 16" xfId="24285" xr:uid="{A0DD9440-4715-4F63-AC45-355842D31C29}"/>
    <cellStyle name="Heading 2 16 2" xfId="38769" xr:uid="{60C320A3-4423-4B9D-929D-1F15D0263078}"/>
    <cellStyle name="Heading 2 17" xfId="24286" xr:uid="{9714E0BE-17CC-459C-87C3-7037F6D7C6F9}"/>
    <cellStyle name="Heading 2 17 2" xfId="38770" xr:uid="{026D6615-B2CE-4ECC-A55D-03718DDAB31B}"/>
    <cellStyle name="Heading 2 18" xfId="24287" xr:uid="{517638C9-A73F-4B22-BAFF-DB21775FBE36}"/>
    <cellStyle name="Heading 2 18 2" xfId="38771" xr:uid="{C18B8B3F-D11F-41CB-A77A-28EA6DAE830B}"/>
    <cellStyle name="Heading 2 19" xfId="24288" xr:uid="{251EA23A-FB5E-473B-88BC-59B10428BF79}"/>
    <cellStyle name="Heading 2 2" xfId="24289" xr:uid="{0AF4FEC7-DA58-4039-94F1-00062160ED2A}"/>
    <cellStyle name="Heading 2 2 2" xfId="38772" xr:uid="{177D19EC-E73A-46EF-A7AF-3D5EB5A06B47}"/>
    <cellStyle name="Heading 2 2 3" xfId="38773" xr:uid="{C51B2F66-220B-4C82-ABCA-FD19E387C7C5}"/>
    <cellStyle name="Heading 2 2 4" xfId="38774" xr:uid="{F371BD1B-1137-430E-9DCA-0A42A2B9D28A}"/>
    <cellStyle name="Heading 2 20" xfId="24290" xr:uid="{08179C2F-DF15-479B-B30F-14697E6E19FB}"/>
    <cellStyle name="Heading 2 21" xfId="24291" xr:uid="{7D6F5F52-7EED-425F-8985-2A4CF2A37627}"/>
    <cellStyle name="Heading 2 22" xfId="24292" xr:uid="{F151B231-AB8E-4F75-85FF-A5A4D5674D72}"/>
    <cellStyle name="Heading 2 23" xfId="24293" xr:uid="{CABB0CB6-E7E5-4C23-A1BA-837810C21754}"/>
    <cellStyle name="Heading 2 24" xfId="24294" xr:uid="{1ED313AF-758B-4A40-A101-19672F8154D6}"/>
    <cellStyle name="Heading 2 25" xfId="24295" xr:uid="{FB6F8EC5-AEE5-43C7-BD50-B3B63949E0F3}"/>
    <cellStyle name="Heading 2 26" xfId="24296" xr:uid="{3884202C-C675-4AA5-85FF-D2AF26B27ACE}"/>
    <cellStyle name="Heading 2 27" xfId="24297" xr:uid="{AAC395AB-B69A-4D72-B427-1A16D326C607}"/>
    <cellStyle name="Heading 2 28" xfId="24298" xr:uid="{1AA20EF9-B8E2-4CD5-BA7C-4B507DBF90E4}"/>
    <cellStyle name="Heading 2 29" xfId="24299" xr:uid="{BE308D22-E1A6-44EC-A507-BA24C40E0402}"/>
    <cellStyle name="Heading 2 29 2" xfId="24300" xr:uid="{7A957430-C5F5-4BF2-A548-1DA65F6C2334}"/>
    <cellStyle name="Heading 2 3" xfId="24301" xr:uid="{F9A41C6C-4E42-4848-BD4A-A3D1B9D38F93}"/>
    <cellStyle name="Heading 2 3 2" xfId="38775" xr:uid="{9F314418-F3A5-4932-AAEE-75B47A0F155F}"/>
    <cellStyle name="Heading 2 3 3" xfId="38776" xr:uid="{9A9B41CB-7BD5-4D51-99D5-B8B3BE3905BA}"/>
    <cellStyle name="Heading 2 30" xfId="24302" xr:uid="{CB4DCC2E-6603-4760-860D-C5EC00AB2A1C}"/>
    <cellStyle name="Heading 2 4" xfId="24303" xr:uid="{4F00B22C-CFE1-413C-964B-9453CB35CAC3}"/>
    <cellStyle name="Heading 2 4 2" xfId="38777" xr:uid="{0D07CA3F-949A-42DE-B92F-F5EA144C4F52}"/>
    <cellStyle name="Heading 2 5" xfId="24304" xr:uid="{4EAF1B25-CDA0-47DD-A33E-90FDF2A3ECF0}"/>
    <cellStyle name="Heading 2 5 2" xfId="38778" xr:uid="{2288CDA0-D703-4F6F-84A5-52F06D5DCF33}"/>
    <cellStyle name="Heading 2 6" xfId="24305" xr:uid="{6122D07F-E357-4CC7-8458-0F20BF30537B}"/>
    <cellStyle name="Heading 2 6 2" xfId="38779" xr:uid="{E855B030-5AE5-47E0-93B7-91D1C9972BBC}"/>
    <cellStyle name="Heading 2 7" xfId="24306" xr:uid="{2E747889-C6B7-4CD9-B6D9-986F273C10B1}"/>
    <cellStyle name="Heading 2 7 2" xfId="38780" xr:uid="{51050A58-0F29-4AB6-BA6B-6A32682C9EF1}"/>
    <cellStyle name="Heading 2 8" xfId="24307" xr:uid="{82138314-15DB-4EEA-B70A-820DE0F199F3}"/>
    <cellStyle name="Heading 2 8 2" xfId="38781" xr:uid="{22816D4D-9137-4D11-A10F-8FEEE24BBA34}"/>
    <cellStyle name="Heading 2 9" xfId="24308" xr:uid="{541AB5BE-DED1-46C2-AC30-84E5D453A9E1}"/>
    <cellStyle name="Heading 2 9 2" xfId="38782" xr:uid="{426A3434-CCE6-4D85-9B6E-545B445422F4}"/>
    <cellStyle name="Heading 3" xfId="18" builtinId="18" hidden="1"/>
    <cellStyle name="Heading 3" xfId="90" builtinId="18" customBuiltin="1"/>
    <cellStyle name="Heading 3 10" xfId="24309" xr:uid="{08E0BA24-CE81-460D-81E3-B3FA6B7C008F}"/>
    <cellStyle name="Heading 3 10 2" xfId="38783" xr:uid="{D6374338-5F8E-42F5-9090-9682AB5DA294}"/>
    <cellStyle name="Heading 3 11" xfId="24310" xr:uid="{31EE723A-0BE0-443E-BE73-6B1761830B97}"/>
    <cellStyle name="Heading 3 11 2" xfId="38784" xr:uid="{32FCB3D2-005B-4F11-A167-C14013A644F3}"/>
    <cellStyle name="Heading 3 12" xfId="24311" xr:uid="{3F9353A4-CCB0-4357-AC7F-967F6CDA7B25}"/>
    <cellStyle name="Heading 3 12 2" xfId="38785" xr:uid="{757D3AF8-5105-43CF-AE22-F0ACF707B03C}"/>
    <cellStyle name="Heading 3 13" xfId="24312" xr:uid="{AF8BB861-9E74-475F-84E4-C97E18BFC7BC}"/>
    <cellStyle name="Heading 3 13 2" xfId="38786" xr:uid="{62065CD6-B167-495F-A699-9F8B35C84CAE}"/>
    <cellStyle name="Heading 3 14" xfId="24313" xr:uid="{778349AE-E58E-43A2-8D5B-AE38C7940AE8}"/>
    <cellStyle name="Heading 3 14 2" xfId="38787" xr:uid="{F3767A52-5307-4AA2-B768-E4E50650A3B7}"/>
    <cellStyle name="Heading 3 15" xfId="24314" xr:uid="{CC128C59-3BA6-451A-8267-0A6A2614DD38}"/>
    <cellStyle name="Heading 3 15 2" xfId="38788" xr:uid="{CCB78EF4-0BE4-4F86-9A5B-36C9E87DAC3B}"/>
    <cellStyle name="Heading 3 16" xfId="24315" xr:uid="{1F312975-B743-4D4B-ACF5-ACC977A6662E}"/>
    <cellStyle name="Heading 3 16 2" xfId="38789" xr:uid="{5D9B32EE-C08A-4C68-B711-BFF07EEB5A6D}"/>
    <cellStyle name="Heading 3 17" xfId="24316" xr:uid="{2EFD4E5B-0DAB-468E-9BA1-3502656D8CE4}"/>
    <cellStyle name="Heading 3 17 2" xfId="38790" xr:uid="{6256CA2A-A266-4640-B75D-D350ECAD1A60}"/>
    <cellStyle name="Heading 3 18" xfId="24317" xr:uid="{2D0242A2-DBEF-4C68-A6C5-86A9F34BF902}"/>
    <cellStyle name="Heading 3 18 2" xfId="38791" xr:uid="{08099EDB-A7C5-48D9-B29F-982170AA5582}"/>
    <cellStyle name="Heading 3 19" xfId="24318" xr:uid="{A5C25AC2-A8B6-4941-B244-FE49436DBDFF}"/>
    <cellStyle name="Heading 3 2" xfId="24319" xr:uid="{81847EF6-11B8-4538-847F-D9138FCB0A0C}"/>
    <cellStyle name="Heading 3 2 2" xfId="38792" xr:uid="{9AF0E36A-0B94-49FD-A0FB-CD4BA1D16142}"/>
    <cellStyle name="Heading 3 2 3" xfId="38793" xr:uid="{1DE17022-7754-46C9-9022-87C4A8AE28A3}"/>
    <cellStyle name="Heading 3 2 4" xfId="38794" xr:uid="{A77A5C3B-E119-4EE7-879B-00624F25FAA1}"/>
    <cellStyle name="Heading 3 20" xfId="24320" xr:uid="{1A778180-4C94-446B-975A-DFB2C57CCA63}"/>
    <cellStyle name="Heading 3 21" xfId="24321" xr:uid="{ED2C03DD-2354-4F74-848A-F09CD204DCDE}"/>
    <cellStyle name="Heading 3 22" xfId="24322" xr:uid="{E6548057-6FC2-4C94-8458-A92A4B84599E}"/>
    <cellStyle name="Heading 3 23" xfId="24323" xr:uid="{BFB5314D-3331-4D42-B364-BCC26074E6DA}"/>
    <cellStyle name="Heading 3 24" xfId="24324" xr:uid="{2A0E51E9-6DF1-4D7E-AF9C-223426DDFABE}"/>
    <cellStyle name="Heading 3 25" xfId="24325" xr:uid="{9A899346-9E3B-4510-8FA8-E3FB77FA5E47}"/>
    <cellStyle name="Heading 3 26" xfId="24326" xr:uid="{1637CD05-3E3D-4CB8-9F69-BCD8E714CF7B}"/>
    <cellStyle name="Heading 3 27" xfId="24327" xr:uid="{4EBEFAE2-0430-445C-9395-89EAB331C67E}"/>
    <cellStyle name="Heading 3 28" xfId="24328" xr:uid="{FDEC6E95-0F22-45F3-A0B8-0CFE6396A7BC}"/>
    <cellStyle name="Heading 3 29" xfId="24329" xr:uid="{EDC3B9EC-9C6B-46AB-9F28-AE12CA5485CA}"/>
    <cellStyle name="Heading 3 29 2" xfId="24330" xr:uid="{79A17AC4-1E75-471D-A631-ADB48A938159}"/>
    <cellStyle name="Heading 3 3" xfId="24331" xr:uid="{FE80D817-EBA3-4C1D-8B7F-3B16C27BF7CF}"/>
    <cellStyle name="Heading 3 3 2" xfId="38795" xr:uid="{BF1DD56F-375A-442F-8AAD-3F0306871FF6}"/>
    <cellStyle name="Heading 3 3 3" xfId="38796" xr:uid="{2A06603A-7F4E-4F98-9197-988D5963BB4A}"/>
    <cellStyle name="Heading 3 30" xfId="24332" xr:uid="{0E283A30-B0DB-461C-BFB6-AF47EC62ACCD}"/>
    <cellStyle name="Heading 3 4" xfId="24333" xr:uid="{F58D2C83-DA41-4DC0-BDCA-CBA33114F916}"/>
    <cellStyle name="Heading 3 4 2" xfId="38797" xr:uid="{C2D4FC7B-2DD0-4A80-A1D7-01B156C3D4B0}"/>
    <cellStyle name="Heading 3 5" xfId="24334" xr:uid="{91F7C8D0-4726-4A47-ABE4-4B085A1553D8}"/>
    <cellStyle name="Heading 3 5 2" xfId="38798" xr:uid="{21BC3447-9477-4111-B080-F40FC91466DA}"/>
    <cellStyle name="Heading 3 6" xfId="24335" xr:uid="{2EDE801B-2523-4761-93AD-4DC886A84994}"/>
    <cellStyle name="Heading 3 6 2" xfId="38799" xr:uid="{EDDEE957-9CF0-4FD4-A1E7-A8E722316A2C}"/>
    <cellStyle name="Heading 3 7" xfId="24336" xr:uid="{CBE33E1A-98CD-40F5-AEEE-F30BFB8B8ED1}"/>
    <cellStyle name="Heading 3 7 2" xfId="38800" xr:uid="{568B7F4E-4B15-47D9-9903-E17D8CFEE291}"/>
    <cellStyle name="Heading 3 8" xfId="24337" xr:uid="{5B4DD7B0-0A91-40B4-AC8F-041A354DA639}"/>
    <cellStyle name="Heading 3 8 2" xfId="38801" xr:uid="{919B595A-3D6B-46A0-AB9B-E7D5979082A7}"/>
    <cellStyle name="Heading 3 9" xfId="24338" xr:uid="{2551153F-3054-40E5-93F2-26374333213A}"/>
    <cellStyle name="Heading 3 9 2" xfId="38802" xr:uid="{C708C3AE-9D96-406C-99E6-7DE3C877D316}"/>
    <cellStyle name="Heading 4" xfId="19" builtinId="19" hidden="1"/>
    <cellStyle name="Heading 4" xfId="91" builtinId="19" customBuiltin="1"/>
    <cellStyle name="Heading 4 10" xfId="24339" xr:uid="{340E254E-A78F-4E30-9477-6C46EABEE449}"/>
    <cellStyle name="Heading 4 10 2" xfId="38803" xr:uid="{337A17F1-8A5A-4D0C-B3A3-91BC2120C69A}"/>
    <cellStyle name="Heading 4 11" xfId="24340" xr:uid="{5CCECFAB-6B7E-40A6-8FA9-C740BB55405D}"/>
    <cellStyle name="Heading 4 11 2" xfId="38804" xr:uid="{806FEB38-9334-4E31-BE09-93E1B1E73BCA}"/>
    <cellStyle name="Heading 4 12" xfId="24341" xr:uid="{7D2CB27B-ECE5-45D7-A441-777FF0C9065D}"/>
    <cellStyle name="Heading 4 12 2" xfId="38805" xr:uid="{FA82560A-39AB-4DE1-BFF5-84C6C3CAB0D9}"/>
    <cellStyle name="Heading 4 13" xfId="24342" xr:uid="{1F8BA8DA-506A-47C3-B999-E20036B498C5}"/>
    <cellStyle name="Heading 4 13 2" xfId="38806" xr:uid="{838D01BE-BAB6-4950-A311-7DFE8225C6DC}"/>
    <cellStyle name="Heading 4 14" xfId="24343" xr:uid="{F04D8551-4183-4899-BB05-493FE3F6AF2B}"/>
    <cellStyle name="Heading 4 14 2" xfId="38807" xr:uid="{84BD2739-359C-4DC4-9AA9-A6029C8C65EA}"/>
    <cellStyle name="Heading 4 15" xfId="24344" xr:uid="{7DAE5CB9-2900-43FC-B2AA-E413C6B884C7}"/>
    <cellStyle name="Heading 4 15 2" xfId="38808" xr:uid="{6F33A344-ED33-45A3-BB51-DB4D7C961161}"/>
    <cellStyle name="Heading 4 16" xfId="24345" xr:uid="{CBD51A5F-A0D2-4CB3-A92D-2E3F5A65BC3A}"/>
    <cellStyle name="Heading 4 16 2" xfId="38809" xr:uid="{3CD72C02-74CE-48EA-A6F7-EDFE39FB6C44}"/>
    <cellStyle name="Heading 4 17" xfId="24346" xr:uid="{C989BA74-79DD-4F29-865F-3FA8B7A0EFC6}"/>
    <cellStyle name="Heading 4 17 2" xfId="38810" xr:uid="{8C394918-0E50-47D4-835F-67D9195D9E52}"/>
    <cellStyle name="Heading 4 18" xfId="24347" xr:uid="{C0333CA8-8373-4CD5-BE99-6BB4CD0F9F78}"/>
    <cellStyle name="Heading 4 18 2" xfId="38811" xr:uid="{97D6DA55-BCB9-4CB6-9E01-24B247A485BC}"/>
    <cellStyle name="Heading 4 19" xfId="24348" xr:uid="{A478FC28-A531-4AE2-86BC-38CDA04DB439}"/>
    <cellStyle name="Heading 4 2" xfId="24349" xr:uid="{91FF0D47-E3A0-459E-A03E-202217148BB7}"/>
    <cellStyle name="Heading 4 2 2" xfId="38812" xr:uid="{290E3619-7004-4032-BBDE-87A73645C2A4}"/>
    <cellStyle name="Heading 4 2 3" xfId="38813" xr:uid="{A04F2EAD-291C-42F8-BF36-CB46C77399A1}"/>
    <cellStyle name="Heading 4 2 4" xfId="38814" xr:uid="{DBDA1154-DC4A-45E5-9032-501BAEF8FC66}"/>
    <cellStyle name="Heading 4 20" xfId="24350" xr:uid="{7BC09CB5-F0C5-4197-A47F-D0AE09A1A2AE}"/>
    <cellStyle name="Heading 4 21" xfId="24351" xr:uid="{C252197D-465E-4DE8-9077-25BEFFCAED26}"/>
    <cellStyle name="Heading 4 22" xfId="24352" xr:uid="{3A762748-D299-4A58-B60A-7A742B5A3C23}"/>
    <cellStyle name="Heading 4 23" xfId="24353" xr:uid="{D342C9E5-A3D7-4F1E-AC37-C681F3F7A68D}"/>
    <cellStyle name="Heading 4 24" xfId="24354" xr:uid="{17EBC864-CA65-4CBC-A63E-B31E4BF48AD7}"/>
    <cellStyle name="Heading 4 25" xfId="24355" xr:uid="{11613252-7F70-41AE-A3AD-7FFB0825A07C}"/>
    <cellStyle name="Heading 4 26" xfId="24356" xr:uid="{824EBEC6-DBB5-49CD-9D2C-783F167D5BE1}"/>
    <cellStyle name="Heading 4 27" xfId="24357" xr:uid="{DE0B0047-B6C3-47F3-8D79-CE72ADE15D82}"/>
    <cellStyle name="Heading 4 28" xfId="24358" xr:uid="{42865DC8-3A23-4F41-AA3D-F43D120630FB}"/>
    <cellStyle name="Heading 4 29" xfId="24359" xr:uid="{5ED8C59E-4217-4C0A-B7B2-2E242E96D090}"/>
    <cellStyle name="Heading 4 29 2" xfId="24360" xr:uid="{97B4E903-EC45-455A-9DE0-6408D1B8B06B}"/>
    <cellStyle name="Heading 4 3" xfId="24361" xr:uid="{15DCEBEC-A84B-4AD3-8BC5-AA6274580A14}"/>
    <cellStyle name="Heading 4 3 2" xfId="38815" xr:uid="{1549FA29-5A7E-4DA3-8B73-AF4989D69B08}"/>
    <cellStyle name="Heading 4 3 3" xfId="38816" xr:uid="{025CA18A-6962-4CDF-860F-A27FEABB8CA1}"/>
    <cellStyle name="Heading 4 30" xfId="24362" xr:uid="{E2AE6BB4-C290-4DDE-AADF-3F7AFDB5437A}"/>
    <cellStyle name="Heading 4 4" xfId="24363" xr:uid="{8496E5F4-2AEB-4870-9EED-3B767CE9F773}"/>
    <cellStyle name="Heading 4 4 2" xfId="38817" xr:uid="{D193E305-532C-4204-80A5-8A85193DC0FA}"/>
    <cellStyle name="Heading 4 5" xfId="24364" xr:uid="{493C0D00-3C4D-4B23-A600-4E3C8E4B8933}"/>
    <cellStyle name="Heading 4 5 2" xfId="38818" xr:uid="{786264C8-7860-4DB7-939D-6D07BA0349CF}"/>
    <cellStyle name="Heading 4 6" xfId="24365" xr:uid="{9B0DD43F-8E76-434E-825D-266F431C2AE3}"/>
    <cellStyle name="Heading 4 6 2" xfId="38819" xr:uid="{B81CD80B-C44B-4DB8-A970-6E2F3ADD1D5C}"/>
    <cellStyle name="Heading 4 7" xfId="24366" xr:uid="{1A1BE3D8-5F5B-452A-B73F-723149B4A77B}"/>
    <cellStyle name="Heading 4 7 2" xfId="38820" xr:uid="{330B9C32-7607-4AE1-A2E1-9E6E7F77F04D}"/>
    <cellStyle name="Heading 4 8" xfId="24367" xr:uid="{DDE1ABFB-2AB9-4C73-9A95-A445F6D1D267}"/>
    <cellStyle name="Heading 4 8 2" xfId="38821" xr:uid="{D8C574EF-CA6F-4818-A81D-787F128045A7}"/>
    <cellStyle name="Heading 4 9" xfId="24368" xr:uid="{656C0E0F-6B9B-4DFB-A4EB-76CDCD94DFA8}"/>
    <cellStyle name="Heading 4 9 2" xfId="38822" xr:uid="{9AD02329-7B0D-47F4-81ED-2B21C322215A}"/>
    <cellStyle name="Heading 5" xfId="24369" xr:uid="{B673D892-0A49-4130-9D71-584DFB2DF73E}"/>
    <cellStyle name="Hyperlink" xfId="55" builtinId="8" hidden="1"/>
    <cellStyle name="Hyperlink" xfId="64" builtinId="8" hidden="1"/>
    <cellStyle name="Hyperlink" xfId="74" builtinId="8"/>
    <cellStyle name="Hyperlink 2" xfId="24370" xr:uid="{44F25D0F-0A3C-4A10-9F21-E43CEFB68F0F}"/>
    <cellStyle name="Incorreto" xfId="24371" xr:uid="{9E6CCA2A-1F1E-4BE2-B8E5-CECF3E80504E}"/>
    <cellStyle name="Indefinido" xfId="24372" xr:uid="{36022101-5377-4E5E-BB1D-94595F886B76}"/>
    <cellStyle name="Information" xfId="72" xr:uid="{00000000-0005-0000-0000-000032000000}"/>
    <cellStyle name="Input" xfId="6" builtinId="20" hidden="1" customBuiltin="1"/>
    <cellStyle name="Input" xfId="95" builtinId="20" customBuiltin="1"/>
    <cellStyle name="Input [yellow]" xfId="24373" xr:uid="{85756B47-C84C-40D3-B619-54ECD192036C}"/>
    <cellStyle name="Input 1" xfId="24374" xr:uid="{EBC3D461-E13B-477B-96F2-92B94E0E86EC}"/>
    <cellStyle name="Input 10" xfId="24375" xr:uid="{EE9A999A-11B9-49CB-A993-0DB81502C6A4}"/>
    <cellStyle name="Input 10 2" xfId="38823" xr:uid="{4FEB019F-3479-49F8-B9E9-3BDBBB11C9CA}"/>
    <cellStyle name="Input 10 3" xfId="38824" xr:uid="{8E2A0122-43A4-43B5-9D00-2C92C7503EA3}"/>
    <cellStyle name="Input 100" xfId="24376" xr:uid="{F178E786-23E8-4255-83C3-B3F946033F5F}"/>
    <cellStyle name="Input 101" xfId="24377" xr:uid="{9AA3F28C-1519-4645-A15C-042EC24BFD33}"/>
    <cellStyle name="Input 102" xfId="24378" xr:uid="{EBC9A311-596C-4EC3-A17C-DC08828BF31E}"/>
    <cellStyle name="Input 103" xfId="24379" xr:uid="{8F015E2B-4490-4A04-861D-CA8FA2059F90}"/>
    <cellStyle name="Input 104" xfId="24380" xr:uid="{0D92D5EA-F580-4B39-9ACD-5521C1D6F6C2}"/>
    <cellStyle name="Input 105" xfId="24381" xr:uid="{7D9CC577-4D7D-4BA5-9A96-86B61E115386}"/>
    <cellStyle name="Input 106" xfId="24382" xr:uid="{08DE5244-1E11-44F3-A32C-669E844820A6}"/>
    <cellStyle name="Input 107" xfId="24383" xr:uid="{788A1917-DB8F-4A94-A240-6A8E2ECD5039}"/>
    <cellStyle name="Input 108" xfId="24384" xr:uid="{C9127054-8BD0-49A5-8042-368F24697C36}"/>
    <cellStyle name="Input 109" xfId="24385" xr:uid="{EC782B49-CD7E-4858-AE1C-8BAADD646DD4}"/>
    <cellStyle name="Input 11" xfId="24386" xr:uid="{CD3FA286-6166-4B54-B1D9-EFAEBC77C972}"/>
    <cellStyle name="Input 11 2" xfId="38825" xr:uid="{09B486C2-93A5-4D31-BF5C-1E9B076FFC78}"/>
    <cellStyle name="Input 11 3" xfId="38826" xr:uid="{2E0FAC3D-D0D4-4E6B-9A81-9B5EFDAC9208}"/>
    <cellStyle name="Input 110" xfId="24387" xr:uid="{F7AE2F02-4A2B-477B-B1AB-22AACE874B54}"/>
    <cellStyle name="Input 111" xfId="24388" xr:uid="{A28A8633-8F65-428F-9E0D-1F14DC664267}"/>
    <cellStyle name="Input 112" xfId="24389" xr:uid="{FF61344A-5ED0-4610-BBF6-36F3AA1AB163}"/>
    <cellStyle name="Input 113" xfId="24390" xr:uid="{D19E39A4-AFA0-49CC-9FA7-305760CF393D}"/>
    <cellStyle name="Input 114" xfId="24391" xr:uid="{3090CB2C-F132-47DC-86FE-6722F234B67D}"/>
    <cellStyle name="Input 115" xfId="24392" xr:uid="{8EF8670C-DF58-4BA4-B607-533FCA72E661}"/>
    <cellStyle name="Input 116" xfId="24393" xr:uid="{C55E4426-E320-4E4A-A530-581805105DC5}"/>
    <cellStyle name="Input 117" xfId="24394" xr:uid="{26B1FBB7-03C8-4419-81A0-1D1FFCAE1829}"/>
    <cellStyle name="Input 118" xfId="24395" xr:uid="{FA081263-40B0-4E08-B7A3-8577C7176F6A}"/>
    <cellStyle name="Input 119" xfId="24396" xr:uid="{6DB6A017-8974-40B7-81C6-3FAB0D05FF40}"/>
    <cellStyle name="Input 12" xfId="24397" xr:uid="{633F9B3A-C35B-46C3-90AD-2BBFC4FEF500}"/>
    <cellStyle name="Input 12 2" xfId="38827" xr:uid="{928374F3-4B90-4535-ACFC-A4AB0538361D}"/>
    <cellStyle name="Input 12 3" xfId="38828" xr:uid="{717C0DF3-CCF1-4D2A-B1DB-3CD129ECDA7E}"/>
    <cellStyle name="Input 120" xfId="24398" xr:uid="{E82E8EF0-1190-49FE-ABFC-6AFC4316633A}"/>
    <cellStyle name="Input 121" xfId="24399" xr:uid="{D8EE733E-2B10-4175-ABFD-B2379D994AE8}"/>
    <cellStyle name="Input 122" xfId="24400" xr:uid="{8E106E65-CC71-4D70-AC7F-A55754BE8D14}"/>
    <cellStyle name="Input 123" xfId="24401" xr:uid="{601BC6C9-0527-48AB-B9F0-81C6803433FB}"/>
    <cellStyle name="Input 124" xfId="24402" xr:uid="{33A119D5-424E-48C6-AD5E-180AE56249F6}"/>
    <cellStyle name="Input 125" xfId="24403" xr:uid="{D30B45EE-DB2B-4F0F-85C6-6F690551E0A0}"/>
    <cellStyle name="Input 126" xfId="24404" xr:uid="{A1D17582-1FEF-4F73-BEB4-0664B96E7F9D}"/>
    <cellStyle name="Input 127" xfId="24405" xr:uid="{87776AC3-770D-4F0B-8DE6-4F481C6B992B}"/>
    <cellStyle name="Input 128" xfId="24406" xr:uid="{0260ECB7-BD6F-4D1A-BD32-1CCFC80DB350}"/>
    <cellStyle name="Input 129" xfId="24407" xr:uid="{625405AF-D849-44E0-B0E1-467FC95E1F0B}"/>
    <cellStyle name="Input 13" xfId="24408" xr:uid="{9A1DA7F8-E56C-4F8A-ABBD-F42A72081A63}"/>
    <cellStyle name="Input 13 2" xfId="38829" xr:uid="{59DDC6DF-3F61-4262-B6FE-DCCCE14B7448}"/>
    <cellStyle name="Input 13 3" xfId="38830" xr:uid="{A47D423B-3BED-421D-9CEF-0C6F9B7A9DF1}"/>
    <cellStyle name="Input 130" xfId="24409" xr:uid="{D5CE6CDB-B90A-4C4B-A5C0-9EF5E5FC1FCF}"/>
    <cellStyle name="Input 131" xfId="24410" xr:uid="{114FD984-35AE-4A7F-AE15-F5C46C372FE7}"/>
    <cellStyle name="Input 132" xfId="24411" xr:uid="{B6A93C3B-C54E-4D4F-810D-DA62BA40579A}"/>
    <cellStyle name="Input 133" xfId="24412" xr:uid="{EAB5994E-0734-438D-9A49-D681E3EBEB9A}"/>
    <cellStyle name="Input 134" xfId="24413" xr:uid="{C994F626-F505-46C3-B669-1D841975850F}"/>
    <cellStyle name="Input 135" xfId="24414" xr:uid="{856E658E-E58D-408E-B7E8-AEB58AB0C5CF}"/>
    <cellStyle name="Input 136" xfId="24415" xr:uid="{EDF0039A-B424-4B42-857F-3B6601622E5D}"/>
    <cellStyle name="Input 137" xfId="24416" xr:uid="{057E5FCF-8164-4F46-ADB5-E8555C3E7DB8}"/>
    <cellStyle name="Input 138" xfId="24417" xr:uid="{F7C72344-EDE4-49E6-AEB7-C3A8B8DB343B}"/>
    <cellStyle name="Input 139" xfId="24418" xr:uid="{989627E5-D166-465F-BC16-6F81B782069A}"/>
    <cellStyle name="Input 14" xfId="24419" xr:uid="{3396DCB6-34DF-4A03-A5BD-0D3EC428E917}"/>
    <cellStyle name="Input 14 2" xfId="38831" xr:uid="{38DF27E0-0B24-4ABA-A8AF-5DDDB3CDDFF7}"/>
    <cellStyle name="Input 14 3" xfId="38832" xr:uid="{46CDAA67-463B-4AB0-BD30-247D13D0A66E}"/>
    <cellStyle name="Input 140" xfId="24420" xr:uid="{C5109569-33F7-46B3-BF33-24E5198E6798}"/>
    <cellStyle name="Input 141" xfId="24421" xr:uid="{04C9A709-2DBC-4EEE-8685-98704D16B4F0}"/>
    <cellStyle name="Input 142" xfId="24422" xr:uid="{C2FC2381-02E9-4D8F-8525-CECA8EB396D6}"/>
    <cellStyle name="Input 143" xfId="24423" xr:uid="{76CA0BFE-1696-4549-AC70-3C293AECE531}"/>
    <cellStyle name="Input 144" xfId="24424" xr:uid="{F182A01E-6A94-4BF4-B6F3-D5E24F1D5C41}"/>
    <cellStyle name="Input 145" xfId="24425" xr:uid="{641B466B-1187-485F-8027-36F993566F21}"/>
    <cellStyle name="Input 146" xfId="24426" xr:uid="{EF8D4CE6-EFA7-4985-9350-F4038BD3AE8B}"/>
    <cellStyle name="Input 147" xfId="24427" xr:uid="{28441C68-B683-4016-8597-FEC687A965AA}"/>
    <cellStyle name="Input 148" xfId="24428" xr:uid="{580CB49A-5914-4E7A-B5E8-4DBE10C45E2C}"/>
    <cellStyle name="Input 149" xfId="24429" xr:uid="{4FBD6E74-0843-4332-83F9-81EBA2CF502A}"/>
    <cellStyle name="Input 15" xfId="24430" xr:uid="{AD49C232-57E1-44B6-A88A-FC24F13CA7E2}"/>
    <cellStyle name="Input 15 2" xfId="38833" xr:uid="{8AA5DD0C-B172-4080-A54A-5A073DACCBE2}"/>
    <cellStyle name="Input 15 3" xfId="38834" xr:uid="{D6DACBFB-DBD4-43DF-82E0-987FCCD24F52}"/>
    <cellStyle name="Input 150" xfId="24431" xr:uid="{C2F97E9E-58D0-4F3B-B980-2EB363EE553A}"/>
    <cellStyle name="Input 151" xfId="24432" xr:uid="{AE8F641F-FAC4-4370-BE20-F54DD3C36909}"/>
    <cellStyle name="Input 152" xfId="24433" xr:uid="{89CCE961-0A6E-42A6-B406-98444A6A0F5F}"/>
    <cellStyle name="Input 153" xfId="24434" xr:uid="{B4905585-018B-4D99-BF51-7213E1C7B546}"/>
    <cellStyle name="Input 154" xfId="24435" xr:uid="{3986D518-D621-4FF0-B282-B8FE946D50DD}"/>
    <cellStyle name="Input 155" xfId="24436" xr:uid="{0F59BA63-086A-46EB-A6AF-3F84B06ECD2F}"/>
    <cellStyle name="Input 156" xfId="24437" xr:uid="{CD942354-4007-4757-AAD9-0F706B127617}"/>
    <cellStyle name="Input 157" xfId="24438" xr:uid="{432B45F6-FFCB-4D8F-84F5-CFECA813910F}"/>
    <cellStyle name="Input 158" xfId="24439" xr:uid="{2AF4B177-4488-4CB3-8B24-6C5B10A64030}"/>
    <cellStyle name="Input 159" xfId="24440" xr:uid="{EFD3A2A5-43B0-4EFA-915D-E28F71D2FB05}"/>
    <cellStyle name="Input 16" xfId="24441" xr:uid="{2350A7AD-F27F-4D64-84B9-026FC0307D65}"/>
    <cellStyle name="Input 16 2" xfId="38835" xr:uid="{05BFAB0D-AFEC-4F51-B93C-0B348A4C9F81}"/>
    <cellStyle name="Input 16 3" xfId="38836" xr:uid="{860D0E70-1351-4FA2-85A8-BD3075835C52}"/>
    <cellStyle name="Input 160" xfId="24442" xr:uid="{22B8C164-3DB9-4925-BA38-0FF023EFF533}"/>
    <cellStyle name="Input 17" xfId="24443" xr:uid="{C5285B6E-3833-42D7-9015-C6A48B8BEF39}"/>
    <cellStyle name="Input 17 2" xfId="38837" xr:uid="{90675A5B-5FB6-40A4-A706-47432D09CBBA}"/>
    <cellStyle name="Input 17 3" xfId="38838" xr:uid="{958F94AC-C7B5-4175-A23E-8F636D45169F}"/>
    <cellStyle name="Input 18" xfId="24444" xr:uid="{8E045B3B-4F15-47E7-9756-35AAA91F66C8}"/>
    <cellStyle name="Input 18 2" xfId="38839" xr:uid="{CEE357CE-E71A-4843-AE41-F97931F8B33A}"/>
    <cellStyle name="Input 18 3" xfId="38840" xr:uid="{679DE2D5-13C0-4136-BF5F-162C9D79EB5A}"/>
    <cellStyle name="Input 19" xfId="24445" xr:uid="{0F466D91-0A9E-4585-A6DA-A2CA4BE5D0F3}"/>
    <cellStyle name="Input 19 2" xfId="38841" xr:uid="{FE09CECD-893F-4313-89EE-7E143313D471}"/>
    <cellStyle name="Input 2" xfId="76" xr:uid="{838C5996-847C-4184-BEF5-DCF9237A9A9A}"/>
    <cellStyle name="Input 2 2" xfId="24447" xr:uid="{6A939F28-99C0-455C-A196-5EF16515738C}"/>
    <cellStyle name="Input 2 2 2" xfId="38842" xr:uid="{E025238B-1DEF-40B1-B635-9CF0289EFC63}"/>
    <cellStyle name="Input 2 3" xfId="38843" xr:uid="{0033CD61-CF1D-415C-9658-2BE00D3D16AD}"/>
    <cellStyle name="Input 2 4" xfId="38844" xr:uid="{B4193BEF-10BF-406E-8CDD-E8242F832539}"/>
    <cellStyle name="Input 2 5" xfId="38845" xr:uid="{9EFDA019-24B3-4540-BEAA-34E8B4782FB3}"/>
    <cellStyle name="Input 2 6" xfId="24446" xr:uid="{CEA60A95-0C11-40DB-8076-0F36CB414195}"/>
    <cellStyle name="Input 20" xfId="24448" xr:uid="{A56714E0-3EC0-4C21-9E5A-96466859CD66}"/>
    <cellStyle name="Input 20 2" xfId="38846" xr:uid="{86FAE0BB-60B1-4EA9-84B2-27E142D701DD}"/>
    <cellStyle name="Input 21" xfId="24449" xr:uid="{7172EAB4-4CE5-4889-BB33-847DCEBC77B8}"/>
    <cellStyle name="Input 21 2" xfId="38847" xr:uid="{49B2B092-442A-4EE1-A163-2EB3C41A1131}"/>
    <cellStyle name="Input 22" xfId="24450" xr:uid="{45E6144B-F837-4B69-A939-AF4F9B3F3369}"/>
    <cellStyle name="Input 22 2" xfId="38848" xr:uid="{293AC616-A320-4EF5-83B9-F17E5C208D72}"/>
    <cellStyle name="Input 23" xfId="24451" xr:uid="{F7564035-F21C-4C65-992E-BAEA84DE5937}"/>
    <cellStyle name="Input 23 2" xfId="38849" xr:uid="{993181E4-7E62-4746-9CC8-18C05515307A}"/>
    <cellStyle name="Input 24" xfId="24452" xr:uid="{79B5894E-0E9C-4CCD-ACF1-92C69DCEB3E8}"/>
    <cellStyle name="Input 24 2" xfId="38850" xr:uid="{70C7C7FB-9481-4233-8583-C1F088C14805}"/>
    <cellStyle name="Input 25" xfId="24453" xr:uid="{BE6AE5AD-9042-4A4A-836B-97B46F597A30}"/>
    <cellStyle name="Input 25 2" xfId="38851" xr:uid="{6C247AD3-B8DA-455A-83BB-D1C62462F76F}"/>
    <cellStyle name="Input 26" xfId="24454" xr:uid="{0CB97193-DDF8-4963-BFA8-CDEE6F6C0D1B}"/>
    <cellStyle name="Input 26 2" xfId="38852" xr:uid="{4D2DE58F-FFDC-4F88-BC4A-B5D24D81113C}"/>
    <cellStyle name="Input 27" xfId="24455" xr:uid="{1F21F648-BCB1-4212-984C-7E463CF34B81}"/>
    <cellStyle name="Input 27 2" xfId="38853" xr:uid="{C94ADCE1-C86F-4752-A932-DF180D621157}"/>
    <cellStyle name="Input 28" xfId="24456" xr:uid="{61119021-8555-4D67-A0E6-C2D0D17A735C}"/>
    <cellStyle name="Input 28 2" xfId="38854" xr:uid="{94AB3842-0450-47FA-BBD1-7E0A9842F7CE}"/>
    <cellStyle name="Input 29" xfId="24457" xr:uid="{4E8BC988-DEBC-49F7-97FB-F52C89FA87C1}"/>
    <cellStyle name="Input 29 2" xfId="24458" xr:uid="{024ACC08-9B37-46CC-8D0C-8A025FDCEC04}"/>
    <cellStyle name="Input 29 3" xfId="38855" xr:uid="{2C5E91E1-BE09-47B2-B3E9-44ACA93ED285}"/>
    <cellStyle name="Input 3" xfId="24459" xr:uid="{A2A20228-7EF2-49FD-8AF1-6457A6F4A086}"/>
    <cellStyle name="Input 3 2" xfId="24460" xr:uid="{56B96468-6B40-4AB8-A149-A8F56E5D2EE8}"/>
    <cellStyle name="Input 3 3" xfId="38856" xr:uid="{72D0BF71-D2B2-4A04-8F5F-E03D100D0F88}"/>
    <cellStyle name="Input 3 4" xfId="38857" xr:uid="{9D266481-4FC4-4E0D-B52C-AE928CF1F773}"/>
    <cellStyle name="Input 30" xfId="24461" xr:uid="{89709E9F-7C31-4529-BBBF-CD892C1116F9}"/>
    <cellStyle name="Input 30 2" xfId="38858" xr:uid="{14D895BF-629E-48F8-858E-78EAC301784E}"/>
    <cellStyle name="Input 31" xfId="24462" xr:uid="{A37B14FF-F591-438A-A3AA-1A5AED8FA314}"/>
    <cellStyle name="Input 31 2" xfId="38859" xr:uid="{1E63BA32-4430-4855-8F2E-535AE5EE92C8}"/>
    <cellStyle name="Input 32" xfId="24463" xr:uid="{54C6BCEF-01A9-4996-B6C3-9FF3AC405811}"/>
    <cellStyle name="Input 32 2" xfId="38860" xr:uid="{2A29E97C-FE59-4BD3-910C-49A0C720D264}"/>
    <cellStyle name="Input 33" xfId="24464" xr:uid="{11B9E691-50A5-472A-BC65-2B60143D3C43}"/>
    <cellStyle name="Input 33 2" xfId="38861" xr:uid="{9109BA0F-DD5E-4BEF-8651-8960930D9B1A}"/>
    <cellStyle name="Input 34" xfId="24465" xr:uid="{17BE2995-9C35-4A99-ABA7-C46C10ED6ECB}"/>
    <cellStyle name="Input 34 2" xfId="38862" xr:uid="{AB7F136E-71E0-4ACC-BB49-91EFE59A99DF}"/>
    <cellStyle name="Input 35" xfId="24466" xr:uid="{0785CE96-2D92-48E1-ADFF-F8F3448B5114}"/>
    <cellStyle name="Input 35 2" xfId="38863" xr:uid="{ECF1D30B-0ECB-4DDD-9FA4-30F1D1752611}"/>
    <cellStyle name="Input 36" xfId="24467" xr:uid="{EC2316A1-EF1F-4133-B85F-E9AEF79BDC26}"/>
    <cellStyle name="Input 36 2" xfId="38864" xr:uid="{2314D9EC-6CDB-46DF-B411-71CE4205795B}"/>
    <cellStyle name="Input 37" xfId="24468" xr:uid="{77359008-A047-4EA8-AEDC-BB3F4B786CFA}"/>
    <cellStyle name="Input 37 2" xfId="38865" xr:uid="{EE30FC02-1080-4EC9-BB25-612C9E3ABE86}"/>
    <cellStyle name="Input 38" xfId="24469" xr:uid="{9AE847F3-F3F0-4FF9-9D80-EC3C24F221DE}"/>
    <cellStyle name="Input 38 2" xfId="38866" xr:uid="{B6A284ED-9D52-441A-9214-7DDA05A0F217}"/>
    <cellStyle name="Input 39" xfId="24470" xr:uid="{1B57983F-79AD-45A3-8F75-53BB73FFE3A3}"/>
    <cellStyle name="Input 39 2" xfId="38867" xr:uid="{48B95F0B-9BE8-44A9-87C0-FE671ED231C8}"/>
    <cellStyle name="Input 4" xfId="24471" xr:uid="{30BB5C3B-5727-48A2-A186-28057F4FAE3F}"/>
    <cellStyle name="Input 4 2" xfId="38868" xr:uid="{CB8DB99A-E573-4FBC-A962-15D7AF76D5CA}"/>
    <cellStyle name="Input 4 3" xfId="38869" xr:uid="{CADD9DB0-FDAF-4813-A2AB-DCCC16421FA6}"/>
    <cellStyle name="Input 40" xfId="24472" xr:uid="{82DD8A35-9D84-4675-8ECB-95F196B3876B}"/>
    <cellStyle name="Input 40 2" xfId="38870" xr:uid="{45B37176-4A1D-4C46-A678-78DCADBC4495}"/>
    <cellStyle name="Input 41" xfId="24473" xr:uid="{B1692872-2112-40DB-9024-67EBA1F1FAD3}"/>
    <cellStyle name="Input 41 2" xfId="38871" xr:uid="{3AA35379-5B79-4AB7-9C59-8692D20CF4F1}"/>
    <cellStyle name="Input 42" xfId="24474" xr:uid="{AD868A8C-74AC-491D-9BF5-F7A13CB6E9EF}"/>
    <cellStyle name="Input 42 2" xfId="38872" xr:uid="{EF4104BD-EA88-48E8-9F47-410EC3AF3AA9}"/>
    <cellStyle name="Input 43" xfId="24475" xr:uid="{27C72467-C2A8-4DE2-B4F4-6F3113B551D8}"/>
    <cellStyle name="Input 43 2" xfId="38873" xr:uid="{F45631A9-FCFE-4C22-A879-19AE8B9FB843}"/>
    <cellStyle name="Input 44" xfId="24476" xr:uid="{08B4FD03-C6B3-43AC-8A52-380901F94AC0}"/>
    <cellStyle name="Input 44 2" xfId="38874" xr:uid="{200E521A-F20E-4DDB-8430-3715143D7206}"/>
    <cellStyle name="Input 45" xfId="24477" xr:uid="{F61B7461-6FE9-43A2-AE56-CD8BA22115A0}"/>
    <cellStyle name="Input 45 2" xfId="38875" xr:uid="{B3AF1C91-919F-42B4-89C1-CB1040D6C803}"/>
    <cellStyle name="Input 46" xfId="24478" xr:uid="{13FBDE4D-9FFC-4393-9178-D84F17DB1294}"/>
    <cellStyle name="Input 46 2" xfId="38876" xr:uid="{25E11FFA-E73E-42F4-AA51-4A6E729C9046}"/>
    <cellStyle name="Input 47" xfId="24479" xr:uid="{9A2F13DC-2D8A-4084-A229-351BE988598F}"/>
    <cellStyle name="Input 47 2" xfId="38877" xr:uid="{163D60F2-623E-4BD5-9F73-516F0931DE82}"/>
    <cellStyle name="Input 48" xfId="24480" xr:uid="{A1DBAA5E-47EE-4AEB-A56A-F8C1BE9391DE}"/>
    <cellStyle name="Input 48 2" xfId="38878" xr:uid="{8D5EB4B5-4B1C-44DF-B4A8-7FBB48B2D446}"/>
    <cellStyle name="Input 49" xfId="24481" xr:uid="{B5BF7A6C-5BB4-443B-A2A9-7C7A7AA0BB6D}"/>
    <cellStyle name="Input 49 2" xfId="38879" xr:uid="{93168D90-CF2F-427A-848C-320FEA4445B4}"/>
    <cellStyle name="Input 5" xfId="24482" xr:uid="{7885F89F-7E62-4774-95FD-8C46E9A20829}"/>
    <cellStyle name="Input 5 2" xfId="38880" xr:uid="{EC6A8921-6468-42FA-9C5A-6F8C59D3B390}"/>
    <cellStyle name="Input 5 3" xfId="38881" xr:uid="{A0EC0D93-188B-46A2-ACD6-CBC302F0E0CD}"/>
    <cellStyle name="Input 50" xfId="24483" xr:uid="{C170D056-596E-4BD2-AB7C-AF88F0109246}"/>
    <cellStyle name="Input 50 2" xfId="38882" xr:uid="{014AF42B-728A-4F4B-A566-5B0FD8BC0C43}"/>
    <cellStyle name="Input 51" xfId="24484" xr:uid="{C31C2055-79E6-45B1-A2B2-687831B5964A}"/>
    <cellStyle name="Input 51 2" xfId="38883" xr:uid="{330E8B64-2AB0-4F7B-AB5E-2DC95E17A888}"/>
    <cellStyle name="Input 52" xfId="24485" xr:uid="{C165DCC8-EEEB-402B-BD84-C437655B0BF1}"/>
    <cellStyle name="Input 52 2" xfId="38884" xr:uid="{9A23FDE9-9C45-4A27-A14B-BE52049517E3}"/>
    <cellStyle name="Input 53" xfId="24486" xr:uid="{48E240FD-50E8-4747-802D-9E3B6FE0264B}"/>
    <cellStyle name="Input 53 2" xfId="38885" xr:uid="{C737D9F6-11DD-4325-B263-2B1151EB600C}"/>
    <cellStyle name="Input 54" xfId="24487" xr:uid="{E5E599B5-F4DF-42D9-B7B1-BD02848DEB86}"/>
    <cellStyle name="Input 55" xfId="24488" xr:uid="{6D9AF1D1-4294-4150-8040-12210F8D18F3}"/>
    <cellStyle name="Input 56" xfId="24489" xr:uid="{762F1672-7020-44B3-B8FB-1541C7FE42F5}"/>
    <cellStyle name="Input 57" xfId="24490" xr:uid="{3E9A2E4F-1AFB-4155-8471-76E31C572A94}"/>
    <cellStyle name="Input 58" xfId="24491" xr:uid="{C0C4832B-FAE2-4F58-9A48-78C823070A0D}"/>
    <cellStyle name="Input 59" xfId="24492" xr:uid="{7864CD66-6A08-4022-B4A1-172521361CBC}"/>
    <cellStyle name="Input 6" xfId="24493" xr:uid="{EA02541C-4E0D-4A61-8413-3F913DAA3ADA}"/>
    <cellStyle name="Input 6 2" xfId="38886" xr:uid="{8D05E62E-BA82-497D-BAC2-1C7012D71E73}"/>
    <cellStyle name="Input 6 3" xfId="38887" xr:uid="{1D527A77-F6EB-4026-A6E7-0BE2587D2E00}"/>
    <cellStyle name="Input 60" xfId="24494" xr:uid="{B01A7E07-03D5-4E94-865A-31BA0410D42A}"/>
    <cellStyle name="Input 61" xfId="24495" xr:uid="{995652DA-D577-4BCC-817E-AEC2B6A8E6D8}"/>
    <cellStyle name="Input 62" xfId="24496" xr:uid="{EAA3A51D-0CCF-4A64-860B-6FD6D471E157}"/>
    <cellStyle name="Input 63" xfId="24497" xr:uid="{B6071678-8905-41A9-BC98-C080A86F4299}"/>
    <cellStyle name="Input 64" xfId="24498" xr:uid="{EBD1632F-7ECA-46A9-AC1C-1A58E9B9080D}"/>
    <cellStyle name="Input 65" xfId="24499" xr:uid="{612E5135-A06A-4F79-972A-0EA33D2F81A8}"/>
    <cellStyle name="Input 66" xfId="24500" xr:uid="{69B7D245-CB90-4572-9882-0D8AEA6058C4}"/>
    <cellStyle name="Input 67" xfId="24501" xr:uid="{153D4EEC-A0D9-4860-8C4A-AB987ADA9237}"/>
    <cellStyle name="Input 68" xfId="24502" xr:uid="{230D4585-C826-436C-B0E1-31F8A9F0E833}"/>
    <cellStyle name="Input 69" xfId="24503" xr:uid="{E056F718-A282-440D-9442-E5E772BA5C67}"/>
    <cellStyle name="Input 7" xfId="24504" xr:uid="{5DFFE5CA-2EF6-4439-A478-1F4135B6538A}"/>
    <cellStyle name="Input 7 2" xfId="38888" xr:uid="{CF6F2995-96D1-483B-951C-F6696C72591B}"/>
    <cellStyle name="Input 7 3" xfId="38889" xr:uid="{79C0C307-4232-450C-B96D-5DF68693A10C}"/>
    <cellStyle name="Input 70" xfId="24505" xr:uid="{C9DBF49A-5205-4002-9735-A63E02F8B27A}"/>
    <cellStyle name="Input 71" xfId="24506" xr:uid="{EDBEAA9C-75F0-4E13-98AA-02A326582128}"/>
    <cellStyle name="Input 72" xfId="24507" xr:uid="{0640B0B2-31E7-4E1E-9F29-D01B26739A45}"/>
    <cellStyle name="Input 73" xfId="24508" xr:uid="{D469A2C8-8258-4BDF-921A-2416C5D439C8}"/>
    <cellStyle name="Input 74" xfId="24509" xr:uid="{41FD3E66-AD44-4E1A-8C78-887F8192EBF0}"/>
    <cellStyle name="Input 75" xfId="24510" xr:uid="{8097E150-A1D6-4AF5-8D06-716B854FB60A}"/>
    <cellStyle name="Input 76" xfId="24511" xr:uid="{95010AE3-318A-42D7-BB24-D0C24F526B68}"/>
    <cellStyle name="Input 77" xfId="24512" xr:uid="{B14C97AD-CAE8-4D64-A5CF-7EE592CB4AFF}"/>
    <cellStyle name="Input 78" xfId="24513" xr:uid="{7FD59AA0-6619-43C0-A590-68F6048FC35A}"/>
    <cellStyle name="Input 79" xfId="24514" xr:uid="{3C847AF8-B8C1-45E2-AC45-0090C5053961}"/>
    <cellStyle name="Input 8" xfId="24515" xr:uid="{4613124C-94B5-4859-92BD-B44DC49C2D45}"/>
    <cellStyle name="Input 8 2" xfId="38890" xr:uid="{9C7944D9-68A6-49B7-8682-3DF9066C9986}"/>
    <cellStyle name="Input 8 3" xfId="38891" xr:uid="{C4486DEA-F4E2-49F2-A373-508A0D7CA150}"/>
    <cellStyle name="Input 80" xfId="24516" xr:uid="{67BD1390-C6A0-4A3C-BE2D-CE4316C9A5E1}"/>
    <cellStyle name="Input 81" xfId="24517" xr:uid="{F7987FCB-5561-4049-9214-EFD64F5592DE}"/>
    <cellStyle name="Input 82" xfId="24518" xr:uid="{DF7DB421-B4E2-489E-9C12-E7A196D3398A}"/>
    <cellStyle name="Input 83" xfId="24519" xr:uid="{3790CC90-7729-4E8D-AF13-EDDC9DFB2DD2}"/>
    <cellStyle name="Input 84" xfId="24520" xr:uid="{003B5F1A-0251-4B1E-9F65-7ECF52BCAAC3}"/>
    <cellStyle name="Input 85" xfId="24521" xr:uid="{6203053D-192E-49D6-8F13-ADBA3895342E}"/>
    <cellStyle name="Input 86" xfId="24522" xr:uid="{4F9B3EB9-8DC4-4D29-9638-A74DE1056F35}"/>
    <cellStyle name="Input 87" xfId="24523" xr:uid="{E025483B-22D3-4F43-9343-B8435613C8D7}"/>
    <cellStyle name="Input 88" xfId="24524" xr:uid="{F10B9568-19EB-4EA3-8FE6-72CB0B2BC8DC}"/>
    <cellStyle name="Input 89" xfId="24525" xr:uid="{C80ED919-2188-45DC-AAE1-67F7CE86E642}"/>
    <cellStyle name="Input 9" xfId="24526" xr:uid="{99907632-1339-4992-ACDD-D3B236AC36CE}"/>
    <cellStyle name="Input 9 2" xfId="38892" xr:uid="{A66FF1FA-2D18-4849-A042-9F255898456B}"/>
    <cellStyle name="Input 9 3" xfId="38893" xr:uid="{7727EC1F-FD3D-4833-A20C-E3AF67088630}"/>
    <cellStyle name="Input 90" xfId="24527" xr:uid="{9F38EAA6-241A-4946-A228-6A083C7FD7E0}"/>
    <cellStyle name="Input 91" xfId="24528" xr:uid="{7EF849EE-FE9B-43ED-8585-7456A3E8D9C9}"/>
    <cellStyle name="Input 92" xfId="24529" xr:uid="{8B6D7A57-36BA-4AB4-BDC0-D01E174F7253}"/>
    <cellStyle name="Input 93" xfId="24530" xr:uid="{B8B25851-9988-43E4-BF2E-11CAD187DEDB}"/>
    <cellStyle name="Input 94" xfId="24531" xr:uid="{6075452A-F809-4B2C-A2D2-B4A2D6577460}"/>
    <cellStyle name="Input 95" xfId="24532" xr:uid="{9AC1F4C8-A4C4-4073-A6A6-8DB040B7E313}"/>
    <cellStyle name="Input 96" xfId="24533" xr:uid="{AED73A14-2718-428E-9D93-35A460B34D8B}"/>
    <cellStyle name="Input 97" xfId="24534" xr:uid="{14F813E3-3CA6-4B5F-9DFB-C3D30BD18E79}"/>
    <cellStyle name="Input 98" xfId="24535" xr:uid="{67877D4A-C24C-474B-8A08-009DBC0D3C20}"/>
    <cellStyle name="Input 99" xfId="24536" xr:uid="{96161EAC-5FF8-4546-9731-7C634AD28E5B}"/>
    <cellStyle name="InSheet" xfId="7" xr:uid="{00000000-0005-0000-0000-000034000000}"/>
    <cellStyle name="KPMG Heading 1" xfId="24537" xr:uid="{8BC0266E-1FDA-42DF-BC77-6999FEAEDB52}"/>
    <cellStyle name="KPMG Heading 2" xfId="24538" xr:uid="{235AB919-7EB2-47AF-9816-ADC0C56938C2}"/>
    <cellStyle name="KPMG Heading 3" xfId="24539" xr:uid="{09AC9D6A-C297-4B3B-A692-5037395208C5}"/>
    <cellStyle name="KPMG Heading 4" xfId="24540" xr:uid="{2B2157D7-8E21-4936-8C79-19E455D1392E}"/>
    <cellStyle name="KPMG Normal" xfId="24541" xr:uid="{F22DD492-FC38-48B4-A1DA-F16AAD2D68AB}"/>
    <cellStyle name="KPMG Normal Text" xfId="24542" xr:uid="{BF50039F-2AFD-4ECA-A968-5D907291DAE7}"/>
    <cellStyle name="Large" xfId="24543" xr:uid="{BCFDECB7-DFA8-43E8-9A7E-641B3EA8F116}"/>
    <cellStyle name="Ligne détail" xfId="24544" xr:uid="{4191E603-C2DB-4BD0-B78D-8B0CFD07C04E}"/>
    <cellStyle name="Line_ClosingBal" xfId="8" xr:uid="{00000000-0005-0000-0000-000035000000}"/>
    <cellStyle name="Line_Subtotal" xfId="10" xr:uid="{00000000-0005-0000-0000-000037000000}"/>
    <cellStyle name="Line_Summary" xfId="9" xr:uid="{00000000-0005-0000-0000-000038000000}"/>
    <cellStyle name="Link Currency (0)" xfId="24545" xr:uid="{0ED94393-A4D8-4A55-B6A4-C35520C44995}"/>
    <cellStyle name="Link Currency (2)" xfId="24546" xr:uid="{18071C35-D145-4835-84C8-DCAFEC9E47A8}"/>
    <cellStyle name="Link Units (0)" xfId="24547" xr:uid="{9A8CEF6E-3791-4777-8FD2-68B72E7BEE5A}"/>
    <cellStyle name="Link Units (1)" xfId="24548" xr:uid="{08096362-BA59-4A2A-A925-D38FEC3992FD}"/>
    <cellStyle name="Link Units (2)" xfId="24549" xr:uid="{29911C4C-01CE-480C-B8D8-96F85F09107F}"/>
    <cellStyle name="Linked Cell" xfId="25" builtinId="24" hidden="1"/>
    <cellStyle name="Linked Cell" xfId="98" builtinId="24" customBuiltin="1"/>
    <cellStyle name="Linked Cell 10" xfId="24550" xr:uid="{92C8ECA2-6FDB-4DC8-8829-21F0C6C78EEA}"/>
    <cellStyle name="Linked Cell 10 2" xfId="38894" xr:uid="{93B8839D-ECE2-4218-A038-2976B474B91E}"/>
    <cellStyle name="Linked Cell 10 3" xfId="38895" xr:uid="{495F56C5-821C-45CA-8438-7D4F3B423FAF}"/>
    <cellStyle name="Linked Cell 100" xfId="24551" xr:uid="{4C9AE1F6-B50C-4153-8FDE-C3115D50DC92}"/>
    <cellStyle name="Linked Cell 101" xfId="24552" xr:uid="{3E0252A6-3DE6-4BF3-BC8D-8303E83F3E44}"/>
    <cellStyle name="Linked Cell 102" xfId="24553" xr:uid="{0B67ACAA-BDA2-4294-AFCB-CD1A61078375}"/>
    <cellStyle name="Linked Cell 103" xfId="24554" xr:uid="{044DE6C9-6762-485F-92D4-4E977430FB51}"/>
    <cellStyle name="Linked Cell 104" xfId="24555" xr:uid="{8CFE6F79-9084-4376-B828-2F71C6117596}"/>
    <cellStyle name="Linked Cell 105" xfId="24556" xr:uid="{B9EC6779-9555-412F-93CC-B76750DAF654}"/>
    <cellStyle name="Linked Cell 106" xfId="24557" xr:uid="{0A38185B-6F68-482C-BA7A-C5C87F95E2A6}"/>
    <cellStyle name="Linked Cell 107" xfId="24558" xr:uid="{EF1DF967-69B6-4260-AC6B-50201BA17806}"/>
    <cellStyle name="Linked Cell 108" xfId="24559" xr:uid="{40DEFBA8-3EBD-421B-A8C0-C99CE3F6EF00}"/>
    <cellStyle name="Linked Cell 109" xfId="24560" xr:uid="{93CCA4A8-748E-4BCD-A346-BF62A42C0E32}"/>
    <cellStyle name="Linked Cell 11" xfId="24561" xr:uid="{77016F09-D46D-4F64-9F28-85C6114C0D0B}"/>
    <cellStyle name="Linked Cell 11 2" xfId="38896" xr:uid="{A5B09C54-C7EE-4C7F-989D-189B196BBDA4}"/>
    <cellStyle name="Linked Cell 11 3" xfId="38897" xr:uid="{82C33E3A-676A-4F9A-8D35-DBD0E04D68AE}"/>
    <cellStyle name="Linked Cell 110" xfId="24562" xr:uid="{2B7F821C-55E3-4C19-8D88-38586573EB7C}"/>
    <cellStyle name="Linked Cell 111" xfId="24563" xr:uid="{6817AB32-816A-42AA-BE40-4E2F6D618758}"/>
    <cellStyle name="Linked Cell 112" xfId="24564" xr:uid="{483D1909-BEDA-4A9D-B991-338C571AE650}"/>
    <cellStyle name="Linked Cell 113" xfId="24565" xr:uid="{BF567549-4D90-4DFA-96D7-95160D2FE8EC}"/>
    <cellStyle name="Linked Cell 114" xfId="24566" xr:uid="{9C60F5EF-711E-435D-BD76-5C32CEB9D1D2}"/>
    <cellStyle name="Linked Cell 115" xfId="24567" xr:uid="{A3C1BE47-0CC7-4666-BBF1-E3B78C1E1874}"/>
    <cellStyle name="Linked Cell 116" xfId="24568" xr:uid="{AAC66C02-ACE0-4157-83E0-7AC969FE4F8D}"/>
    <cellStyle name="Linked Cell 117" xfId="24569" xr:uid="{60BD61EE-2426-4568-87FA-35CCE072C451}"/>
    <cellStyle name="Linked Cell 118" xfId="24570" xr:uid="{7F238612-6993-44E5-A680-3E8A2CEC9206}"/>
    <cellStyle name="Linked Cell 119" xfId="24571" xr:uid="{CB1C7D54-5A5C-4270-967C-6799786E8DEC}"/>
    <cellStyle name="Linked Cell 12" xfId="24572" xr:uid="{73E3A864-F5B5-4A87-AAF1-F6EED6A10589}"/>
    <cellStyle name="Linked Cell 12 2" xfId="38898" xr:uid="{1100621A-3231-495E-B7D9-7245C5D4D6F1}"/>
    <cellStyle name="Linked Cell 12 3" xfId="38899" xr:uid="{7457E97B-28B5-4F78-9981-954593C5CFB3}"/>
    <cellStyle name="Linked Cell 120" xfId="24573" xr:uid="{07814FF9-5452-4F2B-8722-C8517C94E162}"/>
    <cellStyle name="Linked Cell 121" xfId="24574" xr:uid="{B240C01C-2A4D-4978-B523-8D357F0B5A31}"/>
    <cellStyle name="Linked Cell 122" xfId="24575" xr:uid="{B10EE0B2-B54D-49E8-9662-47B292A844DD}"/>
    <cellStyle name="Linked Cell 123" xfId="24576" xr:uid="{ACA17167-00B0-46DA-A830-118B268BEF61}"/>
    <cellStyle name="Linked Cell 124" xfId="24577" xr:uid="{04FC23E5-5BD8-4B5B-86CC-3FE49FF39C84}"/>
    <cellStyle name="Linked Cell 125" xfId="24578" xr:uid="{D4F27E84-93E1-43D5-AD96-465E42568925}"/>
    <cellStyle name="Linked Cell 126" xfId="24579" xr:uid="{FF991F5C-9AD5-47BB-A54E-F44BF7A5A444}"/>
    <cellStyle name="Linked Cell 127" xfId="24580" xr:uid="{6839D54E-773B-4530-B8B9-104822C2E41C}"/>
    <cellStyle name="Linked Cell 128" xfId="24581" xr:uid="{DDAA1CD7-C04E-4182-855F-9C4B9C5437AA}"/>
    <cellStyle name="Linked Cell 129" xfId="24582" xr:uid="{D5D2C2BA-841D-40EF-9A4C-3417516436BC}"/>
    <cellStyle name="Linked Cell 13" xfId="24583" xr:uid="{B34272C7-AF77-4AA4-95C5-07243EC3594E}"/>
    <cellStyle name="Linked Cell 13 2" xfId="38900" xr:uid="{3E8A9117-F7DC-4AC9-A7B8-D85B7B83EB13}"/>
    <cellStyle name="Linked Cell 13 3" xfId="38901" xr:uid="{657FD0CF-6277-4D6C-87F2-3EA18A31B081}"/>
    <cellStyle name="Linked Cell 130" xfId="24584" xr:uid="{22E7E3CA-3635-40EB-B12D-14C18E9C6FAF}"/>
    <cellStyle name="Linked Cell 131" xfId="24585" xr:uid="{3429B4C8-E4F3-4B80-A692-4C59D27EF028}"/>
    <cellStyle name="Linked Cell 132" xfId="24586" xr:uid="{D37D5CED-C4A9-4901-87A0-3B60CA70E843}"/>
    <cellStyle name="Linked Cell 133" xfId="24587" xr:uid="{C4594BF3-9B98-4DD3-ABB3-A87354A79D34}"/>
    <cellStyle name="Linked Cell 134" xfId="24588" xr:uid="{55E3E51F-C046-4B67-9CD3-28FACFAC163F}"/>
    <cellStyle name="Linked Cell 135" xfId="24589" xr:uid="{6FC28D4B-E351-4ED4-8572-651C3610CA21}"/>
    <cellStyle name="Linked Cell 136" xfId="24590" xr:uid="{2129DF0E-0B11-48C3-8FB5-C6AFD42ED06A}"/>
    <cellStyle name="Linked Cell 137" xfId="24591" xr:uid="{AFB760FC-41E2-4B1A-A97E-9FDA2C736A9F}"/>
    <cellStyle name="Linked Cell 138" xfId="24592" xr:uid="{13B088DB-3CA6-4D0A-B51F-FA8A87A05F06}"/>
    <cellStyle name="Linked Cell 139" xfId="24593" xr:uid="{464E4747-7C0D-44EE-8EA7-88EB05FA0D43}"/>
    <cellStyle name="Linked Cell 14" xfId="24594" xr:uid="{FFE74732-56BE-4C08-B42D-D93B5C0E0A23}"/>
    <cellStyle name="Linked Cell 14 2" xfId="38902" xr:uid="{52A02310-8D52-4ECE-AC95-E91C5A86B359}"/>
    <cellStyle name="Linked Cell 14 3" xfId="38903" xr:uid="{D255A186-C956-44E4-AD1C-267009EC5547}"/>
    <cellStyle name="Linked Cell 140" xfId="24595" xr:uid="{CD6E51DC-5FBA-45B2-B71E-E7C09A482988}"/>
    <cellStyle name="Linked Cell 141" xfId="24596" xr:uid="{DB96D726-A3A5-44AD-9632-53539C58ACBF}"/>
    <cellStyle name="Linked Cell 142" xfId="24597" xr:uid="{2D1CA79E-C14F-412B-B5F1-2E170509C7B4}"/>
    <cellStyle name="Linked Cell 143" xfId="24598" xr:uid="{5E041F01-32FC-4DC5-8282-9FE3DA989EEE}"/>
    <cellStyle name="Linked Cell 144" xfId="24599" xr:uid="{F298F22C-6F16-440F-B547-283F87D59E6F}"/>
    <cellStyle name="Linked Cell 145" xfId="24600" xr:uid="{B7AFE4BA-E77A-4998-8551-76F73EF55192}"/>
    <cellStyle name="Linked Cell 146" xfId="24601" xr:uid="{372E48F4-CCDB-49B2-825B-43CB6B3F9BCA}"/>
    <cellStyle name="Linked Cell 147" xfId="24602" xr:uid="{0FB7DF1A-D740-442D-94A0-F9143B127E62}"/>
    <cellStyle name="Linked Cell 148" xfId="24603" xr:uid="{048A1A9A-03FF-48C2-AFCF-66B23CECF8D3}"/>
    <cellStyle name="Linked Cell 149" xfId="24604" xr:uid="{024617F0-C056-40B1-B0DD-537E7EE92929}"/>
    <cellStyle name="Linked Cell 15" xfId="24605" xr:uid="{83CF3131-CEDB-4C82-88B1-AB22075EFF0D}"/>
    <cellStyle name="Linked Cell 15 2" xfId="38904" xr:uid="{7F689432-EABB-4428-A11E-A50C52E2D890}"/>
    <cellStyle name="Linked Cell 15 3" xfId="38905" xr:uid="{77D79037-79C6-48AD-8C49-01637678598F}"/>
    <cellStyle name="Linked Cell 150" xfId="24606" xr:uid="{ADD3242D-E38B-4C7C-8FA0-43E6D0335DB8}"/>
    <cellStyle name="Linked Cell 151" xfId="24607" xr:uid="{77D94D5D-36A3-41E6-AE80-BB5BD7A04736}"/>
    <cellStyle name="Linked Cell 152" xfId="24608" xr:uid="{21167C06-65BD-489F-8EF5-E5DC18A3FDA8}"/>
    <cellStyle name="Linked Cell 153" xfId="24609" xr:uid="{EA2FA301-1C03-429E-99DC-A50BDBA9B7AD}"/>
    <cellStyle name="Linked Cell 154" xfId="24610" xr:uid="{D208DD9F-B319-4803-9197-DA0B3B0D4660}"/>
    <cellStyle name="Linked Cell 155" xfId="24611" xr:uid="{F3FF56B6-98C5-4037-B1FE-713F1E6B7570}"/>
    <cellStyle name="Linked Cell 156" xfId="24612" xr:uid="{9BEC4327-CF27-4E1F-BD7D-AAAB77417CEA}"/>
    <cellStyle name="Linked Cell 157" xfId="24613" xr:uid="{0456552D-C4D5-4585-BFEE-1C069AC6E76C}"/>
    <cellStyle name="Linked Cell 158" xfId="24614" xr:uid="{0289F97D-BF20-4A68-8356-F470F65AB300}"/>
    <cellStyle name="Linked Cell 159" xfId="24615" xr:uid="{BD64AA09-A9F5-466A-A87D-46DD74178792}"/>
    <cellStyle name="Linked Cell 16" xfId="24616" xr:uid="{F8B0F812-DB79-45C6-862E-62D0B892D4DF}"/>
    <cellStyle name="Linked Cell 16 2" xfId="38906" xr:uid="{37F43D4B-8321-4315-BB44-3B0627748876}"/>
    <cellStyle name="Linked Cell 16 3" xfId="38907" xr:uid="{41835840-75BE-449F-8E47-1072424D4C95}"/>
    <cellStyle name="Linked Cell 160" xfId="24617" xr:uid="{A6614CD5-271F-431C-A866-3CA9A6BBD3A6}"/>
    <cellStyle name="Linked Cell 17" xfId="24618" xr:uid="{546EDDA4-258D-4223-87FC-E672FE9D2266}"/>
    <cellStyle name="Linked Cell 17 2" xfId="38908" xr:uid="{9036D062-EC99-4F35-B57C-B50C48DA7195}"/>
    <cellStyle name="Linked Cell 17 3" xfId="38909" xr:uid="{1E7C896E-D706-42B2-A7F2-B2C2F21FEE07}"/>
    <cellStyle name="Linked Cell 18" xfId="24619" xr:uid="{D5C219C9-33C5-47A7-8864-6FDAB4851B48}"/>
    <cellStyle name="Linked Cell 18 2" xfId="38910" xr:uid="{E1E1C5A2-E62B-4719-9955-66CE803EE61E}"/>
    <cellStyle name="Linked Cell 18 3" xfId="38911" xr:uid="{2099BCDE-6CC6-4E1F-AC39-2DBE35A5CE69}"/>
    <cellStyle name="Linked Cell 19" xfId="24620" xr:uid="{525F0F2B-8610-46E4-A146-A6F8F3222ABB}"/>
    <cellStyle name="Linked Cell 19 2" xfId="38912" xr:uid="{92FBA1E8-8B41-445A-A070-D631574B906C}"/>
    <cellStyle name="Linked Cell 2" xfId="24621" xr:uid="{A457C3E8-DBA9-422B-8DC6-83294EA698BE}"/>
    <cellStyle name="Linked Cell 2 2" xfId="24622" xr:uid="{28F5EC9C-56E3-4B4C-81CC-F720CD321C85}"/>
    <cellStyle name="Linked Cell 2 3" xfId="38913" xr:uid="{197007C6-5FA7-4D7B-B6DF-0F1AC7A0D442}"/>
    <cellStyle name="Linked Cell 2 4" xfId="38914" xr:uid="{2408DBA9-1EC5-47F5-97F1-F581240A302C}"/>
    <cellStyle name="Linked Cell 2 5" xfId="38915" xr:uid="{E32FFAAB-BF8C-4C85-8479-23F8E9532874}"/>
    <cellStyle name="Linked Cell 20" xfId="24623" xr:uid="{26EE4BC3-B521-4161-B98E-0BFDCBADE9E0}"/>
    <cellStyle name="Linked Cell 20 2" xfId="38916" xr:uid="{18C8CFCE-EA7F-487C-820B-73133212850A}"/>
    <cellStyle name="Linked Cell 21" xfId="24624" xr:uid="{6E381F3E-B142-47B6-9F3C-B6A6DAC17580}"/>
    <cellStyle name="Linked Cell 21 2" xfId="38917" xr:uid="{DCAFD3D9-A0CB-41AA-AFBE-8DE47A5BE9CE}"/>
    <cellStyle name="Linked Cell 22" xfId="24625" xr:uid="{5C8A2C52-0DE3-4E52-B853-FA3F2DBAA54F}"/>
    <cellStyle name="Linked Cell 22 2" xfId="38918" xr:uid="{9EC0ACD7-DDE7-4A04-A903-A56E0309ED96}"/>
    <cellStyle name="Linked Cell 23" xfId="24626" xr:uid="{897480B5-4C0F-4E3D-AFCB-C41EEF50D895}"/>
    <cellStyle name="Linked Cell 23 2" xfId="38919" xr:uid="{001099DC-3363-4894-B8BC-EFD15984C011}"/>
    <cellStyle name="Linked Cell 24" xfId="24627" xr:uid="{E237B4A0-287D-4496-B3AA-3B973FCC1C6A}"/>
    <cellStyle name="Linked Cell 24 2" xfId="38920" xr:uid="{932BD98E-F494-4D5C-8F44-F1B060EBA473}"/>
    <cellStyle name="Linked Cell 25" xfId="24628" xr:uid="{96E8BE51-05F6-4AC3-A525-2E8F76F68CF4}"/>
    <cellStyle name="Linked Cell 25 2" xfId="38921" xr:uid="{8B2E13BE-FD43-4820-936F-5F4B9193EDBD}"/>
    <cellStyle name="Linked Cell 26" xfId="24629" xr:uid="{D574C612-DC5A-46EA-89BC-DB34F2238D5B}"/>
    <cellStyle name="Linked Cell 26 2" xfId="38922" xr:uid="{C09B96A5-177F-42FF-8710-177924FC3A8D}"/>
    <cellStyle name="Linked Cell 27" xfId="24630" xr:uid="{71607DEF-6BFB-4407-9D79-9698E20508C8}"/>
    <cellStyle name="Linked Cell 27 2" xfId="38923" xr:uid="{0184E16D-A64B-47B2-8C6E-2E8FE5DE6782}"/>
    <cellStyle name="Linked Cell 28" xfId="24631" xr:uid="{B24EA715-A7BB-4FF6-BFC0-F288B4C6818E}"/>
    <cellStyle name="Linked Cell 28 2" xfId="38924" xr:uid="{2B5C2DEB-3D4B-4382-88D9-0AA8B2D3B818}"/>
    <cellStyle name="Linked Cell 29" xfId="24632" xr:uid="{62A5C9DB-B942-45A2-88D3-85AA93283309}"/>
    <cellStyle name="Linked Cell 29 2" xfId="24633" xr:uid="{55376774-0BA5-4A06-86B2-5EE17087B857}"/>
    <cellStyle name="Linked Cell 29 3" xfId="38925" xr:uid="{027499E2-66F8-4F34-92C0-26FEA0B44351}"/>
    <cellStyle name="Linked Cell 3" xfId="24634" xr:uid="{5EADB78E-FF8F-481E-955E-566E20B4DCF0}"/>
    <cellStyle name="Linked Cell 3 2" xfId="24635" xr:uid="{A1E7173A-AB63-47A7-8971-3F7AD9DDDA2D}"/>
    <cellStyle name="Linked Cell 3 3" xfId="38926" xr:uid="{196AC90F-D6E3-48EF-92EC-EB34F54266F1}"/>
    <cellStyle name="Linked Cell 3 4" xfId="38927" xr:uid="{2B59DFCC-EEB0-43D6-B367-089D966CA6A0}"/>
    <cellStyle name="Linked Cell 30" xfId="24636" xr:uid="{A3390924-5A64-4F20-A35A-EC6F0D655A32}"/>
    <cellStyle name="Linked Cell 30 2" xfId="38928" xr:uid="{982F679E-EFF1-4FE1-A8F7-B652BEEBAB1C}"/>
    <cellStyle name="Linked Cell 31" xfId="24637" xr:uid="{423EBBEE-7119-478B-AFBD-F5FEE69C3791}"/>
    <cellStyle name="Linked Cell 32" xfId="24638" xr:uid="{AD2B43DA-2DEF-48A8-9D7F-2EF4938874F8}"/>
    <cellStyle name="Linked Cell 33" xfId="24639" xr:uid="{CE4D4BA7-CCA5-4430-9250-14AE230D232B}"/>
    <cellStyle name="Linked Cell 34" xfId="24640" xr:uid="{2E854ABF-C4FF-4054-B429-3BA6B11F4D82}"/>
    <cellStyle name="Linked Cell 35" xfId="24641" xr:uid="{75EE2944-0568-4B90-A024-79F3BF64B9FC}"/>
    <cellStyle name="Linked Cell 36" xfId="24642" xr:uid="{5F1BCBCF-3256-4DF4-AA41-9051015B3F93}"/>
    <cellStyle name="Linked Cell 37" xfId="24643" xr:uid="{8399B980-4A1D-478E-A1DA-BC9511301B8B}"/>
    <cellStyle name="Linked Cell 38" xfId="24644" xr:uid="{863E06C4-CB61-4F87-9FBF-926249F8D5B0}"/>
    <cellStyle name="Linked Cell 39" xfId="24645" xr:uid="{82757E6C-2F26-454D-8418-6565B7F0D786}"/>
    <cellStyle name="Linked Cell 4" xfId="24646" xr:uid="{CD49B371-D594-4EB8-9A22-2BE2ADEC5EF4}"/>
    <cellStyle name="Linked Cell 4 2" xfId="38929" xr:uid="{54E58731-BD5F-429E-85F5-5653BB1D4F87}"/>
    <cellStyle name="Linked Cell 4 3" xfId="38930" xr:uid="{27E470F6-A819-40AB-BC01-85FAEB3E5C1B}"/>
    <cellStyle name="Linked Cell 40" xfId="24647" xr:uid="{E6C8FA32-D85C-425A-873B-26450F187D8C}"/>
    <cellStyle name="Linked Cell 41" xfId="24648" xr:uid="{DB8EECA3-539D-423A-BDE9-824098EF865B}"/>
    <cellStyle name="Linked Cell 42" xfId="24649" xr:uid="{CDAB43C9-6879-4437-AE88-4BCA90F4AB6B}"/>
    <cellStyle name="Linked Cell 43" xfId="24650" xr:uid="{6178C590-F7F2-4163-A368-D5FF0578C2EE}"/>
    <cellStyle name="Linked Cell 44" xfId="24651" xr:uid="{EBF68030-18D3-4B5F-B59F-E1042120CD2A}"/>
    <cellStyle name="Linked Cell 45" xfId="24652" xr:uid="{5B9675E0-ED74-48B4-9994-DDCD349022F5}"/>
    <cellStyle name="Linked Cell 46" xfId="24653" xr:uid="{8DC1BB84-AFEF-41A4-8704-B6EAC59DDB63}"/>
    <cellStyle name="Linked Cell 47" xfId="24654" xr:uid="{A5D16BD3-6562-41D9-8137-C8F60F885E23}"/>
    <cellStyle name="Linked Cell 48" xfId="24655" xr:uid="{0B0B320B-6342-4707-A054-C2A21BEF8E29}"/>
    <cellStyle name="Linked Cell 49" xfId="24656" xr:uid="{7FBBE40D-D67E-4CC7-BACD-BCB3C943F5F3}"/>
    <cellStyle name="Linked Cell 5" xfId="24657" xr:uid="{5E10724A-9093-4A71-A9CC-9F6623203B2F}"/>
    <cellStyle name="Linked Cell 5 2" xfId="38931" xr:uid="{442A3F00-301F-4BE8-9FA1-D6FFD76F9DCA}"/>
    <cellStyle name="Linked Cell 5 3" xfId="38932" xr:uid="{3595BA7E-388F-4FBE-9C27-2915224356E9}"/>
    <cellStyle name="Linked Cell 50" xfId="24658" xr:uid="{3471FCD4-2224-4101-8E88-1F6498B1CC09}"/>
    <cellStyle name="Linked Cell 51" xfId="24659" xr:uid="{7119B7C1-C099-4E5D-922D-60802BAA05C8}"/>
    <cellStyle name="Linked Cell 52" xfId="24660" xr:uid="{2850B642-6701-43D1-AFBA-54AA4BC7C7F3}"/>
    <cellStyle name="Linked Cell 53" xfId="24661" xr:uid="{F23B415C-3A30-4989-B5F1-76DD5FC0C2EC}"/>
    <cellStyle name="Linked Cell 54" xfId="24662" xr:uid="{8B265DF0-7B6C-4BFB-BD7C-981F5012AC02}"/>
    <cellStyle name="Linked Cell 55" xfId="24663" xr:uid="{07BDEDD6-A0AC-478D-AAF6-6F42C116D687}"/>
    <cellStyle name="Linked Cell 56" xfId="24664" xr:uid="{0BF6EA80-DCC3-417E-992D-ED985AA2B4DD}"/>
    <cellStyle name="Linked Cell 57" xfId="24665" xr:uid="{3724A3C0-87FD-4E61-BCC5-EDDC574D5AA4}"/>
    <cellStyle name="Linked Cell 58" xfId="24666" xr:uid="{95FB8370-DABA-4D29-9178-D2A367A502E2}"/>
    <cellStyle name="Linked Cell 59" xfId="24667" xr:uid="{57F02E9A-13C1-4C9E-BEA3-474DBFF0A9B7}"/>
    <cellStyle name="Linked Cell 6" xfId="24668" xr:uid="{422AC08F-6EA8-4209-A7AE-F21A8EE50E9D}"/>
    <cellStyle name="Linked Cell 6 2" xfId="38933" xr:uid="{42B8FA4F-2D4F-4325-B221-59161886357B}"/>
    <cellStyle name="Linked Cell 6 3" xfId="38934" xr:uid="{C9301040-2836-489A-800A-15CB177C589C}"/>
    <cellStyle name="Linked Cell 60" xfId="24669" xr:uid="{B39EFCC3-A654-4A5C-9B4E-DCD7BD22ED05}"/>
    <cellStyle name="Linked Cell 61" xfId="24670" xr:uid="{0740AE52-F839-4FEE-94B5-3A9888269D5C}"/>
    <cellStyle name="Linked Cell 62" xfId="24671" xr:uid="{6BF70751-1D09-496F-A4A1-FBCD83D69267}"/>
    <cellStyle name="Linked Cell 63" xfId="24672" xr:uid="{3966D099-3991-4D96-9010-53F6E2B8A054}"/>
    <cellStyle name="Linked Cell 64" xfId="24673" xr:uid="{22512ED1-DF1C-4CEC-9141-679B0E64EB65}"/>
    <cellStyle name="Linked Cell 65" xfId="24674" xr:uid="{5BF7EF16-675F-4787-90EA-DC77ADD7428D}"/>
    <cellStyle name="Linked Cell 66" xfId="24675" xr:uid="{3272E3DB-904B-4178-8FC8-DB6BB1C9B10A}"/>
    <cellStyle name="Linked Cell 67" xfId="24676" xr:uid="{9070ABD0-3560-48C2-A56E-F7327B592A66}"/>
    <cellStyle name="Linked Cell 68" xfId="24677" xr:uid="{F79D3442-E965-4B33-A31D-4DCA1E3F267E}"/>
    <cellStyle name="Linked Cell 69" xfId="24678" xr:uid="{7AD41351-02A5-4C31-881A-0196A0D92942}"/>
    <cellStyle name="Linked Cell 7" xfId="24679" xr:uid="{B0EC741E-EDA6-4906-A33A-9A89CA0A98B4}"/>
    <cellStyle name="Linked Cell 7 2" xfId="38935" xr:uid="{0FE9C7F2-9F06-437A-9534-FAD0D03F44FD}"/>
    <cellStyle name="Linked Cell 7 3" xfId="38936" xr:uid="{B8A22135-22F5-4DA1-8BB3-DC2957010F27}"/>
    <cellStyle name="Linked Cell 70" xfId="24680" xr:uid="{45DF02BB-6671-4D8C-B28D-5DC0CD5B4787}"/>
    <cellStyle name="Linked Cell 71" xfId="24681" xr:uid="{D6B8A042-CF0C-4E29-9AAB-A1A942D6D5F5}"/>
    <cellStyle name="Linked Cell 72" xfId="24682" xr:uid="{202E737C-13E8-4BA2-BEBC-83AF5F9A630A}"/>
    <cellStyle name="Linked Cell 73" xfId="24683" xr:uid="{56027C5B-C8EF-4BB9-9A0A-36CC38BF3610}"/>
    <cellStyle name="Linked Cell 74" xfId="24684" xr:uid="{44945735-355E-4C85-8C18-F99188033E54}"/>
    <cellStyle name="Linked Cell 75" xfId="24685" xr:uid="{731C111F-83BB-4417-962C-5EDEB386EF47}"/>
    <cellStyle name="Linked Cell 76" xfId="24686" xr:uid="{D5461DDB-940E-49ED-93DD-C48562414354}"/>
    <cellStyle name="Linked Cell 77" xfId="24687" xr:uid="{F886743A-40BB-4C5F-9714-1F3BBC1BBD63}"/>
    <cellStyle name="Linked Cell 78" xfId="24688" xr:uid="{4DCB69E2-25B6-42AD-A34D-79FB597F6A36}"/>
    <cellStyle name="Linked Cell 79" xfId="24689" xr:uid="{E6524717-6C29-4F1E-A92D-E4E17F10DD85}"/>
    <cellStyle name="Linked Cell 8" xfId="24690" xr:uid="{C01258A5-7C64-4F42-84D3-B6EADD5A78D5}"/>
    <cellStyle name="Linked Cell 8 2" xfId="38937" xr:uid="{7ECA9344-B729-4F6E-93ED-FE4DB20BB65D}"/>
    <cellStyle name="Linked Cell 8 3" xfId="38938" xr:uid="{1383BBF7-6A84-4B84-8E56-7C3A1353B00E}"/>
    <cellStyle name="Linked Cell 80" xfId="24691" xr:uid="{E96CF829-0835-4A38-A761-862BC7F0506E}"/>
    <cellStyle name="Linked Cell 81" xfId="24692" xr:uid="{7B7FF9DA-FBE9-4C83-A042-FDFC8BFC3C2B}"/>
    <cellStyle name="Linked Cell 82" xfId="24693" xr:uid="{F8B97B35-B03E-4C46-9CC8-B86615FF70A9}"/>
    <cellStyle name="Linked Cell 83" xfId="24694" xr:uid="{002C6649-8D81-4741-8962-0BE10A48FA55}"/>
    <cellStyle name="Linked Cell 84" xfId="24695" xr:uid="{9F119CA5-F7EC-4A2B-BF73-678593C4FCBA}"/>
    <cellStyle name="Linked Cell 85" xfId="24696" xr:uid="{2FAA2FF9-173C-4FBA-ABB6-682C12BE8526}"/>
    <cellStyle name="Linked Cell 86" xfId="24697" xr:uid="{27C94F73-4226-43C9-A693-8709F129748A}"/>
    <cellStyle name="Linked Cell 87" xfId="24698" xr:uid="{74785739-C936-479C-9437-BD42C4D8A084}"/>
    <cellStyle name="Linked Cell 88" xfId="24699" xr:uid="{C815A577-7031-4604-B6EB-63DBF04F56A1}"/>
    <cellStyle name="Linked Cell 89" xfId="24700" xr:uid="{0572B775-494E-490C-A94F-DF8D5E53A83A}"/>
    <cellStyle name="Linked Cell 9" xfId="24701" xr:uid="{E63DE7FE-C8F1-4551-91B4-A488224A6DFA}"/>
    <cellStyle name="Linked Cell 9 2" xfId="38939" xr:uid="{FD359E5F-7FAD-4872-AD8A-662200737F56}"/>
    <cellStyle name="Linked Cell 9 3" xfId="38940" xr:uid="{C90CEE81-FB9A-42F4-BAAD-163ACAF70775}"/>
    <cellStyle name="Linked Cell 90" xfId="24702" xr:uid="{197912B9-B6A0-4A95-A20B-989332B503DE}"/>
    <cellStyle name="Linked Cell 91" xfId="24703" xr:uid="{D7AF2783-14C7-4590-84CF-9B71A7F7CD94}"/>
    <cellStyle name="Linked Cell 92" xfId="24704" xr:uid="{621F5D80-50D1-4AF3-97BF-CEA71827EC2F}"/>
    <cellStyle name="Linked Cell 93" xfId="24705" xr:uid="{0037833B-E5EB-4966-B694-6678400F0103}"/>
    <cellStyle name="Linked Cell 94" xfId="24706" xr:uid="{25080C4E-50EC-45B7-AB55-1E038DD2B6D4}"/>
    <cellStyle name="Linked Cell 95" xfId="24707" xr:uid="{DAB9447A-B764-4E61-9DC3-F7561757F5C1}"/>
    <cellStyle name="Linked Cell 96" xfId="24708" xr:uid="{F8DC92A5-8556-4D23-8B18-89BC486AD8B7}"/>
    <cellStyle name="Linked Cell 97" xfId="24709" xr:uid="{CCAB25B1-97C6-401C-87FA-BB0AF3AAC2AA}"/>
    <cellStyle name="Linked Cell 98" xfId="24710" xr:uid="{A35B2E83-122A-4632-93FB-D95FE7D30622}"/>
    <cellStyle name="Linked Cell 99" xfId="24711" xr:uid="{D744FE61-A524-45DC-8017-EDEA83CBA11E}"/>
    <cellStyle name="m" xfId="24712" xr:uid="{1644022E-8044-49A8-BE1A-738D1E69A668}"/>
    <cellStyle name="m?ny_BSAnalByPeriod" xfId="24713" xr:uid="{C6BBA536-852C-4418-B263-03A70DAF1BB6}"/>
    <cellStyle name="m_AP_Headcount NMC" xfId="24714" xr:uid="{6185430B-A2AE-4169-8EB1-ABE9C441CD36}"/>
    <cellStyle name="m_Sprycel_2009-2011 Budget Collation" xfId="24715" xr:uid="{BD2CA717-978F-4364-8912-A7B5E00863A5}"/>
    <cellStyle name="Macro_Paste" xfId="70" xr:uid="{00000000-0005-0000-0000-00003A000000}"/>
    <cellStyle name="měny_BSAnalByPeriod" xfId="24716" xr:uid="{621310FD-EB15-463F-88E7-56DA701F6C6D}"/>
    <cellStyle name="Micr" xfId="24717" xr:uid="{7279BB37-4068-4D0E-9D76-508173D34A8F}"/>
    <cellStyle name="Microsoft Excel found an" xfId="24718" xr:uid="{B3B7B510-5F01-4669-ACE1-AA7119169508}"/>
    <cellStyle name="Microsoft Excel found an error in the formula you entered. Do you want to accept the correction proposed below?_x000a__x000a_|_x000a__x000a_• To accept the correction, click Yes._x000a_• To close this message and correct the formula yourself, click No." xfId="24719" xr:uid="{A0842D01-9609-49B8-937B-C84E0E31290D}"/>
    <cellStyle name="Microsoft Excel found an error in the formula you entered. Do you want to accept the correction proposed below?_x000a__x000a_|_x000a__x000a_• To accept the correction, click Yes._x000a_• To close this message and correct the formula yourself, click No. 2" xfId="24720" xr:uid="{6BD5DA19-A66A-4D5A-BBAD-3B96EA8DC0C5}"/>
    <cellStyle name="Microsoft Excel found an error in the formula you entered. Do you want to accept the correction proposed below?_x000a__x000a_|_x000a__x000a_• To accept the correction, click Yes._x000a_• To close this message and correct the formula yourself, click No. 3" xfId="24721" xr:uid="{7B682FB7-BF69-454E-A4EA-399071382E99}"/>
    <cellStyle name="Microsoft Excel found an error in the formula you entered. Do you want to accept the correction proposed below?_x000a__x000a_|_x000a__x000a_• To accept the correction, click Yes._x000a_• To close this message and correct the formula yourself, click No._AZ P&amp;L" xfId="24722" xr:uid="{4964D882-D11A-4A0A-BC58-4365C41C3049}"/>
    <cellStyle name="Mid_Centred" xfId="24723" xr:uid="{3B62928F-27C3-49B3-A077-704FF0E72CC1}"/>
    <cellStyle name="Migliaia_COVER5" xfId="24724" xr:uid="{D6989032-ECBD-4A03-9A64-1CE526D57B78}"/>
    <cellStyle name="Millier0" xfId="24725" xr:uid="{664C0014-EB53-4E32-AE28-B12FE7A46320}"/>
    <cellStyle name="Millier1" xfId="24726" xr:uid="{8F1B8293-061B-4238-907B-6FC2E580BDCF}"/>
    <cellStyle name="Millier2" xfId="24727" xr:uid="{F0F98390-79E4-4399-A876-7C9A94364275}"/>
    <cellStyle name="Milliers [0]_1_HistoSales2001" xfId="24728" xr:uid="{588C074F-9D7C-46EF-9630-018A2DA026F1}"/>
    <cellStyle name="Milliers_1_HistoSales2001" xfId="24729" xr:uid="{05F3C46A-0715-40B2-9FC4-B112E7998480}"/>
    <cellStyle name="Moeda [0]_hctR$" xfId="24730" xr:uid="{3F8C1AB2-4B92-4313-A425-C90C313F63A6}"/>
    <cellStyle name="Moeda_hctR$" xfId="24731" xr:uid="{C337342B-0570-449D-A95C-3E1484A1CD8D}"/>
    <cellStyle name="Monétaire [0]_1_HistoSales2001" xfId="24732" xr:uid="{7DD81A24-9A13-4B6D-AC19-9FCE797EC7C5}"/>
    <cellStyle name="Monétaire_1_HistoSales2001" xfId="24733" xr:uid="{F6A91B4A-4455-471A-B028-808E61AD6C09}"/>
    <cellStyle name="Monétaire0" xfId="24734" xr:uid="{E0D94FFA-948A-4ABC-857F-E781E265644C}"/>
    <cellStyle name="Monétaire2" xfId="24735" xr:uid="{41548A06-45D2-4F84-9E8C-D13BA0A6F48E}"/>
    <cellStyle name="Neutra" xfId="24736" xr:uid="{745B1704-E1AD-4616-8405-883C4D32417A}"/>
    <cellStyle name="Neutral" xfId="22" builtinId="28" hidden="1"/>
    <cellStyle name="Neutral" xfId="94" builtinId="28" customBuiltin="1"/>
    <cellStyle name="Neutral 10" xfId="24737" xr:uid="{2DD5EE7B-61CA-47CF-964F-C7B7F10FA8E1}"/>
    <cellStyle name="Neutral 10 2" xfId="38941" xr:uid="{8556A9C8-AD6C-42C4-A4C8-53C97223636C}"/>
    <cellStyle name="Neutral 10 3" xfId="38942" xr:uid="{B9109FDF-BFA3-4105-900D-CFD44B55E5A3}"/>
    <cellStyle name="Neutral 100" xfId="24738" xr:uid="{B6B469D7-1C63-47E7-A4BC-4929ACA640E9}"/>
    <cellStyle name="Neutral 101" xfId="24739" xr:uid="{C29F9891-94C4-4471-923E-EFA3F4CFC9D5}"/>
    <cellStyle name="Neutral 102" xfId="24740" xr:uid="{113D00C2-38B0-47B1-82AE-79A0A2EF9EDF}"/>
    <cellStyle name="Neutral 103" xfId="24741" xr:uid="{C412AE47-DA62-44A2-AED2-550726223736}"/>
    <cellStyle name="Neutral 104" xfId="24742" xr:uid="{98711A03-3DB3-481D-811F-CD98E799F91F}"/>
    <cellStyle name="Neutral 105" xfId="24743" xr:uid="{F5CE9CF1-6848-4537-9FCD-A2336CAFBE13}"/>
    <cellStyle name="Neutral 106" xfId="24744" xr:uid="{3167B2F0-021F-403B-93B5-CB4E0FE7C0E3}"/>
    <cellStyle name="Neutral 107" xfId="24745" xr:uid="{E42DC565-1743-4BF4-BC34-1C4365758E4E}"/>
    <cellStyle name="Neutral 108" xfId="24746" xr:uid="{04B1265D-E37C-4AB5-A6E7-862FF25DAAC0}"/>
    <cellStyle name="Neutral 109" xfId="24747" xr:uid="{DECACD17-D857-4091-B6FD-FAC02BDBCD70}"/>
    <cellStyle name="Neutral 11" xfId="24748" xr:uid="{9A5BCA5D-894E-40CB-9702-747B2E1C4347}"/>
    <cellStyle name="Neutral 11 2" xfId="38943" xr:uid="{A6BEA7FF-1CF9-4A2B-9DE8-AB543D7CE84C}"/>
    <cellStyle name="Neutral 11 3" xfId="38944" xr:uid="{BCC1BE2A-3829-49FF-9151-BB1D251F7988}"/>
    <cellStyle name="Neutral 110" xfId="24749" xr:uid="{E60E1255-BCC3-4B6F-BBD2-1FD4D1B3E3BE}"/>
    <cellStyle name="Neutral 111" xfId="24750" xr:uid="{9F728702-EE87-455B-9049-7BB3BF4CEA6E}"/>
    <cellStyle name="Neutral 112" xfId="24751" xr:uid="{7E138EFE-2E80-4C75-AAE4-1D0FA5905C6E}"/>
    <cellStyle name="Neutral 113" xfId="24752" xr:uid="{38BD4253-9DA5-49FF-869A-5247FA5EEF12}"/>
    <cellStyle name="Neutral 114" xfId="24753" xr:uid="{0AD9817E-1DA5-471B-814C-B3E8A0703625}"/>
    <cellStyle name="Neutral 115" xfId="24754" xr:uid="{F9D58284-4348-4090-BABE-46CF80D0993B}"/>
    <cellStyle name="Neutral 116" xfId="24755" xr:uid="{5F4B1CE7-93F0-466A-B9E2-9F643FE29EAE}"/>
    <cellStyle name="Neutral 117" xfId="24756" xr:uid="{26FCC765-8747-4C1A-AFD5-17DC4E32D3FB}"/>
    <cellStyle name="Neutral 118" xfId="24757" xr:uid="{EE10DB1C-5C01-491B-8B38-06E0E439B53A}"/>
    <cellStyle name="Neutral 119" xfId="24758" xr:uid="{355A31FE-35A7-4E38-959F-A18EAC7A5B80}"/>
    <cellStyle name="Neutral 12" xfId="24759" xr:uid="{C36A2E75-5292-41A7-AC7F-31D0E5FE94D7}"/>
    <cellStyle name="Neutral 12 2" xfId="38945" xr:uid="{940BD422-ED02-476D-8BC6-568EA6F1CBA0}"/>
    <cellStyle name="Neutral 12 3" xfId="38946" xr:uid="{BE12C927-9CA6-4633-A1C9-6FC5B2529922}"/>
    <cellStyle name="Neutral 120" xfId="24760" xr:uid="{028E70AF-1A5E-47C9-AE17-17E10E36FDD9}"/>
    <cellStyle name="Neutral 121" xfId="24761" xr:uid="{3CCBA57E-4896-4981-B6F9-DEEB1041D4A7}"/>
    <cellStyle name="Neutral 122" xfId="24762" xr:uid="{320779B4-3DE1-4F53-B88A-B308C6AC7178}"/>
    <cellStyle name="Neutral 123" xfId="24763" xr:uid="{49417DA8-5610-4EE8-B1BA-3F5F97ADE846}"/>
    <cellStyle name="Neutral 124" xfId="24764" xr:uid="{F8B7640F-2E29-489F-A4B4-E6D755CFB381}"/>
    <cellStyle name="Neutral 125" xfId="24765" xr:uid="{30C06A37-A944-4478-A8FB-CFAFE11D2EFD}"/>
    <cellStyle name="Neutral 126" xfId="24766" xr:uid="{8169B875-A5E6-4BB4-8A4D-526AE9682ADE}"/>
    <cellStyle name="Neutral 127" xfId="24767" xr:uid="{50F26ED3-B19B-4E42-A3E6-B4D0D7969A40}"/>
    <cellStyle name="Neutral 128" xfId="24768" xr:uid="{2DDFD000-8202-491C-BA9F-2AE01AA6C9D8}"/>
    <cellStyle name="Neutral 129" xfId="24769" xr:uid="{EFC41696-6C61-4491-8530-4A3F7677E32C}"/>
    <cellStyle name="Neutral 13" xfId="24770" xr:uid="{AEE27A19-CF98-42A0-B1FA-8EA48032F6F6}"/>
    <cellStyle name="Neutral 13 2" xfId="38947" xr:uid="{A40656C6-87A8-462A-AAEC-D0F40AE35C37}"/>
    <cellStyle name="Neutral 13 3" xfId="38948" xr:uid="{7C957542-9A58-418E-B487-ABECA40749CC}"/>
    <cellStyle name="Neutral 130" xfId="24771" xr:uid="{B22C6A98-82F0-46DD-A4ED-F09F6F49D27E}"/>
    <cellStyle name="Neutral 131" xfId="24772" xr:uid="{B1CE4E80-AC55-4C8F-9E6F-065FBBA9A077}"/>
    <cellStyle name="Neutral 132" xfId="24773" xr:uid="{4663F68D-793A-4B23-9585-1CA9747D1CA4}"/>
    <cellStyle name="Neutral 133" xfId="24774" xr:uid="{F42B00D9-CFDB-4977-9CBB-1514C0DDBC1B}"/>
    <cellStyle name="Neutral 134" xfId="24775" xr:uid="{188C608E-F525-4C5D-AFCE-87904EA82261}"/>
    <cellStyle name="Neutral 135" xfId="24776" xr:uid="{AAA39D3D-8C40-418A-A464-3E5A15D1D574}"/>
    <cellStyle name="Neutral 136" xfId="24777" xr:uid="{178F8551-74B8-4991-A7C4-8BD22A76B271}"/>
    <cellStyle name="Neutral 137" xfId="24778" xr:uid="{32A585CB-B153-4687-90AC-7A6B1749C616}"/>
    <cellStyle name="Neutral 138" xfId="24779" xr:uid="{C01DCB3C-EA4B-415D-A81A-939F37930C4D}"/>
    <cellStyle name="Neutral 139" xfId="24780" xr:uid="{28F89EEE-35C6-4B87-AD72-12D613BED037}"/>
    <cellStyle name="Neutral 14" xfId="24781" xr:uid="{6873A008-FDC5-452B-9F07-AC11E8C61213}"/>
    <cellStyle name="Neutral 14 2" xfId="38949" xr:uid="{23A5F5B4-77C2-4F9F-A4EC-63CADBCFAB0D}"/>
    <cellStyle name="Neutral 14 3" xfId="38950" xr:uid="{7A25DCFA-A4A1-42D5-9E7C-754480C1B49C}"/>
    <cellStyle name="Neutral 140" xfId="24782" xr:uid="{8AD877C7-101E-464C-9AD1-5B4ACC0E2319}"/>
    <cellStyle name="Neutral 141" xfId="24783" xr:uid="{57C767B2-E7A1-4A91-A3B1-5E5CE90C24B7}"/>
    <cellStyle name="Neutral 142" xfId="24784" xr:uid="{D4868FD2-4BDE-42DB-B452-E029832D108B}"/>
    <cellStyle name="Neutral 143" xfId="24785" xr:uid="{5F25F79D-9E3B-4CB5-A074-EBA4A2FE0CC0}"/>
    <cellStyle name="Neutral 144" xfId="24786" xr:uid="{B9B6C14D-6820-495D-B809-39B94C5C453C}"/>
    <cellStyle name="Neutral 145" xfId="24787" xr:uid="{CB675038-7946-4BB2-897B-814ABB6CE2D4}"/>
    <cellStyle name="Neutral 146" xfId="24788" xr:uid="{4A70D555-8570-4743-8778-E89931F1A379}"/>
    <cellStyle name="Neutral 147" xfId="24789" xr:uid="{1BDEFBF6-05CB-4880-8B1C-D7EA9544185F}"/>
    <cellStyle name="Neutral 148" xfId="24790" xr:uid="{B2039737-2BF6-4617-808E-B7C52B9A5D0A}"/>
    <cellStyle name="Neutral 149" xfId="24791" xr:uid="{6B727CEB-DDD5-415B-BB20-C69770157FF3}"/>
    <cellStyle name="Neutral 15" xfId="24792" xr:uid="{9B886B76-F612-4E9A-A540-D16A29CD516B}"/>
    <cellStyle name="Neutral 15 2" xfId="38951" xr:uid="{F8297B22-4ACE-4738-B868-E8513224CF34}"/>
    <cellStyle name="Neutral 15 3" xfId="38952" xr:uid="{AC269E95-E447-4843-93D1-E790DD670ECC}"/>
    <cellStyle name="Neutral 150" xfId="24793" xr:uid="{3939815B-B71C-45FB-8F5A-BF3C78999239}"/>
    <cellStyle name="Neutral 151" xfId="24794" xr:uid="{C8F025C6-9417-4687-95D7-C2BB1E7C8F37}"/>
    <cellStyle name="Neutral 152" xfId="24795" xr:uid="{6BC64318-059B-43F3-ABEA-95E165741638}"/>
    <cellStyle name="Neutral 153" xfId="24796" xr:uid="{083E0E81-A5DB-498D-826F-E17EE4CAA7BC}"/>
    <cellStyle name="Neutral 154" xfId="24797" xr:uid="{9B887610-7F4B-4430-872F-DEB0787ADE62}"/>
    <cellStyle name="Neutral 155" xfId="24798" xr:uid="{27BAE165-8A22-4678-910C-25BA0E6E8EDA}"/>
    <cellStyle name="Neutral 156" xfId="24799" xr:uid="{CC030E44-CB4A-4F92-B2F9-A5D72DF63BD2}"/>
    <cellStyle name="Neutral 157" xfId="24800" xr:uid="{8F65DEB7-96CC-4114-9F99-3B6774A58572}"/>
    <cellStyle name="Neutral 158" xfId="24801" xr:uid="{04C3AD9A-B5F1-4F26-9B7A-D076F4464172}"/>
    <cellStyle name="Neutral 159" xfId="24802" xr:uid="{51828239-4F6E-43DB-B1AB-14E23FCF47FB}"/>
    <cellStyle name="Neutral 16" xfId="24803" xr:uid="{EF519A5D-43B3-4106-88CC-CE34F765EF71}"/>
    <cellStyle name="Neutral 16 2" xfId="38953" xr:uid="{3E1C2073-8070-497E-9ACB-9E8E189BA767}"/>
    <cellStyle name="Neutral 16 3" xfId="38954" xr:uid="{379F9224-4D76-4D39-9727-4568C2C12ED9}"/>
    <cellStyle name="Neutral 160" xfId="24804" xr:uid="{E5AAB13F-9E65-47CA-8519-1CCFAD9217C6}"/>
    <cellStyle name="Neutral 17" xfId="24805" xr:uid="{09DBA0D7-8AD2-43DE-AF32-D7372F8FACBE}"/>
    <cellStyle name="Neutral 17 2" xfId="38955" xr:uid="{4B572672-D359-4E6C-A3F0-D0258FE49B7A}"/>
    <cellStyle name="Neutral 17 3" xfId="38956" xr:uid="{F60C22D7-96DD-4184-98AD-CFB6DCBDA555}"/>
    <cellStyle name="Neutral 18" xfId="24806" xr:uid="{B15B97E8-277E-40DF-8687-234E5214CC68}"/>
    <cellStyle name="Neutral 18 2" xfId="38957" xr:uid="{74B1E1CC-A33E-4C4C-BD6D-22B01C7A0F36}"/>
    <cellStyle name="Neutral 18 3" xfId="38958" xr:uid="{1AF8EC14-62C8-44CD-A45C-FD1F5989BE5D}"/>
    <cellStyle name="Neutral 19" xfId="24807" xr:uid="{755663D3-F805-4BF4-810E-E4376B386BBE}"/>
    <cellStyle name="Neutral 19 2" xfId="38959" xr:uid="{731F6852-F794-46BB-9F4F-46D0E88D42EF}"/>
    <cellStyle name="Neutral 2" xfId="24808" xr:uid="{3288D4CA-5C64-4C6D-B0E6-F8113EFCB367}"/>
    <cellStyle name="Neutral 2 2" xfId="24809" xr:uid="{1F88836F-4832-4AFB-A90C-2702C6E532A4}"/>
    <cellStyle name="Neutral 2 3" xfId="38960" xr:uid="{D0C31CA4-89B5-44BA-830E-EB68FD680CEC}"/>
    <cellStyle name="Neutral 2 4" xfId="38961" xr:uid="{D549D196-3443-4385-BA14-7D55FEAA1F3D}"/>
    <cellStyle name="Neutral 2 5" xfId="38962" xr:uid="{6FBB5134-14EC-470D-9CD8-807A1506B520}"/>
    <cellStyle name="Neutral 20" xfId="24810" xr:uid="{C1592149-24CB-4787-9AA9-316F9CCC613D}"/>
    <cellStyle name="Neutral 20 2" xfId="38963" xr:uid="{A9BF86BD-1EC8-4088-AC26-BBC7EB56E464}"/>
    <cellStyle name="Neutral 21" xfId="24811" xr:uid="{22EDB140-14FA-4DDC-965A-92D47A64533E}"/>
    <cellStyle name="Neutral 21 2" xfId="38964" xr:uid="{7DE18D3C-65E5-4971-A3FA-31BF77FE2FD6}"/>
    <cellStyle name="Neutral 22" xfId="24812" xr:uid="{A1671E89-CF8E-4236-8D24-8B8C8299D155}"/>
    <cellStyle name="Neutral 22 2" xfId="38965" xr:uid="{8C83DF54-AA8C-4FE5-878A-E2182485D063}"/>
    <cellStyle name="Neutral 23" xfId="24813" xr:uid="{88ABFD41-561E-4E90-8F92-2732A50C220A}"/>
    <cellStyle name="Neutral 23 2" xfId="38966" xr:uid="{BB8F4321-F048-4F0A-83EC-968EAF42B534}"/>
    <cellStyle name="Neutral 24" xfId="24814" xr:uid="{8D61A1C4-7723-495F-B35A-7EB6E0AD77CD}"/>
    <cellStyle name="Neutral 24 2" xfId="38967" xr:uid="{B79131AE-1414-4FD9-9A5D-82645C116139}"/>
    <cellStyle name="Neutral 25" xfId="24815" xr:uid="{2B52B0F9-4597-41BA-94A3-F9197CC5A5E5}"/>
    <cellStyle name="Neutral 25 2" xfId="38968" xr:uid="{C437961D-CFE3-4405-B1D6-88F8A6522A70}"/>
    <cellStyle name="Neutral 26" xfId="24816" xr:uid="{BE9E14B7-A2D2-40FC-9268-C23E9BC538FC}"/>
    <cellStyle name="Neutral 26 2" xfId="38969" xr:uid="{A9D48897-F58D-43CE-B35B-075B4D6227AA}"/>
    <cellStyle name="Neutral 27" xfId="24817" xr:uid="{CF68FC45-A6B9-43CF-80BA-25A3BF2DD0A7}"/>
    <cellStyle name="Neutral 27 2" xfId="38970" xr:uid="{F55C696C-0AAE-4522-8162-A3C2D2DC971A}"/>
    <cellStyle name="Neutral 28" xfId="24818" xr:uid="{31ED61E6-9116-4E2E-9FEA-5DAE7D2EF258}"/>
    <cellStyle name="Neutral 28 2" xfId="38971" xr:uid="{5BB1FE52-423D-413A-826B-B8E1252851A2}"/>
    <cellStyle name="Neutral 29" xfId="24819" xr:uid="{240269DE-6549-49C0-8D80-F25C6BA38C56}"/>
    <cellStyle name="Neutral 29 2" xfId="24820" xr:uid="{AC4D0BD4-D263-447B-821C-946A16877653}"/>
    <cellStyle name="Neutral 29 3" xfId="38972" xr:uid="{52D7338E-6667-4CA0-9662-35579714D598}"/>
    <cellStyle name="Neutral 3" xfId="24821" xr:uid="{6AC432C9-9493-4C6E-A23A-8E7E470260FA}"/>
    <cellStyle name="Neutral 3 2" xfId="24822" xr:uid="{7E2E2750-5F5E-402D-9D16-EFED39D7350F}"/>
    <cellStyle name="Neutral 3 3" xfId="38973" xr:uid="{A9B7AEDF-6C36-43B6-9FFF-8300991782CD}"/>
    <cellStyle name="Neutral 3 4" xfId="38974" xr:uid="{617BE3EB-5809-4017-905E-B88855822E72}"/>
    <cellStyle name="Neutral 30" xfId="24823" xr:uid="{4A4F64E6-F1AB-452B-BEE4-731CCE8FE21F}"/>
    <cellStyle name="Neutral 30 2" xfId="38975" xr:uid="{48604154-9511-48D1-9CF2-2A68FCA9B7C3}"/>
    <cellStyle name="Neutral 31" xfId="24824" xr:uid="{EDDF9DF5-CA70-46D3-9C81-5F9D120A2CAF}"/>
    <cellStyle name="Neutral 32" xfId="24825" xr:uid="{0CA8DB88-78B6-4107-A5E4-EBA1A835A749}"/>
    <cellStyle name="Neutral 33" xfId="24826" xr:uid="{2AEA24C5-9406-4BF2-908C-7654283A0FD2}"/>
    <cellStyle name="Neutral 34" xfId="24827" xr:uid="{62FC40EB-2587-46BD-B6A0-D6DEE112798A}"/>
    <cellStyle name="Neutral 35" xfId="24828" xr:uid="{3B2F4B5F-0775-4AF8-8EE3-DC08111250E3}"/>
    <cellStyle name="Neutral 36" xfId="24829" xr:uid="{1FC12041-8C9F-47AE-93C6-3B6A76D584D8}"/>
    <cellStyle name="Neutral 37" xfId="24830" xr:uid="{D227D9E9-546F-4FB5-AD2D-4F29BAD4F95C}"/>
    <cellStyle name="Neutral 38" xfId="24831" xr:uid="{86361FC7-342B-421C-8920-EF08E92DCBBF}"/>
    <cellStyle name="Neutral 39" xfId="24832" xr:uid="{EBEE0A2C-B0B2-476A-9C71-0695A79CAC91}"/>
    <cellStyle name="Neutral 4" xfId="24833" xr:uid="{F5535C89-4558-45B4-A477-F72219D38C2D}"/>
    <cellStyle name="Neutral 4 2" xfId="38976" xr:uid="{6A3EA877-91AF-403D-B3A7-1A5D735D306E}"/>
    <cellStyle name="Neutral 4 3" xfId="38977" xr:uid="{2977C365-55C5-4AC3-BC8D-0A279ECD72BD}"/>
    <cellStyle name="Neutral 40" xfId="24834" xr:uid="{B12341DD-0DBD-43B4-A336-2EA521986D39}"/>
    <cellStyle name="Neutral 41" xfId="24835" xr:uid="{DC77DD50-6D9D-42D5-883D-561B7F570038}"/>
    <cellStyle name="Neutral 42" xfId="24836" xr:uid="{EC5E2D5D-D534-4584-99D5-44DCBE0B86E4}"/>
    <cellStyle name="Neutral 43" xfId="24837" xr:uid="{11DA1D2F-D766-4300-ACF9-2A653EB972EF}"/>
    <cellStyle name="Neutral 44" xfId="24838" xr:uid="{F9B5EF98-72C7-41B6-9289-B29EA57EC54E}"/>
    <cellStyle name="Neutral 45" xfId="24839" xr:uid="{F7E1E124-D6A0-4582-B650-41705CD28BF3}"/>
    <cellStyle name="Neutral 46" xfId="24840" xr:uid="{CADEF35A-0C6F-43D3-8845-91880753F98C}"/>
    <cellStyle name="Neutral 47" xfId="24841" xr:uid="{33E55AAD-0A3C-4385-AE4E-A499FA5B9FB6}"/>
    <cellStyle name="Neutral 48" xfId="24842" xr:uid="{ABC52443-92F1-4346-8655-4DCF3A158F46}"/>
    <cellStyle name="Neutral 49" xfId="24843" xr:uid="{A4F16838-FEEC-4D3E-8A23-0B0741DD2DCF}"/>
    <cellStyle name="Neutral 5" xfId="24844" xr:uid="{1C5C2236-8393-460C-9258-AED045BE3297}"/>
    <cellStyle name="Neutral 5 2" xfId="38978" xr:uid="{CFC2E6BA-FFD2-4164-92F0-C0575BA63964}"/>
    <cellStyle name="Neutral 5 3" xfId="38979" xr:uid="{ACFF7A9F-CDEF-464D-808D-79CC1C7DC33F}"/>
    <cellStyle name="Neutral 50" xfId="24845" xr:uid="{502F1A95-20CA-4744-BA6C-3CC5D866ACBF}"/>
    <cellStyle name="Neutral 51" xfId="24846" xr:uid="{568BB5C1-BB41-42EB-B192-3FA7DEBECD97}"/>
    <cellStyle name="Neutral 52" xfId="24847" xr:uid="{4A54830D-F2CC-4214-AC81-C05394B935CC}"/>
    <cellStyle name="Neutral 53" xfId="24848" xr:uid="{8AAC9EC1-A813-4666-A026-1C9C93221C0E}"/>
    <cellStyle name="Neutral 54" xfId="24849" xr:uid="{B956DAB4-5CBE-43B3-9FA8-975305DEB91C}"/>
    <cellStyle name="Neutral 55" xfId="24850" xr:uid="{00CB20CA-1493-4AE1-A2E0-C93A12AA7E01}"/>
    <cellStyle name="Neutral 56" xfId="24851" xr:uid="{0D3C4AB8-2A07-4E14-AD61-A1BE275B5604}"/>
    <cellStyle name="Neutral 57" xfId="24852" xr:uid="{29DFAC62-35B3-4F73-8E4E-AC27EBBB5FD7}"/>
    <cellStyle name="Neutral 58" xfId="24853" xr:uid="{8B03C298-C959-49D5-9509-0C2639669227}"/>
    <cellStyle name="Neutral 59" xfId="24854" xr:uid="{F3A86D2A-EBF3-4207-8248-4D62937EC7D9}"/>
    <cellStyle name="Neutral 6" xfId="24855" xr:uid="{835405A5-2F2B-4E11-9A10-658781470243}"/>
    <cellStyle name="Neutral 6 2" xfId="38980" xr:uid="{4A518163-9EE8-48A3-8BB1-28E9805B3477}"/>
    <cellStyle name="Neutral 6 3" xfId="38981" xr:uid="{05BE0740-A83F-41EB-ABE9-163F6A9CFC87}"/>
    <cellStyle name="Neutral 60" xfId="24856" xr:uid="{6B7AA53C-4CB4-4596-B6E0-9D639229A057}"/>
    <cellStyle name="Neutral 61" xfId="24857" xr:uid="{FD1F00F7-AC71-4754-A901-41F7CD97761D}"/>
    <cellStyle name="Neutral 62" xfId="24858" xr:uid="{48CC8663-6DDD-4BC5-8D9D-3D8BB4DB5924}"/>
    <cellStyle name="Neutral 63" xfId="24859" xr:uid="{779C37AD-8C00-406E-A0F0-2EF7843975D2}"/>
    <cellStyle name="Neutral 64" xfId="24860" xr:uid="{FA9AD6C1-D959-4BB3-8B09-44FB1D161B97}"/>
    <cellStyle name="Neutral 65" xfId="24861" xr:uid="{DCFFC422-CC05-43CB-B310-1CD9D9C0C85C}"/>
    <cellStyle name="Neutral 66" xfId="24862" xr:uid="{81319924-BD1F-4857-BB55-8B6C91F9486E}"/>
    <cellStyle name="Neutral 67" xfId="24863" xr:uid="{FA3F9776-D6AD-4045-9271-5F7F1236C0D2}"/>
    <cellStyle name="Neutral 68" xfId="24864" xr:uid="{3BBD8CB0-41E0-4189-803E-DC1AB3F91EDD}"/>
    <cellStyle name="Neutral 69" xfId="24865" xr:uid="{998F5162-9AEE-4932-B920-6622D128D234}"/>
    <cellStyle name="Neutral 7" xfId="24866" xr:uid="{3D6E8506-148E-4D52-AF20-96430DA6B80B}"/>
    <cellStyle name="Neutral 7 2" xfId="38982" xr:uid="{25D9B9ED-EAEB-469C-A686-2795319738B8}"/>
    <cellStyle name="Neutral 7 3" xfId="38983" xr:uid="{857D4326-024E-4DE7-9D83-410EF0ADFC17}"/>
    <cellStyle name="Neutral 70" xfId="24867" xr:uid="{7C3C2B99-C33E-43B9-9DE6-DFDD20491E29}"/>
    <cellStyle name="Neutral 71" xfId="24868" xr:uid="{3D35EF16-E69D-41E8-8DCF-B911AE4BCD13}"/>
    <cellStyle name="Neutral 72" xfId="24869" xr:uid="{3474A4E4-702F-49D9-A4A6-B4678323F1FC}"/>
    <cellStyle name="Neutral 73" xfId="24870" xr:uid="{6DC8FA14-B223-416E-9ACC-12E06BB28643}"/>
    <cellStyle name="Neutral 74" xfId="24871" xr:uid="{0DD97ECD-F470-4DDE-B84B-FDA0AB8E3F35}"/>
    <cellStyle name="Neutral 75" xfId="24872" xr:uid="{49303CBF-26A6-4660-934A-5C4EFDBC5B19}"/>
    <cellStyle name="Neutral 76" xfId="24873" xr:uid="{63E0E66C-9700-4A4A-8AE6-B84C64FA8511}"/>
    <cellStyle name="Neutral 77" xfId="24874" xr:uid="{371B1570-235A-4120-9360-5CD0D5A11D50}"/>
    <cellStyle name="Neutral 78" xfId="24875" xr:uid="{F01F4EAF-9859-46E2-8D56-B0117605DF84}"/>
    <cellStyle name="Neutral 79" xfId="24876" xr:uid="{72589DCB-54DA-4CDE-AB56-AFA5E94B53EF}"/>
    <cellStyle name="Neutral 8" xfId="24877" xr:uid="{CBEF7EFB-5494-4B78-87EC-6E83A7CE6BFF}"/>
    <cellStyle name="Neutral 8 2" xfId="38984" xr:uid="{CDCFB077-0F7C-4647-A916-805072F385AA}"/>
    <cellStyle name="Neutral 8 3" xfId="38985" xr:uid="{97C7195A-CC29-4A65-9484-5FEE5076BC3C}"/>
    <cellStyle name="Neutral 80" xfId="24878" xr:uid="{ED842E1B-3670-4B7A-A1D7-4DF32BD1E364}"/>
    <cellStyle name="Neutral 81" xfId="24879" xr:uid="{2D3A58F4-8374-4FA7-80B6-838E6A6AE89B}"/>
    <cellStyle name="Neutral 82" xfId="24880" xr:uid="{75AC16CF-146E-496A-BCE0-1DD5DAD9FE08}"/>
    <cellStyle name="Neutral 83" xfId="24881" xr:uid="{AC1EB378-890A-4E0E-9962-53888E80F80F}"/>
    <cellStyle name="Neutral 84" xfId="24882" xr:uid="{F1AB57F4-5ADE-44E5-B7FA-4FAC45F240DC}"/>
    <cellStyle name="Neutral 85" xfId="24883" xr:uid="{8F76E45F-39FA-47BB-8E59-662C2063C3C6}"/>
    <cellStyle name="Neutral 86" xfId="24884" xr:uid="{771B1C73-56BF-4C4F-8E5E-A71ED48B8006}"/>
    <cellStyle name="Neutral 87" xfId="24885" xr:uid="{D8BEF375-DCE8-48FC-A9C4-5DD45D6A3995}"/>
    <cellStyle name="Neutral 88" xfId="24886" xr:uid="{30622522-F0D9-479F-BCC9-C72F9761CCD8}"/>
    <cellStyle name="Neutral 89" xfId="24887" xr:uid="{4A2DFBEA-453D-4096-878D-B86A9C31FCE1}"/>
    <cellStyle name="Neutral 9" xfId="24888" xr:uid="{32D56B61-F802-4F6E-842C-F581B7305266}"/>
    <cellStyle name="Neutral 9 2" xfId="38986" xr:uid="{0CD1B018-2B89-4945-BE4E-29C914633859}"/>
    <cellStyle name="Neutral 9 3" xfId="38987" xr:uid="{92EFADDE-F495-4B23-A2C2-235C2491AD03}"/>
    <cellStyle name="Neutral 90" xfId="24889" xr:uid="{38CB4A7F-0AA4-4974-A64B-DD68D301783B}"/>
    <cellStyle name="Neutral 91" xfId="24890" xr:uid="{45FAC173-B056-4A1E-A3D1-AC7C13A78F61}"/>
    <cellStyle name="Neutral 92" xfId="24891" xr:uid="{C59E8763-60BE-4505-B302-6D15A0F74F85}"/>
    <cellStyle name="Neutral 93" xfId="24892" xr:uid="{236BE353-193D-49AA-8221-1D83B024EF71}"/>
    <cellStyle name="Neutral 94" xfId="24893" xr:uid="{B5CC8BF6-F2D5-46F1-B4B5-930351942A35}"/>
    <cellStyle name="Neutral 95" xfId="24894" xr:uid="{B13AE26A-181B-49CF-842F-16F81F3B3716}"/>
    <cellStyle name="Neutral 96" xfId="24895" xr:uid="{DA83AFE2-42BF-499D-8AF5-F0B3ECD0881F}"/>
    <cellStyle name="Neutral 97" xfId="24896" xr:uid="{09D4170D-1F55-401E-AB28-2F541C1A06E9}"/>
    <cellStyle name="Neutral 98" xfId="24897" xr:uid="{4087BAC9-B7AC-4310-82C2-E761C81853B6}"/>
    <cellStyle name="Neutral 99" xfId="24898" xr:uid="{98FFCCB5-F134-4F1B-8998-0492FACB378F}"/>
    <cellStyle name="no dec" xfId="24899" xr:uid="{E94F2EF1-53F9-4281-9E13-A4812958886B}"/>
    <cellStyle name="Normaali_RESULTS" xfId="24900" xr:uid="{817DDB91-B17C-4937-9944-DFE6EB79EDCC}"/>
    <cellStyle name="Normal" xfId="0" builtinId="0"/>
    <cellStyle name="Normal - Style1" xfId="24901" xr:uid="{BCFF5401-A742-4F93-A50C-0D1753913B7F}"/>
    <cellStyle name="Normal - Style2" xfId="24902" xr:uid="{1A63E8DF-952D-43F6-A273-60D5D3C8E420}"/>
    <cellStyle name="Normal 10" xfId="24903" xr:uid="{72F23E5C-3A26-451F-B9F6-910B71252D87}"/>
    <cellStyle name="Normal 10 10" xfId="24904" xr:uid="{48B03FDD-A049-4C0E-A46A-FAC6AFBA7278}"/>
    <cellStyle name="Normal 10 11" xfId="38988" xr:uid="{F5D504A4-FB06-4D41-AADB-50F3F2FAE0C4}"/>
    <cellStyle name="Normal 10 12" xfId="38989" xr:uid="{4E10ED3D-6542-421F-B7F4-939D1B07E84E}"/>
    <cellStyle name="Normal 10 2" xfId="24905" xr:uid="{32C9519E-4340-44EB-8CBA-72593CCFC2C1}"/>
    <cellStyle name="Normal 10 2 2" xfId="24906" xr:uid="{7A1251FC-E2A2-4DB4-9518-ED4EC3923E1D}"/>
    <cellStyle name="Normal 10 2 2 2" xfId="24907" xr:uid="{B11807E1-8C70-4A57-A351-B57E96CD0481}"/>
    <cellStyle name="Normal 10 2 3" xfId="24908" xr:uid="{DCAB9524-2DE6-4870-953E-E1F9B8DBFCAD}"/>
    <cellStyle name="Normal 10 2 3 2" xfId="38990" xr:uid="{B2125CCB-F96F-4537-A231-FD5A2F9EFFFA}"/>
    <cellStyle name="Normal 10 2 4" xfId="38991" xr:uid="{43D40FC1-D1F9-4077-96A9-8197F6272C85}"/>
    <cellStyle name="Normal 10 3" xfId="24909" xr:uid="{A1BDC84C-060C-495F-8B4B-967485277DA0}"/>
    <cellStyle name="Normal 10 3 2" xfId="24910" xr:uid="{B6C50676-1E0C-4581-A4A7-02585170722A}"/>
    <cellStyle name="Normal 10 3 2 2" xfId="24911" xr:uid="{4D01981E-3C04-452E-947F-725D95DDA7C2}"/>
    <cellStyle name="Normal 10 3 2 2 2" xfId="24912" xr:uid="{97E690C5-80DB-4A40-9397-865C286B2AEB}"/>
    <cellStyle name="Normal 10 3 2 2 2 2" xfId="24913" xr:uid="{D53832CA-4C77-4BB0-8B11-6A62F678AE52}"/>
    <cellStyle name="Normal 10 3 2 2 3" xfId="24914" xr:uid="{7472F434-B8EC-4D57-8CBB-9E95E77496EE}"/>
    <cellStyle name="Normal 10 3 2 3" xfId="24915" xr:uid="{6E3DC8E7-6686-4A57-B8F3-30406BDFFA17}"/>
    <cellStyle name="Normal 10 3 2 3 2" xfId="24916" xr:uid="{F9D4D277-7716-4C33-B0AF-CEFBC32F6F91}"/>
    <cellStyle name="Normal 10 3 2 3 2 2" xfId="24917" xr:uid="{02279810-393C-4372-ACFB-F38A5F0416D4}"/>
    <cellStyle name="Normal 10 3 2 3 3" xfId="24918" xr:uid="{CB2C1E9E-F83E-45FA-B2A2-5621D6C74A72}"/>
    <cellStyle name="Normal 10 3 2 4" xfId="24919" xr:uid="{680343DA-BE00-4235-985D-F7B2A3A62298}"/>
    <cellStyle name="Normal 10 3 2 4 2" xfId="24920" xr:uid="{402CD03A-4519-4FEF-AB4D-3F457B82E7AC}"/>
    <cellStyle name="Normal 10 3 2 5" xfId="24921" xr:uid="{ABC41FD0-B675-48CD-A437-0730FF6B23D2}"/>
    <cellStyle name="Normal 10 3 2 6" xfId="38992" xr:uid="{003E4B0B-4AA7-4361-881B-06E8AAF32362}"/>
    <cellStyle name="Normal 10 3 3" xfId="24922" xr:uid="{61DAB7CB-95A8-4E14-96DE-482576FCC36D}"/>
    <cellStyle name="Normal 10 3 3 2" xfId="24923" xr:uid="{25D8E489-5EFB-40DF-B2F3-65C76B9B79FE}"/>
    <cellStyle name="Normal 10 3 3 2 2" xfId="24924" xr:uid="{B7BB590C-B260-40E9-9456-AFE2F915A39F}"/>
    <cellStyle name="Normal 10 3 3 3" xfId="24925" xr:uid="{A3C06A2D-C25D-4C86-BA90-91C6A2E8B8C4}"/>
    <cellStyle name="Normal 10 3 4" xfId="24926" xr:uid="{A399E966-004E-4D58-8AC7-B3C08CED7690}"/>
    <cellStyle name="Normal 10 3 4 2" xfId="24927" xr:uid="{757B58E8-725B-427B-8329-C4F1742F30C6}"/>
    <cellStyle name="Normal 10 3 4 2 2" xfId="24928" xr:uid="{33FFB869-0BD5-4434-B6B9-CBE53CCA1878}"/>
    <cellStyle name="Normal 10 3 4 3" xfId="24929" xr:uid="{7737CC98-C3DC-4C0C-89E7-B862D69466EA}"/>
    <cellStyle name="Normal 10 3 5" xfId="24930" xr:uid="{F17D2511-0D1B-43AE-8ED3-C62BBBC056DD}"/>
    <cellStyle name="Normal 10 3 5 2" xfId="24931" xr:uid="{CCF357D6-30D5-4961-A04F-3175424BEA15}"/>
    <cellStyle name="Normal 10 3 6" xfId="24932" xr:uid="{F078E968-84B8-4284-B2CD-D9A9E9BBCB19}"/>
    <cellStyle name="Normal 10 3 7" xfId="38993" xr:uid="{A393CFBD-82A7-4AEE-AEE0-487C02144DD9}"/>
    <cellStyle name="Normal 10 4" xfId="24933" xr:uid="{BE4CC01C-2874-4CA1-9582-B009F72ABD8D}"/>
    <cellStyle name="Normal 10 4 2" xfId="24934" xr:uid="{6F8EA56D-925F-4321-8856-38923C723CAD}"/>
    <cellStyle name="Normal 10 4 2 2" xfId="24935" xr:uid="{92FB2901-10C6-4093-B566-CFAF7794EF12}"/>
    <cellStyle name="Normal 10 4 2 2 2" xfId="24936" xr:uid="{ECB38877-3A7F-48FF-980E-009F603982EE}"/>
    <cellStyle name="Normal 10 4 2 2 2 2" xfId="24937" xr:uid="{C3038F2B-204C-4DF3-A45A-5F9771B6E3D3}"/>
    <cellStyle name="Normal 10 4 2 2 2 3" xfId="38994" xr:uid="{CBC31BC6-9638-4716-988A-97DB1E32F11B}"/>
    <cellStyle name="Normal 10 4 2 2 3" xfId="24938" xr:uid="{6BF2585B-3DF9-4D1F-92A0-8BF7AE433076}"/>
    <cellStyle name="Normal 10 4 2 2 4" xfId="38995" xr:uid="{E2F42D72-36E5-4A91-9F50-781CEB5FB757}"/>
    <cellStyle name="Normal 10 4 2 3" xfId="24939" xr:uid="{4242567E-6CAB-468D-883F-F8D25DD00B01}"/>
    <cellStyle name="Normal 10 4 2 3 2" xfId="24940" xr:uid="{64BEA674-9DCB-4B6F-883A-88BDED0B513D}"/>
    <cellStyle name="Normal 10 4 2 3 2 2" xfId="24941" xr:uid="{BFA61B11-DBD2-46CE-B410-8BEA16A1E8F4}"/>
    <cellStyle name="Normal 10 4 2 3 3" xfId="24942" xr:uid="{1C1F57FE-8994-4A61-ABA9-AF7C8A1F011D}"/>
    <cellStyle name="Normal 10 4 2 4" xfId="24943" xr:uid="{25681A90-9FD7-45CE-8AF9-63B23FD2CE9B}"/>
    <cellStyle name="Normal 10 4 2 4 2" xfId="24944" xr:uid="{6BC949BF-D46F-4010-BA8F-2A3F9DF04804}"/>
    <cellStyle name="Normal 10 4 2 5" xfId="24945" xr:uid="{E0D655AC-2DDA-4AF3-94CF-12907E8B31FF}"/>
    <cellStyle name="Normal 10 4 2 6" xfId="38996" xr:uid="{3FC19AB5-CEEE-4092-A269-532EAA96B4BF}"/>
    <cellStyle name="Normal 10 4 3" xfId="24946" xr:uid="{F49D5822-5D37-48C8-A042-2C193BDCBAE4}"/>
    <cellStyle name="Normal 10 4 3 2" xfId="24947" xr:uid="{0A0E3B92-94E5-4767-BF16-22C708E459D3}"/>
    <cellStyle name="Normal 10 4 3 2 2" xfId="24948" xr:uid="{D8EEF942-2D3B-49D7-83A9-11052ADB612F}"/>
    <cellStyle name="Normal 10 4 3 3" xfId="24949" xr:uid="{E22D93C7-D4DB-4D50-9E48-2F2BBBF7F1E6}"/>
    <cellStyle name="Normal 10 4 4" xfId="24950" xr:uid="{87D53025-39ED-47A8-8F16-80F20B0FA740}"/>
    <cellStyle name="Normal 10 4 4 2" xfId="24951" xr:uid="{7CC05C3C-8A32-4AAD-B2DA-42AB19BA9597}"/>
    <cellStyle name="Normal 10 4 4 2 2" xfId="24952" xr:uid="{68F743E9-BE94-49C0-8A3F-CDAE58CDFB5B}"/>
    <cellStyle name="Normal 10 4 4 3" xfId="24953" xr:uid="{1BF00C43-D944-4070-917F-6ED4846DCA51}"/>
    <cellStyle name="Normal 10 4 5" xfId="24954" xr:uid="{7FD0D1E2-F78C-4710-8CC3-FB24ABB15D34}"/>
    <cellStyle name="Normal 10 4 5 2" xfId="24955" xr:uid="{A00438B5-7605-4C1E-A062-A7DAACE9EF10}"/>
    <cellStyle name="Normal 10 4 6" xfId="24956" xr:uid="{3203E7C4-0E45-424F-9E85-35F365937684}"/>
    <cellStyle name="Normal 10 4 7" xfId="38997" xr:uid="{611F9D45-8283-41E8-98C7-2D717A89593B}"/>
    <cellStyle name="Normal 10 5" xfId="24957" xr:uid="{9B5CECCF-BDB9-4140-820B-1A7B57DEC962}"/>
    <cellStyle name="Normal 10 5 2" xfId="24958" xr:uid="{6EF4ECF6-20DD-4663-BDEE-58892C01F192}"/>
    <cellStyle name="Normal 10 5 2 2" xfId="24959" xr:uid="{AB7F2B92-2449-4566-AA82-F66613BE0A68}"/>
    <cellStyle name="Normal 10 5 3" xfId="24960" xr:uid="{5B4665DD-547A-4242-8BBC-80D72834C3EE}"/>
    <cellStyle name="Normal 10 6" xfId="24961" xr:uid="{0DC90D9C-E8FA-4113-BFE9-22F986AA1BD7}"/>
    <cellStyle name="Normal 10 6 2" xfId="24962" xr:uid="{78C16693-504E-400E-A0AC-14A43068FFDC}"/>
    <cellStyle name="Normal 10 6 2 2" xfId="24963" xr:uid="{4F033593-76A3-443D-AD46-FF3F37F84AE5}"/>
    <cellStyle name="Normal 10 6 2 2 2" xfId="24964" xr:uid="{AFAAA345-2F38-458E-B84B-1E6A2ADF924B}"/>
    <cellStyle name="Normal 10 6 2 3" xfId="24965" xr:uid="{B4850103-54D7-4894-985F-B33A947116A1}"/>
    <cellStyle name="Normal 10 6 3" xfId="24966" xr:uid="{9F64EDA1-7C49-49E8-A058-EE1114CC610C}"/>
    <cellStyle name="Normal 10 6 3 2" xfId="24967" xr:uid="{4D785E20-AB99-4F10-BD97-5736ED933E9D}"/>
    <cellStyle name="Normal 10 6 3 2 2" xfId="24968" xr:uid="{240A7F82-7DD4-47FE-A454-0709D1338A96}"/>
    <cellStyle name="Normal 10 6 3 3" xfId="24969" xr:uid="{85716A72-DBC0-4DA8-AD12-BBF2D3657041}"/>
    <cellStyle name="Normal 10 6 4" xfId="24970" xr:uid="{574A8E87-22CC-446F-95EB-A4E0FF3F9DDC}"/>
    <cellStyle name="Normal 10 6 4 2" xfId="24971" xr:uid="{548976C2-4CB7-4CBA-82C1-2E69E4E052D6}"/>
    <cellStyle name="Normal 10 6 5" xfId="24972" xr:uid="{096899AE-BCAC-4EC3-BCF1-E55D3BC894C1}"/>
    <cellStyle name="Normal 10 7" xfId="24973" xr:uid="{BEFD4D94-EA6E-4BBB-BB24-356F91986882}"/>
    <cellStyle name="Normal 10 7 2" xfId="24974" xr:uid="{3DB72283-28AF-401C-A606-20A78460150E}"/>
    <cellStyle name="Normal 10 7 2 2" xfId="24975" xr:uid="{19C8BDF5-C1E3-493F-B75D-4CC719DDBA6E}"/>
    <cellStyle name="Normal 10 7 2 2 2" xfId="24976" xr:uid="{050522A7-FDF5-41D0-A689-7CEEF24EB9CD}"/>
    <cellStyle name="Normal 10 7 2 3" xfId="24977" xr:uid="{79E50086-090C-433B-BA68-42B2B24B02CA}"/>
    <cellStyle name="Normal 10 7 3" xfId="24978" xr:uid="{EA95BAAF-A9D8-4C37-B7E1-B1B9AE8551B2}"/>
    <cellStyle name="Normal 10 7 3 2" xfId="24979" xr:uid="{FC27FF47-2E3E-443E-A6CC-6AE21A29C188}"/>
    <cellStyle name="Normal 10 7 3 2 2" xfId="24980" xr:uid="{E890D5B4-6B42-457E-B5C4-DE308CA7FBB1}"/>
    <cellStyle name="Normal 10 7 3 3" xfId="24981" xr:uid="{E2BC2C93-28C0-4229-92DA-F397F2A09188}"/>
    <cellStyle name="Normal 10 7 4" xfId="24982" xr:uid="{B4EE8E7E-82B6-4C0E-A513-EAE5198C96BB}"/>
    <cellStyle name="Normal 10 7 4 2" xfId="24983" xr:uid="{3FBA5446-BAA9-41CC-9C86-ACA0B96618C7}"/>
    <cellStyle name="Normal 10 7 5" xfId="24984" xr:uid="{5DDC1F9F-F5BC-4EFF-9C1C-FC5344202922}"/>
    <cellStyle name="Normal 10 8" xfId="24985" xr:uid="{340D2736-78E0-44EE-80CF-A720010A38D1}"/>
    <cellStyle name="Normal 10 8 2" xfId="24986" xr:uid="{3159939B-3121-43DE-9F46-526C7D05B549}"/>
    <cellStyle name="Normal 10 8 2 2" xfId="24987" xr:uid="{15D0A602-798A-4B40-A56A-00B9EF74F332}"/>
    <cellStyle name="Normal 10 8 2 2 2" xfId="24988" xr:uid="{A5220188-08F9-49F0-A6AE-C7027AB48A07}"/>
    <cellStyle name="Normal 10 8 2 3" xfId="24989" xr:uid="{5B400CC5-0D2A-4188-AA3B-2B8EF832962D}"/>
    <cellStyle name="Normal 10 8 3" xfId="24990" xr:uid="{F722194A-5C2B-410F-B87D-F4FC84AB751B}"/>
    <cellStyle name="Normal 10 8 3 2" xfId="24991" xr:uid="{BD4724C8-0637-4627-BB87-42057FC059FA}"/>
    <cellStyle name="Normal 10 8 3 2 2" xfId="24992" xr:uid="{84F8A16A-E71F-4E0F-8452-91D333DDC5BC}"/>
    <cellStyle name="Normal 10 8 3 3" xfId="24993" xr:uid="{6874594B-523B-40D8-BA92-D56E907585C5}"/>
    <cellStyle name="Normal 10 8 4" xfId="24994" xr:uid="{D9E4D72B-7029-4002-AD27-A22AF6F51862}"/>
    <cellStyle name="Normal 10 8 4 2" xfId="24995" xr:uid="{93DDFF84-EE5E-40E0-A20B-2A071B3DB04C}"/>
    <cellStyle name="Normal 10 8 5" xfId="24996" xr:uid="{31CC6915-4542-4C09-9DF1-606C6825A297}"/>
    <cellStyle name="Normal 10 9" xfId="24997" xr:uid="{0456C293-0DD6-4493-924D-10ABC29BDA29}"/>
    <cellStyle name="Normal 10 9 2" xfId="24998" xr:uid="{6653E5CC-DF6F-49A8-9464-BAF4728C29A7}"/>
    <cellStyle name="Normal 10_Jun 11 details" xfId="24999" xr:uid="{340445C7-94B7-4DF3-B364-DF7F1C0EA3CF}"/>
    <cellStyle name="Normal 100" xfId="25000" xr:uid="{BCF77674-9438-46DC-B837-545C7E8C7362}"/>
    <cellStyle name="Normal 100 2" xfId="25001" xr:uid="{5C4473D0-1D84-4D81-82E9-819AFDFC6758}"/>
    <cellStyle name="Normal 100 2 2" xfId="25002" xr:uid="{E9E191B2-38C6-4039-915D-83DD1E5FC6F9}"/>
    <cellStyle name="Normal 100 3" xfId="25003" xr:uid="{B1B722B8-7A36-4CAC-A423-811AD86AFC0B}"/>
    <cellStyle name="Normal 100 4" xfId="38998" xr:uid="{663C6830-1E22-48DE-946D-2CD70E832716}"/>
    <cellStyle name="Normal 101" xfId="25004" xr:uid="{5FBDA8B1-4B86-42C1-BD76-02AB9143CADC}"/>
    <cellStyle name="Normal 101 2" xfId="25005" xr:uid="{4C7F2335-DDC4-4347-9990-BF557B4D5A90}"/>
    <cellStyle name="Normal 101 2 2" xfId="25006" xr:uid="{E3FF0493-24A4-4C2E-9314-80A986535EC4}"/>
    <cellStyle name="Normal 101 2 2 2" xfId="25007" xr:uid="{B3EBC6A5-1C2E-4FEE-96B6-5FFD617E3B68}"/>
    <cellStyle name="Normal 101 2 3" xfId="25008" xr:uid="{0AAC6CA0-38CA-42FE-86CF-C382536B9868}"/>
    <cellStyle name="Normal 101 2 3 2" xfId="25009" xr:uid="{2E63715B-B141-4361-9007-7C3499B5E3C1}"/>
    <cellStyle name="Normal 101 2 4" xfId="25010" xr:uid="{B08E1E33-0A3A-4646-A5B1-DBA4A69C2877}"/>
    <cellStyle name="Normal 101 3" xfId="25011" xr:uid="{BE21613B-7428-4DA4-89DD-F542E23D977B}"/>
    <cellStyle name="Normal 101 3 2" xfId="25012" xr:uid="{F2832A82-6A8D-4B05-9A1D-6A3AED7CE3BA}"/>
    <cellStyle name="Normal 101 3 2 2" xfId="25013" xr:uid="{E50D50DF-B35E-4E4A-87C6-B121525A6D4D}"/>
    <cellStyle name="Normal 101 3 3" xfId="25014" xr:uid="{211DEABC-6D8E-4AAD-B7A7-801FE9D13554}"/>
    <cellStyle name="Normal 101 4" xfId="25015" xr:uid="{A2ADC7C3-554F-42F5-94DE-B1DB16592912}"/>
    <cellStyle name="Normal 101 4 2" xfId="25016" xr:uid="{509869E5-B020-4D46-A29F-BD3B09809E5C}"/>
    <cellStyle name="Normal 101 4 2 2" xfId="25017" xr:uid="{D05DFDC2-2E1A-40E5-AE91-BE857E2D6EFC}"/>
    <cellStyle name="Normal 101 4 3" xfId="25018" xr:uid="{EC6E3F19-448A-46BF-BD17-5A7BF5A27A6E}"/>
    <cellStyle name="Normal 101 5" xfId="25019" xr:uid="{14FC3A27-06C3-4C7C-A77C-1235B9177EEF}"/>
    <cellStyle name="Normal 101 5 2" xfId="25020" xr:uid="{3F2B9A71-819C-46B1-91BA-6C3465FDB9DD}"/>
    <cellStyle name="Normal 101 6" xfId="25021" xr:uid="{CD68149F-1F98-4B31-852E-65C9074E3A52}"/>
    <cellStyle name="Normal 101 7" xfId="38999" xr:uid="{6ECA7DC8-395F-408C-B660-249B05B94A0F}"/>
    <cellStyle name="Normal 102" xfId="25022" xr:uid="{C86BFF14-4A1F-422C-B288-99B4423F11CA}"/>
    <cellStyle name="Normal 102 2" xfId="25023" xr:uid="{DE9BDC6B-7714-4CB3-BDE0-C68F6E3268B2}"/>
    <cellStyle name="Normal 102 2 2" xfId="25024" xr:uid="{6C3AAC2F-ADB5-4CA6-A485-2CA8F1956B65}"/>
    <cellStyle name="Normal 102 2 2 2" xfId="25025" xr:uid="{AEC6D9DA-C628-4C40-A1F4-7818B45FF7A2}"/>
    <cellStyle name="Normal 102 2 3" xfId="25026" xr:uid="{6D5D20F1-8718-4F18-8C7C-D2542F964B4A}"/>
    <cellStyle name="Normal 102 3" xfId="25027" xr:uid="{0E26F02A-8699-4E9E-84EC-8C7C50437A3C}"/>
    <cellStyle name="Normal 102 3 2" xfId="25028" xr:uid="{A453784B-046E-4273-8B68-213AD7A3185B}"/>
    <cellStyle name="Normal 102 3 2 2" xfId="25029" xr:uid="{9A4B54EE-3178-4F2C-9DBC-89244806DFE8}"/>
    <cellStyle name="Normal 102 3 3" xfId="25030" xr:uid="{97DFB4F5-570A-4B08-A080-67B8BA5F0C70}"/>
    <cellStyle name="Normal 102 4" xfId="25031" xr:uid="{7E79D1A1-2BB0-436F-A0D9-45D84BA88636}"/>
    <cellStyle name="Normal 102 4 2" xfId="25032" xr:uid="{AF5DEAA6-24CE-44F4-9C95-72E1D4D683DC}"/>
    <cellStyle name="Normal 102 4 2 2" xfId="25033" xr:uid="{364B4CEA-C339-485B-9E0B-0B6C3F34A0A7}"/>
    <cellStyle name="Normal 102 4 3" xfId="25034" xr:uid="{A409D43F-6B02-409C-AE50-D429C32BB50B}"/>
    <cellStyle name="Normal 102 5" xfId="25035" xr:uid="{20C16EDB-F817-4DD9-8CEC-B94F3C187663}"/>
    <cellStyle name="Normal 102 5 2" xfId="25036" xr:uid="{CD300C60-434A-4471-AB7B-724D1CD3C4FA}"/>
    <cellStyle name="Normal 102 6" xfId="25037" xr:uid="{E2688DC1-8F5A-430F-A6FB-56C91D31F66F}"/>
    <cellStyle name="Normal 102 7" xfId="39000" xr:uid="{65B2CAC5-03DE-4496-91ED-2C3BDABA05B6}"/>
    <cellStyle name="Normal 103" xfId="25038" xr:uid="{312CA8E1-5244-4E4B-8448-02E371DC43FA}"/>
    <cellStyle name="Normal 103 2" xfId="25039" xr:uid="{2FE6D373-002D-4394-82E9-ADBDEAB1BFB9}"/>
    <cellStyle name="Normal 103 2 2" xfId="25040" xr:uid="{B1BCEBA9-182D-4502-9E9B-35517844F41D}"/>
    <cellStyle name="Normal 103 2 2 2" xfId="25041" xr:uid="{9289875B-96A1-4DCD-8ACE-D6A40EA63099}"/>
    <cellStyle name="Normal 103 2 3" xfId="25042" xr:uid="{FEF2A5B4-8AB8-42A4-85B5-2AF26DA96D86}"/>
    <cellStyle name="Normal 103 2 3 2" xfId="25043" xr:uid="{00E1599C-434E-44A8-AAD2-EBD42EAAC25D}"/>
    <cellStyle name="Normal 103 2 4" xfId="25044" xr:uid="{E615197F-69B0-441C-B92F-9DE127ADB917}"/>
    <cellStyle name="Normal 103 3" xfId="25045" xr:uid="{28A5C0EF-5E11-4AAC-BF6C-387E4C37B504}"/>
    <cellStyle name="Normal 103 3 2" xfId="25046" xr:uid="{B9A6B3C0-CA04-4BBE-9A78-B63B56B73E26}"/>
    <cellStyle name="Normal 103 3 2 2" xfId="25047" xr:uid="{D47851D5-B339-4399-BA17-E1DF8366F951}"/>
    <cellStyle name="Normal 103 3 3" xfId="25048" xr:uid="{B536BBA4-DAD6-4BA8-929F-182210185A29}"/>
    <cellStyle name="Normal 103 4" xfId="25049" xr:uid="{97185F99-BCF0-486C-8089-5333642603AC}"/>
    <cellStyle name="Normal 103 4 2" xfId="25050" xr:uid="{53D90C65-7427-4DA5-A56F-B4D13DAF395A}"/>
    <cellStyle name="Normal 103 4 2 2" xfId="25051" xr:uid="{EE49A5B0-52E5-4FCF-BAFA-FB1D79E5CF05}"/>
    <cellStyle name="Normal 103 4 3" xfId="25052" xr:uid="{010C446B-7509-4207-A8AD-1487E63D606B}"/>
    <cellStyle name="Normal 103 5" xfId="25053" xr:uid="{E915753A-9B3D-4C3F-8912-9BDDC4BD08E6}"/>
    <cellStyle name="Normal 103 5 2" xfId="25054" xr:uid="{BC1FE7A1-D72A-4AFE-A102-361892868367}"/>
    <cellStyle name="Normal 103 6" xfId="25055" xr:uid="{AD2353FE-2900-46C8-8963-0BC0373CF866}"/>
    <cellStyle name="Normal 103 6 2" xfId="25056" xr:uid="{C8A9B8A9-B03D-4A12-BE5A-6D06E19E4EE8}"/>
    <cellStyle name="Normal 103 7" xfId="25057" xr:uid="{C0B207B4-D5D1-4FFC-9200-EA60268EE1A0}"/>
    <cellStyle name="Normal 103 8" xfId="39001" xr:uid="{E7FB9657-4EC8-4CD2-950E-45CF0CB0FF42}"/>
    <cellStyle name="Normal 104" xfId="25058" xr:uid="{26A78ED8-F2B6-4248-8219-10F9F12D2E41}"/>
    <cellStyle name="Normal 104 2" xfId="25059" xr:uid="{51422984-6EBB-40A0-8D10-76B7352B998F}"/>
    <cellStyle name="Normal 104 2 2" xfId="25060" xr:uid="{E7E865E3-FF67-442A-BDB0-74721D88DF35}"/>
    <cellStyle name="Normal 104 2 2 2" xfId="25061" xr:uid="{97D79FE7-9C2E-4A08-94CB-10D54C1C7428}"/>
    <cellStyle name="Normal 104 2 3" xfId="25062" xr:uid="{CAB0BC8E-16BD-4281-9F73-52BB64D29CDA}"/>
    <cellStyle name="Normal 104 3" xfId="25063" xr:uid="{DE43DB85-F233-45CB-9030-2526676033B9}"/>
    <cellStyle name="Normal 104 3 2" xfId="25064" xr:uid="{6A33DD50-78BB-41A6-BB98-E81E5EF87F36}"/>
    <cellStyle name="Normal 104 3 2 2" xfId="25065" xr:uid="{80E737CE-BECF-439C-8716-B1CA0796D232}"/>
    <cellStyle name="Normal 104 3 3" xfId="25066" xr:uid="{9CAC09DD-77AD-478D-9571-0B7E229F11D9}"/>
    <cellStyle name="Normal 104 4" xfId="25067" xr:uid="{B6477A24-E302-4482-B643-91870173F5DE}"/>
    <cellStyle name="Normal 104 4 2" xfId="25068" xr:uid="{EFEC4701-8238-4B2D-86DF-3AA739D5141D}"/>
    <cellStyle name="Normal 104 4 2 2" xfId="25069" xr:uid="{C0599DB4-9738-4525-98D8-7ACA926C5F47}"/>
    <cellStyle name="Normal 104 4 3" xfId="25070" xr:uid="{D4DD260A-2ADA-4D98-8E5A-F21D37E48CF0}"/>
    <cellStyle name="Normal 104 5" xfId="25071" xr:uid="{167C246C-AB3D-4B09-B4BC-D9F07BC3CFC0}"/>
    <cellStyle name="Normal 104 6" xfId="39002" xr:uid="{B6D5AC17-02D2-4CD7-B051-965A130FB52C}"/>
    <cellStyle name="Normal 105" xfId="25072" xr:uid="{337EA221-068F-4389-A166-414D2FDAF813}"/>
    <cellStyle name="Normal 105 2" xfId="25073" xr:uid="{271CC892-34F9-42E5-8C8F-785C903FDFAD}"/>
    <cellStyle name="Normal 105 2 2" xfId="25074" xr:uid="{E1113B39-FB7E-43DD-9B0E-EE9C17BB6E45}"/>
    <cellStyle name="Normal 105 2 2 2" xfId="25075" xr:uid="{CA3D5402-E5CE-44FF-9D18-E63782A6F33E}"/>
    <cellStyle name="Normal 105 2 3" xfId="25076" xr:uid="{35B25585-A9A9-4DB4-B959-6226D3C1C0DF}"/>
    <cellStyle name="Normal 105 3" xfId="25077" xr:uid="{120CF970-17B5-4C7A-9645-9EE957CF213B}"/>
    <cellStyle name="Normal 105 3 2" xfId="25078" xr:uid="{95180E7A-9621-44F7-BF5F-D65F1F98AF9F}"/>
    <cellStyle name="Normal 105 3 2 2" xfId="25079" xr:uid="{EE530E39-1E3B-4F2A-A733-60B1F14FFE5F}"/>
    <cellStyle name="Normal 105 3 3" xfId="25080" xr:uid="{A463A34A-CA26-4E41-8470-3E1C4A2EB100}"/>
    <cellStyle name="Normal 105 4" xfId="25081" xr:uid="{B12E2B93-2F41-4109-BEC0-606CC69C737E}"/>
    <cellStyle name="Normal 105 4 2" xfId="25082" xr:uid="{00DFC487-82C8-41C3-B8E9-AA3CA663CB04}"/>
    <cellStyle name="Normal 105 4 2 2" xfId="25083" xr:uid="{7A6B1A31-E97F-496A-B3FC-A66129901E55}"/>
    <cellStyle name="Normal 105 4 3" xfId="25084" xr:uid="{EC57F23D-59EA-421E-BBA3-EA8EF4DD3610}"/>
    <cellStyle name="Normal 105 5" xfId="25085" xr:uid="{C6B41E54-13B5-490D-B8A1-C2FBAA800F03}"/>
    <cellStyle name="Normal 105 5 2" xfId="25086" xr:uid="{299798CD-1162-42D1-9237-F18B4983C9B6}"/>
    <cellStyle name="Normal 105 6" xfId="25087" xr:uid="{E5490345-6357-48F4-B89E-AFD3822D5452}"/>
    <cellStyle name="Normal 106" xfId="25088" xr:uid="{A659F6D1-4C05-4CE2-BEEA-9B64C011B25D}"/>
    <cellStyle name="Normal 106 2" xfId="25089" xr:uid="{554A45A6-70B8-4346-9484-F3130355D51D}"/>
    <cellStyle name="Normal 106 2 2" xfId="25090" xr:uid="{EB5D6C29-9F81-43C4-B573-548680B8BB84}"/>
    <cellStyle name="Normal 106 2 2 2" xfId="25091" xr:uid="{E4A9A7DC-59B0-4EDE-B50B-0B55620F441A}"/>
    <cellStyle name="Normal 106 2 3" xfId="25092" xr:uid="{2C667BB2-D12B-454F-9F4B-426D20C5C99B}"/>
    <cellStyle name="Normal 106 3" xfId="25093" xr:uid="{E05FC294-64CB-44D7-BFEE-99DECEBB902C}"/>
    <cellStyle name="Normal 106 3 2" xfId="25094" xr:uid="{E619AD48-7598-4E46-B114-B0F26771488C}"/>
    <cellStyle name="Normal 106 3 2 2" xfId="25095" xr:uid="{630C9B58-B334-408A-89C8-664F8906676B}"/>
    <cellStyle name="Normal 106 3 3" xfId="25096" xr:uid="{585FF22E-6F09-4D49-8D2C-347983DC8EA3}"/>
    <cellStyle name="Normal 106 4" xfId="25097" xr:uid="{6FC98F93-9DE7-4D35-A06E-25DE30EE5973}"/>
    <cellStyle name="Normal 106 4 2" xfId="25098" xr:uid="{C4BE5554-89C7-41AE-8508-803B2DFA4329}"/>
    <cellStyle name="Normal 106 5" xfId="25099" xr:uid="{6C451B19-013A-40E9-97A1-07B3D6B67CE3}"/>
    <cellStyle name="Normal 106 5 2" xfId="25100" xr:uid="{1A345251-CC2C-4F00-B818-B2CB676E5262}"/>
    <cellStyle name="Normal 106 6" xfId="25101" xr:uid="{C4F0B41E-60B9-47C6-8715-833BD6CAB1D7}"/>
    <cellStyle name="Normal 106 7" xfId="39003" xr:uid="{67CF03E1-F777-47BB-82AF-264095E1360B}"/>
    <cellStyle name="Normal 107" xfId="25102" xr:uid="{BC4F5C4E-4683-4B63-8BD5-BCFAF94353EC}"/>
    <cellStyle name="Normal 107 2" xfId="25103" xr:uid="{2316A1EE-C6CF-445D-A148-452ABE5A5C0C}"/>
    <cellStyle name="Normal 107 2 2" xfId="25104" xr:uid="{7F626E2B-A432-4058-B384-9CD8313834B8}"/>
    <cellStyle name="Normal 107 2 2 2" xfId="25105" xr:uid="{C3BBD899-2CC6-4692-AB2F-9100EC2922C6}"/>
    <cellStyle name="Normal 107 2 3" xfId="25106" xr:uid="{E8EAE552-9E47-4136-B617-70F1A43AF6CB}"/>
    <cellStyle name="Normal 107 2 3 2" xfId="25107" xr:uid="{7B33EE18-182F-4700-A8FC-F0264D466DE5}"/>
    <cellStyle name="Normal 107 2 4" xfId="25108" xr:uid="{7E669D41-F4C5-4455-BA62-B1422747765A}"/>
    <cellStyle name="Normal 107 3" xfId="25109" xr:uid="{C3884174-BD50-408C-B3E1-764F8F13BB1C}"/>
    <cellStyle name="Normal 107 3 2" xfId="25110" xr:uid="{FDC15FB8-77A6-4F15-8C4E-8337D8552292}"/>
    <cellStyle name="Normal 107 3 2 2" xfId="25111" xr:uid="{F92AA7C6-3778-4264-BB0F-B5A330544332}"/>
    <cellStyle name="Normal 107 3 3" xfId="25112" xr:uid="{7B135DF5-985A-4DF6-A19B-4AA1261DD30D}"/>
    <cellStyle name="Normal 107 3 3 2" xfId="25113" xr:uid="{D99FEC0D-E724-4FF5-A30E-38973EB66231}"/>
    <cellStyle name="Normal 107 3 4" xfId="25114" xr:uid="{B5101A5A-EBC9-4EA7-959E-047BB45A7E67}"/>
    <cellStyle name="Normal 107 4" xfId="25115" xr:uid="{F4E0F0DD-634B-44F5-9C93-8E2579990666}"/>
    <cellStyle name="Normal 107 4 2" xfId="25116" xr:uid="{93970B06-019A-43F8-8754-D677BD78EAEF}"/>
    <cellStyle name="Normal 107 5" xfId="25117" xr:uid="{782221B2-5045-4C4A-A094-C0F41C0F13DC}"/>
    <cellStyle name="Normal 107 5 2" xfId="25118" xr:uid="{B78C76BA-0DE3-4479-B053-41FC02788188}"/>
    <cellStyle name="Normal 107 6" xfId="25119" xr:uid="{5F0F3506-CA9D-41DB-A163-03DB16EEBBD1}"/>
    <cellStyle name="Normal 107 7" xfId="39004" xr:uid="{6F502CEA-9682-4846-8605-52E68872FF3B}"/>
    <cellStyle name="Normal 108" xfId="25120" xr:uid="{56F50DC5-0F31-44DD-BC2B-0A8D0D3E1919}"/>
    <cellStyle name="Normal 108 2" xfId="25121" xr:uid="{5C10661D-9A18-41D8-AFAF-189D64940054}"/>
    <cellStyle name="Normal 108 2 2" xfId="25122" xr:uid="{538DBAF7-7A8B-4C83-9C41-E9B362916222}"/>
    <cellStyle name="Normal 108 2 2 2" xfId="25123" xr:uid="{43006289-7E92-4307-BFCA-E831D54D0D91}"/>
    <cellStyle name="Normal 108 2 2 2 2" xfId="25124" xr:uid="{C273086F-D3C5-44B4-85EB-879071C20169}"/>
    <cellStyle name="Normal 108 2 2 3" xfId="25125" xr:uid="{CC17548B-1417-4D9D-8C94-DF2E5CEC27D6}"/>
    <cellStyle name="Normal 108 2 3" xfId="25126" xr:uid="{90470C51-6ABD-4ADE-A643-48FDE857D326}"/>
    <cellStyle name="Normal 108 2 3 2" xfId="25127" xr:uid="{9C8F8FE2-2BDE-4CD5-8F9E-CC5AC5EDD61A}"/>
    <cellStyle name="Normal 108 2 3 2 2" xfId="25128" xr:uid="{63C0D0E9-AC3E-41EE-A01C-8A6C71B95CD3}"/>
    <cellStyle name="Normal 108 2 3 3" xfId="25129" xr:uid="{5D07B722-4010-43EE-A45F-B872691608E6}"/>
    <cellStyle name="Normal 108 2 4" xfId="25130" xr:uid="{A05C5DEF-5C1F-462A-9F53-55B15820C251}"/>
    <cellStyle name="Normal 108 2 4 2" xfId="25131" xr:uid="{6FC261A6-1DB0-4442-86E3-C8C134AF2BE6}"/>
    <cellStyle name="Normal 108 2 5" xfId="25132" xr:uid="{66B8516A-BDEE-4DCF-9549-99EF9A2CF110}"/>
    <cellStyle name="Normal 108 2 6" xfId="39005" xr:uid="{7B3D85F2-7905-4E35-94E9-5747B5F00A3F}"/>
    <cellStyle name="Normal 108 3" xfId="25133" xr:uid="{52961F82-9DB0-4B62-81D5-3129B2FC2A8E}"/>
    <cellStyle name="Normal 108 3 2" xfId="25134" xr:uid="{591AF7E0-C2B8-4DDE-849F-FE6FAA003126}"/>
    <cellStyle name="Normal 108 3 2 2" xfId="25135" xr:uid="{5D4B0B3F-375C-44DE-BABB-C1B634D05301}"/>
    <cellStyle name="Normal 108 3 3" xfId="25136" xr:uid="{344A7DDC-C0E1-4EE9-A438-0C5999C3447A}"/>
    <cellStyle name="Normal 108 3 3 2" xfId="25137" xr:uid="{DEBB6AFD-9D0B-482B-B32C-904E893544D4}"/>
    <cellStyle name="Normal 108 3 4" xfId="25138" xr:uid="{8C74D5F2-E7FF-450D-85CB-430FAC20A30D}"/>
    <cellStyle name="Normal 108 3 5" xfId="39006" xr:uid="{C2235901-9349-49D7-8317-F9576AA80676}"/>
    <cellStyle name="Normal 108 4" xfId="25139" xr:uid="{F7D19265-C131-4A6A-B8C1-259AF17832C2}"/>
    <cellStyle name="Normal 108 4 2" xfId="25140" xr:uid="{E8143383-798D-4588-AB4C-0133E4E5677C}"/>
    <cellStyle name="Normal 108 4 2 2" xfId="25141" xr:uid="{58FBD0FB-44E8-4584-ABDF-F64188D7FEE5}"/>
    <cellStyle name="Normal 108 4 3" xfId="25142" xr:uid="{C922AE25-6197-4F4F-A29D-5C56A8B833B0}"/>
    <cellStyle name="Normal 108 5" xfId="25143" xr:uid="{CE024E53-319C-48BC-8154-94B4C1C01562}"/>
    <cellStyle name="Normal 108 6" xfId="39007" xr:uid="{8F5F590F-D35C-4070-B7BF-D4BEF50B3036}"/>
    <cellStyle name="Normal 109" xfId="25144" xr:uid="{A53519DF-3B42-4266-BE25-4E1509F1280A}"/>
    <cellStyle name="Normal 109 2" xfId="25145" xr:uid="{53C0B8B1-487E-49AF-89EE-637D93CD23E5}"/>
    <cellStyle name="Normal 109 2 2" xfId="25146" xr:uid="{599CCEA8-1914-4BC6-8E63-DE57ECD10836}"/>
    <cellStyle name="Normal 109 2 2 2" xfId="25147" xr:uid="{B4194B64-E3D6-4244-83E3-0314C6EF4F89}"/>
    <cellStyle name="Normal 109 2 3" xfId="25148" xr:uid="{84AB8AB9-7BCE-4883-85EA-DBA129D59F44}"/>
    <cellStyle name="Normal 109 3" xfId="25149" xr:uid="{8C53645A-BF07-4FBB-8FE4-DF3CB896965F}"/>
    <cellStyle name="Normal 109 3 2" xfId="25150" xr:uid="{9FEB03B7-3F12-4ACC-83C6-E88684F24F53}"/>
    <cellStyle name="Normal 109 3 2 2" xfId="25151" xr:uid="{057D8DFF-E76D-4B12-8E60-6F0B0BB28C2B}"/>
    <cellStyle name="Normal 109 3 3" xfId="25152" xr:uid="{A02F01BC-577E-4E95-93B5-BEC7B70BB100}"/>
    <cellStyle name="Normal 109 4" xfId="25153" xr:uid="{48DCEDE5-E532-456C-AF04-B3CA72A46BC6}"/>
    <cellStyle name="Normal 109 4 2" xfId="25154" xr:uid="{1C223DCD-EDE9-411F-A46E-C5BA873EB6BF}"/>
    <cellStyle name="Normal 109 4 2 2" xfId="25155" xr:uid="{6FB0DB59-EAC0-4C91-AF85-0A7BF72385B6}"/>
    <cellStyle name="Normal 109 4 3" xfId="25156" xr:uid="{9ACA041F-5A32-460B-AFDC-74252671AE1A}"/>
    <cellStyle name="Normal 109 5" xfId="25157" xr:uid="{43D6495B-D605-4C2F-863E-4C92CD5605D2}"/>
    <cellStyle name="Normal 109 5 2" xfId="25158" xr:uid="{CBB135DD-3401-4298-9D87-DE79DDEA6D3F}"/>
    <cellStyle name="Normal 109 6" xfId="25159" xr:uid="{4325F576-C830-45A4-A6EB-CE8B093DD71E}"/>
    <cellStyle name="Normal 11" xfId="25160" xr:uid="{3F300D09-F8F1-486D-9423-2306294BADA4}"/>
    <cellStyle name="Normal 11 10" xfId="25161" xr:uid="{5571C628-7E3A-4F98-AE07-955667197E7D}"/>
    <cellStyle name="Normal 11 11" xfId="39008" xr:uid="{8C6A8404-C5D7-4756-810D-7ADED3BA1C15}"/>
    <cellStyle name="Normal 11 2" xfId="25162" xr:uid="{C13D16D6-C901-4449-8C33-9267A58D77CF}"/>
    <cellStyle name="Normal 11 2 2" xfId="25163" xr:uid="{54FA6BEB-84E3-47DC-8A96-A7A6A1052802}"/>
    <cellStyle name="Normal 11 2 2 2" xfId="39009" xr:uid="{DE6889B3-FB3D-47DF-9C91-43CA63E707D0}"/>
    <cellStyle name="Normal 11 3" xfId="25164" xr:uid="{F4CFA430-E36B-4AB0-8DC0-3CAFF615E94D}"/>
    <cellStyle name="Normal 11 4" xfId="25165" xr:uid="{EC40B62F-86E2-480C-A703-4FF31247E16D}"/>
    <cellStyle name="Normal 11 5" xfId="25166" xr:uid="{A278D6E9-F7A5-4DAD-80E5-C91D49C4BBDB}"/>
    <cellStyle name="Normal 11 6" xfId="25167" xr:uid="{EBC27ADB-68F1-4E0D-9EF4-C8943E36A455}"/>
    <cellStyle name="Normal 11 7" xfId="25168" xr:uid="{7F478F8B-FDA3-40E7-B496-4D6F41EAD7D1}"/>
    <cellStyle name="Normal 11 8" xfId="25169" xr:uid="{3BEB0A04-BC7F-49AC-A653-4F638EAA90C6}"/>
    <cellStyle name="Normal 11 9" xfId="25170" xr:uid="{281781AE-EC71-4D2F-A7F1-AC9B4D99B111}"/>
    <cellStyle name="Normal 110" xfId="25171" xr:uid="{B917805D-8847-4698-AC4D-39A364380573}"/>
    <cellStyle name="Normal 110 2" xfId="25172" xr:uid="{4D0AFB40-4539-442D-B7A3-BB372258FE6C}"/>
    <cellStyle name="Normal 110 2 2" xfId="25173" xr:uid="{9202CAF1-C427-441F-9654-76456EC48C4C}"/>
    <cellStyle name="Normal 110 2 2 2" xfId="25174" xr:uid="{A2E691C9-6F5E-45BA-B43C-E1004F8B9349}"/>
    <cellStyle name="Normal 110 2 3" xfId="25175" xr:uid="{1F6773E4-0B78-4283-92E7-9DFD35E67DCF}"/>
    <cellStyle name="Normal 110 3" xfId="25176" xr:uid="{966D4D84-DB1D-4FA7-8718-2DF8D3B24BE4}"/>
    <cellStyle name="Normal 110 3 2" xfId="25177" xr:uid="{4E8E9EF9-219D-4CC3-9578-7D51EB602240}"/>
    <cellStyle name="Normal 110 3 2 2" xfId="25178" xr:uid="{D712B286-6830-45BF-845C-2A948FCC627D}"/>
    <cellStyle name="Normal 110 3 3" xfId="25179" xr:uid="{41C6BC63-6AD6-4609-8F78-A87B73C4C34F}"/>
    <cellStyle name="Normal 110 4" xfId="25180" xr:uid="{572DACFF-83FE-4979-AD8F-B222EED3E19B}"/>
    <cellStyle name="Normal 110 4 2" xfId="25181" xr:uid="{2338219E-1F0B-4A71-9F82-FBBA3649E632}"/>
    <cellStyle name="Normal 110 5" xfId="25182" xr:uid="{1254B474-26AA-4716-8D1B-3F343674B372}"/>
    <cellStyle name="Normal 111" xfId="25183" xr:uid="{2E0CC423-F7EE-4128-9C6A-96DA029A63DD}"/>
    <cellStyle name="Normal 111 2" xfId="25184" xr:uid="{E4496A2C-40A8-46D4-873C-5210183AA97C}"/>
    <cellStyle name="Normal 111 2 2" xfId="25185" xr:uid="{9BB26E26-FB7A-4C21-9980-280434363636}"/>
    <cellStyle name="Normal 111 2 2 2" xfId="25186" xr:uid="{4E9F86B7-3D09-487B-834B-05A3A9A1F711}"/>
    <cellStyle name="Normal 111 2 3" xfId="25187" xr:uid="{310F0825-4D50-4B50-9279-69130538F4A8}"/>
    <cellStyle name="Normal 111 3" xfId="25188" xr:uid="{E7368FBF-161B-4FC1-A1A6-2FCC3D46504B}"/>
    <cellStyle name="Normal 111 3 2" xfId="25189" xr:uid="{56F8DF25-A8DE-4905-B5B6-5914965429FF}"/>
    <cellStyle name="Normal 111 3 2 2" xfId="25190" xr:uid="{48F8BA73-1439-4D7D-938E-EFD26387F736}"/>
    <cellStyle name="Normal 111 3 3" xfId="25191" xr:uid="{625BE7A2-1B88-4228-A6E3-D99D80EE54C3}"/>
    <cellStyle name="Normal 111 4" xfId="25192" xr:uid="{0D9FADF3-5B3A-49CB-8044-90003CE835EC}"/>
    <cellStyle name="Normal 111 4 2" xfId="25193" xr:uid="{469F530D-EED7-4963-88E4-AC20F0567ED5}"/>
    <cellStyle name="Normal 111 4 2 2" xfId="25194" xr:uid="{CEBE2CB0-F3FA-44D1-849F-A7BAF9333C3F}"/>
    <cellStyle name="Normal 111 4 3" xfId="25195" xr:uid="{6BFDA926-874C-46D9-8543-ED79E3955CBC}"/>
    <cellStyle name="Normal 111 5" xfId="25196" xr:uid="{E6A41E53-80E4-4473-BC28-31B53B929359}"/>
    <cellStyle name="Normal 111 5 2" xfId="25197" xr:uid="{6E2FB8A2-63B8-4BF7-9B67-08A0DB1B4CF6}"/>
    <cellStyle name="Normal 111 6" xfId="25198" xr:uid="{EA95BE9B-6678-42DD-A9B7-996BDB7B8966}"/>
    <cellStyle name="Normal 112" xfId="25199" xr:uid="{E5C5D0FC-E43E-44F2-969B-9C1DB98B88F0}"/>
    <cellStyle name="Normal 112 2" xfId="25200" xr:uid="{AF23A7B1-E3F9-484D-BFD0-10FD7CCB95DC}"/>
    <cellStyle name="Normal 112 2 2" xfId="25201" xr:uid="{A6B9CFB1-6A13-4AE9-AFC7-CCA34836946A}"/>
    <cellStyle name="Normal 112 2 2 2" xfId="25202" xr:uid="{1642E31E-5184-4533-A1E1-3EE9B44E451A}"/>
    <cellStyle name="Normal 112 2 3" xfId="25203" xr:uid="{96684B93-ABD1-457C-BE38-DCC72A814FE1}"/>
    <cellStyle name="Normal 112 3" xfId="25204" xr:uid="{AD0F0140-C4DA-438A-AC1C-C6BC710823F1}"/>
    <cellStyle name="Normal 112 3 2" xfId="25205" xr:uid="{6BB22253-3A26-4B1A-88F3-5A25A2D1D28F}"/>
    <cellStyle name="Normal 112 3 2 2" xfId="25206" xr:uid="{2B660FA3-9162-401E-98AB-8392A88DEFBD}"/>
    <cellStyle name="Normal 112 3 3" xfId="25207" xr:uid="{39C52C79-224A-42BA-84F6-D0BC0DB374E1}"/>
    <cellStyle name="Normal 112 4" xfId="25208" xr:uid="{2DB95259-134B-4991-A622-EF12C82611FA}"/>
    <cellStyle name="Normal 112 4 2" xfId="25209" xr:uid="{AF43DC50-BF32-4685-B4B5-5A021366D7A4}"/>
    <cellStyle name="Normal 112 5" xfId="25210" xr:uid="{B125A56B-5814-4B9F-83E2-F96329A3B933}"/>
    <cellStyle name="Normal 113" xfId="25211" xr:uid="{61B262B4-E0CC-4503-B87D-60F4385769A1}"/>
    <cellStyle name="Normal 113 2" xfId="25212" xr:uid="{56091C72-C3DB-4357-BF08-79AFC94B9248}"/>
    <cellStyle name="Normal 113 2 2" xfId="25213" xr:uid="{6D9DE21E-FFE7-4518-A354-DE3EB5DE85A7}"/>
    <cellStyle name="Normal 113 2 2 2" xfId="25214" xr:uid="{601172F6-0201-4970-8FCA-B052ECF7324D}"/>
    <cellStyle name="Normal 113 2 3" xfId="25215" xr:uid="{7CE855A3-1B6D-4BEE-8016-F6D2CB4D0C4E}"/>
    <cellStyle name="Normal 113 3" xfId="25216" xr:uid="{8E768112-36C0-4A92-8264-7D469CA438C8}"/>
    <cellStyle name="Normal 113 3 2" xfId="25217" xr:uid="{4B136DA5-E04E-4A58-98BD-724234C45583}"/>
    <cellStyle name="Normal 113 3 2 2" xfId="25218" xr:uid="{46EAF313-CB7C-4834-859F-CA289405E66B}"/>
    <cellStyle name="Normal 113 3 3" xfId="25219" xr:uid="{987615E2-C734-479C-94BC-02DD835CDEE9}"/>
    <cellStyle name="Normal 113 4" xfId="25220" xr:uid="{42DCBBF8-00F4-4F61-9F52-C3DB1EBC9FC1}"/>
    <cellStyle name="Normal 113 4 2" xfId="25221" xr:uid="{0DD56926-D792-4AEE-9341-1DC886F1C9C5}"/>
    <cellStyle name="Normal 113 4 2 2" xfId="25222" xr:uid="{6A709C60-7E55-49C3-A64E-C608CA4B1CED}"/>
    <cellStyle name="Normal 113 4 3" xfId="25223" xr:uid="{265FDB77-31E9-491F-B891-17723382E3D8}"/>
    <cellStyle name="Normal 113 5" xfId="25224" xr:uid="{5980A0AD-DF46-4BE3-9B04-674314FC61F1}"/>
    <cellStyle name="Normal 113 5 2" xfId="25225" xr:uid="{B6C99C8C-E826-45EF-9764-262CA1CB788C}"/>
    <cellStyle name="Normal 113 6" xfId="25226" xr:uid="{0CE04E6F-465F-4486-AB8D-9D3ED8D5CB48}"/>
    <cellStyle name="Normal 114" xfId="25227" xr:uid="{A8852454-EC7C-4D90-8DD6-D4ECA04434AA}"/>
    <cellStyle name="Normal 114 2" xfId="25228" xr:uid="{E9E1DD5A-C32C-4A41-A35C-A9D788FE908C}"/>
    <cellStyle name="Normal 114 2 2" xfId="25229" xr:uid="{1A9EDD3F-ED42-4928-88F3-BF735C0287EE}"/>
    <cellStyle name="Normal 114 2 2 2" xfId="25230" xr:uid="{953C41CC-4FC1-4C30-B673-81D54AA0417F}"/>
    <cellStyle name="Normal 114 2 3" xfId="25231" xr:uid="{7E9F21FB-152A-4857-94FD-1C7498ACFC5A}"/>
    <cellStyle name="Normal 114 3" xfId="25232" xr:uid="{0BF45DC4-D305-4245-B633-5A274B68A271}"/>
    <cellStyle name="Normal 114 3 2" xfId="25233" xr:uid="{CEBFBB98-0ADF-463A-804C-A8C6FD1E4C6C}"/>
    <cellStyle name="Normal 114 3 2 2" xfId="25234" xr:uid="{381E9EF7-7DBF-4798-B67E-B1A25B11BB58}"/>
    <cellStyle name="Normal 114 3 3" xfId="25235" xr:uid="{87053364-324D-470C-8770-F4AAA4C5FF40}"/>
    <cellStyle name="Normal 114 4" xfId="25236" xr:uid="{147930B9-1687-4A75-B0A8-2D1079840A84}"/>
    <cellStyle name="Normal 114 4 2" xfId="25237" xr:uid="{E4644239-8F4B-4D6D-8294-49361BA3A2E6}"/>
    <cellStyle name="Normal 114 4 2 2" xfId="25238" xr:uid="{00062FC5-6B69-48D5-9739-4B4CE73C143E}"/>
    <cellStyle name="Normal 114 4 3" xfId="25239" xr:uid="{8E110DA7-763F-44F0-8C42-876DE55ABAD8}"/>
    <cellStyle name="Normal 114 5" xfId="25240" xr:uid="{B9149894-A868-41B8-A353-4E07A29BB420}"/>
    <cellStyle name="Normal 114 5 2" xfId="25241" xr:uid="{DFF682F3-4710-4487-B3A4-1D451AE2AEE1}"/>
    <cellStyle name="Normal 114 6" xfId="25242" xr:uid="{F8A948F3-AE9A-40DA-B5DE-802835BEE3D3}"/>
    <cellStyle name="Normal 114 6 2" xfId="25243" xr:uid="{466EE0CD-9775-4715-AD2D-F2FD0370558C}"/>
    <cellStyle name="Normal 114 7" xfId="25244" xr:uid="{E444248B-C92F-4F22-94E6-A97E5883A747}"/>
    <cellStyle name="Normal 115" xfId="25245" xr:uid="{C7E1F6D2-65A7-41CE-96FA-F654CCA3BF43}"/>
    <cellStyle name="Normal 115 2" xfId="25246" xr:uid="{7AF47883-8C5B-4641-954D-3A985C8FAF47}"/>
    <cellStyle name="Normal 115 2 2" xfId="25247" xr:uid="{50A4DF82-9A4A-4771-81F4-FEC9849B6424}"/>
    <cellStyle name="Normal 115 2 2 2" xfId="25248" xr:uid="{C6DB55C1-74F2-4AA2-95A4-4A39D718A582}"/>
    <cellStyle name="Normal 115 2 3" xfId="25249" xr:uid="{E45BE246-908F-4613-9C9D-6EB74156CC4A}"/>
    <cellStyle name="Normal 115 2 3 2" xfId="25250" xr:uid="{8B8FCE35-5E77-49AC-A803-E820D0BDE72E}"/>
    <cellStyle name="Normal 115 2 4" xfId="25251" xr:uid="{C5BC4EC1-3B68-48C4-84D6-114ED0CD5E63}"/>
    <cellStyle name="Normal 115 3" xfId="25252" xr:uid="{AEDE1F6D-090A-4E9E-8297-1E2DE96C0AE4}"/>
    <cellStyle name="Normal 115 3 2" xfId="25253" xr:uid="{548AB7FE-F8AB-49B3-86CB-2F4277EC0F64}"/>
    <cellStyle name="Normal 115 3 2 2" xfId="25254" xr:uid="{652990EC-2D29-4AD9-8153-86E1379C1EA9}"/>
    <cellStyle name="Normal 115 3 3" xfId="25255" xr:uid="{DFB88DBF-C352-45C7-BDC8-1CF075C8EACA}"/>
    <cellStyle name="Normal 115 4" xfId="25256" xr:uid="{F0FFE557-5ADF-42C4-90B8-442727785A62}"/>
    <cellStyle name="Normal 115 4 2" xfId="25257" xr:uid="{0D9018DF-E626-4EE0-BA93-AFC969D79C12}"/>
    <cellStyle name="Normal 115 4 2 2" xfId="25258" xr:uid="{ED3BF3E0-0F2F-4593-BED7-AE10353CEEC7}"/>
    <cellStyle name="Normal 115 4 3" xfId="25259" xr:uid="{DBE09A81-2F68-4846-93E5-F5308E04719B}"/>
    <cellStyle name="Normal 115 5" xfId="25260" xr:uid="{C963E96B-14A4-48F0-9B61-521EEF025D3D}"/>
    <cellStyle name="Normal 115 5 2" xfId="25261" xr:uid="{5E69F72C-9671-41F4-AE98-16EE58F10AEB}"/>
    <cellStyle name="Normal 115 6" xfId="25262" xr:uid="{EE4CA526-2907-4C49-AF13-E24DC72DD813}"/>
    <cellStyle name="Normal 115 6 2" xfId="25263" xr:uid="{E08F08C9-5BDB-43F7-918E-F089EBAFC0A2}"/>
    <cellStyle name="Normal 115 7" xfId="25264" xr:uid="{58B9A862-F002-4F1F-9314-998D10D6A501}"/>
    <cellStyle name="Normal 116" xfId="25265" xr:uid="{05697C1A-2809-4B57-BF75-2105094D0D8F}"/>
    <cellStyle name="Normal 116 2" xfId="25266" xr:uid="{10DC6FDE-AE80-4506-8BF3-3A0295C7755B}"/>
    <cellStyle name="Normal 116 2 2" xfId="25267" xr:uid="{CF1F7790-405A-4AB0-8C34-9F28513C7F49}"/>
    <cellStyle name="Normal 116 3" xfId="25268" xr:uid="{38188B56-C8A8-4709-A4D7-E113955E0D4B}"/>
    <cellStyle name="Normal 116 3 2" xfId="25269" xr:uid="{A3A6CCCA-0B93-4F25-BC1C-9EF61E69E862}"/>
    <cellStyle name="Normal 116 4" xfId="25270" xr:uid="{851F933E-04B2-41BD-B69C-85BAE2F0DBFF}"/>
    <cellStyle name="Normal 117" xfId="25271" xr:uid="{3CEC99CB-D96D-4B95-A076-976991A773E8}"/>
    <cellStyle name="Normal 117 2" xfId="25272" xr:uid="{F70C57E3-3C55-4916-B40B-E36DD9C807BF}"/>
    <cellStyle name="Normal 117 2 2" xfId="25273" xr:uid="{F29265A1-4A72-4579-8EA2-984B3BFF7E00}"/>
    <cellStyle name="Normal 117 3" xfId="25274" xr:uid="{AFF8D19E-BB18-49A1-9357-CBC0D0F7EAE1}"/>
    <cellStyle name="Normal 118" xfId="25275" xr:uid="{B750D124-FC9B-47A6-BBDD-A0A511315C55}"/>
    <cellStyle name="Normal 118 2" xfId="25276" xr:uid="{52C89E6F-0B8D-4AF1-83BC-2A77136262BD}"/>
    <cellStyle name="Normal 118 2 2" xfId="25277" xr:uid="{2576643B-A4A7-4BD2-913D-FB9F7F87A5D4}"/>
    <cellStyle name="Normal 118 3" xfId="25278" xr:uid="{E52944C5-600A-4390-8AD5-3BDEA0B7F5F3}"/>
    <cellStyle name="Normal 119" xfId="25279" xr:uid="{8D0B0A07-C7BA-41D2-9074-4D7B64D6BE15}"/>
    <cellStyle name="Normal 119 2" xfId="25280" xr:uid="{12C81097-FFA7-4120-A569-A1300BA0BB47}"/>
    <cellStyle name="Normal 119 2 2" xfId="25281" xr:uid="{E92B2BFD-A066-435E-9B8A-B688BC0F8272}"/>
    <cellStyle name="Normal 119 3" xfId="25282" xr:uid="{D6B11768-ED52-4A9A-B254-22ABE8350E1C}"/>
    <cellStyle name="Normal 12" xfId="25283" xr:uid="{473B446F-FB21-4A1C-A680-3F691893315C}"/>
    <cellStyle name="Normal 12 2" xfId="25284" xr:uid="{A79F39D2-1612-4ED8-848F-EAC98F0789F3}"/>
    <cellStyle name="Normal 12 2 2" xfId="25285" xr:uid="{9B79BB2C-90BE-4AEE-B2DF-A43BC07C324D}"/>
    <cellStyle name="Normal 12 2 2 2" xfId="25286" xr:uid="{C5E9DAE9-CB0C-4D04-A322-C32137409C6E}"/>
    <cellStyle name="Normal 12 2 2 2 2" xfId="25287" xr:uid="{3E673FBF-E21C-4AB1-BF88-E8B9F347581E}"/>
    <cellStyle name="Normal 12 2 2 2 2 2" xfId="25288" xr:uid="{225CE96A-C9D2-4FBB-AEEC-6A53A1A75240}"/>
    <cellStyle name="Normal 12 2 2 2 3" xfId="25289" xr:uid="{8902B704-1061-447A-8E99-4EDD58D29821}"/>
    <cellStyle name="Normal 12 2 2 3" xfId="25290" xr:uid="{5A239261-13FB-44C8-867C-29F857B163D0}"/>
    <cellStyle name="Normal 12 2 2 3 2" xfId="25291" xr:uid="{712ACE1F-DF89-4CA4-BC5F-AC55F750D455}"/>
    <cellStyle name="Normal 12 2 2 3 2 2" xfId="25292" xr:uid="{637DDB3A-D34B-4B19-A203-17A7138928E4}"/>
    <cellStyle name="Normal 12 2 2 3 3" xfId="25293" xr:uid="{A7682A24-0E8A-40E9-ADE3-CDEE94A99491}"/>
    <cellStyle name="Normal 12 2 2 4" xfId="25294" xr:uid="{85EA5A43-3AE9-4423-B866-2E42959CA2F6}"/>
    <cellStyle name="Normal 12 2 2 4 2" xfId="25295" xr:uid="{DF191672-2632-4EC8-BDCE-DEDA78B83FDB}"/>
    <cellStyle name="Normal 12 2 2 5" xfId="25296" xr:uid="{10445BDA-BEE9-4893-8DEE-D6D5D6449AC8}"/>
    <cellStyle name="Normal 12 2 3" xfId="25297" xr:uid="{F46798AC-B2C1-4433-9491-6F1F5652E58F}"/>
    <cellStyle name="Normal 12 2 3 2" xfId="25298" xr:uid="{B143DC4B-6079-4954-8E48-865409C7BBDB}"/>
    <cellStyle name="Normal 12 2 3 2 2" xfId="25299" xr:uid="{41D3AF21-2DC2-4106-BA03-10F139F19CB7}"/>
    <cellStyle name="Normal 12 2 3 3" xfId="25300" xr:uid="{C22B7BE3-D95B-4462-97D9-A4C9DFBEA333}"/>
    <cellStyle name="Normal 12 2 4" xfId="25301" xr:uid="{58DDCEBC-EA56-4E15-8E8C-061808D51FDE}"/>
    <cellStyle name="Normal 12 2 4 2" xfId="25302" xr:uid="{9ADC6B43-B4EB-44F1-B7BE-FB0D6A71D5F9}"/>
    <cellStyle name="Normal 12 2 4 2 2" xfId="25303" xr:uid="{2F4F6E5F-ED01-4F3C-9619-1FBF185638D1}"/>
    <cellStyle name="Normal 12 2 4 3" xfId="25304" xr:uid="{9867B343-463C-42D0-B58D-3B1DB0125A81}"/>
    <cellStyle name="Normal 12 2 5" xfId="25305" xr:uid="{C976A207-E5B3-4F38-BE22-1324D2433211}"/>
    <cellStyle name="Normal 12 2 5 2" xfId="25306" xr:uid="{3D2EAA21-53F5-4527-9E9C-D5F1C6808176}"/>
    <cellStyle name="Normal 12 2 6" xfId="25307" xr:uid="{D9B6BF0E-CFE6-4E3A-B4F3-EDD871E1DD43}"/>
    <cellStyle name="Normal 12 2 7" xfId="39010" xr:uid="{48EE3C30-B415-4ED8-87A6-A63C4DD32DA3}"/>
    <cellStyle name="Normal 12 3" xfId="25308" xr:uid="{8E0B4DA2-C991-45CF-9A9B-0B20FAAA2815}"/>
    <cellStyle name="Normal 12 3 2" xfId="25309" xr:uid="{ACAC8FEC-8557-463D-AF2B-EC56EBEF3242}"/>
    <cellStyle name="Normal 12 3 2 2" xfId="25310" xr:uid="{05313AEB-D45B-4334-8C51-5296D82B256F}"/>
    <cellStyle name="Normal 12 3 2 2 2" xfId="25311" xr:uid="{E7D0BA90-3B4E-485A-BC2D-214B510DA8F2}"/>
    <cellStyle name="Normal 12 3 2 3" xfId="25312" xr:uid="{DC6CCAFC-04C2-48AF-9C04-37CF7212DFA7}"/>
    <cellStyle name="Normal 12 3 3" xfId="25313" xr:uid="{7CC14A92-4F61-457F-9C68-F4FCE50F81CC}"/>
    <cellStyle name="Normal 12 3 3 2" xfId="25314" xr:uid="{70078E55-A146-468B-A7A5-6217C0C305F6}"/>
    <cellStyle name="Normal 12 3 3 2 2" xfId="25315" xr:uid="{2F6A2A07-AC5A-4739-993F-3B4BE0A04A46}"/>
    <cellStyle name="Normal 12 3 3 3" xfId="25316" xr:uid="{E62CB7DF-B5F8-4323-BA77-EF606C8D2A30}"/>
    <cellStyle name="Normal 12 3 4" xfId="25317" xr:uid="{7BF5EABA-3AD5-46E2-8279-78157E8803D2}"/>
    <cellStyle name="Normal 12 3 4 2" xfId="25318" xr:uid="{CEA873D5-A261-4972-95CD-80CFF4F02289}"/>
    <cellStyle name="Normal 12 3 5" xfId="25319" xr:uid="{9E07A50C-A1BF-4C58-88A7-C1231FF106A4}"/>
    <cellStyle name="Normal 12 4" xfId="25320" xr:uid="{BA312E8A-7E68-49DC-A058-0A3E392D1635}"/>
    <cellStyle name="Normal 12 4 2" xfId="25321" xr:uid="{68AF4E6E-5FB4-4DCA-8E85-54842B548C42}"/>
    <cellStyle name="Normal 12 4 2 2" xfId="25322" xr:uid="{6E236403-6B98-4BB0-8577-8A9117B58217}"/>
    <cellStyle name="Normal 12 4 3" xfId="25323" xr:uid="{5389F29A-F5C7-44BC-92C1-3837EA72BB05}"/>
    <cellStyle name="Normal 12 5" xfId="25324" xr:uid="{A2750052-834A-4608-B360-F75FF65AD18F}"/>
    <cellStyle name="Normal 12 5 2" xfId="25325" xr:uid="{08CBFBCA-196B-428B-B2AA-3C93752572BC}"/>
    <cellStyle name="Normal 12 6" xfId="25326" xr:uid="{8D783177-7BE7-4544-928E-4A8B8CD99062}"/>
    <cellStyle name="Normal 12 6 2" xfId="25327" xr:uid="{6251CB4F-2013-4716-B6FA-BE782E36A659}"/>
    <cellStyle name="Normal 12 7" xfId="25328" xr:uid="{30339232-6158-4130-839F-66E00AD771FF}"/>
    <cellStyle name="Normal 12 8" xfId="25329" xr:uid="{8736F979-B4C5-48DF-B856-8843A0E7D60D}"/>
    <cellStyle name="Normal 12 9" xfId="39011" xr:uid="{AA56C781-AC88-46C6-8864-7F91629F30DA}"/>
    <cellStyle name="Normal 12_Jun 11 details" xfId="25330" xr:uid="{046FE57B-8E47-47B9-9A65-01375CBA8FE3}"/>
    <cellStyle name="Normal 120" xfId="25331" xr:uid="{12F13A54-7C1B-4D15-8186-FEEE8E3AE4B5}"/>
    <cellStyle name="Normal 120 2" xfId="25332" xr:uid="{6D7FD949-8E7A-4E2B-912B-E93DC742225E}"/>
    <cellStyle name="Normal 120 2 2" xfId="25333" xr:uid="{E2D9DED5-9FFA-45F6-8E42-BF7118E6BCB9}"/>
    <cellStyle name="Normal 120 3" xfId="25334" xr:uid="{C0776042-1131-438E-843F-C61D6F580349}"/>
    <cellStyle name="Normal 121" xfId="25335" xr:uid="{686F2F41-1BDA-4758-A2D1-1FF824C25206}"/>
    <cellStyle name="Normal 121 2" xfId="25336" xr:uid="{3E63E6A2-0C35-4FFB-B8E5-723CE9B15007}"/>
    <cellStyle name="Normal 121 2 2" xfId="25337" xr:uid="{8BBEE1C2-156A-4D3C-9C11-9603708884F8}"/>
    <cellStyle name="Normal 121 2 2 2" xfId="25338" xr:uid="{883F0C92-E91A-42C5-BFC0-D9FC8783BC6D}"/>
    <cellStyle name="Normal 121 2 3" xfId="25339" xr:uid="{E9165D2C-8EA7-45F9-B63E-8BFC9C1E01CC}"/>
    <cellStyle name="Normal 121 3" xfId="25340" xr:uid="{9F0BAF9F-CEBC-4E82-BB2D-29162ACAEC1C}"/>
    <cellStyle name="Normal 121 3 2" xfId="25341" xr:uid="{EBD57665-2865-4D75-A4DB-29FAD27957A2}"/>
    <cellStyle name="Normal 121 4" xfId="25342" xr:uid="{4EDE229A-FE9F-46C1-871E-BDDDA7E075CB}"/>
    <cellStyle name="Normal 122" xfId="25343" xr:uid="{0F8A0023-6CB6-40E7-AF0A-B0B3FACC383C}"/>
    <cellStyle name="Normal 122 2" xfId="25344" xr:uid="{E062B282-3404-4B5C-A157-395567111F62}"/>
    <cellStyle name="Normal 122 2 2" xfId="25345" xr:uid="{EC63D673-29D1-48C7-A117-2925116E349B}"/>
    <cellStyle name="Normal 122 3" xfId="25346" xr:uid="{B64BE6C0-626F-4EDB-B83F-54C10F15BD63}"/>
    <cellStyle name="Normal 123" xfId="25347" xr:uid="{649A0748-03CD-4F12-AF3A-47FEAB2B8748}"/>
    <cellStyle name="Normal 123 2" xfId="25348" xr:uid="{5216EDFC-3DE8-4AD5-B396-CE725534B5DA}"/>
    <cellStyle name="Normal 123 2 2" xfId="25349" xr:uid="{3D9523A9-E88A-4EEA-9080-7112A82454CD}"/>
    <cellStyle name="Normal 123 3" xfId="25350" xr:uid="{B4BE30F3-7744-4F90-9155-66F98F330F36}"/>
    <cellStyle name="Normal 124" xfId="25351" xr:uid="{6E8857E3-37AB-48BA-89FF-BB1888219D4B}"/>
    <cellStyle name="Normal 124 2" xfId="25352" xr:uid="{5594A889-FFEE-4240-8F28-050ACE4178F0}"/>
    <cellStyle name="Normal 124 2 2" xfId="25353" xr:uid="{F2AC0AD8-52B5-4C1C-8A31-94B35A6B3284}"/>
    <cellStyle name="Normal 125" xfId="25354" xr:uid="{6ECC7ADF-D36B-4223-9B53-F9525FAA844F}"/>
    <cellStyle name="Normal 125 2" xfId="25355" xr:uid="{494F87DA-6954-4579-BF91-2CCB7F12AD3F}"/>
    <cellStyle name="Normal 125 2 2" xfId="25356" xr:uid="{8EBBABE1-23AA-4C90-AF92-FEF7184CB69A}"/>
    <cellStyle name="Normal 125 3" xfId="25357" xr:uid="{6F3A2C04-E2A6-4C4A-9AFD-5B6540611027}"/>
    <cellStyle name="Normal 125 4" xfId="25358" xr:uid="{A89E8D4C-44E7-4966-A7D5-6900C78228BC}"/>
    <cellStyle name="Normal 126" xfId="25359" xr:uid="{C684ED41-53FD-4F0C-9DD0-54BAE052BDCF}"/>
    <cellStyle name="Normal 126 2" xfId="25360" xr:uid="{72CB78B9-1125-4BF5-AD10-BE2FB615E235}"/>
    <cellStyle name="Normal 126 2 2" xfId="25361" xr:uid="{710B59B2-C04E-4730-A56E-A0B4E723A9E6}"/>
    <cellStyle name="Normal 126 3" xfId="25362" xr:uid="{48F1BF4A-4F34-451D-BD23-0141359BFD4E}"/>
    <cellStyle name="Normal 126 4" xfId="25363" xr:uid="{65F035C0-9DC2-4A2E-8564-CF118D710B5B}"/>
    <cellStyle name="Normal 127" xfId="25364" xr:uid="{6283073F-D2F0-4373-8D52-0BB097FEF25D}"/>
    <cellStyle name="Normal 127 2" xfId="25365" xr:uid="{9AFA11E9-480B-4189-A1E6-7A4EA03082EA}"/>
    <cellStyle name="Normal 127 2 2" xfId="25366" xr:uid="{EC2999A4-2478-40FC-9794-362322F64F7F}"/>
    <cellStyle name="Normal 127 3" xfId="25367" xr:uid="{E654858D-A42B-48E9-9B3A-54827FE60E79}"/>
    <cellStyle name="Normal 127 3 2" xfId="25368" xr:uid="{E4A0E84F-79D5-4182-AB81-C008EF289A89}"/>
    <cellStyle name="Normal 128" xfId="25369" xr:uid="{BF569939-37C4-4EC1-8D45-C795812AAB07}"/>
    <cellStyle name="Normal 128 2" xfId="25370" xr:uid="{355BEDE3-0E21-4784-9DBF-4ED5E45E9A56}"/>
    <cellStyle name="Normal 128 2 2" xfId="25371" xr:uid="{6DFC29C5-07CE-4B96-BD10-A31F803D3948}"/>
    <cellStyle name="Normal 128 3" xfId="25372" xr:uid="{12A914F9-381A-424C-A830-36139EF57167}"/>
    <cellStyle name="Normal 128 4" xfId="25373" xr:uid="{921A39C0-9F42-454A-AA4D-4A87FF346A9E}"/>
    <cellStyle name="Normal 129" xfId="25374" xr:uid="{5F4F515C-2AB5-4357-8E47-CCBFAB92CB7F}"/>
    <cellStyle name="Normal 129 2" xfId="25375" xr:uid="{1AF784DF-6F38-4B4E-B868-1AD95A954EDC}"/>
    <cellStyle name="Normal 129 2 2" xfId="25376" xr:uid="{9EB1E0E2-5556-4D12-B62D-2BC79BF6CC59}"/>
    <cellStyle name="Normal 129 3" xfId="25377" xr:uid="{D9E2000C-2E37-4B65-B6E7-18FFAE10BFB5}"/>
    <cellStyle name="Normal 13" xfId="25378" xr:uid="{7DF5FF74-1905-4D29-854A-88C008DB6433}"/>
    <cellStyle name="Normal 13 2" xfId="25379" xr:uid="{9DC5F98C-B7C5-408E-8A75-7C652E83DB59}"/>
    <cellStyle name="Normal 13 2 2" xfId="25380" xr:uid="{B087E034-B3CC-4FB5-98F2-41A8C3239292}"/>
    <cellStyle name="Normal 13 2 2 2" xfId="25381" xr:uid="{FFE787E5-E525-4C73-A582-BF33AFBBDE64}"/>
    <cellStyle name="Normal 13 2 2 2 2" xfId="25382" xr:uid="{90CCCC15-2A5C-41FE-B2C4-903296CD3DB9}"/>
    <cellStyle name="Normal 13 2 2 3" xfId="25383" xr:uid="{C1916ED0-8DAA-4483-A5CC-B920D7B5DCDA}"/>
    <cellStyle name="Normal 13 2 3" xfId="25384" xr:uid="{EB4526BE-D329-43D8-A7E5-0F9E5AA38B99}"/>
    <cellStyle name="Normal 13 2 3 2" xfId="25385" xr:uid="{7826DC1A-7156-4BB3-9FDD-FBBA694EF0F4}"/>
    <cellStyle name="Normal 13 2 3 2 2" xfId="25386" xr:uid="{F5FDB1B8-0422-486A-906F-FD3299D1FF1B}"/>
    <cellStyle name="Normal 13 2 3 3" xfId="25387" xr:uid="{7461456E-5B01-49CD-9970-D14C054E9446}"/>
    <cellStyle name="Normal 13 2 4" xfId="25388" xr:uid="{8496086B-2E13-4543-97DD-2FCF15143578}"/>
    <cellStyle name="Normal 13 2 4 2" xfId="25389" xr:uid="{C0026B70-34BD-4AC3-A4C1-901290E3B75C}"/>
    <cellStyle name="Normal 13 2 5" xfId="25390" xr:uid="{D2C8D803-1717-44FB-BE01-D911B8CB1D80}"/>
    <cellStyle name="Normal 13 3" xfId="25391" xr:uid="{F71658AE-8A06-4558-9910-63F821B06725}"/>
    <cellStyle name="Normal 13 3 2" xfId="25392" xr:uid="{10DFDD12-18C9-428E-B0B2-57E79FD3FF01}"/>
    <cellStyle name="Normal 13 3 3" xfId="39012" xr:uid="{7350446F-3991-4EC8-83F9-4FFFD52707A1}"/>
    <cellStyle name="Normal 13 4" xfId="25393" xr:uid="{51C8E444-58AE-4A74-A747-C5B09E503537}"/>
    <cellStyle name="Normal 13 4 2" xfId="25394" xr:uid="{547E6AB2-FAF8-4EB6-8714-2BEAF37D410F}"/>
    <cellStyle name="Normal 13 5" xfId="25395" xr:uid="{F7C0B99E-1602-4082-8B74-44F83D04DA91}"/>
    <cellStyle name="Normal 13 6" xfId="39013" xr:uid="{5824D654-468D-4C3E-A4BC-0A11E61DF0FD}"/>
    <cellStyle name="Normal 130" xfId="25396" xr:uid="{115C34E0-5E42-4B68-B590-B5ED18D4370B}"/>
    <cellStyle name="Normal 130 2" xfId="25397" xr:uid="{DC8DC4F5-0A53-4A60-9612-A5F353580E72}"/>
    <cellStyle name="Normal 131" xfId="25398" xr:uid="{C573CF9A-DD14-469E-9C7A-A9A4C7A5FF8F}"/>
    <cellStyle name="Normal 131 2" xfId="25399" xr:uid="{5110E95B-5538-4121-A3AD-696A5C6A40D7}"/>
    <cellStyle name="Normal 132" xfId="25400" xr:uid="{41C10B11-8B60-42B7-8B56-B846225A6172}"/>
    <cellStyle name="Normal 133" xfId="25401" xr:uid="{06E615DB-40D0-42C8-8A1E-E75872A56351}"/>
    <cellStyle name="Normal 133 2" xfId="25402" xr:uid="{368A0777-F63F-42DA-B0DF-BA564C6CD19C}"/>
    <cellStyle name="Normal 134" xfId="25403" xr:uid="{959AE028-620B-4B69-A709-5D56474D7391}"/>
    <cellStyle name="Normal 134 2" xfId="25404" xr:uid="{649FEFAD-BD1C-4BB5-A19E-396A36424FC1}"/>
    <cellStyle name="Normal 135" xfId="25405" xr:uid="{6B167FB5-66CD-43B2-AB38-3D15CB48FBDB}"/>
    <cellStyle name="Normal 135 2" xfId="25406" xr:uid="{196FB85B-5D9C-4AC7-9D61-F803D7206086}"/>
    <cellStyle name="Normal 136" xfId="25407" xr:uid="{D8BDC2C7-6AB8-467F-B13F-4AB4634B149C}"/>
    <cellStyle name="Normal 136 2" xfId="25408" xr:uid="{47E34BAD-2D11-4E09-A934-D54DC16953B0}"/>
    <cellStyle name="Normal 137" xfId="25409" xr:uid="{53EA3E89-72C9-407D-985F-D656337ED825}"/>
    <cellStyle name="Normal 138" xfId="25410" xr:uid="{96BB70CD-765D-4DA5-B2B6-747693C4E922}"/>
    <cellStyle name="Normal 138 2" xfId="25411" xr:uid="{A4B8665C-9C2C-4344-8CAE-417AE70C67D1}"/>
    <cellStyle name="Normal 139" xfId="25412" xr:uid="{FE01161D-E1AE-4E50-BBE4-B31A38A95FA4}"/>
    <cellStyle name="Normal 139 2" xfId="25413" xr:uid="{5616E6BA-779C-4C22-9D8F-7BA0252C726D}"/>
    <cellStyle name="Normal 14" xfId="25414" xr:uid="{90189A5A-EB40-4984-B927-B0E2634CC681}"/>
    <cellStyle name="Normal 14 2" xfId="25415" xr:uid="{108DAB18-C445-4602-9326-B16FCD49E91D}"/>
    <cellStyle name="Normal 14 2 2" xfId="25416" xr:uid="{CE1742B0-9A3D-4242-932B-05CF780E660B}"/>
    <cellStyle name="Normal 14 2 2 2" xfId="39014" xr:uid="{D5709B96-68A2-48F8-BF1E-CE43F5082321}"/>
    <cellStyle name="Normal 14 3" xfId="25417" xr:uid="{C8C773C7-2DC8-4B3B-A291-876485E242A6}"/>
    <cellStyle name="Normal 14 3 2" xfId="39015" xr:uid="{ED5692DF-E5D5-4E00-AFE7-5C2E9558A426}"/>
    <cellStyle name="Normal 14 4" xfId="25418" xr:uid="{672C333B-3441-4A05-A008-27A21FB37856}"/>
    <cellStyle name="Normal 14 5" xfId="25419" xr:uid="{3A480EF4-07DC-461A-8A33-CEA829802CF4}"/>
    <cellStyle name="Normal 14 6" xfId="39016" xr:uid="{E04E3293-BD9D-4D4A-B0D1-B106DAE9FE9E}"/>
    <cellStyle name="Normal 14 7" xfId="39017" xr:uid="{13A3C67B-215D-428D-AC0B-C531481772FE}"/>
    <cellStyle name="Normal 14 8" xfId="39018" xr:uid="{20919406-4C15-439B-9906-8A693472F8AB}"/>
    <cellStyle name="Normal 140" xfId="25420" xr:uid="{44EFD714-908B-46BE-90FC-5AB3DA561818}"/>
    <cellStyle name="Normal 140 2" xfId="25421" xr:uid="{9046F57E-83FD-45AB-B7A5-C76311576F22}"/>
    <cellStyle name="Normal 141" xfId="25422" xr:uid="{EB8F0A5A-8EE4-4A80-820B-9B920E603C84}"/>
    <cellStyle name="Normal 141 2" xfId="25423" xr:uid="{E15D97AE-732B-4B03-BC4B-80C36F70B29F}"/>
    <cellStyle name="Normal 142" xfId="25424" xr:uid="{424BD41C-9901-4797-ABD8-E5D7A1AAA850}"/>
    <cellStyle name="Normal 142 2" xfId="25425" xr:uid="{D679EBA8-3D12-4D9C-914B-8C528D1C15FC}"/>
    <cellStyle name="Normal 143" xfId="25426" xr:uid="{DE00AAAC-A95A-4583-B231-9BD712D93ADB}"/>
    <cellStyle name="Normal 143 2" xfId="25427" xr:uid="{A37AE19B-43C0-42B6-98E9-2EDEBF257004}"/>
    <cellStyle name="Normal 144" xfId="25428" xr:uid="{5F4F9A26-449D-48A9-BB75-6AC84B744BDA}"/>
    <cellStyle name="Normal 144 2" xfId="25429" xr:uid="{45321CBD-4600-43F2-ACBB-7DC389DF4BE6}"/>
    <cellStyle name="Normal 145" xfId="25430" xr:uid="{136510BA-004C-433F-B8AC-4554E3DE518D}"/>
    <cellStyle name="Normal 145 2" xfId="25431" xr:uid="{7EC3482F-BCE6-4BCD-9785-0ED2A3130FF3}"/>
    <cellStyle name="Normal 146" xfId="25432" xr:uid="{347AD761-BB46-4060-A2C4-9DC9F813F29E}"/>
    <cellStyle name="Normal 146 2" xfId="25433" xr:uid="{B5E3D278-2EEE-4CFB-BE51-45EAE130CDA3}"/>
    <cellStyle name="Normal 147" xfId="25434" xr:uid="{796ECF14-3667-4C75-8FA7-745C42E7E5D9}"/>
    <cellStyle name="Normal 147 2" xfId="25435" xr:uid="{B99CF17B-DF61-44D3-AF67-821B81A8CE0B}"/>
    <cellStyle name="Normal 148" xfId="25436" xr:uid="{976D4F3C-D5BA-42E9-A73D-F54862D538F2}"/>
    <cellStyle name="Normal 148 2" xfId="25437" xr:uid="{408CF6EB-620D-4A65-AA2C-A909B020AAF0}"/>
    <cellStyle name="Normal 149" xfId="25438" xr:uid="{253EBEF8-C368-4EBE-AE6F-DED7AEAFA6DC}"/>
    <cellStyle name="Normal 149 2" xfId="25439" xr:uid="{9A48CB0D-0BBD-4182-9286-62A23C4A100A}"/>
    <cellStyle name="Normal 15" xfId="25440" xr:uid="{0F011A43-2AA8-438E-8725-BAB4F091C553}"/>
    <cellStyle name="Normal 15 10" xfId="25441" xr:uid="{D0C6F25A-E7F5-4A94-8B4F-9A2753C17F09}"/>
    <cellStyle name="Normal 15 10 2" xfId="25442" xr:uid="{2D750512-FD09-45ED-9153-3D3930F9C7E3}"/>
    <cellStyle name="Normal 15 10 2 2" xfId="25443" xr:uid="{93AA00E6-D84C-4AC7-9A30-77328D20760C}"/>
    <cellStyle name="Normal 15 10 2 2 2" xfId="25444" xr:uid="{FC9EC0CF-9F47-42C5-898B-2D3566E9CA57}"/>
    <cellStyle name="Normal 15 10 2 2 2 2" xfId="25445" xr:uid="{F99151F7-BA0C-4BFE-8657-5D9536F957E8}"/>
    <cellStyle name="Normal 15 10 2 2 3" xfId="25446" xr:uid="{BF8E9953-FCF9-4FCC-9E44-164EDF39D957}"/>
    <cellStyle name="Normal 15 10 2 3" xfId="25447" xr:uid="{16C13D41-A914-48C8-B460-062536DBF2D9}"/>
    <cellStyle name="Normal 15 10 2 3 2" xfId="25448" xr:uid="{9FA74530-E737-472B-9A36-C344E2BE4BD1}"/>
    <cellStyle name="Normal 15 10 2 3 2 2" xfId="25449" xr:uid="{116A2E98-3B49-41B4-869E-83677D301FE1}"/>
    <cellStyle name="Normal 15 10 2 3 3" xfId="25450" xr:uid="{F69EC292-5350-4E16-A330-F53F18A88FC4}"/>
    <cellStyle name="Normal 15 10 2 4" xfId="25451" xr:uid="{2DD92891-A114-4CE4-A807-AD94309422D3}"/>
    <cellStyle name="Normal 15 10 2 4 2" xfId="25452" xr:uid="{AC763E8B-9889-49CE-97CC-8335D5E4F81B}"/>
    <cellStyle name="Normal 15 10 2 5" xfId="25453" xr:uid="{7EE5ED29-1CD0-46E8-9002-0752B47C6CF9}"/>
    <cellStyle name="Normal 15 10 3" xfId="25454" xr:uid="{A7AE3B04-6750-42FD-9F3E-107BA76AB887}"/>
    <cellStyle name="Normal 15 10 3 2" xfId="25455" xr:uid="{9D7D4A76-BD7D-48B7-99C4-BA7CD117C157}"/>
    <cellStyle name="Normal 15 10 3 2 2" xfId="25456" xr:uid="{176C273C-C54F-4343-98EA-7BB3F94F7457}"/>
    <cellStyle name="Normal 15 10 3 3" xfId="25457" xr:uid="{E04F8426-0927-4F5D-ABA9-2BA22A644CE4}"/>
    <cellStyle name="Normal 15 10 4" xfId="25458" xr:uid="{A3CF4931-A381-4FAD-8BB7-1948B8FA0AD8}"/>
    <cellStyle name="Normal 15 10 4 2" xfId="25459" xr:uid="{41DCF29D-DBB7-4C8E-BCC7-A9D5FF73164B}"/>
    <cellStyle name="Normal 15 10 4 2 2" xfId="25460" xr:uid="{1569CE5C-DE99-4382-9C9A-869A90F56F7A}"/>
    <cellStyle name="Normal 15 10 4 3" xfId="25461" xr:uid="{FBDF35D8-134F-4B87-8F95-7590BAD86C2D}"/>
    <cellStyle name="Normal 15 10 5" xfId="25462" xr:uid="{CC88AC9F-7EAF-434A-BDA4-D4C7A4209086}"/>
    <cellStyle name="Normal 15 10 5 2" xfId="25463" xr:uid="{BC1F4C5A-29FA-4FFE-8542-DA7F97CBEE58}"/>
    <cellStyle name="Normal 15 10 6" xfId="25464" xr:uid="{F2057234-EED5-459E-9B5B-5DDE45ECC6F4}"/>
    <cellStyle name="Normal 15 11" xfId="25465" xr:uid="{F7A0F4AF-2E04-46B7-82FD-CBE88CE03130}"/>
    <cellStyle name="Normal 15 11 2" xfId="25466" xr:uid="{140E1B09-3AE0-45EA-A685-93EEDC45CFA9}"/>
    <cellStyle name="Normal 15 11 2 2" xfId="25467" xr:uid="{A5875084-8C8F-43E6-BC59-A3DE887CC19B}"/>
    <cellStyle name="Normal 15 11 2 2 2" xfId="25468" xr:uid="{BF288FC3-F8CC-4F58-AB84-2DFF273C46B4}"/>
    <cellStyle name="Normal 15 11 2 2 2 2" xfId="25469" xr:uid="{6B29ABE7-3023-4105-B4B8-D6FAC1704B29}"/>
    <cellStyle name="Normal 15 11 2 2 3" xfId="25470" xr:uid="{70FB7936-E197-4D3C-9A90-78A4EAC1D4A5}"/>
    <cellStyle name="Normal 15 11 2 3" xfId="25471" xr:uid="{23765307-FB79-4BD2-81AF-FE3B462F205F}"/>
    <cellStyle name="Normal 15 11 2 3 2" xfId="25472" xr:uid="{1A40EE0E-E1C3-4F72-940F-F4117F61EE29}"/>
    <cellStyle name="Normal 15 11 2 3 2 2" xfId="25473" xr:uid="{0698B7A9-8E4D-4587-8451-476100A8E297}"/>
    <cellStyle name="Normal 15 11 2 3 3" xfId="25474" xr:uid="{C4120063-E62E-4742-AA4A-21795D44D752}"/>
    <cellStyle name="Normal 15 11 2 4" xfId="25475" xr:uid="{34996EFE-DEBA-4876-AFF5-990F05B48AAC}"/>
    <cellStyle name="Normal 15 11 2 4 2" xfId="25476" xr:uid="{E9908719-6B52-4704-B01F-F0C2E5A1C7CC}"/>
    <cellStyle name="Normal 15 11 2 5" xfId="25477" xr:uid="{8D25B05A-B917-48A3-A19D-2CE663668668}"/>
    <cellStyle name="Normal 15 11 3" xfId="25478" xr:uid="{0FEDC6E6-00B0-4E43-8ABA-EB17D9CD1A99}"/>
    <cellStyle name="Normal 15 11 3 2" xfId="25479" xr:uid="{32DAE1F9-B095-4AA1-BCBC-C5EAAC69C5E6}"/>
    <cellStyle name="Normal 15 11 3 2 2" xfId="25480" xr:uid="{034FF405-BC94-4F6E-B186-433D6921D068}"/>
    <cellStyle name="Normal 15 11 3 3" xfId="25481" xr:uid="{35E7E0BA-513A-48ED-B7F1-1DED63991DBC}"/>
    <cellStyle name="Normal 15 11 4" xfId="25482" xr:uid="{716C0DD4-B00A-47D2-A019-32C3640AD93B}"/>
    <cellStyle name="Normal 15 11 4 2" xfId="25483" xr:uid="{0B08C540-4C5E-4065-9EFF-DEF824A2956D}"/>
    <cellStyle name="Normal 15 11 4 2 2" xfId="25484" xr:uid="{FE8DBF7E-744A-4D51-A980-48A8D366AB02}"/>
    <cellStyle name="Normal 15 11 4 3" xfId="25485" xr:uid="{1A1DB956-A6E4-4980-A9A4-DE53BF04E7C9}"/>
    <cellStyle name="Normal 15 11 5" xfId="25486" xr:uid="{D7BFCC7F-C993-4B0C-A914-6B222F574174}"/>
    <cellStyle name="Normal 15 11 5 2" xfId="25487" xr:uid="{92A29416-E370-4D7A-AB2C-2DC58C83838E}"/>
    <cellStyle name="Normal 15 11 6" xfId="25488" xr:uid="{45ECFC4A-E5F8-4333-BBA4-CE1163648BD2}"/>
    <cellStyle name="Normal 15 12" xfId="25489" xr:uid="{35A7689D-651E-479E-9A21-A3BAC0A3759C}"/>
    <cellStyle name="Normal 15 13" xfId="25490" xr:uid="{8C6B7A5D-CAF4-43A1-BB78-428BA529712A}"/>
    <cellStyle name="Normal 15 2" xfId="25491" xr:uid="{95F2507F-C41C-4996-9504-EB5FD958AB96}"/>
    <cellStyle name="Normal 15 2 2" xfId="25492" xr:uid="{23DD8727-47AE-448A-9DD9-BBA99E14F1B7}"/>
    <cellStyle name="Normal 15 2 2 2" xfId="25493" xr:uid="{CAB353BE-BDA2-4BDC-AE0D-6E90FD1F8441}"/>
    <cellStyle name="Normal 15 2 2 2 2" xfId="39019" xr:uid="{80E67FE4-B5DE-48BE-B9B6-DBF39117580F}"/>
    <cellStyle name="Normal 15 2 2 3" xfId="25494" xr:uid="{7B876A5B-AC85-4274-8842-1BD5EA495595}"/>
    <cellStyle name="Normal 15 2 2 3 2" xfId="39020" xr:uid="{4F15FA8A-B221-4860-95A7-F737BD4AA48F}"/>
    <cellStyle name="Normal 15 2 2 4" xfId="39021" xr:uid="{AFBD3332-018B-4C06-A3AD-EA06E8A5EB48}"/>
    <cellStyle name="Normal 15 2 2 4 2" xfId="39022" xr:uid="{C94677C4-3D4B-4C65-9965-27B06030A941}"/>
    <cellStyle name="Normal 15 2 2 5" xfId="39023" xr:uid="{7AD65290-77C1-4808-A1F2-6957C855C97B}"/>
    <cellStyle name="Normal 15 2 2 5 2" xfId="39024" xr:uid="{59DB60B2-5836-4243-963D-D3B74E79D37A}"/>
    <cellStyle name="Normal 15 2 2 6" xfId="39025" xr:uid="{B674D703-7967-4916-9347-D4E73D3A2AC7}"/>
    <cellStyle name="Normal 15 2 3" xfId="25495" xr:uid="{AF3857C1-2730-4B9C-898A-FB4D7CE6C9EF}"/>
    <cellStyle name="Normal 15 2 3 2" xfId="39026" xr:uid="{5C2FC930-F5E1-4D20-A1E4-0D219DB418BB}"/>
    <cellStyle name="Normal 15 2 4" xfId="39027" xr:uid="{CF623D5E-AA0A-4A36-85A5-21281E4CC234}"/>
    <cellStyle name="Normal 15 2 5" xfId="39028" xr:uid="{31F1A7EA-E3D4-4233-ACD6-9D8A05DC3F3E}"/>
    <cellStyle name="Normal 15 3" xfId="25496" xr:uid="{E6871EB5-883F-4C6F-A5C1-E137A6082EED}"/>
    <cellStyle name="Normal 15 3 2" xfId="25497" xr:uid="{9AA89432-D60A-470E-86E2-7BB7F7D06A2A}"/>
    <cellStyle name="Normal 15 3 2 2" xfId="25498" xr:uid="{2B98DC93-1864-4A04-A0AA-FE465C3D40CA}"/>
    <cellStyle name="Normal 15 3 2 2 2" xfId="25499" xr:uid="{C41D5312-F1C5-4542-BE57-86757AC787DE}"/>
    <cellStyle name="Normal 15 3 2 2 2 2" xfId="25500" xr:uid="{CE91843C-D33B-4130-8F22-906C6CA688D0}"/>
    <cellStyle name="Normal 15 3 2 2 3" xfId="25501" xr:uid="{64FEFA59-1BF9-4050-B518-8AE77C9F8555}"/>
    <cellStyle name="Normal 15 3 2 3" xfId="25502" xr:uid="{894B9759-426E-4F31-B284-8774EA86FC4F}"/>
    <cellStyle name="Normal 15 3 2 3 2" xfId="25503" xr:uid="{D25B1959-B10D-406E-9D4E-908D1C143FE9}"/>
    <cellStyle name="Normal 15 3 2 3 2 2" xfId="25504" xr:uid="{D03F0D2E-E100-41B1-9ABD-0111BE33F84D}"/>
    <cellStyle name="Normal 15 3 2 3 3" xfId="25505" xr:uid="{C6D65D64-4E61-4CF7-AB4C-1FA9C0E94BDC}"/>
    <cellStyle name="Normal 15 3 2 4" xfId="25506" xr:uid="{D1B4118B-258E-43B4-9578-D33B48E1526B}"/>
    <cellStyle name="Normal 15 3 2 4 2" xfId="25507" xr:uid="{023B8C7A-41E6-4CBE-B047-D7954C8520D7}"/>
    <cellStyle name="Normal 15 3 2 5" xfId="25508" xr:uid="{EFAFB1FC-B4BD-44D9-A770-A61B1E0955CA}"/>
    <cellStyle name="Normal 15 3 3" xfId="25509" xr:uid="{5A7E1E67-7C51-4367-99D2-0A8C0B3B5838}"/>
    <cellStyle name="Normal 15 3 3 2" xfId="25510" xr:uid="{766CDB50-AF7D-432B-B6EF-67B9895C43E5}"/>
    <cellStyle name="Normal 15 3 3 2 2" xfId="25511" xr:uid="{CEFD8E91-5552-4F4E-9D2C-3742A988455E}"/>
    <cellStyle name="Normal 15 3 3 3" xfId="25512" xr:uid="{193DC273-295F-4320-9B21-D13A1B7D9C1E}"/>
    <cellStyle name="Normal 15 3 4" xfId="25513" xr:uid="{BB2AB3C9-A25D-43D1-9860-58BBAF716CE3}"/>
    <cellStyle name="Normal 15 3 4 2" xfId="25514" xr:uid="{ED135669-5B21-4118-8D59-4BE0DC16D83C}"/>
    <cellStyle name="Normal 15 3 4 2 2" xfId="25515" xr:uid="{D85ABFF2-4291-48F8-8032-9A74038FCAF6}"/>
    <cellStyle name="Normal 15 3 4 3" xfId="25516" xr:uid="{8A7B2D87-ABD8-40F5-9E46-201886182ED8}"/>
    <cellStyle name="Normal 15 3 5" xfId="25517" xr:uid="{0D21A612-0262-4B08-ADC1-34BDA295B1F0}"/>
    <cellStyle name="Normal 15 3 5 2" xfId="25518" xr:uid="{F786EB21-D462-4745-9380-181B07D436F6}"/>
    <cellStyle name="Normal 15 3 6" xfId="25519" xr:uid="{34BF67E8-677A-4103-84CA-637AF63904C8}"/>
    <cellStyle name="Normal 15 4" xfId="25520" xr:uid="{5F2F0691-1C85-4533-80FC-67E0BE12F4BE}"/>
    <cellStyle name="Normal 15 4 2" xfId="25521" xr:uid="{6EF9C7FA-D715-4EE9-AA7D-8BEF8D1454CF}"/>
    <cellStyle name="Normal 15 4 2 2" xfId="25522" xr:uid="{17FD8748-5550-4FF3-B752-0BDFFFDF2C14}"/>
    <cellStyle name="Normal 15 4 2 2 2" xfId="25523" xr:uid="{7386C57E-B2D9-480B-8CE0-311F1F9CFA60}"/>
    <cellStyle name="Normal 15 4 2 2 2 2" xfId="25524" xr:uid="{C3CA9F28-8659-4773-86F3-3C11FBDA0F6F}"/>
    <cellStyle name="Normal 15 4 2 2 3" xfId="25525" xr:uid="{DA1A2321-811E-4EF9-A358-50D15AA64FCF}"/>
    <cellStyle name="Normal 15 4 2 3" xfId="25526" xr:uid="{03C0D83A-23EF-4391-9B98-E73F2C8CD261}"/>
    <cellStyle name="Normal 15 4 2 3 2" xfId="25527" xr:uid="{1DAEB12F-4BFD-4A26-8A45-E0575EAA8588}"/>
    <cellStyle name="Normal 15 4 2 3 2 2" xfId="25528" xr:uid="{31F59090-0157-4A87-B1D4-4904DA51C9EB}"/>
    <cellStyle name="Normal 15 4 2 3 3" xfId="25529" xr:uid="{755F3693-07A9-406E-838B-96200591A690}"/>
    <cellStyle name="Normal 15 4 2 4" xfId="25530" xr:uid="{E448C38B-9EDF-465E-AC7C-58849483E788}"/>
    <cellStyle name="Normal 15 4 2 4 2" xfId="25531" xr:uid="{5042D938-B13F-415C-9D9E-E689D5C4AD2A}"/>
    <cellStyle name="Normal 15 4 2 5" xfId="25532" xr:uid="{356070AF-529D-417C-AEEA-6B6B239F6825}"/>
    <cellStyle name="Normal 15 4 3" xfId="25533" xr:uid="{6A291B9E-6356-487A-8DCF-0E935D6468DC}"/>
    <cellStyle name="Normal 15 4 3 2" xfId="25534" xr:uid="{C439A395-20AC-4171-90AC-B0374ED03830}"/>
    <cellStyle name="Normal 15 4 3 2 2" xfId="25535" xr:uid="{AE622083-B294-434D-BE67-3378780CAC29}"/>
    <cellStyle name="Normal 15 4 3 3" xfId="25536" xr:uid="{5264661A-4455-42D6-BFEF-B97713ACC07E}"/>
    <cellStyle name="Normal 15 4 4" xfId="25537" xr:uid="{D03324D8-E174-4D27-9FD4-AC00C3268C4D}"/>
    <cellStyle name="Normal 15 4 4 2" xfId="25538" xr:uid="{4EF45B21-9578-41CD-9769-24DDAD47BEE9}"/>
    <cellStyle name="Normal 15 4 4 2 2" xfId="25539" xr:uid="{39D02BF9-0846-4553-9E35-04C2F940E8BA}"/>
    <cellStyle name="Normal 15 4 4 3" xfId="25540" xr:uid="{06A4C2FB-EE34-4E6A-8AF7-641A9B2A1BE1}"/>
    <cellStyle name="Normal 15 4 5" xfId="25541" xr:uid="{654D4EDF-94E7-4878-A92C-FEC4CEF68B2E}"/>
    <cellStyle name="Normal 15 4 5 2" xfId="25542" xr:uid="{38E2FF73-F298-4D6F-80F7-DBBF71BA5C1F}"/>
    <cellStyle name="Normal 15 4 6" xfId="25543" xr:uid="{2C287920-1CCC-4020-ABA6-2927D83E8795}"/>
    <cellStyle name="Normal 15 5" xfId="25544" xr:uid="{57AA3413-1CB3-48E4-A0F9-94B7AC20505B}"/>
    <cellStyle name="Normal 15 5 2" xfId="25545" xr:uid="{030E321D-BC78-4DD3-A328-70E32AD51462}"/>
    <cellStyle name="Normal 15 5 2 2" xfId="25546" xr:uid="{231B13B8-2607-4B17-B349-36A7116DB834}"/>
    <cellStyle name="Normal 15 5 2 2 2" xfId="25547" xr:uid="{D4C9BBE1-0C0A-462B-AB68-87A93288A19A}"/>
    <cellStyle name="Normal 15 5 2 2 2 2" xfId="25548" xr:uid="{CC3A9B33-6847-4E9B-811D-575F3C0DA26A}"/>
    <cellStyle name="Normal 15 5 2 2 3" xfId="25549" xr:uid="{3F906153-952F-4286-8ADE-195B316106DE}"/>
    <cellStyle name="Normal 15 5 2 3" xfId="25550" xr:uid="{CFCF7654-FDC6-4776-8FBE-9081F07BFBB4}"/>
    <cellStyle name="Normal 15 5 2 3 2" xfId="25551" xr:uid="{67741C7D-13BF-4606-AA4C-1A38E2EFB65E}"/>
    <cellStyle name="Normal 15 5 2 3 2 2" xfId="25552" xr:uid="{AABD19A8-B742-45CF-8777-2002E6CFC320}"/>
    <cellStyle name="Normal 15 5 2 3 3" xfId="25553" xr:uid="{62FCCD65-465E-4A71-90BE-9638F6088B89}"/>
    <cellStyle name="Normal 15 5 2 4" xfId="25554" xr:uid="{F36B01FE-834E-4DC1-BFA4-5F81E1C302B1}"/>
    <cellStyle name="Normal 15 5 2 4 2" xfId="25555" xr:uid="{25636649-099B-460C-878E-B1026E6CC0C6}"/>
    <cellStyle name="Normal 15 5 2 5" xfId="25556" xr:uid="{63465690-7D76-4152-8BB8-A8F2FFACC943}"/>
    <cellStyle name="Normal 15 5 3" xfId="25557" xr:uid="{79B0A01D-2F31-468D-A306-6EE1CF601C23}"/>
    <cellStyle name="Normal 15 5 3 2" xfId="25558" xr:uid="{AB871348-94A1-4F8A-9027-2FB9612DB777}"/>
    <cellStyle name="Normal 15 5 3 2 2" xfId="25559" xr:uid="{4555DCF0-C544-4446-B140-E95DB77C898C}"/>
    <cellStyle name="Normal 15 5 3 3" xfId="25560" xr:uid="{28B34552-5342-4992-9343-A24B59FCB461}"/>
    <cellStyle name="Normal 15 5 4" xfId="25561" xr:uid="{E68FB1EA-BC1A-45D2-B11D-CE5B9A8A415F}"/>
    <cellStyle name="Normal 15 5 4 2" xfId="25562" xr:uid="{05BB5AD1-B565-4AB8-AA5E-B958A7B3F7CD}"/>
    <cellStyle name="Normal 15 5 4 2 2" xfId="25563" xr:uid="{DA95A089-5645-4770-A95D-44D7EC05A46B}"/>
    <cellStyle name="Normal 15 5 4 3" xfId="25564" xr:uid="{64524381-C4CF-46BB-9467-6ADE92C2A5E1}"/>
    <cellStyle name="Normal 15 5 5" xfId="25565" xr:uid="{F5401473-F5B5-4273-AEFA-EE7057C30F83}"/>
    <cellStyle name="Normal 15 5 5 2" xfId="25566" xr:uid="{4E5D5170-5889-4285-A2AC-4B1FB0ADBD00}"/>
    <cellStyle name="Normal 15 5 6" xfId="25567" xr:uid="{CD5E4411-6B66-4D8F-AE82-8319B1AE0393}"/>
    <cellStyle name="Normal 15 5 7" xfId="39029" xr:uid="{00CF93B7-6CA7-4DF6-B61B-0C7F43D3DC05}"/>
    <cellStyle name="Normal 15 6" xfId="25568" xr:uid="{108288A5-45CC-46E7-8D17-1B3AB5133AF2}"/>
    <cellStyle name="Normal 15 6 2" xfId="25569" xr:uid="{2DEF0638-900D-4432-AB55-83ADAF8D6A74}"/>
    <cellStyle name="Normal 15 6 2 2" xfId="25570" xr:uid="{D15E6E6B-4349-43B1-8B22-511D09F3426D}"/>
    <cellStyle name="Normal 15 6 2 2 2" xfId="25571" xr:uid="{5A37676A-102D-4BA3-8258-9E4DDFEC299A}"/>
    <cellStyle name="Normal 15 6 2 2 2 2" xfId="25572" xr:uid="{82080DEC-9B03-422E-8B6A-438BAF5E8E0B}"/>
    <cellStyle name="Normal 15 6 2 2 3" xfId="25573" xr:uid="{3BA885A0-9D45-48CD-8AC3-5B1245D67CA3}"/>
    <cellStyle name="Normal 15 6 2 3" xfId="25574" xr:uid="{3B2A3203-D873-46C5-8FA6-6345462D02FE}"/>
    <cellStyle name="Normal 15 6 2 3 2" xfId="25575" xr:uid="{9CB546B1-7E21-420C-BE46-B9B9E1C51349}"/>
    <cellStyle name="Normal 15 6 2 3 2 2" xfId="25576" xr:uid="{87DE64E6-17A2-4262-A086-0748CEAAE273}"/>
    <cellStyle name="Normal 15 6 2 3 3" xfId="25577" xr:uid="{B5CC0481-573D-40B2-8715-B5EA427E7921}"/>
    <cellStyle name="Normal 15 6 2 4" xfId="25578" xr:uid="{A9AB4312-FCC9-4B55-9F85-84677E6172A1}"/>
    <cellStyle name="Normal 15 6 2 4 2" xfId="25579" xr:uid="{77AA637D-D1CA-4756-8321-55E2549AADBC}"/>
    <cellStyle name="Normal 15 6 2 5" xfId="25580" xr:uid="{C445FD0F-FD6F-4A3A-A34E-3932C0876444}"/>
    <cellStyle name="Normal 15 6 3" xfId="25581" xr:uid="{C9121E8A-BA14-4541-A02C-AE5A849FD8B0}"/>
    <cellStyle name="Normal 15 6 3 2" xfId="25582" xr:uid="{CAD4723C-B3DA-42F5-8785-0981330EB86D}"/>
    <cellStyle name="Normal 15 6 3 2 2" xfId="25583" xr:uid="{A9D30EBB-98F6-43AC-89AA-56B0FAAD1167}"/>
    <cellStyle name="Normal 15 6 3 3" xfId="25584" xr:uid="{F0F547AB-F6EF-4B74-9CBB-9CC355C31EB3}"/>
    <cellStyle name="Normal 15 6 4" xfId="25585" xr:uid="{93AD1134-11B5-4D10-A150-CBF5FAADA715}"/>
    <cellStyle name="Normal 15 6 4 2" xfId="25586" xr:uid="{69C0FB5B-58C4-466F-B8E2-F9805BCA17E4}"/>
    <cellStyle name="Normal 15 6 4 2 2" xfId="25587" xr:uid="{9F781FED-1947-4344-B31F-DA6BAD6E183C}"/>
    <cellStyle name="Normal 15 6 4 3" xfId="25588" xr:uid="{58816265-52A6-4F56-AFF3-265FF35DC426}"/>
    <cellStyle name="Normal 15 6 5" xfId="25589" xr:uid="{2B43CFB1-F3E5-4466-8834-C76AE93BE315}"/>
    <cellStyle name="Normal 15 6 5 2" xfId="25590" xr:uid="{56FA28A8-5B1D-4783-97A7-51F376AE1A64}"/>
    <cellStyle name="Normal 15 6 6" xfId="25591" xr:uid="{0F14CF2B-DCDA-4938-A77E-B75A19364E31}"/>
    <cellStyle name="Normal 15 7" xfId="25592" xr:uid="{4AAC0D37-6C4C-46EF-AE7A-E0C7680BDACE}"/>
    <cellStyle name="Normal 15 7 2" xfId="25593" xr:uid="{4C0C098E-A045-476F-ACDC-0F650C378F8A}"/>
    <cellStyle name="Normal 15 7 2 2" xfId="25594" xr:uid="{CD6CE435-DFC4-42F5-BBDC-14CB4809BB01}"/>
    <cellStyle name="Normal 15 7 2 2 2" xfId="25595" xr:uid="{6C274796-B0D6-4E91-B95B-33C8CE623260}"/>
    <cellStyle name="Normal 15 7 2 2 2 2" xfId="25596" xr:uid="{999FF66E-8DBD-4F23-9E71-1A7826F46C66}"/>
    <cellStyle name="Normal 15 7 2 2 3" xfId="25597" xr:uid="{2D85C712-41D2-410D-BB96-D447B9093943}"/>
    <cellStyle name="Normal 15 7 2 3" xfId="25598" xr:uid="{C8D6531E-6B6E-4F62-9D08-EB381D00EC28}"/>
    <cellStyle name="Normal 15 7 2 3 2" xfId="25599" xr:uid="{B6621388-7AA4-4E1F-8BE9-6DCE558EE74F}"/>
    <cellStyle name="Normal 15 7 2 3 2 2" xfId="25600" xr:uid="{8D03BE6E-6703-42C4-9229-53312150B060}"/>
    <cellStyle name="Normal 15 7 2 3 3" xfId="25601" xr:uid="{E81C0286-855F-4B5F-85ED-AFEF47812FB1}"/>
    <cellStyle name="Normal 15 7 2 4" xfId="25602" xr:uid="{E2EA2394-FD3E-4A48-B440-DC1E336D2B1A}"/>
    <cellStyle name="Normal 15 7 2 4 2" xfId="25603" xr:uid="{4CA9F995-C45D-4ACD-AE8B-DA3C1CCC20F9}"/>
    <cellStyle name="Normal 15 7 2 5" xfId="25604" xr:uid="{651EFEC6-4E2D-45E2-824D-F8501FAAE3C3}"/>
    <cellStyle name="Normal 15 7 3" xfId="25605" xr:uid="{731210F3-7851-45F4-839A-C14B90E65616}"/>
    <cellStyle name="Normal 15 7 3 2" xfId="25606" xr:uid="{C08D7973-5A06-48ED-90E3-F9360F0C893B}"/>
    <cellStyle name="Normal 15 7 3 2 2" xfId="25607" xr:uid="{22F898E3-DAC0-442B-B981-8A3E502EA6C1}"/>
    <cellStyle name="Normal 15 7 3 3" xfId="25608" xr:uid="{FD4CE379-B162-49E8-BC3D-B9B3FE86045D}"/>
    <cellStyle name="Normal 15 7 4" xfId="25609" xr:uid="{F336B0CA-1546-47FA-BE43-4B76A6D27F90}"/>
    <cellStyle name="Normal 15 7 4 2" xfId="25610" xr:uid="{FEA44905-186C-4A71-AA42-798B9C650CC0}"/>
    <cellStyle name="Normal 15 7 4 2 2" xfId="25611" xr:uid="{6C7BE6A6-C654-4D34-BEA7-726F059FBB58}"/>
    <cellStyle name="Normal 15 7 4 3" xfId="25612" xr:uid="{7E39FC4D-846A-4D26-94FB-E18500F0C3DA}"/>
    <cellStyle name="Normal 15 7 5" xfId="25613" xr:uid="{305BACDA-E7EC-4AFC-8059-0953A2511CD2}"/>
    <cellStyle name="Normal 15 7 5 2" xfId="25614" xr:uid="{1E10A9E2-0BCC-4252-BD7C-48FDE63D097A}"/>
    <cellStyle name="Normal 15 7 6" xfId="25615" xr:uid="{B00A5348-4FBD-4BA2-B5D0-1C092B19B82A}"/>
    <cellStyle name="Normal 15 8" xfId="25616" xr:uid="{E406CC99-493B-4F50-9DA6-D4C7268C7BFA}"/>
    <cellStyle name="Normal 15 8 2" xfId="25617" xr:uid="{C9FAD3CE-399D-434B-9D60-ED8A328EF954}"/>
    <cellStyle name="Normal 15 8 2 2" xfId="25618" xr:uid="{DC74EDFF-558D-4DE0-BA90-4DADD823B37D}"/>
    <cellStyle name="Normal 15 8 2 2 2" xfId="25619" xr:uid="{D5D22EEB-3524-4A2A-BDCE-F7507341887D}"/>
    <cellStyle name="Normal 15 8 2 2 2 2" xfId="25620" xr:uid="{D33A3E0D-D393-4DC0-A4C0-C432C9CD04DC}"/>
    <cellStyle name="Normal 15 8 2 2 3" xfId="25621" xr:uid="{5F5ABA07-5AFE-4814-ADC2-642C993411A8}"/>
    <cellStyle name="Normal 15 8 2 3" xfId="25622" xr:uid="{361C2274-19F5-448B-A434-80B585137E54}"/>
    <cellStyle name="Normal 15 8 2 3 2" xfId="25623" xr:uid="{6ECED521-C68C-4076-9CEB-31A7A0BBB2E4}"/>
    <cellStyle name="Normal 15 8 2 3 2 2" xfId="25624" xr:uid="{827E3310-10CB-4B05-BF8D-4C129230FDC3}"/>
    <cellStyle name="Normal 15 8 2 3 3" xfId="25625" xr:uid="{7FD887E2-DCF8-478D-839F-D97AE5328669}"/>
    <cellStyle name="Normal 15 8 2 4" xfId="25626" xr:uid="{43FA8A7C-3D00-4F21-8C93-FA34F7138047}"/>
    <cellStyle name="Normal 15 8 2 4 2" xfId="25627" xr:uid="{C320CA4B-E4FE-46BD-A9D1-C461B6C03B96}"/>
    <cellStyle name="Normal 15 8 2 5" xfId="25628" xr:uid="{9B16CD3F-E42B-443C-9DCC-2840CC00BB94}"/>
    <cellStyle name="Normal 15 8 3" xfId="25629" xr:uid="{29D8D9F6-532A-46B4-9FF0-47D1BF78BB56}"/>
    <cellStyle name="Normal 15 8 3 2" xfId="25630" xr:uid="{DAB76499-5938-404F-93C8-B6ACF65D0AF8}"/>
    <cellStyle name="Normal 15 8 3 2 2" xfId="25631" xr:uid="{1F1F4C8F-856C-48B2-835D-CB2AE68793E8}"/>
    <cellStyle name="Normal 15 8 3 3" xfId="25632" xr:uid="{CFAD4E11-DE90-491A-9310-D5B1DF1AF38D}"/>
    <cellStyle name="Normal 15 8 4" xfId="25633" xr:uid="{2B1FBD46-9E0C-4B56-93F3-6CF8AB7B9632}"/>
    <cellStyle name="Normal 15 8 4 2" xfId="25634" xr:uid="{2E714F44-B74E-48AB-B7EC-4F94C7865685}"/>
    <cellStyle name="Normal 15 8 4 2 2" xfId="25635" xr:uid="{B23C11DA-0288-4C92-B349-CD6680714D90}"/>
    <cellStyle name="Normal 15 8 4 3" xfId="25636" xr:uid="{EAF1C751-F44D-4358-945A-BF2E647BC059}"/>
    <cellStyle name="Normal 15 8 5" xfId="25637" xr:uid="{90245D27-AEF8-4CEA-BB29-2B9F27EC647F}"/>
    <cellStyle name="Normal 15 8 5 2" xfId="25638" xr:uid="{6FB9DEFD-8DED-4B68-8672-8AD38AC9161C}"/>
    <cellStyle name="Normal 15 8 6" xfId="25639" xr:uid="{72F0FED3-72CC-46B0-96F8-3325A0591273}"/>
    <cellStyle name="Normal 15 9" xfId="25640" xr:uid="{E4DE8EB3-A0EA-4CAB-9E98-5F4DF5A73350}"/>
    <cellStyle name="Normal 15 9 2" xfId="25641" xr:uid="{D0D9A058-4FA3-4CA6-A09C-422C055617FF}"/>
    <cellStyle name="Normal 15 9 2 2" xfId="25642" xr:uid="{54F19DD7-03C4-49BB-8F12-605943F7B754}"/>
    <cellStyle name="Normal 15 9 2 2 2" xfId="25643" xr:uid="{CBAB4CB3-08FA-4358-B1E1-BCD35D8FA929}"/>
    <cellStyle name="Normal 15 9 2 2 2 2" xfId="25644" xr:uid="{5ADAE1AC-F331-4D6E-A230-A6221EC04C75}"/>
    <cellStyle name="Normal 15 9 2 2 3" xfId="25645" xr:uid="{9B16288C-FECD-4084-A81F-5BE68D758213}"/>
    <cellStyle name="Normal 15 9 2 3" xfId="25646" xr:uid="{BFF530CD-8F1B-4AD8-A928-F079D0B93BCB}"/>
    <cellStyle name="Normal 15 9 2 3 2" xfId="25647" xr:uid="{8444CE2C-8014-485F-97C8-EB6BE196D67C}"/>
    <cellStyle name="Normal 15 9 2 3 2 2" xfId="25648" xr:uid="{FD876C9B-DB5C-45D5-9CB7-D8EAC2E423EF}"/>
    <cellStyle name="Normal 15 9 2 3 3" xfId="25649" xr:uid="{7E183062-0D61-4D90-BC05-361E626C7452}"/>
    <cellStyle name="Normal 15 9 2 4" xfId="25650" xr:uid="{ACEE4635-05A0-4723-9D75-B4F5F2149D94}"/>
    <cellStyle name="Normal 15 9 2 4 2" xfId="25651" xr:uid="{4495A0F7-3046-4C48-8474-43B8765A9253}"/>
    <cellStyle name="Normal 15 9 2 5" xfId="25652" xr:uid="{DB7FAE40-F0DE-428F-B505-033BC78D2245}"/>
    <cellStyle name="Normal 15 9 3" xfId="25653" xr:uid="{3E0AA30C-F7EC-4329-9894-ECAFE5A2CD5C}"/>
    <cellStyle name="Normal 15 9 3 2" xfId="25654" xr:uid="{DE2164F5-C000-4BDB-8BEC-825EFCD9102B}"/>
    <cellStyle name="Normal 15 9 3 2 2" xfId="25655" xr:uid="{DED4ACF2-0BA2-411A-9B2C-3A35C992283D}"/>
    <cellStyle name="Normal 15 9 3 3" xfId="25656" xr:uid="{50F3D56B-CAF9-4DCC-856C-ADC3C8B43196}"/>
    <cellStyle name="Normal 15 9 4" xfId="25657" xr:uid="{5E1D2814-A845-4B24-85CC-CBF2103B07C0}"/>
    <cellStyle name="Normal 15 9 4 2" xfId="25658" xr:uid="{DA983117-328C-4CD8-B2C9-035D1627180A}"/>
    <cellStyle name="Normal 15 9 4 2 2" xfId="25659" xr:uid="{517A2EDD-7C88-4636-A901-FAAC81D9BE9E}"/>
    <cellStyle name="Normal 15 9 4 3" xfId="25660" xr:uid="{97F8AD69-49FE-4496-ACD4-239D99D0C174}"/>
    <cellStyle name="Normal 15 9 5" xfId="25661" xr:uid="{3A564C76-CC53-4B72-A1F6-F1A95C512B27}"/>
    <cellStyle name="Normal 15 9 5 2" xfId="25662" xr:uid="{15B27081-F8E1-4E63-BD8B-8033CB5E4700}"/>
    <cellStyle name="Normal 15 9 6" xfId="25663" xr:uid="{1DC3D0B7-8FC7-4A48-828C-A8219FED8CD2}"/>
    <cellStyle name="Normal 150" xfId="25664" xr:uid="{EE26AD34-758B-4FCA-BC22-E4027553541D}"/>
    <cellStyle name="Normal 150 2" xfId="25665" xr:uid="{36725FC1-489D-4A08-94BA-E051C2FF0DCC}"/>
    <cellStyle name="Normal 151" xfId="25666" xr:uid="{3CD74136-B683-4AF3-9D54-6478B9380975}"/>
    <cellStyle name="Normal 151 2" xfId="25667" xr:uid="{C42A083A-8804-4D0B-BFA4-694A2EA3E9DC}"/>
    <cellStyle name="Normal 152" xfId="25668" xr:uid="{9FE6472D-15F2-4E0B-AF2E-197CECB3894F}"/>
    <cellStyle name="Normal 152 2" xfId="25669" xr:uid="{AAE6A7BD-9062-46C4-AACA-27ED3F818F3A}"/>
    <cellStyle name="Normal 153" xfId="25670" xr:uid="{181D3B42-CF9D-4F17-929F-419833F05A9E}"/>
    <cellStyle name="Normal 153 2" xfId="25671" xr:uid="{90A2ADC7-BFBE-4988-BBC4-0BB7D6C8CE16}"/>
    <cellStyle name="Normal 154" xfId="25672" xr:uid="{D557EEAB-7A46-4E4C-9A6E-DC4FD3A95B51}"/>
    <cellStyle name="Normal 154 2" xfId="25673" xr:uid="{CFE45B4A-193A-42AD-A851-24C408E8A339}"/>
    <cellStyle name="Normal 155" xfId="25674" xr:uid="{CDD597E0-79D5-4D07-AC93-01A89D4E3E37}"/>
    <cellStyle name="Normal 155 2" xfId="25675" xr:uid="{5DE858B5-3A0B-4419-BE6A-093F9B29FB6F}"/>
    <cellStyle name="Normal 156" xfId="25676" xr:uid="{11D459AB-05C5-42BC-B0F7-D8FCC0228D65}"/>
    <cellStyle name="Normal 157" xfId="25677" xr:uid="{F53ABE61-0674-4B8E-84C8-DD23B1C5415A}"/>
    <cellStyle name="Normal 157 2" xfId="25678" xr:uid="{875D03F4-5CE6-4CFE-BDA4-FAE026C3F447}"/>
    <cellStyle name="Normal 158" xfId="25679" xr:uid="{B8B6011A-5E84-4028-887D-63E694F110DA}"/>
    <cellStyle name="Normal 159" xfId="25680" xr:uid="{1C60D7A7-090C-4C12-A75B-2DD085BA2F63}"/>
    <cellStyle name="Normal 16" xfId="25681" xr:uid="{E932B8B3-6A63-4642-B4A3-6C6435F29394}"/>
    <cellStyle name="Normal 16 10" xfId="25682" xr:uid="{1250E6B2-05B0-4EDB-997F-3FC872B6B39E}"/>
    <cellStyle name="Normal 16 10 2" xfId="25683" xr:uid="{D14C13A4-017E-4C6A-976C-96D42469CC1E}"/>
    <cellStyle name="Normal 16 10 2 2" xfId="25684" xr:uid="{BFF2B6AB-FD0E-4F40-A7AF-18B4A2144B8C}"/>
    <cellStyle name="Normal 16 10 2 2 2" xfId="25685" xr:uid="{1B4EF089-9651-42EA-A386-5F9A5AED1DF5}"/>
    <cellStyle name="Normal 16 10 2 2 2 2" xfId="25686" xr:uid="{B49363AA-4918-44A1-B6D7-09903FE3D817}"/>
    <cellStyle name="Normal 16 10 2 2 3" xfId="25687" xr:uid="{7D2366EA-9E8B-4CB3-9439-F0A828D5A94A}"/>
    <cellStyle name="Normal 16 10 2 3" xfId="25688" xr:uid="{A638A678-1BF9-43FA-B824-0D2FE6349BA0}"/>
    <cellStyle name="Normal 16 10 2 3 2" xfId="25689" xr:uid="{ADD19F94-15F0-4ED5-9212-5B27B2F8F1B8}"/>
    <cellStyle name="Normal 16 10 2 3 2 2" xfId="25690" xr:uid="{E66EC455-B766-4E0E-9D96-C6D476545CD2}"/>
    <cellStyle name="Normal 16 10 2 3 3" xfId="25691" xr:uid="{29B02F57-1E0A-43B6-8A08-022066C9A3B8}"/>
    <cellStyle name="Normal 16 10 2 4" xfId="25692" xr:uid="{B86F4689-8AE9-47E3-9202-562491F75360}"/>
    <cellStyle name="Normal 16 10 2 4 2" xfId="25693" xr:uid="{BA8F8EDC-2B17-4A76-B86A-3F5D6A7730E2}"/>
    <cellStyle name="Normal 16 10 2 5" xfId="25694" xr:uid="{C1EE50AD-2CBF-4B38-8C00-31FA24AF6EE6}"/>
    <cellStyle name="Normal 16 10 3" xfId="25695" xr:uid="{BCD07750-D917-4E7A-9F4B-2B9E65747E07}"/>
    <cellStyle name="Normal 16 10 3 2" xfId="25696" xr:uid="{2FC8DF7E-5283-4583-8026-DB0AD16ECF7A}"/>
    <cellStyle name="Normal 16 10 3 2 2" xfId="25697" xr:uid="{3A18BCC0-130E-4BED-B6FA-C30268A006C0}"/>
    <cellStyle name="Normal 16 10 3 3" xfId="25698" xr:uid="{FC8D36CF-E325-4991-B62B-1A3E184CCAF5}"/>
    <cellStyle name="Normal 16 10 4" xfId="25699" xr:uid="{41501B72-1879-4E93-8197-E02FBBAC2A8B}"/>
    <cellStyle name="Normal 16 10 4 2" xfId="25700" xr:uid="{C6B496A3-0E49-44F6-BDB1-AF13671AB1C7}"/>
    <cellStyle name="Normal 16 10 4 2 2" xfId="25701" xr:uid="{72B634C2-1577-4BB1-976A-B00AFBDC149F}"/>
    <cellStyle name="Normal 16 10 4 3" xfId="25702" xr:uid="{421DCD67-BE61-4B96-A09E-E8C50F8E33CC}"/>
    <cellStyle name="Normal 16 10 5" xfId="25703" xr:uid="{2B3D8F28-EB03-4A51-9F6F-F914B9E74212}"/>
    <cellStyle name="Normal 16 10 5 2" xfId="25704" xr:uid="{9E8F3299-F481-47BC-A48B-1C5AFBE03F80}"/>
    <cellStyle name="Normal 16 10 6" xfId="25705" xr:uid="{E21DF181-989E-4D29-8901-BFDDA3D021C3}"/>
    <cellStyle name="Normal 16 11" xfId="25706" xr:uid="{EEF7F989-F118-4006-8A18-AE617F65F5DB}"/>
    <cellStyle name="Normal 16 11 10" xfId="25707" xr:uid="{ED1AD549-9802-44D7-8FBB-477819F3C8BE}"/>
    <cellStyle name="Normal 16 11 10 2" xfId="25708" xr:uid="{156141E5-3904-4DCD-9655-90F428636BA2}"/>
    <cellStyle name="Normal 16 11 10 2 2" xfId="25709" xr:uid="{D93A88CB-A07D-4E7E-A1DC-77EC4617D394}"/>
    <cellStyle name="Normal 16 11 10 3" xfId="25710" xr:uid="{54724BC5-E7DC-482D-BE74-FA8150B048D1}"/>
    <cellStyle name="Normal 16 11 11" xfId="25711" xr:uid="{E362177E-FE2A-475A-9AA4-211017F862D8}"/>
    <cellStyle name="Normal 16 11 11 2" xfId="25712" xr:uid="{8A4088EE-C07B-4BBD-AC9B-1900B6637B64}"/>
    <cellStyle name="Normal 16 11 12" xfId="25713" xr:uid="{EAB336F2-9B87-4249-910B-F448A8A79FB8}"/>
    <cellStyle name="Normal 16 11 2" xfId="25714" xr:uid="{6D8D60E9-2A02-4A71-8E1F-92DDB7B6A134}"/>
    <cellStyle name="Normal 16 11 2 2" xfId="25715" xr:uid="{4FBF42B6-5E63-4DFB-87C2-2B7ABF9D2647}"/>
    <cellStyle name="Normal 16 11 2 2 2" xfId="25716" xr:uid="{2928139E-E6E6-456A-B23F-D1ED1FA02ACF}"/>
    <cellStyle name="Normal 16 11 2 2 2 2" xfId="25717" xr:uid="{221C6C87-9E39-4FB1-90C4-23852B597FF4}"/>
    <cellStyle name="Normal 16 11 2 2 2 2 2" xfId="25718" xr:uid="{B6CC00E0-0E77-46E1-A8A7-3AD3776E1645}"/>
    <cellStyle name="Normal 16 11 2 2 2 3" xfId="25719" xr:uid="{8D3A9EF6-2C89-48D0-A645-5614FC4A2E46}"/>
    <cellStyle name="Normal 16 11 2 2 3" xfId="25720" xr:uid="{AD36C0A7-16E3-46AC-822A-81CE496AD141}"/>
    <cellStyle name="Normal 16 11 2 2 3 2" xfId="25721" xr:uid="{9EB2D28C-5649-4D5C-815A-56F05FC607C0}"/>
    <cellStyle name="Normal 16 11 2 2 3 2 2" xfId="25722" xr:uid="{B9EF80A1-9720-453F-894A-CBBCD28BF4BC}"/>
    <cellStyle name="Normal 16 11 2 2 3 3" xfId="25723" xr:uid="{8DD29781-C75B-4F16-BD2C-F50ABBCC03F9}"/>
    <cellStyle name="Normal 16 11 2 2 4" xfId="25724" xr:uid="{533B375E-1B2A-4E91-B33F-4A6B272FD072}"/>
    <cellStyle name="Normal 16 11 2 2 4 2" xfId="25725" xr:uid="{73862C0A-A878-4D65-AD46-6A2DB3F342F4}"/>
    <cellStyle name="Normal 16 11 2 2 5" xfId="25726" xr:uid="{AF8613AD-6D93-4869-A9A3-DBF532E56381}"/>
    <cellStyle name="Normal 16 11 2 3" xfId="25727" xr:uid="{3FF478C4-4EC4-4D8D-8237-CB7622C03CD0}"/>
    <cellStyle name="Normal 16 11 2 3 2" xfId="25728" xr:uid="{F11FA3A3-8E9C-4605-A870-DE340B71D241}"/>
    <cellStyle name="Normal 16 11 2 3 2 2" xfId="25729" xr:uid="{93884D7D-32CF-4B55-912C-A0FDD47143D1}"/>
    <cellStyle name="Normal 16 11 2 3 3" xfId="25730" xr:uid="{B88C1CFE-C1DC-4481-80A8-4CD0C24E4EF1}"/>
    <cellStyle name="Normal 16 11 2 4" xfId="25731" xr:uid="{A59A1A79-87C2-4758-A46D-DF76E48899ED}"/>
    <cellStyle name="Normal 16 11 2 4 2" xfId="25732" xr:uid="{E647467F-7BA3-42B6-A872-AE345135AB03}"/>
    <cellStyle name="Normal 16 11 2 4 2 2" xfId="25733" xr:uid="{515DBB70-D61B-4F0B-B064-CCF59701F9B0}"/>
    <cellStyle name="Normal 16 11 2 4 3" xfId="25734" xr:uid="{B71245A4-C54B-43C2-BE57-8BFD4B15A9EA}"/>
    <cellStyle name="Normal 16 11 2 5" xfId="25735" xr:uid="{57295D92-A38D-490E-946F-8EF787F59FB3}"/>
    <cellStyle name="Normal 16 11 2 5 2" xfId="25736" xr:uid="{25CE6007-46B8-4373-99D0-ED843DDEE123}"/>
    <cellStyle name="Normal 16 11 2 6" xfId="25737" xr:uid="{3D9C1CC2-BB7D-4F6D-AAB4-805CBF8ED6F2}"/>
    <cellStyle name="Normal 16 11 3" xfId="25738" xr:uid="{CB0C4DFB-284E-4FE2-8389-0A151F9EB96B}"/>
    <cellStyle name="Normal 16 11 3 2" xfId="25739" xr:uid="{37ECB171-7B1C-4BB8-89B3-6E720010052A}"/>
    <cellStyle name="Normal 16 11 3 2 2" xfId="25740" xr:uid="{C3FD30CE-C71D-4887-89D0-934A425DDD70}"/>
    <cellStyle name="Normal 16 11 3 2 2 2" xfId="25741" xr:uid="{894C8C51-0CDD-455C-8895-035433BB5638}"/>
    <cellStyle name="Normal 16 11 3 2 2 2 2" xfId="25742" xr:uid="{C8E2FA8D-5730-46B3-8582-02C927C9A938}"/>
    <cellStyle name="Normal 16 11 3 2 2 3" xfId="25743" xr:uid="{3A4191AF-F12B-4005-A6D9-DB43C619AE5F}"/>
    <cellStyle name="Normal 16 11 3 2 3" xfId="25744" xr:uid="{44345181-94A5-479C-B099-5F19598673F9}"/>
    <cellStyle name="Normal 16 11 3 2 3 2" xfId="25745" xr:uid="{14EC34E2-A7FD-4BED-A2D1-0246A04A0305}"/>
    <cellStyle name="Normal 16 11 3 2 3 2 2" xfId="25746" xr:uid="{061E8AEC-8777-4B36-82C2-11E7849FA81F}"/>
    <cellStyle name="Normal 16 11 3 2 3 3" xfId="25747" xr:uid="{9E756BE3-A0F1-41B3-B6EC-9259391407A9}"/>
    <cellStyle name="Normal 16 11 3 2 4" xfId="25748" xr:uid="{A5C2BCC7-8D3B-44EF-899E-9B22712B2A0E}"/>
    <cellStyle name="Normal 16 11 3 2 4 2" xfId="25749" xr:uid="{C0D11609-FBEE-408B-9E10-2251893D8513}"/>
    <cellStyle name="Normal 16 11 3 2 5" xfId="25750" xr:uid="{B93B15B9-C89B-4712-A839-7627714CE5B2}"/>
    <cellStyle name="Normal 16 11 3 3" xfId="25751" xr:uid="{1D9DE09B-5E22-43F9-8F64-9CBCB1BB3CC5}"/>
    <cellStyle name="Normal 16 11 3 3 2" xfId="25752" xr:uid="{0429CFDE-AE97-4F14-9B74-8BF0492A0624}"/>
    <cellStyle name="Normal 16 11 3 3 2 2" xfId="25753" xr:uid="{8475ECCE-1DED-4B42-B508-8DC497C471A2}"/>
    <cellStyle name="Normal 16 11 3 3 3" xfId="25754" xr:uid="{B21ACDFC-9ADF-4673-9AB1-756BC7AD2C9E}"/>
    <cellStyle name="Normal 16 11 3 4" xfId="25755" xr:uid="{08FFC503-BB8B-4EBB-A0D3-03D61E392EBB}"/>
    <cellStyle name="Normal 16 11 3 4 2" xfId="25756" xr:uid="{BE79DF24-05E9-48F1-8BED-5D4F2C9FA9E0}"/>
    <cellStyle name="Normal 16 11 3 4 2 2" xfId="25757" xr:uid="{B55A56A9-B9F7-4E76-B9FF-574126A2F0C8}"/>
    <cellStyle name="Normal 16 11 3 4 3" xfId="25758" xr:uid="{0DE48FE0-8365-471C-B780-FFCE3C0659D7}"/>
    <cellStyle name="Normal 16 11 3 5" xfId="25759" xr:uid="{1D9E5DDA-DF3B-438E-BBA7-6AE3525E5AF2}"/>
    <cellStyle name="Normal 16 11 3 5 2" xfId="25760" xr:uid="{53BF152C-E62C-495F-B672-5AC5C47DE889}"/>
    <cellStyle name="Normal 16 11 3 6" xfId="25761" xr:uid="{7D906CB9-3452-4BC3-BB3F-28EB2DFB08B7}"/>
    <cellStyle name="Normal 16 11 4" xfId="25762" xr:uid="{9896EDB1-07AD-4C15-B659-67979598E578}"/>
    <cellStyle name="Normal 16 11 4 2" xfId="25763" xr:uid="{55127AC3-F42E-4DDA-813A-0F72C8E257A4}"/>
    <cellStyle name="Normal 16 11 4 2 2" xfId="25764" xr:uid="{3FC91477-5011-4AD8-B309-CF34822EA188}"/>
    <cellStyle name="Normal 16 11 4 2 2 2" xfId="25765" xr:uid="{A010866B-D416-47FF-87B1-B63513535519}"/>
    <cellStyle name="Normal 16 11 4 2 2 2 2" xfId="25766" xr:uid="{9C69C246-C08F-408A-81E1-7E06D7F724A6}"/>
    <cellStyle name="Normal 16 11 4 2 2 3" xfId="25767" xr:uid="{46EC68D0-8887-4FB1-95F2-EB0F9B088468}"/>
    <cellStyle name="Normal 16 11 4 2 3" xfId="25768" xr:uid="{27A00842-DA4E-4370-B9BE-DF4C12462CB8}"/>
    <cellStyle name="Normal 16 11 4 2 3 2" xfId="25769" xr:uid="{7946AC2D-8916-4821-A992-49F84A354E8B}"/>
    <cellStyle name="Normal 16 11 4 2 3 2 2" xfId="25770" xr:uid="{6B9AB4D1-162D-457E-B23C-281051D94FA3}"/>
    <cellStyle name="Normal 16 11 4 2 3 3" xfId="25771" xr:uid="{C58D1770-0099-4AB8-B8DC-10C42ED99FC7}"/>
    <cellStyle name="Normal 16 11 4 2 4" xfId="25772" xr:uid="{DC64F832-ECB9-44A6-B552-4428DD49508C}"/>
    <cellStyle name="Normal 16 11 4 2 4 2" xfId="25773" xr:uid="{1BA5C60E-D730-4CE3-9996-3E6E90E79050}"/>
    <cellStyle name="Normal 16 11 4 2 5" xfId="25774" xr:uid="{E10DDBCB-5AA5-404D-83CD-919B083B268E}"/>
    <cellStyle name="Normal 16 11 4 3" xfId="25775" xr:uid="{DB5D0F7C-9815-4DD7-A8DB-BB047C42E32D}"/>
    <cellStyle name="Normal 16 11 4 3 2" xfId="25776" xr:uid="{67EB2DF7-5832-4969-8DF4-5E40707B1549}"/>
    <cellStyle name="Normal 16 11 4 3 2 2" xfId="25777" xr:uid="{AF0A7F91-C8DC-45F0-88BA-0314786DC25C}"/>
    <cellStyle name="Normal 16 11 4 3 3" xfId="25778" xr:uid="{2F9B6599-F16C-40A8-98E0-BC3AB2E5EA5F}"/>
    <cellStyle name="Normal 16 11 4 4" xfId="25779" xr:uid="{85BEDC29-BAF2-4C3E-A4E9-7060BBCA1263}"/>
    <cellStyle name="Normal 16 11 4 4 2" xfId="25780" xr:uid="{0699E528-AA97-4C9F-BFD3-4CB45640B9C0}"/>
    <cellStyle name="Normal 16 11 4 4 2 2" xfId="25781" xr:uid="{C998495D-3003-4A88-8D0E-A79669D1559E}"/>
    <cellStyle name="Normal 16 11 4 4 3" xfId="25782" xr:uid="{3048795B-6511-4419-BECB-ABB6E60FE2AA}"/>
    <cellStyle name="Normal 16 11 4 5" xfId="25783" xr:uid="{7576D20A-1257-4B60-A506-D8E67E9A87C1}"/>
    <cellStyle name="Normal 16 11 4 5 2" xfId="25784" xr:uid="{FC7F9917-3055-492E-A466-C844F9C1880F}"/>
    <cellStyle name="Normal 16 11 4 6" xfId="25785" xr:uid="{DD792514-F10F-417C-9894-523CC7AE2DC0}"/>
    <cellStyle name="Normal 16 11 5" xfId="25786" xr:uid="{1A36B70D-08C6-4377-848B-7FF8063D074A}"/>
    <cellStyle name="Normal 16 11 5 2" xfId="25787" xr:uid="{4504B927-15CC-4131-94D1-CC02E2C9A955}"/>
    <cellStyle name="Normal 16 11 5 2 2" xfId="25788" xr:uid="{2C87621E-0B89-4C84-8639-D3148C036514}"/>
    <cellStyle name="Normal 16 11 5 2 2 2" xfId="25789" xr:uid="{B42CE89D-3C5D-4625-8745-F44A3711865B}"/>
    <cellStyle name="Normal 16 11 5 2 2 2 2" xfId="25790" xr:uid="{F236FD51-3B4D-41A8-884E-FCF1054D8535}"/>
    <cellStyle name="Normal 16 11 5 2 2 3" xfId="25791" xr:uid="{546AD273-8C7D-4664-A779-EB46AB0B3472}"/>
    <cellStyle name="Normal 16 11 5 2 3" xfId="25792" xr:uid="{5360865B-51C2-4CAC-BFFE-8D02967B357B}"/>
    <cellStyle name="Normal 16 11 5 2 3 2" xfId="25793" xr:uid="{469FF051-BAFB-4021-A68C-91BE96E4F7C2}"/>
    <cellStyle name="Normal 16 11 5 2 3 2 2" xfId="25794" xr:uid="{43E8CF68-76E8-468C-8F5A-7AFD45DC03F0}"/>
    <cellStyle name="Normal 16 11 5 2 3 3" xfId="25795" xr:uid="{0A83DC2E-95B1-4CAF-A4C1-8DD8CD96D1CF}"/>
    <cellStyle name="Normal 16 11 5 2 4" xfId="25796" xr:uid="{C86D36B7-E580-4767-9FFE-05D58DEDCF4D}"/>
    <cellStyle name="Normal 16 11 5 2 4 2" xfId="25797" xr:uid="{37E56A33-2C78-4D1F-A61F-B5A9305FEB57}"/>
    <cellStyle name="Normal 16 11 5 2 5" xfId="25798" xr:uid="{E281F79A-9205-4447-92CE-C234981C2863}"/>
    <cellStyle name="Normal 16 11 5 3" xfId="25799" xr:uid="{90F06361-D00A-4BC9-8961-A12EED5B98B4}"/>
    <cellStyle name="Normal 16 11 5 3 2" xfId="25800" xr:uid="{2E57C96F-5D7C-4A50-B9AD-276D6BB7D07C}"/>
    <cellStyle name="Normal 16 11 5 3 2 2" xfId="25801" xr:uid="{8B544C88-2877-4503-B64B-8C1022C085A8}"/>
    <cellStyle name="Normal 16 11 5 3 3" xfId="25802" xr:uid="{34F3655C-1490-4FCB-959B-189492A1DC09}"/>
    <cellStyle name="Normal 16 11 5 4" xfId="25803" xr:uid="{36593A63-3418-4417-A3A9-FA0FFB61F702}"/>
    <cellStyle name="Normal 16 11 5 4 2" xfId="25804" xr:uid="{F5DEEDBA-1BCF-4EFA-B836-3C75C6BA4CB3}"/>
    <cellStyle name="Normal 16 11 5 4 2 2" xfId="25805" xr:uid="{66B2CEC2-2F4C-4B72-A9DA-C2FEA5D1B394}"/>
    <cellStyle name="Normal 16 11 5 4 3" xfId="25806" xr:uid="{66BCE353-2DDF-4BBF-951E-4838F80BDADC}"/>
    <cellStyle name="Normal 16 11 5 5" xfId="25807" xr:uid="{C94E464C-5401-43A3-B8BD-5B879A290E88}"/>
    <cellStyle name="Normal 16 11 5 5 2" xfId="25808" xr:uid="{01BD0C2C-D4E3-46DE-A238-D4BA8C4CE256}"/>
    <cellStyle name="Normal 16 11 5 6" xfId="25809" xr:uid="{EE65D0B1-9A72-4D2C-80C9-C37148DDE8EB}"/>
    <cellStyle name="Normal 16 11 6" xfId="25810" xr:uid="{35C14E1E-0A6E-4582-B659-7B6F152663D1}"/>
    <cellStyle name="Normal 16 11 6 2" xfId="25811" xr:uid="{56270080-95B2-4674-85F5-5BF0DFC92BCD}"/>
    <cellStyle name="Normal 16 11 6 2 2" xfId="25812" xr:uid="{A6008E65-9AA8-41C6-904E-E1C911391C34}"/>
    <cellStyle name="Normal 16 11 6 2 2 2" xfId="25813" xr:uid="{C70B58EC-E9EC-4A40-B04A-D57FF6031859}"/>
    <cellStyle name="Normal 16 11 6 2 2 2 2" xfId="25814" xr:uid="{F34BDBF7-59C4-4ABE-9105-3A245CFFF19C}"/>
    <cellStyle name="Normal 16 11 6 2 2 3" xfId="25815" xr:uid="{ED1A0629-785F-4FA1-8BBB-26881AC306E5}"/>
    <cellStyle name="Normal 16 11 6 2 3" xfId="25816" xr:uid="{8CEE856D-691B-4CEF-A888-5921043993B8}"/>
    <cellStyle name="Normal 16 11 6 2 3 2" xfId="25817" xr:uid="{63FE523C-5415-4B17-B7D8-6F51B2F1189E}"/>
    <cellStyle name="Normal 16 11 6 2 3 2 2" xfId="25818" xr:uid="{20E41F2F-AAC9-4CBD-9FF4-1182E7D25F70}"/>
    <cellStyle name="Normal 16 11 6 2 3 3" xfId="25819" xr:uid="{750A0922-B425-428E-89AE-6DC792BDACC1}"/>
    <cellStyle name="Normal 16 11 6 2 4" xfId="25820" xr:uid="{8F33675D-A84B-47D9-BAF8-C4F470E1A398}"/>
    <cellStyle name="Normal 16 11 6 2 4 2" xfId="25821" xr:uid="{74914869-4FEE-42D8-A7EB-4F6C85DDEB96}"/>
    <cellStyle name="Normal 16 11 6 2 5" xfId="25822" xr:uid="{3F427F31-45AF-4F5C-96EE-EA4D3946EC4B}"/>
    <cellStyle name="Normal 16 11 6 3" xfId="25823" xr:uid="{C488F60E-3A98-44CA-BD7B-76138F3710AA}"/>
    <cellStyle name="Normal 16 11 6 3 2" xfId="25824" xr:uid="{43853542-06F4-4847-B226-1AFBE6CEDE9C}"/>
    <cellStyle name="Normal 16 11 6 3 2 2" xfId="25825" xr:uid="{A6AF2E5D-B144-44A8-B655-6DB346A64FBB}"/>
    <cellStyle name="Normal 16 11 6 3 3" xfId="25826" xr:uid="{6843CE24-BE9B-4E7C-AADF-9475B3A0C77C}"/>
    <cellStyle name="Normal 16 11 6 4" xfId="25827" xr:uid="{C91FE3B0-0404-43AA-8A69-23CD3F94B657}"/>
    <cellStyle name="Normal 16 11 6 4 2" xfId="25828" xr:uid="{53EA6B13-016D-4C5B-BF76-A7CA4846BD8D}"/>
    <cellStyle name="Normal 16 11 6 4 2 2" xfId="25829" xr:uid="{505154BE-BCDE-4523-9FEE-C58CC56298D3}"/>
    <cellStyle name="Normal 16 11 6 4 3" xfId="25830" xr:uid="{2A51F2CC-2DA9-49B7-9887-1F56190E21BC}"/>
    <cellStyle name="Normal 16 11 6 5" xfId="25831" xr:uid="{7410108E-0980-4061-BD80-6405B11B7FD9}"/>
    <cellStyle name="Normal 16 11 6 5 2" xfId="25832" xr:uid="{2B6E8DFC-1B16-4462-9430-A8A1CC2FDEF7}"/>
    <cellStyle name="Normal 16 11 6 6" xfId="25833" xr:uid="{4F80D9B3-046E-4AE3-8BE4-C6EA9EEAA466}"/>
    <cellStyle name="Normal 16 11 7" xfId="25834" xr:uid="{3C93E579-FE98-4DBE-A81A-6E3454AE248E}"/>
    <cellStyle name="Normal 16 11 7 2" xfId="25835" xr:uid="{930EB33C-57E4-4476-85EE-030C36E1B494}"/>
    <cellStyle name="Normal 16 11 7 2 2" xfId="25836" xr:uid="{9C98E9A0-5437-4602-909A-780CD383166A}"/>
    <cellStyle name="Normal 16 11 7 2 2 2" xfId="25837" xr:uid="{2F329CF0-841A-4F25-A8BE-5E775D5DAEA2}"/>
    <cellStyle name="Normal 16 11 7 2 2 2 2" xfId="25838" xr:uid="{79CE8996-388C-4525-AE6F-E19BC4692A58}"/>
    <cellStyle name="Normal 16 11 7 2 2 3" xfId="25839" xr:uid="{C564D97B-4DA3-4C18-8318-8B69968400D3}"/>
    <cellStyle name="Normal 16 11 7 2 3" xfId="25840" xr:uid="{60674FEB-97F5-459F-A438-DF5576671274}"/>
    <cellStyle name="Normal 16 11 7 2 3 2" xfId="25841" xr:uid="{01D23913-F84E-497B-A5F3-46C94E913EFA}"/>
    <cellStyle name="Normal 16 11 7 2 3 2 2" xfId="25842" xr:uid="{DCF563DF-A3F0-4F34-9168-524E51B9F3FC}"/>
    <cellStyle name="Normal 16 11 7 2 3 3" xfId="25843" xr:uid="{F5CB9EF3-7377-4080-98D8-AF9601F8DFB3}"/>
    <cellStyle name="Normal 16 11 7 2 4" xfId="25844" xr:uid="{BE4F6CE5-CD0F-43C9-A812-C94980CD1D8A}"/>
    <cellStyle name="Normal 16 11 7 2 4 2" xfId="25845" xr:uid="{84438B49-EBA7-4993-B973-E401C8F3F037}"/>
    <cellStyle name="Normal 16 11 7 2 5" xfId="25846" xr:uid="{57DE8702-DB1D-4454-BD53-13A8B72850E9}"/>
    <cellStyle name="Normal 16 11 7 3" xfId="25847" xr:uid="{7635F6C8-67DD-4A9D-8BA6-921516FF2AC5}"/>
    <cellStyle name="Normal 16 11 7 3 2" xfId="25848" xr:uid="{1E849013-38E0-44E3-BBB3-24B354C90122}"/>
    <cellStyle name="Normal 16 11 7 3 2 2" xfId="25849" xr:uid="{55EEEC7E-8126-4CDC-A464-4A818BD6B08D}"/>
    <cellStyle name="Normal 16 11 7 3 3" xfId="25850" xr:uid="{3930153E-38C8-4A21-95D4-9AF12D3FB57C}"/>
    <cellStyle name="Normal 16 11 7 4" xfId="25851" xr:uid="{A4052FF0-3077-420E-B5E0-10DF9EF0C31E}"/>
    <cellStyle name="Normal 16 11 7 4 2" xfId="25852" xr:uid="{C8CF397B-993C-4BBD-AE43-3B3A158579A3}"/>
    <cellStyle name="Normal 16 11 7 4 2 2" xfId="25853" xr:uid="{AAF67BA2-020F-4D99-81EC-360617676F6E}"/>
    <cellStyle name="Normal 16 11 7 4 3" xfId="25854" xr:uid="{2145260E-A8C5-4923-A340-D9F784DD9745}"/>
    <cellStyle name="Normal 16 11 7 5" xfId="25855" xr:uid="{70D236B1-66BE-4DB0-911F-3E6B53075EF2}"/>
    <cellStyle name="Normal 16 11 7 5 2" xfId="25856" xr:uid="{0E515A85-B219-4D55-A8EE-FC28A4E36C4F}"/>
    <cellStyle name="Normal 16 11 7 6" xfId="25857" xr:uid="{238151F3-FE79-442C-BDDE-9ADCAF1A7E4D}"/>
    <cellStyle name="Normal 16 11 8" xfId="25858" xr:uid="{6074790B-2FE9-4693-831A-BA786388F5BE}"/>
    <cellStyle name="Normal 16 11 8 2" xfId="25859" xr:uid="{B00FFFAF-CA7C-42AA-8C06-8070A32CD67C}"/>
    <cellStyle name="Normal 16 11 8 2 2" xfId="25860" xr:uid="{7846439B-A6F7-40D9-B1E6-C8D0F478DBF6}"/>
    <cellStyle name="Normal 16 11 8 2 2 2" xfId="25861" xr:uid="{4571A4FE-F473-4482-9C7E-392F5215DB9E}"/>
    <cellStyle name="Normal 16 11 8 2 3" xfId="25862" xr:uid="{C850A71D-EFE6-4AC3-B08C-ECAF4525A692}"/>
    <cellStyle name="Normal 16 11 8 3" xfId="25863" xr:uid="{FC0E5C47-C859-4B37-9B54-841683CA7A0C}"/>
    <cellStyle name="Normal 16 11 8 3 2" xfId="25864" xr:uid="{10D0BC04-A819-43F9-9DBE-452631EFF242}"/>
    <cellStyle name="Normal 16 11 8 3 2 2" xfId="25865" xr:uid="{2A13C32C-44E0-4B77-9CF0-4F549A8172B5}"/>
    <cellStyle name="Normal 16 11 8 3 3" xfId="25866" xr:uid="{23BB2BF2-9456-4B36-9996-8DB2DA8EC4BF}"/>
    <cellStyle name="Normal 16 11 8 4" xfId="25867" xr:uid="{25E6ECB4-619B-4D11-8782-85E4C96B50AD}"/>
    <cellStyle name="Normal 16 11 8 4 2" xfId="25868" xr:uid="{967C3A1C-6689-48AB-8B76-D0480380FB52}"/>
    <cellStyle name="Normal 16 11 8 5" xfId="25869" xr:uid="{DBEF92EB-A89A-4F00-9598-77333776A4D6}"/>
    <cellStyle name="Normal 16 11 9" xfId="25870" xr:uid="{CA3E84BD-8E87-40D3-BCAA-D30C444877B4}"/>
    <cellStyle name="Normal 16 11 9 2" xfId="25871" xr:uid="{035996F0-FFC0-471B-B13B-7598109E64FB}"/>
    <cellStyle name="Normal 16 11 9 2 2" xfId="25872" xr:uid="{5FCE5472-5E48-4DB1-AFF5-5173CE697682}"/>
    <cellStyle name="Normal 16 11 9 3" xfId="25873" xr:uid="{D8C5077B-CC4D-43CA-9C66-68D2A4E233ED}"/>
    <cellStyle name="Normal 16 12" xfId="25874" xr:uid="{E8D2FBE0-8F20-48CB-8933-71008FA3A69F}"/>
    <cellStyle name="Normal 16 12 2" xfId="25875" xr:uid="{EEE61321-0414-4BA0-8654-C556A135FA68}"/>
    <cellStyle name="Normal 16 12 2 2" xfId="25876" xr:uid="{7D3B2F8C-785C-4A7D-9AC2-F22AF39B5385}"/>
    <cellStyle name="Normal 16 12 2 2 2" xfId="25877" xr:uid="{D6B0157D-330F-4154-8096-39EE30743087}"/>
    <cellStyle name="Normal 16 12 2 3" xfId="25878" xr:uid="{49F045F1-1CBD-49E4-9671-89B56C5B1989}"/>
    <cellStyle name="Normal 16 12 3" xfId="25879" xr:uid="{1E674710-64A0-4300-B4D3-3E99F5A33B9E}"/>
    <cellStyle name="Normal 16 12 3 2" xfId="25880" xr:uid="{0DC0E733-25C8-4732-851E-51C9F87604BD}"/>
    <cellStyle name="Normal 16 12 3 2 2" xfId="25881" xr:uid="{AEBD43FC-A2A3-46FE-A401-47CC68845CEE}"/>
    <cellStyle name="Normal 16 12 3 3" xfId="25882" xr:uid="{50CC9DF3-388F-4DF8-9987-27187DD83B12}"/>
    <cellStyle name="Normal 16 12 4" xfId="25883" xr:uid="{71FC595D-D584-431C-A892-ACF80B65BA55}"/>
    <cellStyle name="Normal 16 12 4 2" xfId="25884" xr:uid="{D09707D2-1F46-4C0A-BC53-0672618CA1DE}"/>
    <cellStyle name="Normal 16 12 5" xfId="25885" xr:uid="{B24BAC6E-BC54-4199-8B76-22368DF09970}"/>
    <cellStyle name="Normal 16 13" xfId="25886" xr:uid="{556489DE-965A-4C13-9BA3-B2CF49D98796}"/>
    <cellStyle name="Normal 16 13 2" xfId="25887" xr:uid="{1CDD6415-60ED-4248-9A0D-37F9CCE4373E}"/>
    <cellStyle name="Normal 16 13 2 2" xfId="25888" xr:uid="{941F3921-4B60-4E8D-B628-C477F2EE487A}"/>
    <cellStyle name="Normal 16 13 3" xfId="25889" xr:uid="{D8D7D61B-A29B-43A0-A82E-848EFB828981}"/>
    <cellStyle name="Normal 16 14" xfId="25890" xr:uid="{8AD35C65-F799-4301-B222-6AF7C28D236C}"/>
    <cellStyle name="Normal 16 14 2" xfId="25891" xr:uid="{CE61B225-8B76-41B7-BA85-6773CFD1A94C}"/>
    <cellStyle name="Normal 16 14 2 2" xfId="25892" xr:uid="{DBDBB7CB-5BEC-4882-BC6E-819F0CF3D4FF}"/>
    <cellStyle name="Normal 16 14 3" xfId="25893" xr:uid="{ED9EE8D7-E429-4C65-8CAF-06A6EDA5937D}"/>
    <cellStyle name="Normal 16 15" xfId="25894" xr:uid="{FC9E6831-5BCD-4CA7-B906-BB7239EC2CD2}"/>
    <cellStyle name="Normal 16 15 2" xfId="25895" xr:uid="{2F23CD27-18D2-4BC7-BBE7-F8141423AC84}"/>
    <cellStyle name="Normal 16 16" xfId="25896" xr:uid="{733AFF64-2CA5-402C-871A-F2E7D4CCC300}"/>
    <cellStyle name="Normal 16 17" xfId="39030" xr:uid="{54E65A02-2F1D-4F11-BF08-95387697C0A8}"/>
    <cellStyle name="Normal 16 2" xfId="25897" xr:uid="{D16DA9FA-A445-4E3A-9B61-C4E688F2AD7F}"/>
    <cellStyle name="Normal 16 2 2" xfId="25898" xr:uid="{26906DC5-D029-494B-B6B2-34DFFAA3D571}"/>
    <cellStyle name="Normal 16 2 2 2" xfId="25899" xr:uid="{209EFBE4-E14A-4B21-8063-ED7468E631AA}"/>
    <cellStyle name="Normal 16 2 2 2 2" xfId="25900" xr:uid="{C81C5E40-1361-4944-83F2-2E93C0E43298}"/>
    <cellStyle name="Normal 16 2 2 2 2 2" xfId="25901" xr:uid="{2D4B9355-1CA3-4DC8-B945-60BD45566D57}"/>
    <cellStyle name="Normal 16 2 2 2 3" xfId="25902" xr:uid="{5DA4E724-DAD7-4E3E-88B7-B6124F333EC8}"/>
    <cellStyle name="Normal 16 2 2 3" xfId="25903" xr:uid="{1E328161-D55D-4FF7-AFF3-6295A3D7A7BB}"/>
    <cellStyle name="Normal 16 2 2 3 2" xfId="25904" xr:uid="{27AD42DF-5FB7-4152-9119-4BF016A78826}"/>
    <cellStyle name="Normal 16 2 2 3 2 2" xfId="25905" xr:uid="{1E02DC4C-7D70-42DE-A0F0-F1B635B44EBF}"/>
    <cellStyle name="Normal 16 2 2 3 3" xfId="25906" xr:uid="{26FD1928-4A06-400E-96DE-E0471FD6D67D}"/>
    <cellStyle name="Normal 16 2 2 4" xfId="25907" xr:uid="{54DEE6DB-0146-414A-8D86-B8FF5F2C7194}"/>
    <cellStyle name="Normal 16 2 2 4 2" xfId="25908" xr:uid="{16C6DAC2-5E97-4090-99D0-4C52A62BBF43}"/>
    <cellStyle name="Normal 16 2 2 5" xfId="25909" xr:uid="{6ECE70E0-0834-4D44-94CB-5B6D56504E4A}"/>
    <cellStyle name="Normal 16 2 2 6" xfId="39031" xr:uid="{B4D0CBC1-872C-47C1-89C0-8C237F4EBFCA}"/>
    <cellStyle name="Normal 16 2 3" xfId="25910" xr:uid="{549347B8-BBDA-4E1D-97A4-19CE759E2858}"/>
    <cellStyle name="Normal 16 2 3 2" xfId="25911" xr:uid="{DF08CF19-7226-41C5-9C61-36D76845E216}"/>
    <cellStyle name="Normal 16 2 3 2 2" xfId="25912" xr:uid="{D75A70C9-9195-48D7-B58B-9C8C88EA7134}"/>
    <cellStyle name="Normal 16 2 3 3" xfId="25913" xr:uid="{11CF70FB-0AB4-4C90-B9EE-D366D489A6AF}"/>
    <cellStyle name="Normal 16 2 4" xfId="25914" xr:uid="{588F05CA-CD2D-45F4-A1AD-9BBA94829E1C}"/>
    <cellStyle name="Normal 16 2 4 2" xfId="25915" xr:uid="{BAC1E549-BF6A-4FD6-A218-70A0F4B545DE}"/>
    <cellStyle name="Normal 16 2 4 2 2" xfId="25916" xr:uid="{3767CE8A-3B46-4B46-B0BA-ED9770A29BEA}"/>
    <cellStyle name="Normal 16 2 4 3" xfId="25917" xr:uid="{574A81B4-9EEB-4C19-9B0C-630B0C72E26B}"/>
    <cellStyle name="Normal 16 2 5" xfId="25918" xr:uid="{33145F8B-132A-4020-945C-49478373CDA7}"/>
    <cellStyle name="Normal 16 2 5 2" xfId="25919" xr:uid="{D3B2B188-70E3-491D-84C0-108C67C3B1AC}"/>
    <cellStyle name="Normal 16 2 6" xfId="25920" xr:uid="{D238B15E-94BC-4BFF-A1BD-92681356B5DE}"/>
    <cellStyle name="Normal 16 3" xfId="25921" xr:uid="{35CDD391-B6CF-46C4-9BD4-50CB1BA8668B}"/>
    <cellStyle name="Normal 16 3 2" xfId="25922" xr:uid="{A43B41A2-B687-49B0-9DC9-2725A72E9F87}"/>
    <cellStyle name="Normal 16 3 2 2" xfId="25923" xr:uid="{35DC2134-7600-4C50-B16F-4431CFFB19C5}"/>
    <cellStyle name="Normal 16 3 2 2 2" xfId="25924" xr:uid="{9BB912D5-4EC8-49CF-92DC-D30FCDD5A912}"/>
    <cellStyle name="Normal 16 3 2 2 2 2" xfId="25925" xr:uid="{24598B61-551A-4773-8CF1-752EA02978AC}"/>
    <cellStyle name="Normal 16 3 2 2 3" xfId="25926" xr:uid="{5C169AA5-49F4-401D-B0BF-788BB4D44068}"/>
    <cellStyle name="Normal 16 3 2 3" xfId="25927" xr:uid="{D9C43EA7-334A-44F6-A960-ADCCE555BA98}"/>
    <cellStyle name="Normal 16 3 2 3 2" xfId="25928" xr:uid="{4B36A184-9A16-43EE-9031-2FFE5CD464B2}"/>
    <cellStyle name="Normal 16 3 2 3 2 2" xfId="25929" xr:uid="{14526B60-FFE8-4DB6-A099-40A9FBB68767}"/>
    <cellStyle name="Normal 16 3 2 3 3" xfId="25930" xr:uid="{CAD89553-ADE0-4CD2-8B6F-CD9EC4FF9728}"/>
    <cellStyle name="Normal 16 3 2 4" xfId="25931" xr:uid="{D8633994-BDB2-43EE-B9A4-B7BA4229FD8A}"/>
    <cellStyle name="Normal 16 3 2 4 2" xfId="25932" xr:uid="{C67AB135-7D87-4D3D-8A51-F726CBE5E70D}"/>
    <cellStyle name="Normal 16 3 2 5" xfId="25933" xr:uid="{D98FED3C-A1D1-4107-A3CE-A86847B6A68A}"/>
    <cellStyle name="Normal 16 3 3" xfId="25934" xr:uid="{F881D04E-7CA7-4EC9-B5D0-09F13DDADD98}"/>
    <cellStyle name="Normal 16 3 3 2" xfId="25935" xr:uid="{21E565C8-4057-4D24-B22D-D22C6F248B4C}"/>
    <cellStyle name="Normal 16 3 3 2 2" xfId="25936" xr:uid="{56B1B734-18DF-4B21-830F-E115D41355CC}"/>
    <cellStyle name="Normal 16 3 3 3" xfId="25937" xr:uid="{E90DFF49-910A-4736-872C-01D00CF9881D}"/>
    <cellStyle name="Normal 16 3 4" xfId="25938" xr:uid="{1002BAFF-9C53-4556-8006-92C8DCB89468}"/>
    <cellStyle name="Normal 16 3 4 2" xfId="25939" xr:uid="{CE03D544-003F-45F7-940C-6F5DB2B075A0}"/>
    <cellStyle name="Normal 16 3 4 2 2" xfId="25940" xr:uid="{DCAD7437-2DA3-4044-B148-2C7EAD3DEA8E}"/>
    <cellStyle name="Normal 16 3 4 3" xfId="25941" xr:uid="{04A40638-A06A-4692-B1C7-18EF45FCD5FD}"/>
    <cellStyle name="Normal 16 3 5" xfId="25942" xr:uid="{19C86E65-4114-478B-8EED-71C8095BF122}"/>
    <cellStyle name="Normal 16 3 5 2" xfId="25943" xr:uid="{20FBDB91-5F39-405C-9F88-90E4F2AD0691}"/>
    <cellStyle name="Normal 16 3 6" xfId="25944" xr:uid="{518F7E64-2FBD-46A9-901B-32B0FDEEAE84}"/>
    <cellStyle name="Normal 16 3 7" xfId="39032" xr:uid="{105A3A5E-6DB3-4343-A1C5-C7E16586CB5F}"/>
    <cellStyle name="Normal 16 4" xfId="25945" xr:uid="{106EDDBE-BE90-4AC5-A4D0-858A56E3793A}"/>
    <cellStyle name="Normal 16 4 2" xfId="25946" xr:uid="{9C5A70CB-3897-4684-8289-A6E3A7CE2E2A}"/>
    <cellStyle name="Normal 16 4 2 2" xfId="25947" xr:uid="{470FB031-3A38-4D1F-B386-AF15BA197564}"/>
    <cellStyle name="Normal 16 4 2 2 2" xfId="25948" xr:uid="{951AA8D1-AAF9-4714-AB98-2ED7D95ADA8E}"/>
    <cellStyle name="Normal 16 4 2 2 2 2" xfId="25949" xr:uid="{6C55D1D7-FDA1-4ABF-9CC6-F0E125A15D46}"/>
    <cellStyle name="Normal 16 4 2 2 3" xfId="25950" xr:uid="{02EDEC02-40F1-43E6-937A-9C4DCE0D3356}"/>
    <cellStyle name="Normal 16 4 2 3" xfId="25951" xr:uid="{8735CEEE-84FD-481E-AC66-B2667F5AC4CC}"/>
    <cellStyle name="Normal 16 4 2 3 2" xfId="25952" xr:uid="{FE20D21D-581E-4E15-9E40-743F832EDF0F}"/>
    <cellStyle name="Normal 16 4 2 3 2 2" xfId="25953" xr:uid="{65DA93CE-4EF5-4B51-8365-F832958C1BE2}"/>
    <cellStyle name="Normal 16 4 2 3 3" xfId="25954" xr:uid="{E05F42B7-1BDB-416C-BE32-A49D617B1E73}"/>
    <cellStyle name="Normal 16 4 2 4" xfId="25955" xr:uid="{15C374EB-EEEB-4D62-AEAA-13F3FEF3CA4F}"/>
    <cellStyle name="Normal 16 4 2 4 2" xfId="25956" xr:uid="{5F858AF1-429D-43BF-9B9E-D18550B97401}"/>
    <cellStyle name="Normal 16 4 2 5" xfId="25957" xr:uid="{CD17281D-D3DC-4BB1-B4D7-B56877CA2377}"/>
    <cellStyle name="Normal 16 4 3" xfId="25958" xr:uid="{279DE255-B077-4472-B0AA-94FACC06B098}"/>
    <cellStyle name="Normal 16 4 3 2" xfId="25959" xr:uid="{77829962-5DFD-4FD4-ADB9-B87C8FB81C97}"/>
    <cellStyle name="Normal 16 4 3 2 2" xfId="25960" xr:uid="{6F8DA2A4-BB69-4933-8EB4-6F2D7786A342}"/>
    <cellStyle name="Normal 16 4 3 3" xfId="25961" xr:uid="{CCBA0D02-9FF0-439F-B326-C929324637C7}"/>
    <cellStyle name="Normal 16 4 4" xfId="25962" xr:uid="{2CCAF9F2-03E4-4049-A74A-EA9BAE3B39A2}"/>
    <cellStyle name="Normal 16 4 4 2" xfId="25963" xr:uid="{D7293528-875F-4189-8EE7-1B683DC6EA1C}"/>
    <cellStyle name="Normal 16 4 4 2 2" xfId="25964" xr:uid="{89FAC868-0261-4350-85F4-89F310C8A457}"/>
    <cellStyle name="Normal 16 4 4 3" xfId="25965" xr:uid="{57457787-5BA5-40BB-99B7-A70F15DDDD14}"/>
    <cellStyle name="Normal 16 4 5" xfId="25966" xr:uid="{510921A1-D2CB-487D-88B0-C8162C2F3A5D}"/>
    <cellStyle name="Normal 16 4 5 2" xfId="25967" xr:uid="{AB2A032B-AA5B-4AAF-98AF-28DA6D55C94E}"/>
    <cellStyle name="Normal 16 4 6" xfId="25968" xr:uid="{7629CCC0-9343-473D-9CBB-2C5A2C5B8A4C}"/>
    <cellStyle name="Normal 16 5" xfId="25969" xr:uid="{E53774C2-A9F2-46F1-9898-323A87D1E172}"/>
    <cellStyle name="Normal 16 5 2" xfId="25970" xr:uid="{2970F2AF-05CA-4452-A3B1-3E571FE9D7A4}"/>
    <cellStyle name="Normal 16 5 2 2" xfId="25971" xr:uid="{8F57A89E-01DD-4BC7-BF4E-B58DBD8473F5}"/>
    <cellStyle name="Normal 16 5 2 2 2" xfId="25972" xr:uid="{7BC42D15-2555-40B6-89E6-31023863DC1A}"/>
    <cellStyle name="Normal 16 5 2 2 2 2" xfId="25973" xr:uid="{B3C9804A-9018-44DD-A5E8-93D2FC832861}"/>
    <cellStyle name="Normal 16 5 2 2 3" xfId="25974" xr:uid="{24601208-29AF-4E24-809C-54E33582D8BE}"/>
    <cellStyle name="Normal 16 5 2 3" xfId="25975" xr:uid="{F3ADB0BD-D5BE-4E43-8101-46E343E97810}"/>
    <cellStyle name="Normal 16 5 2 3 2" xfId="25976" xr:uid="{370929F5-37CF-4421-B314-91DC9698FC4C}"/>
    <cellStyle name="Normal 16 5 2 3 2 2" xfId="25977" xr:uid="{6B49CD5F-39A0-4323-AC9B-E818247E8C64}"/>
    <cellStyle name="Normal 16 5 2 3 3" xfId="25978" xr:uid="{F28E153E-4002-4898-8A54-232CB6B83C11}"/>
    <cellStyle name="Normal 16 5 2 4" xfId="25979" xr:uid="{B8280116-E1A8-48B8-B5BA-3D036544561D}"/>
    <cellStyle name="Normal 16 5 2 4 2" xfId="25980" xr:uid="{D7403EEF-5AD5-4DDA-9274-79D4C31E036B}"/>
    <cellStyle name="Normal 16 5 2 5" xfId="25981" xr:uid="{CD11461E-1D63-484F-A317-8C1B1A715C87}"/>
    <cellStyle name="Normal 16 5 3" xfId="25982" xr:uid="{41889437-5B29-49BA-87E5-CE3765A47020}"/>
    <cellStyle name="Normal 16 5 3 2" xfId="25983" xr:uid="{C6915BC5-D9AA-4518-98EA-FE8304256B32}"/>
    <cellStyle name="Normal 16 5 3 2 2" xfId="25984" xr:uid="{B05AAB56-0AAC-4659-9DED-B72141FA6ADE}"/>
    <cellStyle name="Normal 16 5 3 3" xfId="25985" xr:uid="{793D672F-2B51-42ED-813D-33CBCAE33BC3}"/>
    <cellStyle name="Normal 16 5 4" xfId="25986" xr:uid="{68674F9B-9D57-4D5C-9A3D-1C577D1BA288}"/>
    <cellStyle name="Normal 16 5 4 2" xfId="25987" xr:uid="{759248F0-1E75-4249-B326-9628F8D15DA1}"/>
    <cellStyle name="Normal 16 5 4 2 2" xfId="25988" xr:uid="{EA1C709A-AC1D-4FAE-B39A-D96AE9B6E101}"/>
    <cellStyle name="Normal 16 5 4 3" xfId="25989" xr:uid="{1640C5E3-2F36-42BC-81DF-6E7FC3579AE5}"/>
    <cellStyle name="Normal 16 5 5" xfId="25990" xr:uid="{51B89DFA-A4FD-4266-9706-DA6C05E60B1E}"/>
    <cellStyle name="Normal 16 5 5 2" xfId="25991" xr:uid="{37224D14-360C-49DF-9751-F6DCACB68932}"/>
    <cellStyle name="Normal 16 5 6" xfId="25992" xr:uid="{1477808A-4892-40E6-B3BB-2963D6DD4B60}"/>
    <cellStyle name="Normal 16 6" xfId="25993" xr:uid="{5CCABA45-D098-43A4-80C0-D4402BF6CFF8}"/>
    <cellStyle name="Normal 16 6 2" xfId="25994" xr:uid="{35C338E3-1D95-4FBE-B644-275534320CB2}"/>
    <cellStyle name="Normal 16 6 2 2" xfId="25995" xr:uid="{B724D007-C271-4A70-8410-872608B11091}"/>
    <cellStyle name="Normal 16 6 2 2 2" xfId="25996" xr:uid="{FF6846FC-D81A-47C6-A68C-A3D5982856DE}"/>
    <cellStyle name="Normal 16 6 2 2 2 2" xfId="25997" xr:uid="{3F2760B8-0932-4798-93D3-40C01632B158}"/>
    <cellStyle name="Normal 16 6 2 2 3" xfId="25998" xr:uid="{3934E82F-96A3-4787-9D0C-522EA5D64FDA}"/>
    <cellStyle name="Normal 16 6 2 3" xfId="25999" xr:uid="{28C61615-994D-4E61-B21C-67D225BBC745}"/>
    <cellStyle name="Normal 16 6 2 3 2" xfId="26000" xr:uid="{C43BDC90-0FD5-4190-8FDD-039C93AE95F5}"/>
    <cellStyle name="Normal 16 6 2 3 2 2" xfId="26001" xr:uid="{FAD39A29-D494-4C6C-85DE-6626D38B0C76}"/>
    <cellStyle name="Normal 16 6 2 3 3" xfId="26002" xr:uid="{103E4F50-8340-4E4C-932A-99AED693E864}"/>
    <cellStyle name="Normal 16 6 2 4" xfId="26003" xr:uid="{6083D27D-5C1C-4D94-87E0-8E58CA8B8527}"/>
    <cellStyle name="Normal 16 6 2 4 2" xfId="26004" xr:uid="{3EC2CDA1-0653-410D-BB3D-F6ACDAA41B92}"/>
    <cellStyle name="Normal 16 6 2 5" xfId="26005" xr:uid="{7D24FA0C-A900-419F-A1A7-56C70962E31E}"/>
    <cellStyle name="Normal 16 6 3" xfId="26006" xr:uid="{1FABF774-BDE8-46E1-A3B1-30A5714D14BF}"/>
    <cellStyle name="Normal 16 6 3 2" xfId="26007" xr:uid="{5CF10C66-D9E2-4682-986F-83ECE243147E}"/>
    <cellStyle name="Normal 16 6 3 2 2" xfId="26008" xr:uid="{15C509EB-020B-4901-89B9-0DB220DC3FEF}"/>
    <cellStyle name="Normal 16 6 3 3" xfId="26009" xr:uid="{D19BAE5F-2470-4A97-A0FB-3DB59BE82212}"/>
    <cellStyle name="Normal 16 6 4" xfId="26010" xr:uid="{A8F85D25-80E4-4A84-B001-34DC64E1F61E}"/>
    <cellStyle name="Normal 16 6 4 2" xfId="26011" xr:uid="{252FAB00-047D-440E-89B7-FAC5F5B0DB06}"/>
    <cellStyle name="Normal 16 6 4 2 2" xfId="26012" xr:uid="{2999E0B5-44FE-4408-BFF3-9F177349AA29}"/>
    <cellStyle name="Normal 16 6 4 3" xfId="26013" xr:uid="{564BF046-D052-4360-965D-768560D3B419}"/>
    <cellStyle name="Normal 16 6 5" xfId="26014" xr:uid="{028F8F3E-180B-488A-94D3-AC4358E56CD0}"/>
    <cellStyle name="Normal 16 6 5 2" xfId="26015" xr:uid="{E7BEE17E-8D20-4DC4-A30E-EE20B0CA16FE}"/>
    <cellStyle name="Normal 16 6 6" xfId="26016" xr:uid="{5674FD61-0F5F-47D1-A725-F609C5D06C34}"/>
    <cellStyle name="Normal 16 7" xfId="26017" xr:uid="{5D59BD32-E039-45DA-9F6D-EBBBEE91E0B7}"/>
    <cellStyle name="Normal 16 7 2" xfId="26018" xr:uid="{A1935F65-5039-43BD-A190-731ED6C37AC4}"/>
    <cellStyle name="Normal 16 7 2 2" xfId="26019" xr:uid="{9F35B525-F0F0-4C79-A964-E8F13BB84328}"/>
    <cellStyle name="Normal 16 7 2 2 2" xfId="26020" xr:uid="{C9B45E84-F5BB-41A3-8080-3B8BDCC9FF2C}"/>
    <cellStyle name="Normal 16 7 2 2 2 2" xfId="26021" xr:uid="{C4542F9F-4BAD-4874-958F-1553169E0BF2}"/>
    <cellStyle name="Normal 16 7 2 2 3" xfId="26022" xr:uid="{7D0104E9-B90E-4ABB-B355-5910F8C3E5ED}"/>
    <cellStyle name="Normal 16 7 2 3" xfId="26023" xr:uid="{5D9BBF2D-2856-4ABB-9F1D-02FA5461700F}"/>
    <cellStyle name="Normal 16 7 2 3 2" xfId="26024" xr:uid="{E9DF054C-2AA4-43F3-B913-23D9B1CDEA4D}"/>
    <cellStyle name="Normal 16 7 2 3 2 2" xfId="26025" xr:uid="{72B026AD-6DB3-4BE2-A158-A25FBB959075}"/>
    <cellStyle name="Normal 16 7 2 3 3" xfId="26026" xr:uid="{C93713DC-A9DC-4E49-B855-FBA7D712557F}"/>
    <cellStyle name="Normal 16 7 2 4" xfId="26027" xr:uid="{CAD557B3-6744-4491-9405-53633F2A2113}"/>
    <cellStyle name="Normal 16 7 2 4 2" xfId="26028" xr:uid="{4CF8228D-98B0-4219-8C2E-804E921355FD}"/>
    <cellStyle name="Normal 16 7 2 5" xfId="26029" xr:uid="{5F717B6E-1691-4A52-B001-C058061CFC60}"/>
    <cellStyle name="Normal 16 7 3" xfId="26030" xr:uid="{E6A4C57D-405F-4A29-B73B-15BE5B5FADAB}"/>
    <cellStyle name="Normal 16 7 3 2" xfId="26031" xr:uid="{6EC6F564-546F-4D6C-B9C7-9BC9A02292BA}"/>
    <cellStyle name="Normal 16 7 3 2 2" xfId="26032" xr:uid="{D67CAD1B-A206-43C6-9453-754A7C5EC465}"/>
    <cellStyle name="Normal 16 7 3 3" xfId="26033" xr:uid="{9A852121-AE9C-4FCB-8E02-594E075146B2}"/>
    <cellStyle name="Normal 16 7 4" xfId="26034" xr:uid="{3E28D1B5-9EBB-4339-9995-9C16583A897E}"/>
    <cellStyle name="Normal 16 7 4 2" xfId="26035" xr:uid="{A40F8F32-F41A-46C2-982B-D7FDFBA8816D}"/>
    <cellStyle name="Normal 16 7 4 2 2" xfId="26036" xr:uid="{2FB7C369-D6E2-40F0-B814-E171C17C8964}"/>
    <cellStyle name="Normal 16 7 4 3" xfId="26037" xr:uid="{6E5F619A-A515-4223-BA4D-48106E6FEF63}"/>
    <cellStyle name="Normal 16 7 5" xfId="26038" xr:uid="{015F48DB-1653-44BE-B7D9-1BB783843126}"/>
    <cellStyle name="Normal 16 7 5 2" xfId="26039" xr:uid="{25EFCDD1-BBDD-46BF-83E9-4E82A1D14C23}"/>
    <cellStyle name="Normal 16 7 6" xfId="26040" xr:uid="{F9C6698B-4037-4FFC-AE97-4161D5ECFDB8}"/>
    <cellStyle name="Normal 16 8" xfId="26041" xr:uid="{E3C0496E-B92E-4095-A09E-0222F31062AC}"/>
    <cellStyle name="Normal 16 8 2" xfId="26042" xr:uid="{57630DF1-41C6-4418-80E4-796D09B50A4B}"/>
    <cellStyle name="Normal 16 8 2 2" xfId="26043" xr:uid="{D242BC10-6504-4885-8536-C2BC858DA770}"/>
    <cellStyle name="Normal 16 8 2 2 2" xfId="26044" xr:uid="{FA4210B0-4A79-431B-A4C7-32762EF84F80}"/>
    <cellStyle name="Normal 16 8 2 2 2 2" xfId="26045" xr:uid="{53E4D69B-0611-4402-B9CB-4F041CD6B355}"/>
    <cellStyle name="Normal 16 8 2 2 3" xfId="26046" xr:uid="{A5F56183-7D91-4702-9F6F-953F5A65629C}"/>
    <cellStyle name="Normal 16 8 2 3" xfId="26047" xr:uid="{E47BF278-15FA-4CEF-B314-2F7772972A86}"/>
    <cellStyle name="Normal 16 8 2 3 2" xfId="26048" xr:uid="{DC126907-DD64-490A-A9F5-F2B187C8FC0D}"/>
    <cellStyle name="Normal 16 8 2 3 2 2" xfId="26049" xr:uid="{6F63C4B1-72CB-4399-97C5-10B33AC04303}"/>
    <cellStyle name="Normal 16 8 2 3 3" xfId="26050" xr:uid="{ABD58D41-3E8F-4757-B5D4-74F5E7CE0CC0}"/>
    <cellStyle name="Normal 16 8 2 4" xfId="26051" xr:uid="{16A196BF-4895-4ED9-8692-A99BA023233F}"/>
    <cellStyle name="Normal 16 8 2 4 2" xfId="26052" xr:uid="{4776A50A-1545-49EA-895D-FFD4A431D66A}"/>
    <cellStyle name="Normal 16 8 2 5" xfId="26053" xr:uid="{574B9E94-A25F-49B1-B121-D82FA1BD0421}"/>
    <cellStyle name="Normal 16 8 3" xfId="26054" xr:uid="{E70250F7-18CE-4BF2-B2D0-0E92CCD136A6}"/>
    <cellStyle name="Normal 16 8 3 2" xfId="26055" xr:uid="{FF741F70-0FF2-49A8-98D4-6BC8043FBECD}"/>
    <cellStyle name="Normal 16 8 3 2 2" xfId="26056" xr:uid="{D0D13979-46F8-4F54-BA1D-0DF3EED4B619}"/>
    <cellStyle name="Normal 16 8 3 3" xfId="26057" xr:uid="{AAD7CD2C-625F-45E1-8BD5-316F53F10601}"/>
    <cellStyle name="Normal 16 8 4" xfId="26058" xr:uid="{FC039C50-631C-4B15-AC88-0E58E1A587A2}"/>
    <cellStyle name="Normal 16 8 4 2" xfId="26059" xr:uid="{82544D20-8E2B-44A3-AC39-BFB91C7366BE}"/>
    <cellStyle name="Normal 16 8 4 2 2" xfId="26060" xr:uid="{0C341164-D2F2-48CC-BFDC-A1CD71E3DDFB}"/>
    <cellStyle name="Normal 16 8 4 3" xfId="26061" xr:uid="{60FFBCFF-388E-49B8-ABFB-71C550CE9C42}"/>
    <cellStyle name="Normal 16 8 5" xfId="26062" xr:uid="{718A5FF0-29B5-40EC-A7D3-53F8AEEE5D41}"/>
    <cellStyle name="Normal 16 8 5 2" xfId="26063" xr:uid="{81D561B4-6507-49EF-93D3-B01D9E89BD57}"/>
    <cellStyle name="Normal 16 8 6" xfId="26064" xr:uid="{A1BA14C6-06E0-4EBA-84A3-949532468748}"/>
    <cellStyle name="Normal 16 9" xfId="26065" xr:uid="{11CAD407-324E-4727-B321-3F42ABE6C59A}"/>
    <cellStyle name="Normal 16 9 2" xfId="26066" xr:uid="{78BB41EE-D2A9-48C7-AA94-28EBB6085CE0}"/>
    <cellStyle name="Normal 16 9 2 2" xfId="26067" xr:uid="{75687DA6-D4A4-4129-9A56-0D220D3ABBBF}"/>
    <cellStyle name="Normal 16 9 2 2 2" xfId="26068" xr:uid="{4690C376-58E3-4E36-A760-DB8558122461}"/>
    <cellStyle name="Normal 16 9 2 2 2 2" xfId="26069" xr:uid="{D753F0C8-13CC-4E06-9BCB-3A018F57B6A1}"/>
    <cellStyle name="Normal 16 9 2 2 3" xfId="26070" xr:uid="{6B6B8D17-D965-436F-B733-B29D20D7190F}"/>
    <cellStyle name="Normal 16 9 2 3" xfId="26071" xr:uid="{7119EE84-1835-4DB1-BB6F-93BD4E643A1C}"/>
    <cellStyle name="Normal 16 9 2 3 2" xfId="26072" xr:uid="{5590245D-F0C3-4C0E-BE49-89FDDF20FA80}"/>
    <cellStyle name="Normal 16 9 2 3 2 2" xfId="26073" xr:uid="{56DEBEF4-68A9-4B3E-8F52-49FAC6D5199E}"/>
    <cellStyle name="Normal 16 9 2 3 3" xfId="26074" xr:uid="{84274FF2-0FA5-4C44-8AAF-C14C12C926B9}"/>
    <cellStyle name="Normal 16 9 2 4" xfId="26075" xr:uid="{0EE4BD8B-97A0-4B2C-B1C7-706F620D6E2B}"/>
    <cellStyle name="Normal 16 9 2 4 2" xfId="26076" xr:uid="{A80AF149-5197-4733-A418-10BD1F73EA95}"/>
    <cellStyle name="Normal 16 9 2 5" xfId="26077" xr:uid="{1295DF27-AD9E-486C-AC12-5DD00BD956AD}"/>
    <cellStyle name="Normal 16 9 3" xfId="26078" xr:uid="{AD1828A5-BB29-48BD-90BB-4005691440CC}"/>
    <cellStyle name="Normal 16 9 3 2" xfId="26079" xr:uid="{F2239355-0862-483A-803E-1F7C08899600}"/>
    <cellStyle name="Normal 16 9 3 2 2" xfId="26080" xr:uid="{D88869B2-890B-4E6D-BC5C-B789FEDB2CDC}"/>
    <cellStyle name="Normal 16 9 3 3" xfId="26081" xr:uid="{27E0FA43-1934-4942-A251-B51AD2672CC7}"/>
    <cellStyle name="Normal 16 9 4" xfId="26082" xr:uid="{1A758006-1919-45A3-9394-5498ECD44AA0}"/>
    <cellStyle name="Normal 16 9 4 2" xfId="26083" xr:uid="{F66C2A85-B362-4D24-88EA-59C37AAEC91B}"/>
    <cellStyle name="Normal 16 9 4 2 2" xfId="26084" xr:uid="{D0F07FE5-3021-4F93-8985-06879D68B52E}"/>
    <cellStyle name="Normal 16 9 4 3" xfId="26085" xr:uid="{ED52C526-1D35-4B11-9D05-DADAA1ED94E0}"/>
    <cellStyle name="Normal 16 9 5" xfId="26086" xr:uid="{FA6DD76A-DF2B-480D-91C5-C51B0F646C26}"/>
    <cellStyle name="Normal 16 9 5 2" xfId="26087" xr:uid="{1895B5F0-7E3D-4EA1-8980-4F2757CF583A}"/>
    <cellStyle name="Normal 16 9 6" xfId="26088" xr:uid="{F332C786-2903-4B19-AC0B-2DE8F59C023F}"/>
    <cellStyle name="Normal 160" xfId="26089" xr:uid="{D8375F3B-748E-4500-AF9D-F5F00354A9BD}"/>
    <cellStyle name="Normal 161" xfId="26090" xr:uid="{D4861861-6356-42D1-976B-4A6BD47A4070}"/>
    <cellStyle name="Normal 162" xfId="26091" xr:uid="{B8B4C349-41B1-4F94-86CF-BD7F8F581A55}"/>
    <cellStyle name="Normal 163" xfId="26092" xr:uid="{25A37330-6B32-4136-B5DF-FB877530C3B2}"/>
    <cellStyle name="Normal 164" xfId="26093" xr:uid="{63725A8A-79B4-4831-8886-3BA75E14E5BF}"/>
    <cellStyle name="Normal 165" xfId="26094" xr:uid="{E0CEE138-A909-4420-AF88-AFCDAAC86D6B}"/>
    <cellStyle name="Normal 166" xfId="26095" xr:uid="{09528C9D-B705-4B6E-A450-6749F6288A21}"/>
    <cellStyle name="Normal 167" xfId="26096" xr:uid="{7791EED0-AEDD-4D78-B224-20629C982D91}"/>
    <cellStyle name="Normal 168" xfId="26097" xr:uid="{4BB90CA1-66FA-4FC1-9E7B-EB662A622C55}"/>
    <cellStyle name="Normal 169" xfId="39033" xr:uid="{42344B0D-D05B-46B2-A1B4-5B37021066A1}"/>
    <cellStyle name="Normal 17" xfId="26098" xr:uid="{EEC5CEBE-3087-4F5C-B287-B448E1D713E0}"/>
    <cellStyle name="Normal 17 2" xfId="26099" xr:uid="{4BF7B5E5-2A73-4A46-9EAA-3CC17ABD85BD}"/>
    <cellStyle name="Normal 17 2 2" xfId="26100" xr:uid="{379338A1-19DA-4236-B2FD-52B263A40726}"/>
    <cellStyle name="Normal 17 2 2 2" xfId="26101" xr:uid="{F7D5D345-9E29-480F-A0EA-94BC76F672A4}"/>
    <cellStyle name="Normal 17 2 2 2 2" xfId="26102" xr:uid="{321DF25F-B893-40D3-9742-24C4EAF01BB2}"/>
    <cellStyle name="Normal 17 2 2 3" xfId="26103" xr:uid="{6A077546-F6C9-452A-9AB4-DF7611CFC7F9}"/>
    <cellStyle name="Normal 17 2 3" xfId="26104" xr:uid="{02824E65-AE2E-4C78-9C12-9A01A1FB51E0}"/>
    <cellStyle name="Normal 17 2 3 2" xfId="26105" xr:uid="{DC108A28-52FD-4DB5-8666-1BFAF785B6F5}"/>
    <cellStyle name="Normal 17 2 3 2 2" xfId="26106" xr:uid="{BA48871F-988B-4894-A644-0082BA9AE7C6}"/>
    <cellStyle name="Normal 17 2 3 3" xfId="26107" xr:uid="{9248AC30-7682-458B-AF40-61C4DD5D7765}"/>
    <cellStyle name="Normal 17 2 4" xfId="26108" xr:uid="{BFCDF26D-63E9-4A6D-93FB-D3ECABE4E335}"/>
    <cellStyle name="Normal 17 2 4 2" xfId="26109" xr:uid="{D9FD5CD6-1EB3-4F0D-84C3-23B0643C7CA4}"/>
    <cellStyle name="Normal 17 2 5" xfId="26110" xr:uid="{68479D61-D79F-45DA-9573-7CAC2CCAE918}"/>
    <cellStyle name="Normal 17 2 6" xfId="39034" xr:uid="{F9DF6784-7D8B-4CD2-881B-0DED7E766BFB}"/>
    <cellStyle name="Normal 17 3" xfId="26111" xr:uid="{A96C9DA8-E567-4B9A-B99E-3AECA9C3E621}"/>
    <cellStyle name="Normal 17 3 2" xfId="26112" xr:uid="{282F3838-2F3A-42FD-A0E6-918E4CC571DB}"/>
    <cellStyle name="Normal 17 3 2 2" xfId="26113" xr:uid="{FF973DF6-AA98-4843-A00A-09F361A895E5}"/>
    <cellStyle name="Normal 17 3 3" xfId="26114" xr:uid="{196F0A87-DEA2-4F4B-95A4-EC9944DF7631}"/>
    <cellStyle name="Normal 17 3 4" xfId="39035" xr:uid="{29D35166-24FB-4220-B5B0-A1E4D214165A}"/>
    <cellStyle name="Normal 17 4" xfId="26115" xr:uid="{E4B6F537-4A50-4DAB-B785-ADF75FDAC567}"/>
    <cellStyle name="Normal 17 4 2" xfId="26116" xr:uid="{495C4CC0-EC6C-491D-8EB6-E9005C87CAE8}"/>
    <cellStyle name="Normal 17 4 2 2" xfId="26117" xr:uid="{B747C04C-B412-4A86-8B91-126C23A1E9B2}"/>
    <cellStyle name="Normal 17 4 3" xfId="26118" xr:uid="{0982EB0A-733B-42AD-AE7C-DC55BBAFDA0C}"/>
    <cellStyle name="Normal 17 5" xfId="26119" xr:uid="{7FD215AC-68E9-4126-95D7-B4D7FB898B49}"/>
    <cellStyle name="Normal 17 5 2" xfId="26120" xr:uid="{33FD1ADA-41D5-4C38-A0E7-AF48F9962063}"/>
    <cellStyle name="Normal 17 6" xfId="26121" xr:uid="{0E0A100D-1839-429D-BC55-BF2A933FAA90}"/>
    <cellStyle name="Normal 17 7" xfId="39036" xr:uid="{1C04476D-9B7A-41FD-9E46-498A4562EEE7}"/>
    <cellStyle name="Normal 170" xfId="39591" xr:uid="{F0D2413C-FF66-4548-9EA6-0F9A6E016358}"/>
    <cellStyle name="Normal 18" xfId="26122" xr:uid="{0C64ABA8-B658-44D9-A7DE-E2960E6B633F}"/>
    <cellStyle name="Normal 18 2" xfId="26123" xr:uid="{274F1FE4-61A9-45ED-A225-146469747C38}"/>
    <cellStyle name="Normal 18 2 2" xfId="26124" xr:uid="{FB9365FA-161A-42F9-AF96-C86137FB2253}"/>
    <cellStyle name="Normal 18 2 2 2" xfId="26125" xr:uid="{812B435C-232C-4196-9955-BF095EA8904E}"/>
    <cellStyle name="Normal 18 2 2 2 2" xfId="26126" xr:uid="{0AE64209-51C8-4CA6-A2E9-3899DB638E24}"/>
    <cellStyle name="Normal 18 2 2 3" xfId="26127" xr:uid="{BDE5478B-A67F-4F28-9B55-0C1E947E80C9}"/>
    <cellStyle name="Normal 18 2 2 4" xfId="39037" xr:uid="{1809AB61-EFC3-480C-82A5-EBF97E36CBD8}"/>
    <cellStyle name="Normal 18 2 3" xfId="26128" xr:uid="{24C83E49-3966-4EC4-B96A-BCB36BA417C2}"/>
    <cellStyle name="Normal 18 2 3 2" xfId="26129" xr:uid="{68E2AFD9-F765-4652-B918-CC6E37D7862D}"/>
    <cellStyle name="Normal 18 2 3 2 2" xfId="26130" xr:uid="{79D6419B-664C-45BC-921A-DDE5BD868ABE}"/>
    <cellStyle name="Normal 18 2 3 3" xfId="26131" xr:uid="{5662D834-A734-4E6F-B836-0EA44A4D27C1}"/>
    <cellStyle name="Normal 18 2 3 4" xfId="39038" xr:uid="{B1DACE8E-B043-4A8D-83CB-1AA320AF4681}"/>
    <cellStyle name="Normal 18 2 4" xfId="26132" xr:uid="{A642A88E-1ECF-4137-99A8-320BB5B80934}"/>
    <cellStyle name="Normal 18 2 4 2" xfId="26133" xr:uid="{DA117814-BF53-4257-B246-3D6BA75E07E8}"/>
    <cellStyle name="Normal 18 2 5" xfId="26134" xr:uid="{E8B9CA96-B135-47E3-9FA0-7C3D6DE2725C}"/>
    <cellStyle name="Normal 18 2 6" xfId="39039" xr:uid="{5CB0A798-D90B-480D-9E9A-575608FB8FC2}"/>
    <cellStyle name="Normal 18 3" xfId="26135" xr:uid="{A6B2C173-C2C0-4F55-8A04-A76D3C44F917}"/>
    <cellStyle name="Normal 18 3 2" xfId="26136" xr:uid="{4657EDD1-C4BB-4091-9BCD-6365ECCA08DE}"/>
    <cellStyle name="Normal 18 3 2 2" xfId="26137" xr:uid="{7448D3B8-BEA1-423D-96A3-3DF816FDF4A5}"/>
    <cellStyle name="Normal 18 3 3" xfId="26138" xr:uid="{36ACABAE-1BE6-4067-BE13-405BC71F5886}"/>
    <cellStyle name="Normal 18 3 4" xfId="39040" xr:uid="{8E0AA279-7BE1-48F8-B581-782D6C348A30}"/>
    <cellStyle name="Normal 18 4" xfId="26139" xr:uid="{F859ACC8-00FE-45EE-BE82-87A382E4B079}"/>
    <cellStyle name="Normal 18 4 2" xfId="26140" xr:uid="{2033C151-F90A-485B-9BDB-AE167C5E4ACA}"/>
    <cellStyle name="Normal 18 4 2 2" xfId="26141" xr:uid="{5EC974AE-DD15-4BF1-994F-BE535A041B33}"/>
    <cellStyle name="Normal 18 4 3" xfId="26142" xr:uid="{B19BFC63-0FCE-4210-AED6-E65D86E33A04}"/>
    <cellStyle name="Normal 18 4 4" xfId="39041" xr:uid="{968C751E-A4DC-44AA-B414-4ECC9161550B}"/>
    <cellStyle name="Normal 18 5" xfId="26143" xr:uid="{76075F88-5DE9-4D65-B238-53A54921177E}"/>
    <cellStyle name="Normal 18 5 2" xfId="26144" xr:uid="{BFCA5386-C76C-4069-B354-7D2661523BDD}"/>
    <cellStyle name="Normal 18 5 3" xfId="39042" xr:uid="{7F80BA6D-5CA1-4321-B56F-A8810B169D53}"/>
    <cellStyle name="Normal 18 6" xfId="26145" xr:uid="{A5EF4490-1202-42AB-A27F-900E15BD4B00}"/>
    <cellStyle name="Normal 18 6 2" xfId="39043" xr:uid="{9700072E-58CD-4CD4-AB03-ECD1C04A576A}"/>
    <cellStyle name="Normal 18 7" xfId="39044" xr:uid="{2196A0DC-6E8E-4FD8-88E3-12C4E2C10F16}"/>
    <cellStyle name="Normal 18 8" xfId="39045" xr:uid="{1C52D265-0F59-436C-9CCA-FFDC7C0C62B4}"/>
    <cellStyle name="Normal 19" xfId="26146" xr:uid="{76D9C089-B5AF-462C-B41A-2B91274C990D}"/>
    <cellStyle name="Normal 19 2" xfId="26147" xr:uid="{6B8B499D-739E-4388-8A9D-B98D5E1FF83F}"/>
    <cellStyle name="Normal 19 2 2" xfId="26148" xr:uid="{6EE55836-5293-44E3-BA57-810437920FD5}"/>
    <cellStyle name="Normal 19 2 2 2" xfId="26149" xr:uid="{0872BF7C-144D-4DF4-BEDA-42F77AA77E9F}"/>
    <cellStyle name="Normal 19 2 2 2 2" xfId="26150" xr:uid="{46200D3B-EEE3-4925-B1C7-AFF42D67E11A}"/>
    <cellStyle name="Normal 19 2 2 2 2 2" xfId="26151" xr:uid="{B9DA8068-B92B-42C8-B82F-9DF1E5C9C7DC}"/>
    <cellStyle name="Normal 19 2 2 2 3" xfId="26152" xr:uid="{867728F4-825D-481E-96AB-58F33CB9D8C5}"/>
    <cellStyle name="Normal 19 2 2 3" xfId="26153" xr:uid="{BDE191F0-F497-41C3-8D21-3A19EC04B131}"/>
    <cellStyle name="Normal 19 2 2 3 2" xfId="26154" xr:uid="{6EFA1B8F-A071-4266-A264-69C18B68FD33}"/>
    <cellStyle name="Normal 19 2 2 3 2 2" xfId="26155" xr:uid="{601205E7-AB7E-44C3-B27A-B3FDE2CFF8D2}"/>
    <cellStyle name="Normal 19 2 2 3 3" xfId="26156" xr:uid="{E5D49CC8-7DA1-45FC-A1B8-30D8483C6AF1}"/>
    <cellStyle name="Normal 19 2 2 4" xfId="26157" xr:uid="{06E5C352-8F6E-44B6-A7E8-E3FF6CD988B7}"/>
    <cellStyle name="Normal 19 2 2 4 2" xfId="26158" xr:uid="{8A8A469C-1E7F-4224-BE41-446674B3A116}"/>
    <cellStyle name="Normal 19 2 2 5" xfId="26159" xr:uid="{7AEF0816-A1B6-4FEC-B358-61689742F24A}"/>
    <cellStyle name="Normal 19 2 3" xfId="26160" xr:uid="{23194F77-6389-401B-AD19-77EE93C1824C}"/>
    <cellStyle name="Normal 19 2 3 2" xfId="26161" xr:uid="{06CB1730-EC77-44D9-B60E-47C22FEEE653}"/>
    <cellStyle name="Normal 19 2 3 2 2" xfId="26162" xr:uid="{F96F25F1-E9B6-4B8C-9804-F22ABDAF8078}"/>
    <cellStyle name="Normal 19 2 3 3" xfId="26163" xr:uid="{E6F0D1A2-71BD-4D84-AAD6-EA0C19B861D7}"/>
    <cellStyle name="Normal 19 2 4" xfId="26164" xr:uid="{DC50AFE4-F616-41A8-86A1-B549D92FE48F}"/>
    <cellStyle name="Normal 19 2 4 2" xfId="26165" xr:uid="{4569F1F5-44D4-4854-9A77-A34E128081E5}"/>
    <cellStyle name="Normal 19 2 4 2 2" xfId="26166" xr:uid="{BC73E930-80E0-4D3A-BD2D-0E82EB79AA71}"/>
    <cellStyle name="Normal 19 2 4 3" xfId="26167" xr:uid="{4FE05CDE-2C78-449D-BB0D-60FD565665D6}"/>
    <cellStyle name="Normal 19 2 5" xfId="26168" xr:uid="{0A39514E-49E2-4189-80A8-DC3B268B1AC9}"/>
    <cellStyle name="Normal 19 2 5 2" xfId="26169" xr:uid="{7FFA0B58-0FBC-4EF9-B366-4828F0B1BE18}"/>
    <cellStyle name="Normal 19 2 6" xfId="26170" xr:uid="{38BAE0CD-9DE9-41C0-918C-3BF022BD2473}"/>
    <cellStyle name="Normal 19 2 7" xfId="39046" xr:uid="{6E3A2098-E907-4EB2-9140-4009A18E6F22}"/>
    <cellStyle name="Normal 19 3" xfId="26171" xr:uid="{FB203C63-4254-472A-B12B-BA33203B0887}"/>
    <cellStyle name="Normal 19 3 2" xfId="26172" xr:uid="{CEE4F05B-3CBD-456D-BA27-BDC33D4B85FA}"/>
    <cellStyle name="Normal 19 3 2 2" xfId="26173" xr:uid="{F9033757-595F-4EB1-9556-7CD9D6AFFD0C}"/>
    <cellStyle name="Normal 19 3 2 2 2" xfId="26174" xr:uid="{6842C31A-EF38-41AC-9C12-42D98E339650}"/>
    <cellStyle name="Normal 19 3 2 2 2 2" xfId="26175" xr:uid="{7C207AC6-56B8-4BEA-BC89-47ED3971B0C4}"/>
    <cellStyle name="Normal 19 3 2 2 3" xfId="26176" xr:uid="{3878A014-45FB-4B96-9A8F-0615344B5A92}"/>
    <cellStyle name="Normal 19 3 2 3" xfId="26177" xr:uid="{9400E20A-0DA0-49AB-81DD-8CA94F0750C2}"/>
    <cellStyle name="Normal 19 3 2 3 2" xfId="26178" xr:uid="{86B5F436-21B7-4657-ABB5-E14F1BA40C4B}"/>
    <cellStyle name="Normal 19 3 2 3 2 2" xfId="26179" xr:uid="{EFB6A2C4-0402-4C9D-8F88-D73A1C9A8692}"/>
    <cellStyle name="Normal 19 3 2 3 3" xfId="26180" xr:uid="{62ACAC9B-5ED4-4824-B725-46D67C911EBA}"/>
    <cellStyle name="Normal 19 3 2 4" xfId="26181" xr:uid="{56A881BE-901C-43CE-B8E5-FC7056F3D977}"/>
    <cellStyle name="Normal 19 3 2 4 2" xfId="26182" xr:uid="{C09AD20D-2AD2-47A6-851A-2B4FF89162EE}"/>
    <cellStyle name="Normal 19 3 2 5" xfId="26183" xr:uid="{7023E1D8-ECFE-4C3D-B723-62919C0B950E}"/>
    <cellStyle name="Normal 19 3 3" xfId="26184" xr:uid="{D12B5A79-B5D9-44DF-A026-3622C532E3C5}"/>
    <cellStyle name="Normal 19 3 3 2" xfId="26185" xr:uid="{2091F36B-5452-451F-B4C5-93885C33E45D}"/>
    <cellStyle name="Normal 19 3 3 2 2" xfId="26186" xr:uid="{784A0764-C5B3-4BAB-8297-FC7C34103D51}"/>
    <cellStyle name="Normal 19 3 3 3" xfId="26187" xr:uid="{8F6A04FE-59F6-48FC-9057-6F3BA1C13ED3}"/>
    <cellStyle name="Normal 19 3 4" xfId="26188" xr:uid="{BC985AE1-8258-4D6C-AB98-4356BE5FD8F1}"/>
    <cellStyle name="Normal 19 3 4 2" xfId="26189" xr:uid="{98BE17C9-82F7-4A14-8515-8742338625B3}"/>
    <cellStyle name="Normal 19 3 4 2 2" xfId="26190" xr:uid="{7C736750-189D-4B47-819E-D7B4CBABC425}"/>
    <cellStyle name="Normal 19 3 4 3" xfId="26191" xr:uid="{E2B3C542-222E-4BFF-80BC-30BA1B36D68D}"/>
    <cellStyle name="Normal 19 3 5" xfId="26192" xr:uid="{6318E0B7-F214-4DE0-919B-E2F69084EF47}"/>
    <cellStyle name="Normal 19 3 5 2" xfId="26193" xr:uid="{96B9009C-74EE-4D7B-8ACD-A1EB7DAD0C78}"/>
    <cellStyle name="Normal 19 3 6" xfId="26194" xr:uid="{4AAE4A7F-0B72-4202-9629-D44428140F18}"/>
    <cellStyle name="Normal 19 3 7" xfId="39047" xr:uid="{55946FC0-D1B5-469F-8DA6-F031B4F0E029}"/>
    <cellStyle name="Normal 19 4" xfId="26195" xr:uid="{AD4DBFEA-4D51-47FB-B9E7-9E95B7E544C7}"/>
    <cellStyle name="Normal 19 4 2" xfId="26196" xr:uid="{E6CECC45-5A4A-49CE-ACB0-A09CE05BD5AF}"/>
    <cellStyle name="Normal 19 4 2 2" xfId="26197" xr:uid="{5CAFEECF-201A-4F31-A072-DA87D253DBF3}"/>
    <cellStyle name="Normal 19 4 2 2 2" xfId="26198" xr:uid="{9F2657D8-405F-4B3A-8083-D7677EDE0351}"/>
    <cellStyle name="Normal 19 4 2 3" xfId="26199" xr:uid="{E7132935-4D45-46D1-B3D7-8BF60209CF10}"/>
    <cellStyle name="Normal 19 4 3" xfId="26200" xr:uid="{8BFA919D-8E55-492F-996D-E7F71E972073}"/>
    <cellStyle name="Normal 19 4 3 2" xfId="26201" xr:uid="{96DFA00F-96C4-461D-B5FC-E6DF1FCCCE64}"/>
    <cellStyle name="Normal 19 4 3 2 2" xfId="26202" xr:uid="{D7779393-8775-4784-A762-5EC194014514}"/>
    <cellStyle name="Normal 19 4 3 3" xfId="26203" xr:uid="{4E74BA5A-02FB-4FBA-93C4-CC5EE42DD1A6}"/>
    <cellStyle name="Normal 19 4 4" xfId="26204" xr:uid="{B40EDFE3-D06B-44B7-B0FF-DD20CF0B014A}"/>
    <cellStyle name="Normal 19 4 4 2" xfId="26205" xr:uid="{6B3DF7A5-A61E-4F93-887F-EFDA1C523915}"/>
    <cellStyle name="Normal 19 4 5" xfId="26206" xr:uid="{B083CAE5-CA18-4FD2-A848-A90FBA791D8E}"/>
    <cellStyle name="Normal 19 5" xfId="26207" xr:uid="{745922B4-BE94-4AE7-9579-042BEC4EA31C}"/>
    <cellStyle name="Normal 19 5 2" xfId="26208" xr:uid="{ADF28624-83BD-43B0-A09C-E5C55CD28FE5}"/>
    <cellStyle name="Normal 19 5 2 2" xfId="26209" xr:uid="{72C0542B-0BEE-42B8-BEF3-6BEFEDE13A00}"/>
    <cellStyle name="Normal 19 5 3" xfId="26210" xr:uid="{9DE60D9D-C127-4365-8193-35E912E18352}"/>
    <cellStyle name="Normal 19 6" xfId="26211" xr:uid="{9C2BD906-574C-46EB-A857-8A7728CFF9AD}"/>
    <cellStyle name="Normal 19 6 2" xfId="26212" xr:uid="{B8A8F75A-9E60-45D7-83E4-E8D3559ACA97}"/>
    <cellStyle name="Normal 19 6 2 2" xfId="26213" xr:uid="{ED217B76-AADA-4531-9C08-AC6F0786938E}"/>
    <cellStyle name="Normal 19 6 3" xfId="26214" xr:uid="{9FDA60B9-B209-433D-B8C7-3058C973C6B9}"/>
    <cellStyle name="Normal 19 7" xfId="26215" xr:uid="{BA6BE02C-02FB-4564-9745-6798083BF44C}"/>
    <cellStyle name="Normal 19 7 2" xfId="26216" xr:uid="{088BCE39-FED4-4516-932F-4193F7C8FB2A}"/>
    <cellStyle name="Normal 19 8" xfId="26217" xr:uid="{57E3DA27-9DF3-48F6-8D96-4B90C265C9AD}"/>
    <cellStyle name="Normal 19 9" xfId="39048" xr:uid="{7294F104-B1C6-4C95-8335-0B1BB5507E3B}"/>
    <cellStyle name="Normal 2" xfId="75" xr:uid="{D93530E1-EC8F-47BC-897F-3B23AA18BCDC}"/>
    <cellStyle name="Normal 2 10" xfId="26219" xr:uid="{671BBE57-A5E8-4E66-A185-0B0F17AD01A5}"/>
    <cellStyle name="Normal 2 10 2" xfId="26220" xr:uid="{3557906A-588F-49E4-BAE4-1BA08F76968E}"/>
    <cellStyle name="Normal 2 10 2 2" xfId="26221" xr:uid="{85D94DF6-1695-4329-923E-E921E59E10FF}"/>
    <cellStyle name="Normal 2 10 2 2 2" xfId="26222" xr:uid="{FAE8CC4C-1226-46B9-931E-77ACC5E93D3F}"/>
    <cellStyle name="Normal 2 10 2 2 2 2" xfId="26223" xr:uid="{B59D7107-568D-40CA-95AA-30DC5BFC1282}"/>
    <cellStyle name="Normal 2 10 2 3" xfId="26224" xr:uid="{4421F91D-FC41-499F-B89C-CDC818FFB3CE}"/>
    <cellStyle name="Normal 2 10 2 3 2" xfId="26225" xr:uid="{DDBE07B6-7331-4184-A2CB-4CF015A77182}"/>
    <cellStyle name="Normal 2 10 2 3 2 2" xfId="26226" xr:uid="{E5E3BDDB-8518-47AC-B4E8-600133283C72}"/>
    <cellStyle name="Normal 2 10 2 3 3" xfId="26227" xr:uid="{45810D5F-3921-4BF4-9071-2BBBA0C0F01B}"/>
    <cellStyle name="Normal 2 10 2 4" xfId="26228" xr:uid="{7584A1F4-4800-40E1-BFDF-D207B033CC27}"/>
    <cellStyle name="Normal 2 10 2 4 2" xfId="26229" xr:uid="{F345C929-649D-4C39-8E53-626F12718145}"/>
    <cellStyle name="Normal 2 10 3" xfId="26230" xr:uid="{01DCE837-668B-4DEC-86CF-0D02DC1659CE}"/>
    <cellStyle name="Normal 2 10 3 2" xfId="26231" xr:uid="{F86729BC-981C-4FE6-B7F3-C77D792E0011}"/>
    <cellStyle name="Normal 2 10 3 2 2" xfId="26232" xr:uid="{1C3AD64B-DD9F-46FC-B57C-8DDA8E9933A3}"/>
    <cellStyle name="Normal 2 10 3 3" xfId="26233" xr:uid="{BCFC0816-F431-48DA-89C3-3808DBC304BE}"/>
    <cellStyle name="Normal 2 10 4" xfId="26234" xr:uid="{472E6D4B-DE86-4681-94CC-34DC67C9CC73}"/>
    <cellStyle name="Normal 2 10 4 2" xfId="26235" xr:uid="{20C62035-0F1C-453F-8700-44CA6746E4DD}"/>
    <cellStyle name="Normal 2 10 4 2 2" xfId="26236" xr:uid="{E604F0D6-ABCE-45F5-9ECA-375F7C496360}"/>
    <cellStyle name="Normal 2 10 4 3" xfId="26237" xr:uid="{793A3DF7-5A42-45A0-9084-FEF944681CFB}"/>
    <cellStyle name="Normal 2 10 5" xfId="26238" xr:uid="{C12F1CE7-5CBF-420A-9FCF-9A9497211B97}"/>
    <cellStyle name="Normal 2 10 5 2" xfId="26239" xr:uid="{8C79C39A-EA8B-4DBB-BAAA-8F5C46976149}"/>
    <cellStyle name="Normal 2 10 6" xfId="26240" xr:uid="{75C6DD75-D7B4-451C-9C1F-D2DF40624AED}"/>
    <cellStyle name="Normal 2 11" xfId="26241" xr:uid="{8145732D-3345-4996-837E-444471D3CFB4}"/>
    <cellStyle name="Normal 2 11 2" xfId="26242" xr:uid="{578AF6B1-979E-455B-9B30-8BE5CFB4CE88}"/>
    <cellStyle name="Normal 2 11 2 2" xfId="26243" xr:uid="{50FE0C08-CD7C-4209-ACCE-9BD72985481A}"/>
    <cellStyle name="Normal 2 11 2 2 2" xfId="26244" xr:uid="{B9C2D6A7-FB1C-4BCA-901A-671E8F64C0B5}"/>
    <cellStyle name="Normal 2 11 2 2 2 2" xfId="26245" xr:uid="{2F527A09-BC4E-449D-84AF-C62FD044052B}"/>
    <cellStyle name="Normal 2 11 2 2 3" xfId="26246" xr:uid="{011497F2-D02A-48C4-A4D8-7A750B5E0E46}"/>
    <cellStyle name="Normal 2 11 2 3" xfId="26247" xr:uid="{67A1A200-218C-442B-B2F9-CB20F6BA5507}"/>
    <cellStyle name="Normal 2 11 2 3 2" xfId="26248" xr:uid="{3439D984-AB07-412B-B667-575B86AD8ED6}"/>
    <cellStyle name="Normal 2 11 2 3 2 2" xfId="26249" xr:uid="{02A38505-B583-428C-8381-6579BEA2B22B}"/>
    <cellStyle name="Normal 2 11 2 3 3" xfId="26250" xr:uid="{AD7C4AF0-2822-4E0D-8A39-EBE1431D9B1A}"/>
    <cellStyle name="Normal 2 11 2 4" xfId="26251" xr:uid="{B2D25891-E903-4509-95E0-A401CE32E8D6}"/>
    <cellStyle name="Normal 2 11 2 4 2" xfId="26252" xr:uid="{E3E926DE-521D-4B8A-8267-FC8FFE6CFE87}"/>
    <cellStyle name="Normal 2 11 2 5" xfId="26253" xr:uid="{F7D4B84C-A75C-43F9-933E-886FDAB737FA}"/>
    <cellStyle name="Normal 2 11 3" xfId="26254" xr:uid="{A209D9A6-3ECC-450E-B0D3-7EA0257A4AEB}"/>
    <cellStyle name="Normal 2 11 3 2" xfId="26255" xr:uid="{74D00184-9C5D-48D3-B7C9-4140038AC87A}"/>
    <cellStyle name="Normal 2 11 3 2 2" xfId="26256" xr:uid="{0000FA7A-0C69-4EFF-8658-13296A017848}"/>
    <cellStyle name="Normal 2 11 3 3" xfId="26257" xr:uid="{169395AA-64A5-4B47-B071-73DBE3DD38A3}"/>
    <cellStyle name="Normal 2 11 4" xfId="26258" xr:uid="{44C159DD-EE1E-486D-A488-726F01D4AB8A}"/>
    <cellStyle name="Normal 2 11 4 2" xfId="26259" xr:uid="{56B2F9D3-CD4D-46ED-8C5C-D71301237889}"/>
    <cellStyle name="Normal 2 11 4 2 2" xfId="26260" xr:uid="{C554D35A-51FE-417B-AE83-B3221A215251}"/>
    <cellStyle name="Normal 2 11 4 3" xfId="26261" xr:uid="{9190C0BC-B41F-43BC-AF06-4A8DC7E715EE}"/>
    <cellStyle name="Normal 2 11 5" xfId="26262" xr:uid="{E6B5CED0-4742-4153-AB91-647A1673F7B3}"/>
    <cellStyle name="Normal 2 11 5 2" xfId="26263" xr:uid="{B5D8C12D-1269-4B64-8BEA-03EDE1B23FEB}"/>
    <cellStyle name="Normal 2 11 6" xfId="26264" xr:uid="{45BC1608-163C-49C9-BE90-7397C0609168}"/>
    <cellStyle name="Normal 2 11 7" xfId="26265" xr:uid="{CCF48BAB-F9C4-42CD-8EF8-6B8D2703D2D5}"/>
    <cellStyle name="Normal 2 12" xfId="26266" xr:uid="{C6544B82-7228-4478-AC46-C8367ED16B3A}"/>
    <cellStyle name="Normal 2 12 2" xfId="26267" xr:uid="{5E646A21-2DAF-4353-AA52-9FA948CFA48D}"/>
    <cellStyle name="Normal 2 12 2 2" xfId="26268" xr:uid="{04E8416D-52D0-4E07-8411-05E4BB8D682B}"/>
    <cellStyle name="Normal 2 12 2 2 2" xfId="26269" xr:uid="{608123CD-015C-42DF-9246-041A93D028AC}"/>
    <cellStyle name="Normal 2 12 2 2 2 2" xfId="26270" xr:uid="{8FA42BC9-6D75-40C1-98DB-C5534E6E45ED}"/>
    <cellStyle name="Normal 2 12 2 2 3" xfId="26271" xr:uid="{10B46C65-44EF-453C-B276-8051AB5F78B2}"/>
    <cellStyle name="Normal 2 12 2 3" xfId="26272" xr:uid="{53E18204-CAF5-4357-8840-2AA6E907E46C}"/>
    <cellStyle name="Normal 2 12 2 3 2" xfId="26273" xr:uid="{8AE30AE9-848D-4275-953C-BD30378B1DCD}"/>
    <cellStyle name="Normal 2 12 2 3 2 2" xfId="26274" xr:uid="{C1D1863A-079D-4A8D-B5C0-C8272982C676}"/>
    <cellStyle name="Normal 2 12 2 3 3" xfId="26275" xr:uid="{604CE87C-3163-4100-9CD7-5EF49F7631EF}"/>
    <cellStyle name="Normal 2 12 2 4" xfId="26276" xr:uid="{A4631223-C53D-43DB-89E1-DE9FC5124A62}"/>
    <cellStyle name="Normal 2 12 2 4 2" xfId="26277" xr:uid="{57D926AD-51DB-4922-A9D1-C2673B487304}"/>
    <cellStyle name="Normal 2 12 2 5" xfId="26278" xr:uid="{5B9AA1BE-D108-4F69-BD04-BBFB930C22E4}"/>
    <cellStyle name="Normal 2 12 3" xfId="26279" xr:uid="{09863C6F-D924-4353-B3BF-F24BF699B9FB}"/>
    <cellStyle name="Normal 2 12 3 2" xfId="26280" xr:uid="{DF445B3C-69B1-4D60-907C-2F6AE1403BBC}"/>
    <cellStyle name="Normal 2 12 3 2 2" xfId="26281" xr:uid="{6281C11C-87B6-4AD4-82A5-981C246FA6BF}"/>
    <cellStyle name="Normal 2 12 3 3" xfId="26282" xr:uid="{3AE3CE16-42CF-4AAA-BA35-9B69440A618F}"/>
    <cellStyle name="Normal 2 12 4" xfId="26283" xr:uid="{91499F9C-FEE9-4C01-B51B-73DD673CCADE}"/>
    <cellStyle name="Normal 2 12 4 2" xfId="26284" xr:uid="{D2BE1622-926A-483E-A70A-5879240D33C2}"/>
    <cellStyle name="Normal 2 12 4 2 2" xfId="26285" xr:uid="{CA768407-EF39-43BA-A36D-41F662597447}"/>
    <cellStyle name="Normal 2 12 4 3" xfId="26286" xr:uid="{733CB2CC-ED73-4620-ACFB-9AF06F98CC47}"/>
    <cellStyle name="Normal 2 12 5" xfId="26287" xr:uid="{306831FB-2A7B-4E91-867F-8C06E1983130}"/>
    <cellStyle name="Normal 2 12 5 2" xfId="26288" xr:uid="{782EB1ED-BB10-46BB-BE47-07BBDD0B413D}"/>
    <cellStyle name="Normal 2 13" xfId="26289" xr:uid="{B2027C92-0DB2-4750-BD54-FA7166E78256}"/>
    <cellStyle name="Normal 2 13 2" xfId="26290" xr:uid="{6341CC2C-0DAF-4659-BA93-A21862824496}"/>
    <cellStyle name="Normal 2 13 2 2" xfId="26291" xr:uid="{0CA1E2B5-9943-4023-8D04-D75B390B82F9}"/>
    <cellStyle name="Normal 2 13 2 2 2" xfId="26292" xr:uid="{8C2F3F7D-85CB-4EF1-8D93-E5E0F88E718C}"/>
    <cellStyle name="Normal 2 13 2 2 2 2" xfId="26293" xr:uid="{EC8EEB2A-93DD-4AD9-8B78-30E8DAC94D29}"/>
    <cellStyle name="Normal 2 13 2 2 3" xfId="26294" xr:uid="{23787104-8931-4BD3-9F02-C9D019DD3DB6}"/>
    <cellStyle name="Normal 2 13 2 3" xfId="26295" xr:uid="{9F4500E3-BD1F-4A4A-8A2E-2EBC04EAA871}"/>
    <cellStyle name="Normal 2 13 2 3 2" xfId="26296" xr:uid="{B57682A6-FECD-4366-915D-0F433662557C}"/>
    <cellStyle name="Normal 2 13 2 3 2 2" xfId="26297" xr:uid="{922B7F7E-8667-4A02-83F1-EB7DB9A3024F}"/>
    <cellStyle name="Normal 2 13 2 3 3" xfId="26298" xr:uid="{3C2EEEB1-99BF-4D1C-8809-B329A02F67DD}"/>
    <cellStyle name="Normal 2 13 2 4" xfId="26299" xr:uid="{615F2875-1685-4F18-B878-B46B7FCC6CE1}"/>
    <cellStyle name="Normal 2 13 2 4 2" xfId="26300" xr:uid="{43D58DE3-BB67-4D6B-9B7A-EDFC98809DF6}"/>
    <cellStyle name="Normal 2 13 2 5" xfId="26301" xr:uid="{CD6CE39B-ACA4-49FD-88B6-1CCEB4075FB6}"/>
    <cellStyle name="Normal 2 13 3" xfId="26302" xr:uid="{778DC2FD-7568-4A65-8436-DF5B3B5D00BC}"/>
    <cellStyle name="Normal 2 13 3 2" xfId="26303" xr:uid="{420BCB74-DD35-4F12-878F-F36B26DF7211}"/>
    <cellStyle name="Normal 2 13 3 2 2" xfId="26304" xr:uid="{AE4EA51B-4729-4E85-8FAB-E31CC0DB995A}"/>
    <cellStyle name="Normal 2 13 3 3" xfId="26305" xr:uid="{8D132FA9-5431-4462-A046-6A36DB6D6F21}"/>
    <cellStyle name="Normal 2 13 4" xfId="26306" xr:uid="{BDDE9E4D-5E05-487E-8E38-8CF16E632C4C}"/>
    <cellStyle name="Normal 2 13 4 2" xfId="26307" xr:uid="{528354EA-E9C5-4D0E-A42C-3D689FCDBCFF}"/>
    <cellStyle name="Normal 2 13 4 2 2" xfId="26308" xr:uid="{FEE8635F-BEEB-4C3A-BCE2-0C2AE9B95ED8}"/>
    <cellStyle name="Normal 2 13 4 3" xfId="26309" xr:uid="{2B11C860-3034-4EFB-A958-D8E0D983D659}"/>
    <cellStyle name="Normal 2 13 5" xfId="26310" xr:uid="{D634881E-2C27-41CF-8AC0-422567F20102}"/>
    <cellStyle name="Normal 2 13 5 2" xfId="26311" xr:uid="{FFE62B25-61C6-4D48-8E09-7E735CB382D8}"/>
    <cellStyle name="Normal 2 13 6" xfId="26312" xr:uid="{0C2E114D-17E2-40D0-BD1F-20C650310A99}"/>
    <cellStyle name="Normal 2 14" xfId="26313" xr:uid="{91021E1B-40C0-4769-BE11-2F827EF3380B}"/>
    <cellStyle name="Normal 2 14 2" xfId="26314" xr:uid="{FAE80405-9501-4D47-BF76-3C07988CEC15}"/>
    <cellStyle name="Normal 2 14 2 2" xfId="26315" xr:uid="{715F5785-4AF4-42FE-93F2-D89A8DC13731}"/>
    <cellStyle name="Normal 2 14 2 2 2" xfId="26316" xr:uid="{DB0749FA-52D7-4043-8EC4-AF9E01E1AD12}"/>
    <cellStyle name="Normal 2 14 2 2 2 2" xfId="26317" xr:uid="{E017A4F4-806D-48A4-AB0F-FD988BE6E667}"/>
    <cellStyle name="Normal 2 14 2 2 3" xfId="26318" xr:uid="{3763F940-A9AC-43F1-975F-FA0CED3B6A4B}"/>
    <cellStyle name="Normal 2 14 2 3" xfId="26319" xr:uid="{D4AF058D-053F-42CE-8041-DA4190BA90A6}"/>
    <cellStyle name="Normal 2 14 2 3 2" xfId="26320" xr:uid="{9375EA6D-00CF-49A3-9600-506B499E16A6}"/>
    <cellStyle name="Normal 2 14 2 3 2 2" xfId="26321" xr:uid="{D5B7C41A-A5F0-48C1-95F4-1D63AAF03A24}"/>
    <cellStyle name="Normal 2 14 2 3 3" xfId="26322" xr:uid="{5937D852-6A01-4884-89BC-A41085D8DEED}"/>
    <cellStyle name="Normal 2 14 2 4" xfId="26323" xr:uid="{A149649A-FCD8-4C94-89B8-0020F8B6674C}"/>
    <cellStyle name="Normal 2 14 2 4 2" xfId="26324" xr:uid="{E1A09126-40D5-41CC-A5A0-C78129E3D844}"/>
    <cellStyle name="Normal 2 14 2 5" xfId="26325" xr:uid="{96DBB582-CFB0-44D6-A2DC-016E7804D225}"/>
    <cellStyle name="Normal 2 14 3" xfId="26326" xr:uid="{6752BED8-E3F0-42A1-9B53-CF4754C49ABE}"/>
    <cellStyle name="Normal 2 14 3 2" xfId="26327" xr:uid="{DAA98186-E88C-4414-B049-B83C760C0056}"/>
    <cellStyle name="Normal 2 14 3 2 2" xfId="26328" xr:uid="{49CB19BC-A505-4F07-9AE1-728C110EE4A7}"/>
    <cellStyle name="Normal 2 14 3 3" xfId="26329" xr:uid="{929BF107-76BA-4FE9-8642-C14F0F595387}"/>
    <cellStyle name="Normal 2 14 4" xfId="26330" xr:uid="{8F8760BD-B177-4CA8-941E-1B91E267F9C1}"/>
    <cellStyle name="Normal 2 14 4 2" xfId="26331" xr:uid="{CE3B6FF8-B66B-4C17-A8AC-DA865ED7EBA1}"/>
    <cellStyle name="Normal 2 14 4 2 2" xfId="26332" xr:uid="{DA9B111D-F971-4848-AD13-06B372209C03}"/>
    <cellStyle name="Normal 2 14 4 3" xfId="26333" xr:uid="{A2162453-6DDB-4F5B-9B57-17EF65029E2B}"/>
    <cellStyle name="Normal 2 14 5" xfId="26334" xr:uid="{A84E15A4-59D3-495A-8949-ADD57D8D5C32}"/>
    <cellStyle name="Normal 2 14 5 2" xfId="26335" xr:uid="{920B37AC-2A61-45FC-955B-322A12515AAC}"/>
    <cellStyle name="Normal 2 14 6" xfId="26336" xr:uid="{D65878F9-CA18-4454-AD49-BF0C8F47B518}"/>
    <cellStyle name="Normal 2 15" xfId="26337" xr:uid="{4D5A3D88-447E-47B3-9489-AF88A94CA958}"/>
    <cellStyle name="Normal 2 15 2" xfId="26338" xr:uid="{4169D97D-5797-4363-8DDD-17FCEE7624D2}"/>
    <cellStyle name="Normal 2 15 2 2" xfId="26339" xr:uid="{A5AED727-BE06-4DAD-B144-9908468AE740}"/>
    <cellStyle name="Normal 2 15 2 2 2" xfId="26340" xr:uid="{E611ECE6-9E27-4167-A87E-F94809AE620C}"/>
    <cellStyle name="Normal 2 15 2 3" xfId="26341" xr:uid="{81F1A417-AFC3-40DE-8F3C-C6F47007E52D}"/>
    <cellStyle name="Normal 2 15 3" xfId="26342" xr:uid="{FB555DFC-530F-41F2-AB6C-D19DD6E2A7A1}"/>
    <cellStyle name="Normal 2 15 3 2" xfId="26343" xr:uid="{D9DFBC6F-8AA3-4394-B70B-3AB78AD6DC3D}"/>
    <cellStyle name="Normal 2 15 3 2 2" xfId="26344" xr:uid="{C4F65CB7-68CA-445D-8F3D-D4080F828558}"/>
    <cellStyle name="Normal 2 15 3 3" xfId="26345" xr:uid="{4C96A8DF-8B8D-483D-BCA7-36730A54D294}"/>
    <cellStyle name="Normal 2 15 4" xfId="26346" xr:uid="{0F2EC829-4899-450B-9F48-BE5A60DBB295}"/>
    <cellStyle name="Normal 2 15 4 2" xfId="26347" xr:uid="{46FE7C66-B376-44BC-88E9-A9A788C75FD8}"/>
    <cellStyle name="Normal 2 15 5" xfId="26348" xr:uid="{AC033A20-9DAB-453A-8445-6724C3CBD600}"/>
    <cellStyle name="Normal 2 16" xfId="26349" xr:uid="{64B80BF1-8AF3-4158-83E8-917C253BFB7E}"/>
    <cellStyle name="Normal 2 16 2" xfId="26350" xr:uid="{8D6D1CBD-AD78-4A85-A63B-68488F76C1C6}"/>
    <cellStyle name="Normal 2 16 2 2" xfId="26351" xr:uid="{26C0A070-DB05-47C5-A780-D01E1FCB43E9}"/>
    <cellStyle name="Normal 2 16 3" xfId="26352" xr:uid="{1B1C8CCC-A2BF-40A3-B749-1120F6320FDA}"/>
    <cellStyle name="Normal 2 17" xfId="26353" xr:uid="{0641938F-41E5-4FC0-B2E2-430768EF0344}"/>
    <cellStyle name="Normal 2 17 2" xfId="26354" xr:uid="{8CC08B2C-C88B-435E-A510-13A8B101D36B}"/>
    <cellStyle name="Normal 2 17 2 2" xfId="26355" xr:uid="{DA8A5565-21E1-4202-ACAE-A8E52DDC3FC6}"/>
    <cellStyle name="Normal 2 17 3" xfId="26356" xr:uid="{449C5C60-F083-492E-84E7-CB788A37F95D}"/>
    <cellStyle name="Normal 2 18" xfId="26357" xr:uid="{70E5B90A-C4BF-4129-98D0-7FB6634C9637}"/>
    <cellStyle name="Normal 2 18 2" xfId="26358" xr:uid="{E9BFF7D9-C830-4477-A22B-5C2C39F2B1B1}"/>
    <cellStyle name="Normal 2 19" xfId="26359" xr:uid="{4E874E16-D949-4200-8901-86A742E0DAEA}"/>
    <cellStyle name="Normal 2 2" xfId="133" xr:uid="{A92BB9F1-FD91-4736-8C52-789E75AC5CA7}"/>
    <cellStyle name="Normal 2 2 2" xfId="138" xr:uid="{580DE8F6-9547-4A84-872D-910B9C7D9236}"/>
    <cellStyle name="Normal 2 2 2 2" xfId="26360" xr:uid="{3A870D48-2E53-4186-BBF4-DC2C2EAB9B4F}"/>
    <cellStyle name="Normal 2 2 2 2 2" xfId="39049" xr:uid="{97C54467-B149-487B-A5F0-D108E55AC2DF}"/>
    <cellStyle name="Normal 2 2 2 3" xfId="26361" xr:uid="{B01A7ACE-42DB-41C3-9CCC-3C9AD79743DF}"/>
    <cellStyle name="Normal 2 2 2 4" xfId="39050" xr:uid="{368C0E48-4BBC-49DA-8C11-C3F056B55A0A}"/>
    <cellStyle name="Normal 2 2 3" xfId="26362" xr:uid="{35F33A21-73C5-4BD0-9A4A-CCBFD02BBFBA}"/>
    <cellStyle name="Normal 2 2 3 2" xfId="26363" xr:uid="{7D3B42D4-5C42-4A80-BC81-4E35A34C49AC}"/>
    <cellStyle name="Normal 2 2 4" xfId="26364" xr:uid="{FE8B970B-CE9C-4415-A9C3-8A2EABC179E7}"/>
    <cellStyle name="Normal 2 2 4 2" xfId="39051" xr:uid="{E5AD0AE2-60F6-4809-99F8-24DB3D48F805}"/>
    <cellStyle name="Normal 2 2 5" xfId="26365" xr:uid="{37DA7FEB-3018-410E-AAEB-D72C1F28ECF7}"/>
    <cellStyle name="Normal 2 2 5 2" xfId="39052" xr:uid="{AAB17D33-6B20-4CF9-AC7A-73F2DD8A4B3D}"/>
    <cellStyle name="Normal 2 2 6" xfId="39053" xr:uid="{2DF532F4-3867-4581-BA77-CA410AD2E652}"/>
    <cellStyle name="Normal 2 2_API Supplier Info - Aspen Dossiers 24052012" xfId="26366" xr:uid="{CBEBFF10-2657-4DDE-8708-0917B84903DD}"/>
    <cellStyle name="Normal 2 20" xfId="26367" xr:uid="{F9A62FBA-0797-4E81-A455-4BDEE4AA9241}"/>
    <cellStyle name="Normal 2 21" xfId="26368" xr:uid="{9906B7AE-60BD-47A2-BB84-E07D6AA3D65C}"/>
    <cellStyle name="Normal 2 22" xfId="26369" xr:uid="{AD79E211-0A4D-4F98-92D8-790689EAAA12}"/>
    <cellStyle name="Normal 2 23" xfId="26370" xr:uid="{2204152B-6BCD-42D2-94D4-E1A7631D2CA6}"/>
    <cellStyle name="Normal 2 24" xfId="26371" xr:uid="{94760DC4-35C8-4B7E-ACAB-C8455C046C98}"/>
    <cellStyle name="Normal 2 25" xfId="26372" xr:uid="{E7A25889-10ED-4CE8-88D4-56745A12703F}"/>
    <cellStyle name="Normal 2 26" xfId="26373" xr:uid="{9537EE27-A9A0-4E03-A7EC-769111933153}"/>
    <cellStyle name="Normal 2 27" xfId="26374" xr:uid="{F0D02255-4C8B-439C-A458-832DD04660B8}"/>
    <cellStyle name="Normal 2 28" xfId="26375" xr:uid="{35B26E9C-9623-4FB7-A0CF-DF3A9C9AEA1A}"/>
    <cellStyle name="Normal 2 29" xfId="26376" xr:uid="{91AFF109-F6D3-4CA8-9050-7244F86C356C}"/>
    <cellStyle name="Normal 2 3" xfId="134" xr:uid="{AFA53679-0139-4E0E-8ECC-90E254C2EDCD}"/>
    <cellStyle name="Normal 2 3 10" xfId="26378" xr:uid="{8280E04F-9F48-4B33-BC6B-71847476015D}"/>
    <cellStyle name="Normal 2 3 10 2" xfId="26379" xr:uid="{B2D0FB0E-7AFD-4316-B1CA-03082B8CE19B}"/>
    <cellStyle name="Normal 2 3 10 2 2" xfId="26380" xr:uid="{078F875F-9470-49A3-B6DA-5C60B85CC81D}"/>
    <cellStyle name="Normal 2 3 10 2 2 2" xfId="26381" xr:uid="{B3FF1D30-2B5C-4C89-BBC4-9F5272E82C3E}"/>
    <cellStyle name="Normal 2 3 10 2 2 2 2" xfId="26382" xr:uid="{22CDDD74-F28D-4B3E-945A-FC6AFC854FF5}"/>
    <cellStyle name="Normal 2 3 10 2 2 3" xfId="26383" xr:uid="{5AE411AE-54EC-4B42-A173-4017BF965374}"/>
    <cellStyle name="Normal 2 3 10 2 3" xfId="26384" xr:uid="{D99446C6-DCCC-432A-8B66-E60E36BD3A14}"/>
    <cellStyle name="Normal 2 3 10 2 3 2" xfId="26385" xr:uid="{D8861605-C27E-455E-AED0-0501D91617EA}"/>
    <cellStyle name="Normal 2 3 10 2 3 2 2" xfId="26386" xr:uid="{3DAE00E0-F0D4-47E8-A456-CB6652E456CD}"/>
    <cellStyle name="Normal 2 3 10 2 3 3" xfId="26387" xr:uid="{729079DC-5533-478F-B32C-A1C4B1A54CA8}"/>
    <cellStyle name="Normal 2 3 10 2 4" xfId="26388" xr:uid="{385278C9-8963-4218-82CC-5FECB9AD04C2}"/>
    <cellStyle name="Normal 2 3 10 2 4 2" xfId="26389" xr:uid="{1E15EFF9-823E-4168-8E64-47E75CB57B38}"/>
    <cellStyle name="Normal 2 3 10 2 5" xfId="26390" xr:uid="{E7DE1217-1541-472F-8B78-1ACCA99883D7}"/>
    <cellStyle name="Normal 2 3 10 3" xfId="26391" xr:uid="{038F74B6-1358-4814-87B9-98B46B174D55}"/>
    <cellStyle name="Normal 2 3 10 3 2" xfId="26392" xr:uid="{640940FE-E6EC-4F92-8E8C-4A743575190E}"/>
    <cellStyle name="Normal 2 3 10 3 2 2" xfId="26393" xr:uid="{CE526C7B-D419-4E75-90F9-12590226FB40}"/>
    <cellStyle name="Normal 2 3 10 3 3" xfId="26394" xr:uid="{0466A55F-1EF1-47CF-9EC5-89644D47B2B3}"/>
    <cellStyle name="Normal 2 3 10 4" xfId="26395" xr:uid="{2E2B7BB8-1248-410A-9282-9FFE3D5F7011}"/>
    <cellStyle name="Normal 2 3 10 4 2" xfId="26396" xr:uid="{09838691-6B07-471B-BF0C-866F2931798C}"/>
    <cellStyle name="Normal 2 3 10 4 2 2" xfId="26397" xr:uid="{63AD2E5C-BF06-437A-B342-3B87B63DA40E}"/>
    <cellStyle name="Normal 2 3 10 4 3" xfId="26398" xr:uid="{47A7D248-0DCE-4944-847C-4F9C52BB692F}"/>
    <cellStyle name="Normal 2 3 10 5" xfId="26399" xr:uid="{8BA8E996-A73B-4FA7-98F7-8476DE75B423}"/>
    <cellStyle name="Normal 2 3 10 5 2" xfId="26400" xr:uid="{6C3CEAC2-2D2C-4F92-B43A-B12FD857A1DF}"/>
    <cellStyle name="Normal 2 3 10 6" xfId="26401" xr:uid="{D55134D3-7895-4D22-8569-483FE63B15F7}"/>
    <cellStyle name="Normal 2 3 11" xfId="26402" xr:uid="{D91AC8BC-DA73-4ACF-999A-D0A99507E41D}"/>
    <cellStyle name="Normal 2 3 11 2" xfId="26403" xr:uid="{91E5B1B0-5A73-432F-95BC-1501AEDAFCB3}"/>
    <cellStyle name="Normal 2 3 11 2 2" xfId="26404" xr:uid="{E82521B6-FBEA-4B2A-8A71-B4549BDAE805}"/>
    <cellStyle name="Normal 2 3 11 2 2 2" xfId="26405" xr:uid="{AD9214EE-68CC-4284-AC21-18CB5E4EE91C}"/>
    <cellStyle name="Normal 2 3 11 2 2 2 2" xfId="26406" xr:uid="{7777D8A4-708E-4FDB-A4DC-2C3E29F73E42}"/>
    <cellStyle name="Normal 2 3 11 2 2 3" xfId="26407" xr:uid="{6D4466DD-69EE-485A-9EE2-8B69EF1CA64F}"/>
    <cellStyle name="Normal 2 3 11 2 3" xfId="26408" xr:uid="{9B8AD45E-B8E0-4C69-9879-F7B4130CF282}"/>
    <cellStyle name="Normal 2 3 11 2 3 2" xfId="26409" xr:uid="{E74C302F-2F2F-48B5-BB8C-27FC921EBAA2}"/>
    <cellStyle name="Normal 2 3 11 2 3 2 2" xfId="26410" xr:uid="{F5A45F3F-7AA6-4D48-B63B-27CA383F394B}"/>
    <cellStyle name="Normal 2 3 11 2 3 3" xfId="26411" xr:uid="{6466A745-F178-42D8-A848-DAB9F7985106}"/>
    <cellStyle name="Normal 2 3 11 2 4" xfId="26412" xr:uid="{E572B273-8957-454D-A8AD-59454A169E3F}"/>
    <cellStyle name="Normal 2 3 11 2 4 2" xfId="26413" xr:uid="{EFFC03C0-5D0D-431F-88BD-9EE12C5E54E2}"/>
    <cellStyle name="Normal 2 3 11 2 5" xfId="26414" xr:uid="{75B6E37C-FC63-4DAC-BB0A-B02AB77287FA}"/>
    <cellStyle name="Normal 2 3 11 3" xfId="26415" xr:uid="{6CFDAB57-8CF8-44D0-8172-40A80855228A}"/>
    <cellStyle name="Normal 2 3 11 3 2" xfId="26416" xr:uid="{5612F3D4-E827-40AB-AD58-C12080CCADBF}"/>
    <cellStyle name="Normal 2 3 11 3 2 2" xfId="26417" xr:uid="{A14E9B9E-02EE-4302-B80F-0403373F133D}"/>
    <cellStyle name="Normal 2 3 11 3 3" xfId="26418" xr:uid="{7A690C68-7F94-4C18-A210-C3CBD73678AA}"/>
    <cellStyle name="Normal 2 3 11 4" xfId="26419" xr:uid="{0A26EB64-3EC0-469A-99E6-D1E6341967CB}"/>
    <cellStyle name="Normal 2 3 11 4 2" xfId="26420" xr:uid="{1AFAFCA3-AB30-409B-ADA4-9B5AA744DB13}"/>
    <cellStyle name="Normal 2 3 11 4 2 2" xfId="26421" xr:uid="{93C92673-1470-475C-BAA2-ED1DD3072E4B}"/>
    <cellStyle name="Normal 2 3 11 4 3" xfId="26422" xr:uid="{192DDE09-5651-498C-B391-FC6BC755B1BD}"/>
    <cellStyle name="Normal 2 3 11 5" xfId="26423" xr:uid="{1E3E245A-10E1-4410-9D72-48BD7F3DDCD5}"/>
    <cellStyle name="Normal 2 3 11 5 2" xfId="26424" xr:uid="{F9D34AEF-7884-4E5C-8B88-EC401BC045DB}"/>
    <cellStyle name="Normal 2 3 11 6" xfId="26425" xr:uid="{8E3D4F26-9A43-4A11-B1C0-3927FFEC44F1}"/>
    <cellStyle name="Normal 2 3 12" xfId="26426" xr:uid="{3FECA336-36F8-46F7-A12F-6858B31DB079}"/>
    <cellStyle name="Normal 2 3 12 2" xfId="26427" xr:uid="{BC4C9DC6-7F6C-431E-B2CD-6941B9110F2E}"/>
    <cellStyle name="Normal 2 3 12 2 2" xfId="26428" xr:uid="{027F09EF-C138-4852-8085-E3FBDAB5D028}"/>
    <cellStyle name="Normal 2 3 12 2 2 2" xfId="26429" xr:uid="{59345B67-2D4C-4887-B0B7-1BA39B902A48}"/>
    <cellStyle name="Normal 2 3 12 2 2 2 2" xfId="26430" xr:uid="{DC128182-E471-4C8C-BD6B-1EACBD29E1E9}"/>
    <cellStyle name="Normal 2 3 12 2 2 3" xfId="26431" xr:uid="{5B85C39A-29E2-4009-AAFE-B1CFAF12BD52}"/>
    <cellStyle name="Normal 2 3 12 2 3" xfId="26432" xr:uid="{40CE2DF6-541B-41F2-8893-3C9408222598}"/>
    <cellStyle name="Normal 2 3 12 2 3 2" xfId="26433" xr:uid="{C0BDF978-94D6-4BE0-A7AA-F9F46BC0820A}"/>
    <cellStyle name="Normal 2 3 12 2 3 2 2" xfId="26434" xr:uid="{08C7DA42-8356-4A33-8748-3CFAEFC81F47}"/>
    <cellStyle name="Normal 2 3 12 2 3 3" xfId="26435" xr:uid="{2B06F61F-944D-454B-B854-CD5485DD4AA9}"/>
    <cellStyle name="Normal 2 3 12 2 4" xfId="26436" xr:uid="{F3398396-F49A-4358-A6D0-391A9B7A7582}"/>
    <cellStyle name="Normal 2 3 12 2 4 2" xfId="26437" xr:uid="{A996870F-338B-4F5A-8D55-7896AEF68E85}"/>
    <cellStyle name="Normal 2 3 12 2 5" xfId="26438" xr:uid="{14237005-EA75-4501-AE82-8EECF86C734F}"/>
    <cellStyle name="Normal 2 3 12 3" xfId="26439" xr:uid="{56C603FB-A00C-44E7-BA43-95D9B7D852ED}"/>
    <cellStyle name="Normal 2 3 12 3 2" xfId="26440" xr:uid="{E39FCB75-EAFB-4734-A78C-DE8522CAF571}"/>
    <cellStyle name="Normal 2 3 12 3 2 2" xfId="26441" xr:uid="{99F2D561-1523-481B-A345-D1103B5B7C99}"/>
    <cellStyle name="Normal 2 3 12 3 3" xfId="26442" xr:uid="{FBACFEBB-2B04-4A8F-9EA2-1B92362540D9}"/>
    <cellStyle name="Normal 2 3 12 4" xfId="26443" xr:uid="{1F6B5B52-B378-4850-B749-E82D998C7685}"/>
    <cellStyle name="Normal 2 3 12 4 2" xfId="26444" xr:uid="{2718A915-DFD1-447C-B4D5-C0D439BFA299}"/>
    <cellStyle name="Normal 2 3 12 4 2 2" xfId="26445" xr:uid="{2F0C4BD0-16DC-478A-A051-FCC2AD01E7E5}"/>
    <cellStyle name="Normal 2 3 12 4 3" xfId="26446" xr:uid="{5F1A13DA-0188-4274-A4C7-457C62B2B033}"/>
    <cellStyle name="Normal 2 3 12 5" xfId="26447" xr:uid="{666B28E6-98B4-48D2-8A28-11BC92802529}"/>
    <cellStyle name="Normal 2 3 12 5 2" xfId="26448" xr:uid="{49D20769-04F9-4F1F-B46C-DD5349817DC6}"/>
    <cellStyle name="Normal 2 3 12 6" xfId="26449" xr:uid="{F2850534-5AF9-453F-9503-75AE6CBD25C6}"/>
    <cellStyle name="Normal 2 3 13" xfId="26450" xr:uid="{9FEEC1D8-6DCD-4D07-8E76-6B7445A14B35}"/>
    <cellStyle name="Normal 2 3 13 2" xfId="26451" xr:uid="{C4FC5379-C8C5-44BD-BBC1-4CC1A42A616B}"/>
    <cellStyle name="Normal 2 3 13 2 2" xfId="26452" xr:uid="{DB3DCD02-E2DA-4712-9B91-501B55D000FD}"/>
    <cellStyle name="Normal 2 3 13 2 2 2" xfId="26453" xr:uid="{17274616-AAEE-478D-8263-D959192DE899}"/>
    <cellStyle name="Normal 2 3 13 2 3" xfId="26454" xr:uid="{CE8C1312-2330-4EFA-B79E-B40653B641F3}"/>
    <cellStyle name="Normal 2 3 13 3" xfId="26455" xr:uid="{903E4264-9CF8-4CA8-94C6-1746E2C02937}"/>
    <cellStyle name="Normal 2 3 13 3 2" xfId="26456" xr:uid="{CEF805D6-2319-4856-8A20-C5B65F915C44}"/>
    <cellStyle name="Normal 2 3 13 3 2 2" xfId="26457" xr:uid="{7B723AB2-57B4-4CC5-829E-B216324A6C68}"/>
    <cellStyle name="Normal 2 3 13 3 3" xfId="26458" xr:uid="{8C4181E5-7CF6-48E7-88AD-FCBE856144AC}"/>
    <cellStyle name="Normal 2 3 13 4" xfId="26459" xr:uid="{F8D19C31-03F0-476D-A1FB-B932BDEC4857}"/>
    <cellStyle name="Normal 2 3 13 4 2" xfId="26460" xr:uid="{0470AE4D-94A0-4A1E-86DF-B31422FEB49F}"/>
    <cellStyle name="Normal 2 3 13 5" xfId="26461" xr:uid="{4B8419CA-3DA4-43D4-A5C9-FCB6393E10CC}"/>
    <cellStyle name="Normal 2 3 14" xfId="26462" xr:uid="{6BDE8426-9150-496E-A734-35E6F704A641}"/>
    <cellStyle name="Normal 2 3 14 2" xfId="26463" xr:uid="{2BC02BA0-3C10-462A-921F-075ACB70D2EB}"/>
    <cellStyle name="Normal 2 3 14 2 2" xfId="26464" xr:uid="{0168059E-C1BB-4B0C-81C9-1E12F4AE07A7}"/>
    <cellStyle name="Normal 2 3 14 3" xfId="26465" xr:uid="{0115ED5A-735F-4C44-AEF4-AA15BDE1ACA9}"/>
    <cellStyle name="Normal 2 3 15" xfId="26466" xr:uid="{04600766-B94C-4ACA-AC20-84F80FCB8F06}"/>
    <cellStyle name="Normal 2 3 15 2" xfId="26467" xr:uid="{68FF5F2A-54B7-4052-AD0D-AD1456A3C136}"/>
    <cellStyle name="Normal 2 3 15 2 2" xfId="26468" xr:uid="{52623382-C89E-4DB9-A5CB-D3B3390F03BE}"/>
    <cellStyle name="Normal 2 3 15 3" xfId="26469" xr:uid="{A4BF037D-7D3B-4A23-80A4-9A541264CAB5}"/>
    <cellStyle name="Normal 2 3 16" xfId="26470" xr:uid="{AF7F0957-00CB-4F8E-A942-BFF0B8A0714A}"/>
    <cellStyle name="Normal 2 3 16 2" xfId="26471" xr:uid="{31F3AAE1-7548-4E43-80C2-19691EFB75DD}"/>
    <cellStyle name="Normal 2 3 17" xfId="26472" xr:uid="{05B651AB-F36C-4342-A393-06C3FCB386FC}"/>
    <cellStyle name="Normal 2 3 18" xfId="26377" xr:uid="{C6218F76-076F-4EDB-982A-AF813F3B07CB}"/>
    <cellStyle name="Normal 2 3 2" xfId="26473" xr:uid="{71E06122-DCAF-4A6C-9917-F210650A61A6}"/>
    <cellStyle name="Normal 2 3 2 10" xfId="26474" xr:uid="{AAD3BFA9-029E-48FD-93C1-4839982BDE25}"/>
    <cellStyle name="Normal 2 3 2 10 2" xfId="26475" xr:uid="{8E29CECC-20F8-44A6-ACC9-3ADFDCEACB8C}"/>
    <cellStyle name="Normal 2 3 2 10 2 2" xfId="26476" xr:uid="{F96680D5-7BE9-4D7F-9E0D-A84A7AC7618F}"/>
    <cellStyle name="Normal 2 3 2 10 2 2 2" xfId="26477" xr:uid="{FE1E994F-E12E-42FC-9B9C-E841C6222B07}"/>
    <cellStyle name="Normal 2 3 2 10 2 2 2 2" xfId="26478" xr:uid="{7569E0AF-DA05-47B8-B122-A32F53E39543}"/>
    <cellStyle name="Normal 2 3 2 10 2 2 3" xfId="26479" xr:uid="{7D202266-05C9-49B5-9D5F-DE8F13EC20D2}"/>
    <cellStyle name="Normal 2 3 2 10 2 3" xfId="26480" xr:uid="{A9779CD2-E071-4E21-BC8C-9D00F5EEE408}"/>
    <cellStyle name="Normal 2 3 2 10 2 3 2" xfId="26481" xr:uid="{E16883B9-6734-48BF-8595-C298C745C897}"/>
    <cellStyle name="Normal 2 3 2 10 2 3 2 2" xfId="26482" xr:uid="{AC0C89C9-EE33-4CBF-9BA6-6F13A807B831}"/>
    <cellStyle name="Normal 2 3 2 10 2 3 3" xfId="26483" xr:uid="{056BB36D-9B18-450F-B865-7ADAF7DED07D}"/>
    <cellStyle name="Normal 2 3 2 10 2 4" xfId="26484" xr:uid="{D6B1A77D-455F-4715-997A-8D31064F6ED0}"/>
    <cellStyle name="Normal 2 3 2 10 2 4 2" xfId="26485" xr:uid="{20BF5A3D-CFFC-4F03-9632-D9D6194B983E}"/>
    <cellStyle name="Normal 2 3 2 10 2 5" xfId="26486" xr:uid="{9459F2B3-0F7F-42B0-A690-37BF1D310E52}"/>
    <cellStyle name="Normal 2 3 2 10 3" xfId="26487" xr:uid="{B0C17A1B-F7EF-4555-B493-62E5FD67E268}"/>
    <cellStyle name="Normal 2 3 2 10 3 2" xfId="26488" xr:uid="{7DDD3800-4939-46A4-9D6F-C9A21AFB7ED1}"/>
    <cellStyle name="Normal 2 3 2 10 3 2 2" xfId="26489" xr:uid="{829CFEE1-0093-442A-91AD-2D5ACC87ACF7}"/>
    <cellStyle name="Normal 2 3 2 10 3 3" xfId="26490" xr:uid="{12D69799-6AC6-4FFF-BD27-60F52E8C0834}"/>
    <cellStyle name="Normal 2 3 2 10 4" xfId="26491" xr:uid="{D2808ED5-C5B8-411A-AE2C-6FE64ED80D17}"/>
    <cellStyle name="Normal 2 3 2 10 4 2" xfId="26492" xr:uid="{CAE2D926-DE1C-4B63-B38B-00B0064B07DF}"/>
    <cellStyle name="Normal 2 3 2 10 4 2 2" xfId="26493" xr:uid="{79AB6CE7-5C92-4A70-A830-1F45EFD877F0}"/>
    <cellStyle name="Normal 2 3 2 10 4 3" xfId="26494" xr:uid="{78617260-3947-419A-8571-38E83BB7AAC4}"/>
    <cellStyle name="Normal 2 3 2 10 5" xfId="26495" xr:uid="{F76531E9-02B3-41D9-8D89-2026404065D0}"/>
    <cellStyle name="Normal 2 3 2 10 5 2" xfId="26496" xr:uid="{A74383CF-283D-48D1-8DEC-7AD3743CA17B}"/>
    <cellStyle name="Normal 2 3 2 10 6" xfId="26497" xr:uid="{DE6C84D1-1AD8-4EB3-8147-959F407D0CEF}"/>
    <cellStyle name="Normal 2 3 2 11" xfId="26498" xr:uid="{70BE5FDC-5F88-4F86-99A7-446699EF5529}"/>
    <cellStyle name="Normal 2 3 2 11 2" xfId="26499" xr:uid="{8C64C187-F4B3-44EE-93FF-C9E6804EDB84}"/>
    <cellStyle name="Normal 2 3 2 11 2 2" xfId="26500" xr:uid="{BF3EF926-4A7B-4656-B184-C114BF091FE4}"/>
    <cellStyle name="Normal 2 3 2 11 2 2 2" xfId="26501" xr:uid="{9884D837-2CB0-4AE3-AAFE-DA478603BB0A}"/>
    <cellStyle name="Normal 2 3 2 11 2 2 2 2" xfId="26502" xr:uid="{079E9C1E-638B-4E71-92C0-859FA9B53CC5}"/>
    <cellStyle name="Normal 2 3 2 11 2 2 3" xfId="26503" xr:uid="{ECAEE0FF-4B7F-4948-97C2-A3B98551C3AA}"/>
    <cellStyle name="Normal 2 3 2 11 2 3" xfId="26504" xr:uid="{013ECF6F-8605-41D2-A8B0-EEEB45F02887}"/>
    <cellStyle name="Normal 2 3 2 11 2 3 2" xfId="26505" xr:uid="{E83A6E49-FA50-4598-89A9-4967C5504A28}"/>
    <cellStyle name="Normal 2 3 2 11 2 3 2 2" xfId="26506" xr:uid="{E602116A-59C2-401A-8AAA-013B7D21D58A}"/>
    <cellStyle name="Normal 2 3 2 11 2 3 3" xfId="26507" xr:uid="{016A2A72-78F4-4D41-9484-DD5C033372F7}"/>
    <cellStyle name="Normal 2 3 2 11 2 4" xfId="26508" xr:uid="{87FBD053-B975-4E53-86FB-7022A8B5DC65}"/>
    <cellStyle name="Normal 2 3 2 11 2 4 2" xfId="26509" xr:uid="{40A19C68-844C-4AFB-A7A6-75190C7E6D20}"/>
    <cellStyle name="Normal 2 3 2 11 2 5" xfId="26510" xr:uid="{29677020-C611-4955-AA84-916242DFCCD5}"/>
    <cellStyle name="Normal 2 3 2 11 3" xfId="26511" xr:uid="{06FFEAB7-BF94-460F-A69D-4063C1CE23C7}"/>
    <cellStyle name="Normal 2 3 2 11 3 2" xfId="26512" xr:uid="{CA879541-C872-4D69-8A69-C09C00C513CA}"/>
    <cellStyle name="Normal 2 3 2 11 3 2 2" xfId="26513" xr:uid="{17FEB764-A8F8-4EF6-A837-E1453F342257}"/>
    <cellStyle name="Normal 2 3 2 11 3 3" xfId="26514" xr:uid="{673B94EE-7546-45EF-B5CC-E8CE9E87F7D3}"/>
    <cellStyle name="Normal 2 3 2 11 4" xfId="26515" xr:uid="{8369A50D-F6E1-4D66-9168-BF5AE32EEA8D}"/>
    <cellStyle name="Normal 2 3 2 11 4 2" xfId="26516" xr:uid="{D0AD9E47-AB54-49C4-B481-18CD5DA6143C}"/>
    <cellStyle name="Normal 2 3 2 11 4 2 2" xfId="26517" xr:uid="{AE64C8F1-FE4F-4DAE-87B5-D50D911978DD}"/>
    <cellStyle name="Normal 2 3 2 11 4 3" xfId="26518" xr:uid="{D133026D-63A6-4C83-B419-3166EC91D000}"/>
    <cellStyle name="Normal 2 3 2 11 5" xfId="26519" xr:uid="{E8C9F047-068E-46FF-A9D9-FA4A37B9A82F}"/>
    <cellStyle name="Normal 2 3 2 11 5 2" xfId="26520" xr:uid="{997B614C-AAB7-463E-979A-1BB5B85B02D4}"/>
    <cellStyle name="Normal 2 3 2 11 6" xfId="26521" xr:uid="{D3D3F340-4C96-4343-A070-93DF53076F41}"/>
    <cellStyle name="Normal 2 3 2 12" xfId="26522" xr:uid="{318AD307-8EF4-4616-AD47-5EC46B5819B8}"/>
    <cellStyle name="Normal 2 3 2 12 2" xfId="26523" xr:uid="{CE8662DE-E65B-4BC9-B245-DF05B0117EAB}"/>
    <cellStyle name="Normal 2 3 2 12 2 2" xfId="26524" xr:uid="{8975DA6F-3FB5-4885-BADB-DBB97F7CD0ED}"/>
    <cellStyle name="Normal 2 3 2 12 2 2 2" xfId="26525" xr:uid="{89C98514-91DB-49BD-8AE1-CFDF901E8106}"/>
    <cellStyle name="Normal 2 3 2 12 2 3" xfId="26526" xr:uid="{D64AE1CC-A93D-4288-BE67-AF90DB3CB835}"/>
    <cellStyle name="Normal 2 3 2 12 3" xfId="26527" xr:uid="{F244FFCD-9039-4EB3-B590-76D592DA58A1}"/>
    <cellStyle name="Normal 2 3 2 12 3 2" xfId="26528" xr:uid="{66E9B545-77EF-4BC5-8EF3-A35F802F4065}"/>
    <cellStyle name="Normal 2 3 2 12 3 2 2" xfId="26529" xr:uid="{BCAD9968-64C9-43C7-98F9-C52B1B5280F1}"/>
    <cellStyle name="Normal 2 3 2 12 3 3" xfId="26530" xr:uid="{F5D37068-36B1-4322-BDD2-8203B6EFE646}"/>
    <cellStyle name="Normal 2 3 2 12 4" xfId="26531" xr:uid="{914540F1-5F55-4A6E-A9F7-CC6414637D46}"/>
    <cellStyle name="Normal 2 3 2 12 4 2" xfId="26532" xr:uid="{46BB7C59-2050-47F0-BFBB-B81A892B92BD}"/>
    <cellStyle name="Normal 2 3 2 12 5" xfId="26533" xr:uid="{A2FD9A66-183F-4EEE-B9EE-AF27E5BD1C3B}"/>
    <cellStyle name="Normal 2 3 2 13" xfId="26534" xr:uid="{D1953B19-06E1-4F5E-899C-DF2D9EE2B2BB}"/>
    <cellStyle name="Normal 2 3 2 13 2" xfId="26535" xr:uid="{757B783C-EA34-4B22-AA1C-2DF0B80AB191}"/>
    <cellStyle name="Normal 2 3 2 13 2 2" xfId="26536" xr:uid="{125FAE24-F1B5-46F9-9118-4ED6C2E94E46}"/>
    <cellStyle name="Normal 2 3 2 13 3" xfId="26537" xr:uid="{696BFB82-DA49-4EFA-8F95-FEFB60313194}"/>
    <cellStyle name="Normal 2 3 2 14" xfId="26538" xr:uid="{7D8BE05D-0DEC-461B-B483-3F0B64CA2F8C}"/>
    <cellStyle name="Normal 2 3 2 14 2" xfId="26539" xr:uid="{80E8F1B9-AE46-47F9-A979-D0CFFD425C62}"/>
    <cellStyle name="Normal 2 3 2 14 2 2" xfId="26540" xr:uid="{529B1146-DB59-43C3-930E-56C5E222E0E8}"/>
    <cellStyle name="Normal 2 3 2 14 3" xfId="26541" xr:uid="{EC4D3AEE-5D9B-48CB-B5D7-FAD698F7BD68}"/>
    <cellStyle name="Normal 2 3 2 15" xfId="26542" xr:uid="{59227907-976F-4D4D-8C3B-E902AB0F8B48}"/>
    <cellStyle name="Normal 2 3 2 15 2" xfId="26543" xr:uid="{2CF56909-424F-4244-8366-16CB2537CB7C}"/>
    <cellStyle name="Normal 2 3 2 16" xfId="26544" xr:uid="{1EF23190-A402-49B6-9AD2-EA23A8BC98D6}"/>
    <cellStyle name="Normal 2 3 2 2" xfId="26545" xr:uid="{886EA31A-AABF-4994-84C8-67FE3D9510E4}"/>
    <cellStyle name="Normal 2 3 2 2 2" xfId="26546" xr:uid="{45D5CC4B-66AA-4E9B-856C-E9979EAF3709}"/>
    <cellStyle name="Normal 2 3 2 2 2 2" xfId="26547" xr:uid="{4FFC59A0-FED6-45E2-8956-E475C0B840B8}"/>
    <cellStyle name="Normal 2 3 2 2 2 2 2" xfId="26548" xr:uid="{003B129E-8A60-4E6B-9EF2-20222713CA40}"/>
    <cellStyle name="Normal 2 3 2 2 2 2 2 2" xfId="26549" xr:uid="{0BE91724-D4E2-4EB8-A04C-74FEB83717D6}"/>
    <cellStyle name="Normal 2 3 2 2 2 2 3" xfId="26550" xr:uid="{0B59848D-52F2-459C-9748-1DFF57D47968}"/>
    <cellStyle name="Normal 2 3 2 2 2 3" xfId="26551" xr:uid="{299B4CCF-088E-4149-B41F-62D710434781}"/>
    <cellStyle name="Normal 2 3 2 2 2 3 2" xfId="26552" xr:uid="{1A86AF59-D285-48B9-8C77-8CEEEB82B4A1}"/>
    <cellStyle name="Normal 2 3 2 2 2 3 2 2" xfId="26553" xr:uid="{18203674-E455-4F7D-9735-14F494C458A8}"/>
    <cellStyle name="Normal 2 3 2 2 2 3 3" xfId="26554" xr:uid="{C49366AC-13A7-40A6-A4D3-CADBA94AFA38}"/>
    <cellStyle name="Normal 2 3 2 2 2 4" xfId="26555" xr:uid="{652E183C-7742-4C95-B18E-9C9CE6866712}"/>
    <cellStyle name="Normal 2 3 2 2 2 4 2" xfId="26556" xr:uid="{9D83B23C-7913-4C6E-8977-C4BBA0EDB48E}"/>
    <cellStyle name="Normal 2 3 2 2 2 5" xfId="26557" xr:uid="{DFCE75F3-6E13-425F-8BA1-958942018C53}"/>
    <cellStyle name="Normal 2 3 2 2 3" xfId="26558" xr:uid="{5F7DD722-43E9-4CBE-A1CE-D6FDDB8D1170}"/>
    <cellStyle name="Normal 2 3 2 2 3 2" xfId="26559" xr:uid="{8F14A1D9-5B19-48D0-8068-9B15CF179FAD}"/>
    <cellStyle name="Normal 2 3 2 2 3 2 2" xfId="26560" xr:uid="{DB164F7D-3A82-4E9D-BAC7-70B847F066D6}"/>
    <cellStyle name="Normal 2 3 2 2 3 3" xfId="26561" xr:uid="{9DD274B6-F657-461E-816F-89209ECCD800}"/>
    <cellStyle name="Normal 2 3 2 2 4" xfId="26562" xr:uid="{00A5AB11-3E09-407D-9E37-D69F6FAF3286}"/>
    <cellStyle name="Normal 2 3 2 2 4 2" xfId="26563" xr:uid="{D63C4C88-8CD4-4C78-9032-59D543856FD2}"/>
    <cellStyle name="Normal 2 3 2 2 4 2 2" xfId="26564" xr:uid="{CB1082A1-FD72-46EB-97AE-155B95CA4D54}"/>
    <cellStyle name="Normal 2 3 2 2 4 3" xfId="26565" xr:uid="{6BF49C9F-1595-437D-A093-9899686C4936}"/>
    <cellStyle name="Normal 2 3 2 2 5" xfId="26566" xr:uid="{5BAC29A9-D3F3-4AE1-B0C9-0CA71DCD3BFE}"/>
    <cellStyle name="Normal 2 3 2 2 5 2" xfId="26567" xr:uid="{A1BDAB2B-7B54-4CE2-B1D6-A10F5B0BD61B}"/>
    <cellStyle name="Normal 2 3 2 2 6" xfId="26568" xr:uid="{81E0BB13-9590-4D3B-BB41-8D97D094FD11}"/>
    <cellStyle name="Normal 2 3 2 3" xfId="26569" xr:uid="{3CC559E5-E5D5-4487-BA29-B106C2149CB8}"/>
    <cellStyle name="Normal 2 3 2 3 2" xfId="26570" xr:uid="{2DB1FDD2-7992-4B84-8A84-CA0F6B2ADFA2}"/>
    <cellStyle name="Normal 2 3 2 3 2 2" xfId="26571" xr:uid="{33A33339-F3A6-4E34-8B90-59F6383F7E0D}"/>
    <cellStyle name="Normal 2 3 2 3 2 2 2" xfId="26572" xr:uid="{A5B60D35-FE31-4947-821E-CFB629C826BE}"/>
    <cellStyle name="Normal 2 3 2 3 2 2 2 2" xfId="26573" xr:uid="{C94C5FDC-ABAE-4E75-8B2A-B0945A11D94D}"/>
    <cellStyle name="Normal 2 3 2 3 2 2 3" xfId="26574" xr:uid="{D7A716BE-D381-4E1F-BCC2-BF3CF90E2C25}"/>
    <cellStyle name="Normal 2 3 2 3 2 3" xfId="26575" xr:uid="{9CCAE03B-A5B3-4F9F-885A-3A902BDA7465}"/>
    <cellStyle name="Normal 2 3 2 3 2 3 2" xfId="26576" xr:uid="{AB5FBD44-C578-4E60-8DC9-415AD967A97A}"/>
    <cellStyle name="Normal 2 3 2 3 2 3 2 2" xfId="26577" xr:uid="{72E094C1-C32B-4DFE-B5A2-F713C71790C3}"/>
    <cellStyle name="Normal 2 3 2 3 2 3 3" xfId="26578" xr:uid="{7EEB8D0F-3A17-41D3-A6B8-77971922F2CD}"/>
    <cellStyle name="Normal 2 3 2 3 2 4" xfId="26579" xr:uid="{9B40059A-B112-48D3-A7B2-F6C6B0D1CA77}"/>
    <cellStyle name="Normal 2 3 2 3 2 4 2" xfId="26580" xr:uid="{EED90466-86DC-4CF6-BB80-5EEFECB2EB56}"/>
    <cellStyle name="Normal 2 3 2 3 2 5" xfId="26581" xr:uid="{8ED19B5F-E25C-4AF2-BF69-6169FD98E936}"/>
    <cellStyle name="Normal 2 3 2 3 3" xfId="26582" xr:uid="{738FB3D0-ED81-42FA-ACBD-A6984FB94A52}"/>
    <cellStyle name="Normal 2 3 2 3 3 2" xfId="26583" xr:uid="{B358F224-A980-4B17-BC73-9934149668E3}"/>
    <cellStyle name="Normal 2 3 2 3 3 2 2" xfId="26584" xr:uid="{5AF07211-B72E-4088-92D5-FD20B0C0ACCE}"/>
    <cellStyle name="Normal 2 3 2 3 3 3" xfId="26585" xr:uid="{4FC7543D-C8A1-46C0-B75B-8407731EB7B1}"/>
    <cellStyle name="Normal 2 3 2 3 4" xfId="26586" xr:uid="{2886DC9B-8425-43C3-B326-12C7166FF5E0}"/>
    <cellStyle name="Normal 2 3 2 3 4 2" xfId="26587" xr:uid="{2220DD59-BBFF-433F-8E54-E7E886EED8E0}"/>
    <cellStyle name="Normal 2 3 2 3 4 2 2" xfId="26588" xr:uid="{0CC056A9-4D4F-4632-B53D-48D05F402042}"/>
    <cellStyle name="Normal 2 3 2 3 4 3" xfId="26589" xr:uid="{730DD24F-F8AE-4754-B924-DAA3354E08E9}"/>
    <cellStyle name="Normal 2 3 2 3 5" xfId="26590" xr:uid="{D2F27270-451F-4E46-9782-27BA83DF382B}"/>
    <cellStyle name="Normal 2 3 2 3 5 2" xfId="26591" xr:uid="{B8F341E6-F779-4E80-BCF7-CABDAF6029A8}"/>
    <cellStyle name="Normal 2 3 2 3 6" xfId="26592" xr:uid="{05E9A34D-6F02-4293-B08C-586D81068E08}"/>
    <cellStyle name="Normal 2 3 2 4" xfId="26593" xr:uid="{E5BFA5E9-D560-42FE-852B-5B68FDBE3DE7}"/>
    <cellStyle name="Normal 2 3 2 4 2" xfId="26594" xr:uid="{662FCBC5-78D8-40E7-9D26-6541DDC651EC}"/>
    <cellStyle name="Normal 2 3 2 4 2 2" xfId="26595" xr:uid="{7B779F13-7D7D-4358-A917-7C29FCF53C10}"/>
    <cellStyle name="Normal 2 3 2 4 2 2 2" xfId="26596" xr:uid="{1B52D7F5-9722-4E26-8EAF-D7A70D2B5C29}"/>
    <cellStyle name="Normal 2 3 2 4 2 2 2 2" xfId="26597" xr:uid="{5D9D4E0A-4D85-45A4-A7F9-50066D0AD3D9}"/>
    <cellStyle name="Normal 2 3 2 4 2 2 3" xfId="26598" xr:uid="{CB03D0FD-2862-4E9F-B4D7-1C1D07D551F5}"/>
    <cellStyle name="Normal 2 3 2 4 2 3" xfId="26599" xr:uid="{19F86F03-00EC-4E5E-BE35-E8591206E7DC}"/>
    <cellStyle name="Normal 2 3 2 4 2 3 2" xfId="26600" xr:uid="{D065D67B-6871-415C-BFE0-5446C966E5CE}"/>
    <cellStyle name="Normal 2 3 2 4 2 3 2 2" xfId="26601" xr:uid="{347DCF39-B1FF-4C01-A07B-078057FDA60D}"/>
    <cellStyle name="Normal 2 3 2 4 2 3 3" xfId="26602" xr:uid="{E5F79766-DD6C-494F-874E-E8D1ED473CAA}"/>
    <cellStyle name="Normal 2 3 2 4 2 4" xfId="26603" xr:uid="{E9197147-6D22-4B1D-BCF9-3E82ACDF48BF}"/>
    <cellStyle name="Normal 2 3 2 4 2 4 2" xfId="26604" xr:uid="{BBC7C736-6702-488E-8EBF-3EC8B11ECD33}"/>
    <cellStyle name="Normal 2 3 2 4 2 5" xfId="26605" xr:uid="{D9C6C21F-534F-4FD4-B80C-06160D30162C}"/>
    <cellStyle name="Normal 2 3 2 4 3" xfId="26606" xr:uid="{AB4A28F4-4E3D-4B67-81E4-F101E1431D68}"/>
    <cellStyle name="Normal 2 3 2 4 3 2" xfId="26607" xr:uid="{8AF24165-A9DD-4538-B3E3-897CD0B9D3C5}"/>
    <cellStyle name="Normal 2 3 2 4 3 2 2" xfId="26608" xr:uid="{E9E34795-2476-4A3A-AF6F-2E92720FBF82}"/>
    <cellStyle name="Normal 2 3 2 4 3 3" xfId="26609" xr:uid="{FC9B7D04-A0D5-4463-987D-24EE295B10DE}"/>
    <cellStyle name="Normal 2 3 2 4 4" xfId="26610" xr:uid="{163AEDB7-D46E-466F-8C9B-DF21E322ACF5}"/>
    <cellStyle name="Normal 2 3 2 4 4 2" xfId="26611" xr:uid="{F6BA00CE-6B9E-4C0D-93B4-01362F5C74B9}"/>
    <cellStyle name="Normal 2 3 2 4 4 2 2" xfId="26612" xr:uid="{CCA9F346-3FED-417D-9E2E-6C53A6147ADA}"/>
    <cellStyle name="Normal 2 3 2 4 4 3" xfId="26613" xr:uid="{905BDC32-75F0-4770-A1A4-C24505EB0AD2}"/>
    <cellStyle name="Normal 2 3 2 4 5" xfId="26614" xr:uid="{DF4C4DF4-4B62-4CD8-B7C3-134E20711AA1}"/>
    <cellStyle name="Normal 2 3 2 4 5 2" xfId="26615" xr:uid="{54AC4D36-F552-4C3F-889D-E4427733B5B8}"/>
    <cellStyle name="Normal 2 3 2 4 6" xfId="26616" xr:uid="{034AB44E-DE57-4338-AD75-6A9CD45CC0D3}"/>
    <cellStyle name="Normal 2 3 2 5" xfId="26617" xr:uid="{0C79F025-091D-4F87-9991-B1D02E6EAD35}"/>
    <cellStyle name="Normal 2 3 2 5 2" xfId="26618" xr:uid="{2DFFD443-8A2E-47EC-BC35-2B3261D33730}"/>
    <cellStyle name="Normal 2 3 2 5 2 2" xfId="26619" xr:uid="{DD97DCCE-CDCD-42C0-A8A1-67E5D8317F75}"/>
    <cellStyle name="Normal 2 3 2 5 2 2 2" xfId="26620" xr:uid="{B4006889-E6B4-4D8F-A77A-6118805C3FA9}"/>
    <cellStyle name="Normal 2 3 2 5 2 2 2 2" xfId="26621" xr:uid="{9B460322-C2E1-4689-A35E-71C1FDF00962}"/>
    <cellStyle name="Normal 2 3 2 5 2 2 3" xfId="26622" xr:uid="{0C07C036-C955-473F-8585-EF3C57D4E47C}"/>
    <cellStyle name="Normal 2 3 2 5 2 3" xfId="26623" xr:uid="{D1F2AC78-5B41-42E9-822C-C2DBA9DDE133}"/>
    <cellStyle name="Normal 2 3 2 5 2 3 2" xfId="26624" xr:uid="{1EAA41B3-F870-4AAA-A8C5-AC7A48598BE4}"/>
    <cellStyle name="Normal 2 3 2 5 2 3 2 2" xfId="26625" xr:uid="{706CBB3E-5928-4C0F-8491-C9F47DF46DBE}"/>
    <cellStyle name="Normal 2 3 2 5 2 3 3" xfId="26626" xr:uid="{091DA2D4-A95F-4912-ACB0-05DEE2930152}"/>
    <cellStyle name="Normal 2 3 2 5 2 4" xfId="26627" xr:uid="{C83FFC0A-4632-442D-89FB-95B7CDBD9F4A}"/>
    <cellStyle name="Normal 2 3 2 5 2 4 2" xfId="26628" xr:uid="{06D1DB65-545F-4813-97D8-D5B9813ACD20}"/>
    <cellStyle name="Normal 2 3 2 5 2 5" xfId="26629" xr:uid="{6551E1B7-9453-448F-A2FC-70DEBF1AC526}"/>
    <cellStyle name="Normal 2 3 2 5 3" xfId="26630" xr:uid="{2045C51A-12F6-40DA-B16A-1073230755CF}"/>
    <cellStyle name="Normal 2 3 2 5 3 2" xfId="26631" xr:uid="{7A5B62C7-F153-4F73-A8CA-8106871011DC}"/>
    <cellStyle name="Normal 2 3 2 5 3 2 2" xfId="26632" xr:uid="{B69D5780-2C9E-465D-8934-1D76275759B1}"/>
    <cellStyle name="Normal 2 3 2 5 3 3" xfId="26633" xr:uid="{8D776A14-B541-4E2E-8E3E-B823F8A72056}"/>
    <cellStyle name="Normal 2 3 2 5 4" xfId="26634" xr:uid="{D7B4578F-1C86-44AA-BDCF-A27AAEC6E34C}"/>
    <cellStyle name="Normal 2 3 2 5 4 2" xfId="26635" xr:uid="{FCD641EB-2B04-417A-88C6-B0B0AC74401A}"/>
    <cellStyle name="Normal 2 3 2 5 4 2 2" xfId="26636" xr:uid="{3B5B6277-9066-4E19-99D6-0B24BC6E95FD}"/>
    <cellStyle name="Normal 2 3 2 5 4 3" xfId="26637" xr:uid="{867A386F-233F-4007-BE12-6376B86BB680}"/>
    <cellStyle name="Normal 2 3 2 5 5" xfId="26638" xr:uid="{10D00AD7-A3C3-4771-9B39-FCE8B77CA108}"/>
    <cellStyle name="Normal 2 3 2 5 5 2" xfId="26639" xr:uid="{373295FB-3034-4C34-B5EB-9A05CCCBA4BA}"/>
    <cellStyle name="Normal 2 3 2 5 6" xfId="26640" xr:uid="{2A054C02-90EC-4118-B48D-7C409EDE4F43}"/>
    <cellStyle name="Normal 2 3 2 6" xfId="26641" xr:uid="{1AF46853-182B-4473-8648-4051ED84F3DB}"/>
    <cellStyle name="Normal 2 3 2 6 2" xfId="26642" xr:uid="{B98BEF80-46A4-4D9E-BB4D-5BDBA4B5BA8B}"/>
    <cellStyle name="Normal 2 3 2 6 2 2" xfId="26643" xr:uid="{569B9AD1-8E9C-4CEE-A927-77D98D1F3CFB}"/>
    <cellStyle name="Normal 2 3 2 6 2 2 2" xfId="26644" xr:uid="{6DBDCEA4-7F02-4621-9ADE-00286310B95C}"/>
    <cellStyle name="Normal 2 3 2 6 2 2 2 2" xfId="26645" xr:uid="{6F171832-7C98-4B59-9DBC-ECBB48332402}"/>
    <cellStyle name="Normal 2 3 2 6 2 2 3" xfId="26646" xr:uid="{C961B6BE-EFC1-4293-94B7-3BCE2B4A9413}"/>
    <cellStyle name="Normal 2 3 2 6 2 3" xfId="26647" xr:uid="{7A7AC666-BEDA-42E3-8E62-55C8BD4E3474}"/>
    <cellStyle name="Normal 2 3 2 6 2 3 2" xfId="26648" xr:uid="{47F43B37-EE4C-47BE-97BD-60C2DA25BFA3}"/>
    <cellStyle name="Normal 2 3 2 6 2 3 2 2" xfId="26649" xr:uid="{8165E7B4-50F9-46A8-AE61-7814C5B90731}"/>
    <cellStyle name="Normal 2 3 2 6 2 3 3" xfId="26650" xr:uid="{26216038-F567-4823-978A-7948A45151E7}"/>
    <cellStyle name="Normal 2 3 2 6 2 4" xfId="26651" xr:uid="{CB290CE7-343F-439E-85FD-E76FA55AF020}"/>
    <cellStyle name="Normal 2 3 2 6 2 4 2" xfId="26652" xr:uid="{A01B473E-F417-4B56-A9FA-34125F6BD032}"/>
    <cellStyle name="Normal 2 3 2 6 2 5" xfId="26653" xr:uid="{8F8388D5-08E3-4856-BFE5-F2BB198882FE}"/>
    <cellStyle name="Normal 2 3 2 6 3" xfId="26654" xr:uid="{99D0B888-06F0-4143-8463-F9A47F6E917B}"/>
    <cellStyle name="Normal 2 3 2 6 3 2" xfId="26655" xr:uid="{F504097D-04E1-4EF4-BA26-142A5CB3BFA0}"/>
    <cellStyle name="Normal 2 3 2 6 3 2 2" xfId="26656" xr:uid="{F1B7E856-37EA-4CC4-B19C-0C33227E52C1}"/>
    <cellStyle name="Normal 2 3 2 6 3 3" xfId="26657" xr:uid="{16996703-F019-4E08-81A4-5E8713719E1F}"/>
    <cellStyle name="Normal 2 3 2 6 4" xfId="26658" xr:uid="{70E62526-0B44-4D2E-8DB2-6FF1DABEE7B0}"/>
    <cellStyle name="Normal 2 3 2 6 4 2" xfId="26659" xr:uid="{685310F5-C447-49AC-8942-0ED839C56242}"/>
    <cellStyle name="Normal 2 3 2 6 4 2 2" xfId="26660" xr:uid="{42A3AC3A-4808-49DC-A770-62023540298B}"/>
    <cellStyle name="Normal 2 3 2 6 4 3" xfId="26661" xr:uid="{3536C7A6-F2F7-41D6-AFF7-D75328CFC6A1}"/>
    <cellStyle name="Normal 2 3 2 6 5" xfId="26662" xr:uid="{AD8BD6D1-74E0-42F0-B4D6-15E05419AF82}"/>
    <cellStyle name="Normal 2 3 2 6 5 2" xfId="26663" xr:uid="{001F39E0-B2B8-4AB8-A849-E7FC743EBC8A}"/>
    <cellStyle name="Normal 2 3 2 6 6" xfId="26664" xr:uid="{8B468B8F-44E3-4FBF-9207-B951C748835F}"/>
    <cellStyle name="Normal 2 3 2 7" xfId="26665" xr:uid="{0725D3C0-5035-4138-A3EB-66C7416C9B65}"/>
    <cellStyle name="Normal 2 3 2 7 2" xfId="26666" xr:uid="{4C3C0AA6-A38B-43F8-8324-50AAAF10CE40}"/>
    <cellStyle name="Normal 2 3 2 7 2 2" xfId="26667" xr:uid="{110F0961-9A72-4E3F-BC29-DB00FF8419AE}"/>
    <cellStyle name="Normal 2 3 2 7 2 2 2" xfId="26668" xr:uid="{F2360827-6717-4791-85FC-7FA487E5791A}"/>
    <cellStyle name="Normal 2 3 2 7 2 2 2 2" xfId="26669" xr:uid="{A866058D-9993-461F-9673-87D824FB61A8}"/>
    <cellStyle name="Normal 2 3 2 7 2 2 3" xfId="26670" xr:uid="{F6F15AF4-326F-45D6-AE9F-F3FC496A3101}"/>
    <cellStyle name="Normal 2 3 2 7 2 3" xfId="26671" xr:uid="{C209C9F3-CE41-4B47-9A58-C761AC048B12}"/>
    <cellStyle name="Normal 2 3 2 7 2 3 2" xfId="26672" xr:uid="{8FCA6454-E605-485C-B0BC-64E838F82C29}"/>
    <cellStyle name="Normal 2 3 2 7 2 3 2 2" xfId="26673" xr:uid="{B227EE42-AD40-419A-9239-D1CE4D5127A9}"/>
    <cellStyle name="Normal 2 3 2 7 2 3 3" xfId="26674" xr:uid="{A22F1144-7DBC-465F-A112-1472218AC3D1}"/>
    <cellStyle name="Normal 2 3 2 7 2 4" xfId="26675" xr:uid="{6EEE3783-65CB-474A-B70B-DD11FDBED7F4}"/>
    <cellStyle name="Normal 2 3 2 7 2 4 2" xfId="26676" xr:uid="{3CA9A984-DDBC-4DB3-BC3B-DA57C354765F}"/>
    <cellStyle name="Normal 2 3 2 7 2 5" xfId="26677" xr:uid="{35DC79F5-4615-463C-A473-B050DFA7920D}"/>
    <cellStyle name="Normal 2 3 2 7 3" xfId="26678" xr:uid="{D4C9CDAA-0CE1-4A06-A1B7-7C6BDC67B29C}"/>
    <cellStyle name="Normal 2 3 2 7 3 2" xfId="26679" xr:uid="{76BBD633-07F9-4DC9-89C2-51BED22759AB}"/>
    <cellStyle name="Normal 2 3 2 7 3 2 2" xfId="26680" xr:uid="{5CD897DE-5A85-4859-B448-71EB30EE9545}"/>
    <cellStyle name="Normal 2 3 2 7 3 3" xfId="26681" xr:uid="{C7CCC175-DB66-45E5-BC61-027DDD4B2C2B}"/>
    <cellStyle name="Normal 2 3 2 7 4" xfId="26682" xr:uid="{AAF799E9-5CAC-4211-BE7B-E0B2B57D5B28}"/>
    <cellStyle name="Normal 2 3 2 7 4 2" xfId="26683" xr:uid="{F6A67769-DF7D-4D3C-9334-B4C72A1147D2}"/>
    <cellStyle name="Normal 2 3 2 7 4 2 2" xfId="26684" xr:uid="{E59EBA5E-7434-4D03-BC7E-033508C7E93E}"/>
    <cellStyle name="Normal 2 3 2 7 4 3" xfId="26685" xr:uid="{B089077A-4E7C-4C88-970D-E7C9D717A83B}"/>
    <cellStyle name="Normal 2 3 2 7 5" xfId="26686" xr:uid="{33FB6655-533E-4699-8381-4A6E1211558B}"/>
    <cellStyle name="Normal 2 3 2 7 5 2" xfId="26687" xr:uid="{28D569D1-699E-45E0-9052-2B5FD1A60FEF}"/>
    <cellStyle name="Normal 2 3 2 7 6" xfId="26688" xr:uid="{D1DA0417-7B45-4287-86F6-1D0C3B6EB639}"/>
    <cellStyle name="Normal 2 3 2 8" xfId="26689" xr:uid="{85DDCA1D-E256-4821-98C7-537DAE6340F0}"/>
    <cellStyle name="Normal 2 3 2 8 2" xfId="26690" xr:uid="{EA9E68CC-E8A6-48FC-81BF-85E897B08093}"/>
    <cellStyle name="Normal 2 3 2 8 2 2" xfId="26691" xr:uid="{F64F343D-6F42-47D0-895C-2CB4ABB01F23}"/>
    <cellStyle name="Normal 2 3 2 8 2 2 2" xfId="26692" xr:uid="{9D380F7A-F385-4AE6-A920-239758F2F6A7}"/>
    <cellStyle name="Normal 2 3 2 8 2 2 2 2" xfId="26693" xr:uid="{2C157C21-2959-4FB8-9B83-2D95BCED8D90}"/>
    <cellStyle name="Normal 2 3 2 8 2 2 3" xfId="26694" xr:uid="{64285969-FE7B-418E-81F6-5FFBF968F51B}"/>
    <cellStyle name="Normal 2 3 2 8 2 3" xfId="26695" xr:uid="{AA4948D5-B2B0-47C1-BABA-7CEBD1A80186}"/>
    <cellStyle name="Normal 2 3 2 8 2 3 2" xfId="26696" xr:uid="{D78AD593-0CD3-42D9-B234-BD79482176C8}"/>
    <cellStyle name="Normal 2 3 2 8 2 3 2 2" xfId="26697" xr:uid="{4541E371-9A39-4613-891A-CF97AED72835}"/>
    <cellStyle name="Normal 2 3 2 8 2 3 3" xfId="26698" xr:uid="{372FD85A-5F62-4CD0-9443-8F991F197E78}"/>
    <cellStyle name="Normal 2 3 2 8 2 4" xfId="26699" xr:uid="{76F74883-D982-4A48-8D1B-CFBB530F35BA}"/>
    <cellStyle name="Normal 2 3 2 8 2 4 2" xfId="26700" xr:uid="{9F8518B6-5D6D-464C-BBB2-65D1E42CF940}"/>
    <cellStyle name="Normal 2 3 2 8 2 5" xfId="26701" xr:uid="{2CF21E0E-0317-44D5-89F0-3F99386B97A9}"/>
    <cellStyle name="Normal 2 3 2 8 3" xfId="26702" xr:uid="{1766C72B-49B4-474B-88B1-45C508168FE3}"/>
    <cellStyle name="Normal 2 3 2 8 3 2" xfId="26703" xr:uid="{DB31FB4B-FBD7-48ED-98E9-C4FA9912363C}"/>
    <cellStyle name="Normal 2 3 2 8 3 2 2" xfId="26704" xr:uid="{6BF6C9D1-0258-429A-80D0-15EC90319CD9}"/>
    <cellStyle name="Normal 2 3 2 8 3 3" xfId="26705" xr:uid="{0F7737D5-CE50-4218-A647-84C75F49189C}"/>
    <cellStyle name="Normal 2 3 2 8 4" xfId="26706" xr:uid="{1FFFBD2A-DC91-4996-B248-B90C874E6AAB}"/>
    <cellStyle name="Normal 2 3 2 8 4 2" xfId="26707" xr:uid="{F6497F25-C703-44D8-9C31-07B5A63EBBDF}"/>
    <cellStyle name="Normal 2 3 2 8 4 2 2" xfId="26708" xr:uid="{04D7656B-2DC6-4780-BC55-F1820B7717FE}"/>
    <cellStyle name="Normal 2 3 2 8 4 3" xfId="26709" xr:uid="{EC1F10F2-632B-4542-8A9E-24B31E1A4E78}"/>
    <cellStyle name="Normal 2 3 2 8 5" xfId="26710" xr:uid="{FC53EA73-5D26-4DB4-BDED-A8B6022D5CE4}"/>
    <cellStyle name="Normal 2 3 2 8 5 2" xfId="26711" xr:uid="{D53F6FC8-D1B6-4728-804C-4E0B1ABAD49E}"/>
    <cellStyle name="Normal 2 3 2 8 6" xfId="26712" xr:uid="{B8E63717-E6B0-4C9C-8B08-06B039140497}"/>
    <cellStyle name="Normal 2 3 2 9" xfId="26713" xr:uid="{51BC1186-0621-4BFC-A428-AD185F2939EE}"/>
    <cellStyle name="Normal 2 3 2 9 2" xfId="26714" xr:uid="{9B1BC973-4EA4-4826-8D1D-9566C174D956}"/>
    <cellStyle name="Normal 2 3 2 9 2 2" xfId="26715" xr:uid="{DE7D9DB1-8D62-4751-BD56-DC96180DB54F}"/>
    <cellStyle name="Normal 2 3 2 9 2 2 2" xfId="26716" xr:uid="{1C525A30-CEAC-40F0-907B-E6B903D3CAD3}"/>
    <cellStyle name="Normal 2 3 2 9 2 2 2 2" xfId="26717" xr:uid="{AC3CA5E3-6FFC-4B57-B80B-A8A4EC1F97B8}"/>
    <cellStyle name="Normal 2 3 2 9 2 2 3" xfId="26718" xr:uid="{458A0A9E-8BE6-42D3-BC03-6D7563FBEB9B}"/>
    <cellStyle name="Normal 2 3 2 9 2 3" xfId="26719" xr:uid="{5C87FB3E-24C9-4F66-8E30-95535AAC4978}"/>
    <cellStyle name="Normal 2 3 2 9 2 3 2" xfId="26720" xr:uid="{E718C50F-BD83-41FB-ACE2-ACA073C4AD4E}"/>
    <cellStyle name="Normal 2 3 2 9 2 3 2 2" xfId="26721" xr:uid="{85EED919-9E66-4734-AF11-975C19C4E27A}"/>
    <cellStyle name="Normal 2 3 2 9 2 3 3" xfId="26722" xr:uid="{A5A76F5F-9CFD-4B9F-A3B7-2B90BC78DAA5}"/>
    <cellStyle name="Normal 2 3 2 9 2 4" xfId="26723" xr:uid="{C264F305-2BD6-4BF1-A775-B268E195679A}"/>
    <cellStyle name="Normal 2 3 2 9 2 4 2" xfId="26724" xr:uid="{89AA1869-2E9E-4025-BDE5-BC90022AE07D}"/>
    <cellStyle name="Normal 2 3 2 9 2 5" xfId="26725" xr:uid="{37314E47-2190-4006-B103-74487048AA4B}"/>
    <cellStyle name="Normal 2 3 2 9 3" xfId="26726" xr:uid="{5D5313E9-3F5D-46BC-ACFC-D5324A26B268}"/>
    <cellStyle name="Normal 2 3 2 9 3 2" xfId="26727" xr:uid="{2128D3C4-111B-4C0F-A5D9-2032C1A55732}"/>
    <cellStyle name="Normal 2 3 2 9 3 2 2" xfId="26728" xr:uid="{9CD6C97C-3995-4C19-953E-E02A2FBF6DEE}"/>
    <cellStyle name="Normal 2 3 2 9 3 3" xfId="26729" xr:uid="{75110FCE-0907-4B1F-9583-221587DC6F0C}"/>
    <cellStyle name="Normal 2 3 2 9 4" xfId="26730" xr:uid="{BC80EFA8-5C02-4128-8C1D-AC122A66BF17}"/>
    <cellStyle name="Normal 2 3 2 9 4 2" xfId="26731" xr:uid="{91509ACD-6B61-432B-BD37-10A437CCA89E}"/>
    <cellStyle name="Normal 2 3 2 9 4 2 2" xfId="26732" xr:uid="{EDC95EF9-19BE-47F1-81FC-4E25EAF0E3D8}"/>
    <cellStyle name="Normal 2 3 2 9 4 3" xfId="26733" xr:uid="{D654FF1B-76AF-4E53-9548-94F2926697EF}"/>
    <cellStyle name="Normal 2 3 2 9 5" xfId="26734" xr:uid="{F5532D85-04F8-491B-A88F-F84BCB4460ED}"/>
    <cellStyle name="Normal 2 3 2 9 5 2" xfId="26735" xr:uid="{8CDF4D4B-0B90-48F9-B59F-CEBFD5C888E4}"/>
    <cellStyle name="Normal 2 3 2 9 6" xfId="26736" xr:uid="{08F783D3-8DC2-492F-B739-D082540E20EE}"/>
    <cellStyle name="Normal 2 3 3" xfId="26737" xr:uid="{2C29C53C-1C71-424C-8810-39338D8E2FB1}"/>
    <cellStyle name="Normal 2 3 3 10" xfId="26738" xr:uid="{0B8BA557-EC55-4A4D-A30E-391258763E76}"/>
    <cellStyle name="Normal 2 3 3 10 2" xfId="26739" xr:uid="{537D327F-258A-4B8E-9612-0239CAA233A7}"/>
    <cellStyle name="Normal 2 3 3 10 2 2" xfId="26740" xr:uid="{E54DCF5B-D0F0-4383-817E-BEDE2CF28568}"/>
    <cellStyle name="Normal 2 3 3 10 2 2 2" xfId="26741" xr:uid="{4E5E2BDA-EAF9-43D9-AEE3-673BA627FE25}"/>
    <cellStyle name="Normal 2 3 3 10 2 2 2 2" xfId="26742" xr:uid="{6E6E86E8-7B0B-4939-9008-C24719273FE4}"/>
    <cellStyle name="Normal 2 3 3 10 2 2 3" xfId="26743" xr:uid="{D1961306-31D5-4A3D-ADB6-D6063B59A1F8}"/>
    <cellStyle name="Normal 2 3 3 10 2 3" xfId="26744" xr:uid="{785D5EEB-0B77-403B-9005-705EF9F48B00}"/>
    <cellStyle name="Normal 2 3 3 10 2 3 2" xfId="26745" xr:uid="{FBBD1FD3-301A-4F45-B964-721925744ED2}"/>
    <cellStyle name="Normal 2 3 3 10 2 3 2 2" xfId="26746" xr:uid="{DBA3D6BE-6F46-42D0-94CE-BAD559C34154}"/>
    <cellStyle name="Normal 2 3 3 10 2 3 3" xfId="26747" xr:uid="{02803691-6448-414A-ACF1-7E0E24A3F4BF}"/>
    <cellStyle name="Normal 2 3 3 10 2 4" xfId="26748" xr:uid="{4DBC6549-D27D-462C-904A-8BA7B0DB960A}"/>
    <cellStyle name="Normal 2 3 3 10 2 4 2" xfId="26749" xr:uid="{D9B10F07-4952-4C2E-A312-9C4A66CAF21C}"/>
    <cellStyle name="Normal 2 3 3 10 2 5" xfId="26750" xr:uid="{6B32834C-D9B1-44F1-8E43-5DB75924033E}"/>
    <cellStyle name="Normal 2 3 3 10 3" xfId="26751" xr:uid="{94F2AAB8-76F7-4589-8BDB-76CA38BCB592}"/>
    <cellStyle name="Normal 2 3 3 10 3 2" xfId="26752" xr:uid="{F6D625F8-F52A-4F1E-B11D-ED0664BDB880}"/>
    <cellStyle name="Normal 2 3 3 10 3 2 2" xfId="26753" xr:uid="{ADDF9DFA-16A9-4309-BA71-FF9C3F88F04A}"/>
    <cellStyle name="Normal 2 3 3 10 3 3" xfId="26754" xr:uid="{0CB9BDA1-D25D-49E3-82E6-7F9813F1EFA3}"/>
    <cellStyle name="Normal 2 3 3 10 4" xfId="26755" xr:uid="{451F7511-8F60-4EB4-90F2-9091F1104F51}"/>
    <cellStyle name="Normal 2 3 3 10 4 2" xfId="26756" xr:uid="{9A65CA89-082E-44FC-8BE1-8272F3AA3591}"/>
    <cellStyle name="Normal 2 3 3 10 4 2 2" xfId="26757" xr:uid="{CBEB9F00-1D3E-458E-8382-1B895801E0B0}"/>
    <cellStyle name="Normal 2 3 3 10 4 3" xfId="26758" xr:uid="{1F69DA37-84C4-4998-A7C3-BF4C7AD69AFD}"/>
    <cellStyle name="Normal 2 3 3 10 5" xfId="26759" xr:uid="{69FC2066-4143-4EFA-9108-DF63DF0C1A69}"/>
    <cellStyle name="Normal 2 3 3 10 5 2" xfId="26760" xr:uid="{1181658B-4515-4E18-9337-F452D92C3324}"/>
    <cellStyle name="Normal 2 3 3 10 6" xfId="26761" xr:uid="{B56BA15F-2264-4693-992C-CBE5A9E8028B}"/>
    <cellStyle name="Normal 2 3 3 11" xfId="26762" xr:uid="{6A879C81-5AC8-4B94-A5E4-7EE535C62B2D}"/>
    <cellStyle name="Normal 2 3 3 11 2" xfId="26763" xr:uid="{D0845A90-7659-4F62-8384-3D16CE7B64D9}"/>
    <cellStyle name="Normal 2 3 3 11 2 2" xfId="26764" xr:uid="{D73F70B5-1EA1-4231-BBD0-3635A88A5ABF}"/>
    <cellStyle name="Normal 2 3 3 11 2 2 2" xfId="26765" xr:uid="{7463534D-E160-4883-9E91-415BC16B0974}"/>
    <cellStyle name="Normal 2 3 3 11 2 2 2 2" xfId="26766" xr:uid="{9FD88576-E64D-4D51-8768-C7C0B36ABF06}"/>
    <cellStyle name="Normal 2 3 3 11 2 2 3" xfId="26767" xr:uid="{C5E0E4FE-21A4-4B40-BD24-A230A40D53E3}"/>
    <cellStyle name="Normal 2 3 3 11 2 3" xfId="26768" xr:uid="{A601C763-10F7-4667-86A7-E4E1E8F8F3A7}"/>
    <cellStyle name="Normal 2 3 3 11 2 3 2" xfId="26769" xr:uid="{B3E5ADD0-6AB2-499E-93B2-27203B5CFC0E}"/>
    <cellStyle name="Normal 2 3 3 11 2 3 2 2" xfId="26770" xr:uid="{5158C821-3551-475B-A9F4-C655A3C1D275}"/>
    <cellStyle name="Normal 2 3 3 11 2 3 3" xfId="26771" xr:uid="{55804186-7332-4C63-A372-37A12E704D44}"/>
    <cellStyle name="Normal 2 3 3 11 2 4" xfId="26772" xr:uid="{66011B67-2A6F-45E1-BCDA-36DD71D56317}"/>
    <cellStyle name="Normal 2 3 3 11 2 4 2" xfId="26773" xr:uid="{F246F1E6-5EF8-432A-BDFC-D6FA8B4E8A66}"/>
    <cellStyle name="Normal 2 3 3 11 2 5" xfId="26774" xr:uid="{C2893EB8-46B4-48A4-89F2-D2171A9E72B6}"/>
    <cellStyle name="Normal 2 3 3 11 3" xfId="26775" xr:uid="{2EA622A3-B5DE-450A-B8A2-41BD95BDDB83}"/>
    <cellStyle name="Normal 2 3 3 11 3 2" xfId="26776" xr:uid="{CD204070-0C48-4312-86A3-55A93A2FBBFB}"/>
    <cellStyle name="Normal 2 3 3 11 3 2 2" xfId="26777" xr:uid="{5A665404-CC96-427D-9258-D41D6F940EFE}"/>
    <cellStyle name="Normal 2 3 3 11 3 3" xfId="26778" xr:uid="{18753298-1628-4C6F-9095-5F078FAC1DAC}"/>
    <cellStyle name="Normal 2 3 3 11 4" xfId="26779" xr:uid="{2EAE8D58-2D71-44AB-9067-DCCFBAC7E91D}"/>
    <cellStyle name="Normal 2 3 3 11 4 2" xfId="26780" xr:uid="{D0CB529B-6E47-46AE-A84C-604463C4CCD3}"/>
    <cellStyle name="Normal 2 3 3 11 4 2 2" xfId="26781" xr:uid="{291C3C7E-EA89-4BB4-8673-FB99C6E10EB9}"/>
    <cellStyle name="Normal 2 3 3 11 4 3" xfId="26782" xr:uid="{0ECB6723-035F-4958-B235-221C3754FA48}"/>
    <cellStyle name="Normal 2 3 3 11 5" xfId="26783" xr:uid="{D83330E5-0D63-43C7-A6C0-D82AEC8BEFAB}"/>
    <cellStyle name="Normal 2 3 3 11 5 2" xfId="26784" xr:uid="{1F18E7DD-66FA-4E1E-9867-DD910C96A5D8}"/>
    <cellStyle name="Normal 2 3 3 11 6" xfId="26785" xr:uid="{2B572F80-B481-4D27-BECA-183BF457ADB9}"/>
    <cellStyle name="Normal 2 3 3 12" xfId="26786" xr:uid="{CD9467F6-D585-4A1E-A5D1-3C3F67279D26}"/>
    <cellStyle name="Normal 2 3 3 12 2" xfId="26787" xr:uid="{5D7BEF9D-4E35-4C42-B80F-B908C76539C5}"/>
    <cellStyle name="Normal 2 3 3 12 2 2" xfId="26788" xr:uid="{03414186-170C-4A21-BCFD-598698B55C71}"/>
    <cellStyle name="Normal 2 3 3 12 2 2 2" xfId="26789" xr:uid="{A3518397-5B1B-4840-A0EC-601F38E0422E}"/>
    <cellStyle name="Normal 2 3 3 12 2 3" xfId="26790" xr:uid="{2F49EB92-ABEF-4A9A-AA93-DFDEA3BB8113}"/>
    <cellStyle name="Normal 2 3 3 12 3" xfId="26791" xr:uid="{2734FB76-7710-48D2-9A4B-0C76BEA5F0C2}"/>
    <cellStyle name="Normal 2 3 3 12 3 2" xfId="26792" xr:uid="{D7744FD6-837B-4A42-B8C1-335457EEBC42}"/>
    <cellStyle name="Normal 2 3 3 12 3 2 2" xfId="26793" xr:uid="{263938D4-4EF8-40A8-8293-FDFE1673A28B}"/>
    <cellStyle name="Normal 2 3 3 12 3 3" xfId="26794" xr:uid="{AD06E4F6-70F8-45F2-9250-9C77C1642DEB}"/>
    <cellStyle name="Normal 2 3 3 12 4" xfId="26795" xr:uid="{7FC45647-D485-46F0-9CF7-3270611DB31E}"/>
    <cellStyle name="Normal 2 3 3 12 4 2" xfId="26796" xr:uid="{07BC779B-0604-408D-8BFF-1FDDE22FC7C5}"/>
    <cellStyle name="Normal 2 3 3 12 5" xfId="26797" xr:uid="{CD89BDAF-6C9A-4C55-A085-DA2EC9F50BA3}"/>
    <cellStyle name="Normal 2 3 3 13" xfId="26798" xr:uid="{56EA4E14-3BB5-4930-B9A1-426D3ABB7CCF}"/>
    <cellStyle name="Normal 2 3 3 13 2" xfId="26799" xr:uid="{23B9EF63-B2E4-4B69-87A2-4B6FB1EAABF7}"/>
    <cellStyle name="Normal 2 3 3 13 2 2" xfId="26800" xr:uid="{0BCD4A97-3CA0-420D-95A1-465DE6A21240}"/>
    <cellStyle name="Normal 2 3 3 13 3" xfId="26801" xr:uid="{E1BF657F-022F-4406-8E26-A28C34632021}"/>
    <cellStyle name="Normal 2 3 3 14" xfId="26802" xr:uid="{6997EC50-520A-4088-81AA-21D092E897A5}"/>
    <cellStyle name="Normal 2 3 3 14 2" xfId="26803" xr:uid="{5567F37B-2410-4CE8-8690-8531BC8D3E74}"/>
    <cellStyle name="Normal 2 3 3 14 2 2" xfId="26804" xr:uid="{4727AB01-0AFC-4902-97CF-B8D0596253E8}"/>
    <cellStyle name="Normal 2 3 3 14 3" xfId="26805" xr:uid="{7B95C3DB-E489-41DF-AD06-FB89FEB2425F}"/>
    <cellStyle name="Normal 2 3 3 15" xfId="26806" xr:uid="{3782EE46-805B-4677-8002-0FFAFDACC8D2}"/>
    <cellStyle name="Normal 2 3 3 15 2" xfId="26807" xr:uid="{DF222CEA-804F-4BF2-A990-79ED67440AC6}"/>
    <cellStyle name="Normal 2 3 3 16" xfId="26808" xr:uid="{744FA18A-F50D-4071-A4E5-AD44DD54CA87}"/>
    <cellStyle name="Normal 2 3 3 2" xfId="26809" xr:uid="{75C0CEF9-027C-40D3-926B-9BED2B016475}"/>
    <cellStyle name="Normal 2 3 3 2 10" xfId="26810" xr:uid="{60E1FE01-BD68-422F-B1E3-0385D0C0368A}"/>
    <cellStyle name="Normal 2 3 3 2 10 2" xfId="26811" xr:uid="{0655E2E4-FB99-4CB2-8C31-93B27B506530}"/>
    <cellStyle name="Normal 2 3 3 2 10 2 2" xfId="26812" xr:uid="{A40E16D8-94D5-4060-A3C0-9DD1A9C31BD2}"/>
    <cellStyle name="Normal 2 3 3 2 10 2 2 2" xfId="26813" xr:uid="{E159C734-C5DC-4EB6-BE87-77F8C201A67E}"/>
    <cellStyle name="Normal 2 3 3 2 10 2 2 2 2" xfId="26814" xr:uid="{48A6EDE7-14F0-45D7-9DBA-93B472F2D216}"/>
    <cellStyle name="Normal 2 3 3 2 10 2 2 3" xfId="26815" xr:uid="{77B1A259-13A4-4CE4-BF8B-7035097A0011}"/>
    <cellStyle name="Normal 2 3 3 2 10 2 3" xfId="26816" xr:uid="{CED34BE8-078C-4B47-9E30-ACBAB97332F4}"/>
    <cellStyle name="Normal 2 3 3 2 10 2 3 2" xfId="26817" xr:uid="{5CE9E196-C3BA-456D-BACF-504F0F5C7B1F}"/>
    <cellStyle name="Normal 2 3 3 2 10 2 3 2 2" xfId="26818" xr:uid="{3A7F292A-93DB-47FC-87D9-19CFC7985E67}"/>
    <cellStyle name="Normal 2 3 3 2 10 2 3 3" xfId="26819" xr:uid="{5516AF11-C4DA-481C-870E-0C18031875D0}"/>
    <cellStyle name="Normal 2 3 3 2 10 2 4" xfId="26820" xr:uid="{429ACB55-4ED5-40C3-BC29-9C90338F9D6F}"/>
    <cellStyle name="Normal 2 3 3 2 10 2 4 2" xfId="26821" xr:uid="{2F66F443-3368-416A-89F3-56A9C1446997}"/>
    <cellStyle name="Normal 2 3 3 2 10 2 5" xfId="26822" xr:uid="{5A546A09-851B-4C6A-B4DB-09A0E745F06D}"/>
    <cellStyle name="Normal 2 3 3 2 10 3" xfId="26823" xr:uid="{A94E0F69-792D-466F-8DAA-B4C6F9302962}"/>
    <cellStyle name="Normal 2 3 3 2 10 3 2" xfId="26824" xr:uid="{44438BB8-CFED-42DC-A27F-0CD367DEE4A2}"/>
    <cellStyle name="Normal 2 3 3 2 10 3 2 2" xfId="26825" xr:uid="{82F0BBAE-5B6B-4D85-8BEE-A5C43045ADFE}"/>
    <cellStyle name="Normal 2 3 3 2 10 3 3" xfId="26826" xr:uid="{C19F9144-4D74-43D7-B3C4-61FF13814DBF}"/>
    <cellStyle name="Normal 2 3 3 2 10 4" xfId="26827" xr:uid="{EBA0B518-9CDC-4521-A8A9-62B15AB88C11}"/>
    <cellStyle name="Normal 2 3 3 2 10 4 2" xfId="26828" xr:uid="{5CAC7FDE-B367-4DD3-8287-A9697B6AB0A1}"/>
    <cellStyle name="Normal 2 3 3 2 10 4 2 2" xfId="26829" xr:uid="{1A473362-6AF3-4E47-AC1C-A111AED3FAA6}"/>
    <cellStyle name="Normal 2 3 3 2 10 4 3" xfId="26830" xr:uid="{1813B435-8349-4B3A-B0C0-711FA54E9E8B}"/>
    <cellStyle name="Normal 2 3 3 2 10 5" xfId="26831" xr:uid="{3D4FBBDF-DFE9-45F7-B129-D3E99FE78129}"/>
    <cellStyle name="Normal 2 3 3 2 10 5 2" xfId="26832" xr:uid="{793ED701-B2E0-417F-B6FC-1B9D15489D74}"/>
    <cellStyle name="Normal 2 3 3 2 10 6" xfId="26833" xr:uid="{9296F979-D17E-4E28-8821-2CA190F7E0BE}"/>
    <cellStyle name="Normal 2 3 3 2 11" xfId="26834" xr:uid="{80AF2CA6-6C1D-4D32-A2B1-0517EAB7D91D}"/>
    <cellStyle name="Normal 2 3 3 2 11 2" xfId="26835" xr:uid="{51586529-D921-4CC7-992F-B6C4374E3B1A}"/>
    <cellStyle name="Normal 2 3 3 2 11 2 2" xfId="26836" xr:uid="{6F919E23-AFD9-4012-A601-2FDF148CFF44}"/>
    <cellStyle name="Normal 2 3 3 2 11 2 2 2" xfId="26837" xr:uid="{EE7E0216-55F3-410C-9849-90CCBED39AB4}"/>
    <cellStyle name="Normal 2 3 3 2 11 2 2 2 2" xfId="26838" xr:uid="{547FFD41-6058-40E4-83F2-F8B41E8D8B84}"/>
    <cellStyle name="Normal 2 3 3 2 11 2 2 2 2 2" xfId="26839" xr:uid="{831C78BE-9DDF-442A-9696-8EABFB8B7EAC}"/>
    <cellStyle name="Normal 2 3 3 2 11 2 2 2 3" xfId="26840" xr:uid="{C6301C33-9743-4376-A9C7-4705037477C3}"/>
    <cellStyle name="Normal 2 3 3 2 11 2 2 3" xfId="26841" xr:uid="{35D832ED-C15B-4410-B39C-236139CF3FC7}"/>
    <cellStyle name="Normal 2 3 3 2 11 2 2 3 2" xfId="26842" xr:uid="{9F2EEDB8-462F-43DD-B144-866082FA6263}"/>
    <cellStyle name="Normal 2 3 3 2 11 2 2 3 2 2" xfId="26843" xr:uid="{0A794B8B-1EA4-41E5-B054-049662F386F9}"/>
    <cellStyle name="Normal 2 3 3 2 11 2 2 3 3" xfId="26844" xr:uid="{65AD4CEA-86E4-4585-B127-704D2E9B2F84}"/>
    <cellStyle name="Normal 2 3 3 2 11 2 2 4" xfId="26845" xr:uid="{E09F877E-689F-4ADE-8F28-BF50E2EDFE07}"/>
    <cellStyle name="Normal 2 3 3 2 11 2 2 4 2" xfId="26846" xr:uid="{F3240D75-A33E-4464-9D46-B9582251976B}"/>
    <cellStyle name="Normal 2 3 3 2 11 2 2 5" xfId="26847" xr:uid="{C66A24E2-5F65-4F93-8125-AC13A6872CBC}"/>
    <cellStyle name="Normal 2 3 3 2 11 2 3" xfId="26848" xr:uid="{2CA165E3-94C2-4EA5-A29E-B54FAD720966}"/>
    <cellStyle name="Normal 2 3 3 2 11 2 3 2" xfId="26849" xr:uid="{14199F4D-69DA-4426-BBDC-C85E31856864}"/>
    <cellStyle name="Normal 2 3 3 2 11 2 3 2 2" xfId="26850" xr:uid="{C9281117-58A8-4D18-A624-C0C32C57FFCF}"/>
    <cellStyle name="Normal 2 3 3 2 11 2 3 3" xfId="26851" xr:uid="{577B3765-84F5-48EB-8C6B-68B0FD3AEAFA}"/>
    <cellStyle name="Normal 2 3 3 2 11 2 4" xfId="26852" xr:uid="{3F8589D2-04AC-4E3C-B72D-4182BED497CE}"/>
    <cellStyle name="Normal 2 3 3 2 11 2 4 2" xfId="26853" xr:uid="{A975676E-4F91-4F27-BE86-B9E788DE9B01}"/>
    <cellStyle name="Normal 2 3 3 2 11 2 4 2 2" xfId="26854" xr:uid="{50B8269F-9719-4495-AA57-FFE13FD2B71D}"/>
    <cellStyle name="Normal 2 3 3 2 11 2 4 3" xfId="26855" xr:uid="{2C773E07-44CC-48E4-B876-7D1C346E9719}"/>
    <cellStyle name="Normal 2 3 3 2 11 2 5" xfId="26856" xr:uid="{982D9172-421B-4651-A549-C53C7A6936B6}"/>
    <cellStyle name="Normal 2 3 3 2 11 2 5 2" xfId="26857" xr:uid="{35D99526-A51F-4FD7-B030-95E5DBC70A4D}"/>
    <cellStyle name="Normal 2 3 3 2 11 2 6" xfId="26858" xr:uid="{677538FF-869D-4988-915E-3A5C34A88ADD}"/>
    <cellStyle name="Normal 2 3 3 2 11 3" xfId="26859" xr:uid="{CB157726-B848-4CAE-961A-9FB5D3FAF097}"/>
    <cellStyle name="Normal 2 3 3 2 11 3 2" xfId="26860" xr:uid="{021C332C-353D-42C7-816D-7A86EA720632}"/>
    <cellStyle name="Normal 2 3 3 2 11 3 2 2" xfId="26861" xr:uid="{D611780B-E500-4E33-A1E6-2F4972C0B635}"/>
    <cellStyle name="Normal 2 3 3 2 11 3 2 2 2" xfId="26862" xr:uid="{0DF0CC2C-7370-45DA-BBAF-B97139236325}"/>
    <cellStyle name="Normal 2 3 3 2 11 3 2 3" xfId="26863" xr:uid="{766A7144-EFF3-405F-B0B7-71FE56753B4E}"/>
    <cellStyle name="Normal 2 3 3 2 11 3 3" xfId="26864" xr:uid="{5F667831-4032-4285-978E-3AD1B6281488}"/>
    <cellStyle name="Normal 2 3 3 2 11 3 3 2" xfId="26865" xr:uid="{431BC261-7982-439A-BB71-CE25317BC7CD}"/>
    <cellStyle name="Normal 2 3 3 2 11 3 3 2 2" xfId="26866" xr:uid="{608B9DC2-65F7-481C-A12C-BCB4974ED862}"/>
    <cellStyle name="Normal 2 3 3 2 11 3 3 3" xfId="26867" xr:uid="{12651D90-F8E9-49D7-8D22-57BD4C65BF15}"/>
    <cellStyle name="Normal 2 3 3 2 11 3 4" xfId="26868" xr:uid="{8293130F-6884-468F-B9CB-07EB1A94FED7}"/>
    <cellStyle name="Normal 2 3 3 2 11 3 4 2" xfId="26869" xr:uid="{DD223FBC-3482-41BA-A76D-F126BF75F5C6}"/>
    <cellStyle name="Normal 2 3 3 2 11 3 5" xfId="26870" xr:uid="{50C1B3F0-573D-45D3-BD16-5C982CC60F0E}"/>
    <cellStyle name="Normal 2 3 3 2 11 4" xfId="26871" xr:uid="{512B5DFA-8F51-4CD3-AAFB-E9C9A5F86942}"/>
    <cellStyle name="Normal 2 3 3 2 11 4 2" xfId="26872" xr:uid="{1CD1E203-79DC-4D90-B117-A5F13CFCC178}"/>
    <cellStyle name="Normal 2 3 3 2 11 4 2 2" xfId="26873" xr:uid="{630B71CC-B536-4AA4-B758-720F9EF40B44}"/>
    <cellStyle name="Normal 2 3 3 2 11 4 3" xfId="26874" xr:uid="{EA37E47C-4843-49C1-BB08-64303D222CE0}"/>
    <cellStyle name="Normal 2 3 3 2 11 5" xfId="26875" xr:uid="{88175C42-E3B4-4AC0-B3D5-9370F122BDD5}"/>
    <cellStyle name="Normal 2 3 3 2 11 5 2" xfId="26876" xr:uid="{8AB8ED16-4186-4EA3-8DD5-90EA2890CFC1}"/>
    <cellStyle name="Normal 2 3 3 2 11 5 2 2" xfId="26877" xr:uid="{F7748251-81A1-4ADC-B8ED-CAC53D9A32D7}"/>
    <cellStyle name="Normal 2 3 3 2 11 5 3" xfId="26878" xr:uid="{FE80BE2C-C781-4DEF-A4E9-F738C525A37E}"/>
    <cellStyle name="Normal 2 3 3 2 11 6" xfId="26879" xr:uid="{059933D7-694B-4B38-AD53-6E42CEB7C999}"/>
    <cellStyle name="Normal 2 3 3 2 11 6 2" xfId="26880" xr:uid="{DEE092DC-1DB4-457E-BC58-F9CDDD18BF96}"/>
    <cellStyle name="Normal 2 3 3 2 11 7" xfId="26881" xr:uid="{7AC1C818-4654-40A9-A2F5-FD7729D816ED}"/>
    <cellStyle name="Normal 2 3 3 2 12" xfId="26882" xr:uid="{C38BBFDF-649B-4207-AFBC-3FD03AE2BF57}"/>
    <cellStyle name="Normal 2 3 3 2 12 2" xfId="26883" xr:uid="{E83761D6-B6C5-45EA-B55D-729AAB30D7F4}"/>
    <cellStyle name="Normal 2 3 3 2 12 2 2" xfId="26884" xr:uid="{01D2D2B2-FC5E-4EC0-BFCB-79FD7A3595C5}"/>
    <cellStyle name="Normal 2 3 3 2 12 2 2 2" xfId="26885" xr:uid="{A690CFC9-3FBE-4EB9-B163-77D5B72A38AE}"/>
    <cellStyle name="Normal 2 3 3 2 12 2 2 2 2" xfId="26886" xr:uid="{C1D92938-EAC6-4B07-B403-8263CA618A1E}"/>
    <cellStyle name="Normal 2 3 3 2 12 2 2 2 2 2" xfId="26887" xr:uid="{22958546-DE80-4EC2-A019-D782A3F2E98F}"/>
    <cellStyle name="Normal 2 3 3 2 12 2 2 2 3" xfId="26888" xr:uid="{792BF25A-EA7C-4E80-A913-B6B4F439B86C}"/>
    <cellStyle name="Normal 2 3 3 2 12 2 2 3" xfId="26889" xr:uid="{CEF10776-9989-4D4C-94F7-0CA3113CA447}"/>
    <cellStyle name="Normal 2 3 3 2 12 2 2 3 2" xfId="26890" xr:uid="{CAB844A7-C22E-41CB-9E53-D7F44C95380D}"/>
    <cellStyle name="Normal 2 3 3 2 12 2 2 3 2 2" xfId="26891" xr:uid="{612DEA2B-12BC-466A-9000-606465BAACBB}"/>
    <cellStyle name="Normal 2 3 3 2 12 2 2 3 3" xfId="26892" xr:uid="{30629370-8624-43EB-A721-3168EA2EB30B}"/>
    <cellStyle name="Normal 2 3 3 2 12 2 2 4" xfId="26893" xr:uid="{1452D567-366F-448B-8A54-ED150929059F}"/>
    <cellStyle name="Normal 2 3 3 2 12 2 2 4 2" xfId="26894" xr:uid="{40EEDB8A-A303-4450-A7F3-CCF2BC5FE63A}"/>
    <cellStyle name="Normal 2 3 3 2 12 2 2 5" xfId="26895" xr:uid="{806B35B0-1356-46F6-A9DE-A54CC66661D0}"/>
    <cellStyle name="Normal 2 3 3 2 12 2 3" xfId="26896" xr:uid="{514881BE-BBFF-48CA-B3E7-523F99CC37AC}"/>
    <cellStyle name="Normal 2 3 3 2 12 2 3 2" xfId="26897" xr:uid="{C0428722-129D-4563-B3DA-73D28941B70C}"/>
    <cellStyle name="Normal 2 3 3 2 12 2 3 2 2" xfId="26898" xr:uid="{19B7B644-65B7-4583-8CD0-737CEDA5CB7D}"/>
    <cellStyle name="Normal 2 3 3 2 12 2 3 3" xfId="26899" xr:uid="{2013FF3A-3683-49D2-AA01-1FF96E859C16}"/>
    <cellStyle name="Normal 2 3 3 2 12 2 4" xfId="26900" xr:uid="{5108130A-814C-4B13-AC47-5A0584B9B437}"/>
    <cellStyle name="Normal 2 3 3 2 12 2 4 2" xfId="26901" xr:uid="{5C8BC910-375B-404B-A0B8-F63F50FDC316}"/>
    <cellStyle name="Normal 2 3 3 2 12 2 4 2 2" xfId="26902" xr:uid="{A380C8E2-5A9E-43F3-AD95-8EC47A40DDAD}"/>
    <cellStyle name="Normal 2 3 3 2 12 2 4 3" xfId="26903" xr:uid="{C5DBFFFB-32F8-4551-ADEF-E63046F0F277}"/>
    <cellStyle name="Normal 2 3 3 2 12 2 5" xfId="26904" xr:uid="{3718CC55-0012-4155-8142-72AA2CC1DA23}"/>
    <cellStyle name="Normal 2 3 3 2 12 2 5 2" xfId="26905" xr:uid="{51DD1249-3F61-483D-A5AC-5393D5967A07}"/>
    <cellStyle name="Normal 2 3 3 2 12 2 6" xfId="26906" xr:uid="{335A7055-E03D-4BD3-B3F3-31FB064767E7}"/>
    <cellStyle name="Normal 2 3 3 2 12 3" xfId="26907" xr:uid="{008CCEE3-BA4D-4A52-BD60-58B356FCF9CC}"/>
    <cellStyle name="Normal 2 3 3 2 12 3 2" xfId="26908" xr:uid="{9752395D-8C3E-4FD7-902D-A7CDD0DE1708}"/>
    <cellStyle name="Normal 2 3 3 2 12 3 2 2" xfId="26909" xr:uid="{BB2B10FE-F86E-44DF-A238-B4A88AAB0302}"/>
    <cellStyle name="Normal 2 3 3 2 12 3 2 2 2" xfId="26910" xr:uid="{123B6175-D58D-42DE-BB5D-D0D8A8E1579E}"/>
    <cellStyle name="Normal 2 3 3 2 12 3 2 3" xfId="26911" xr:uid="{098A9078-0D50-4726-84A5-1066EE8C59A2}"/>
    <cellStyle name="Normal 2 3 3 2 12 3 3" xfId="26912" xr:uid="{E8C362ED-0EE6-4C3D-9771-17CE515BC30E}"/>
    <cellStyle name="Normal 2 3 3 2 12 3 3 2" xfId="26913" xr:uid="{6A9C9D66-38BF-445B-888F-529734D1688A}"/>
    <cellStyle name="Normal 2 3 3 2 12 3 3 2 2" xfId="26914" xr:uid="{6E9183D0-0489-49EE-8280-07023E273407}"/>
    <cellStyle name="Normal 2 3 3 2 12 3 3 3" xfId="26915" xr:uid="{49D38D31-9847-4485-9232-ECB805F051BA}"/>
    <cellStyle name="Normal 2 3 3 2 12 3 4" xfId="26916" xr:uid="{18A72FD2-D9F6-45AA-BE38-A80F20F09B9C}"/>
    <cellStyle name="Normal 2 3 3 2 12 3 4 2" xfId="26917" xr:uid="{2B4C7CBA-F3A2-40CE-A5CA-F668799FA300}"/>
    <cellStyle name="Normal 2 3 3 2 12 3 5" xfId="26918" xr:uid="{D184071D-64F0-4EE6-B3C4-A5B2263C7CFC}"/>
    <cellStyle name="Normal 2 3 3 2 12 4" xfId="26919" xr:uid="{E5A62734-3D2B-49EA-B717-9B31429A9FFF}"/>
    <cellStyle name="Normal 2 3 3 2 12 4 2" xfId="26920" xr:uid="{AC7DAC08-9A45-496A-B709-EC55EA320D44}"/>
    <cellStyle name="Normal 2 3 3 2 12 4 2 2" xfId="26921" xr:uid="{A5B6511C-F439-4C34-9E9B-512A3754B0C0}"/>
    <cellStyle name="Normal 2 3 3 2 12 4 3" xfId="26922" xr:uid="{CA1C654E-7A9D-4D59-80CD-A6AB5BA13D48}"/>
    <cellStyle name="Normal 2 3 3 2 12 5" xfId="26923" xr:uid="{9429DB85-EBA0-4A9E-8134-37642AA5688A}"/>
    <cellStyle name="Normal 2 3 3 2 12 5 2" xfId="26924" xr:uid="{E115CF82-3EEA-4BDD-84CC-DD90EAF33800}"/>
    <cellStyle name="Normal 2 3 3 2 12 5 2 2" xfId="26925" xr:uid="{B38351F6-7338-4688-A206-19808F8CBB71}"/>
    <cellStyle name="Normal 2 3 3 2 12 5 3" xfId="26926" xr:uid="{B879E905-9349-4026-BEE0-93D3F9804E16}"/>
    <cellStyle name="Normal 2 3 3 2 12 6" xfId="26927" xr:uid="{91B301FC-6DA0-449E-8E57-767716DF7AE6}"/>
    <cellStyle name="Normal 2 3 3 2 12 6 2" xfId="26928" xr:uid="{D4C1454C-AD81-48C3-BA86-C393340077A9}"/>
    <cellStyle name="Normal 2 3 3 2 12 7" xfId="26929" xr:uid="{24F76BF2-275D-4431-A834-BF3C5CF1CD20}"/>
    <cellStyle name="Normal 2 3 3 2 13" xfId="26930" xr:uid="{F2C8FC12-8D98-4844-AC0E-F7F87A0C773E}"/>
    <cellStyle name="Normal 2 3 3 2 13 2" xfId="26931" xr:uid="{398E1BBE-364C-4877-B442-BB073DF9913A}"/>
    <cellStyle name="Normal 2 3 3 2 13 2 2" xfId="26932" xr:uid="{388C0104-7AAB-440D-9FDA-4874E2754336}"/>
    <cellStyle name="Normal 2 3 3 2 13 2 2 2" xfId="26933" xr:uid="{B2A2CDF5-8EF1-43C0-B0BB-49656A92F6B2}"/>
    <cellStyle name="Normal 2 3 3 2 13 2 3" xfId="26934" xr:uid="{C638B731-9FC7-4048-BD6B-D272E3F632F2}"/>
    <cellStyle name="Normal 2 3 3 2 13 3" xfId="26935" xr:uid="{F83AB000-0120-473E-979C-AB5CF354189C}"/>
    <cellStyle name="Normal 2 3 3 2 13 3 2" xfId="26936" xr:uid="{E65FA1E1-BF8A-4457-8B2E-35F1273FCF90}"/>
    <cellStyle name="Normal 2 3 3 2 13 3 2 2" xfId="26937" xr:uid="{AD4C55EF-9019-43A9-B0BC-F80F29CBDF05}"/>
    <cellStyle name="Normal 2 3 3 2 13 3 3" xfId="26938" xr:uid="{4F53EFD4-7DE6-408A-AD75-93EDF45FF25D}"/>
    <cellStyle name="Normal 2 3 3 2 13 4" xfId="26939" xr:uid="{FD869485-C030-4C3C-88F5-3D486065355D}"/>
    <cellStyle name="Normal 2 3 3 2 13 4 2" xfId="26940" xr:uid="{D6F8B89D-E145-4620-B8C8-F985D5C7C301}"/>
    <cellStyle name="Normal 2 3 3 2 13 5" xfId="26941" xr:uid="{5ECB3842-7A98-4897-817B-C48D5039AC90}"/>
    <cellStyle name="Normal 2 3 3 2 14" xfId="26942" xr:uid="{5BD4D456-507A-4BD6-B8DF-6A189903996F}"/>
    <cellStyle name="Normal 2 3 3 2 14 2" xfId="26943" xr:uid="{6EB78A09-49C0-4090-889C-FD55A0F01B91}"/>
    <cellStyle name="Normal 2 3 3 2 14 2 2" xfId="26944" xr:uid="{118E1C3B-F599-4999-BE89-F8AE62CF655E}"/>
    <cellStyle name="Normal 2 3 3 2 14 3" xfId="26945" xr:uid="{4F207214-06A6-4699-870E-421AB3268E65}"/>
    <cellStyle name="Normal 2 3 3 2 15" xfId="26946" xr:uid="{B1E37DDB-09EB-43BD-8ADE-DF44990DAB18}"/>
    <cellStyle name="Normal 2 3 3 2 15 2" xfId="26947" xr:uid="{7730DEA7-3C1B-44D4-A1C2-8B39F860F3AA}"/>
    <cellStyle name="Normal 2 3 3 2 15 2 2" xfId="26948" xr:uid="{513AD737-EE1F-49C8-8787-EBBBF116CD67}"/>
    <cellStyle name="Normal 2 3 3 2 15 3" xfId="26949" xr:uid="{4FD5B1BE-C36A-4B7F-8F64-5C48A72A469F}"/>
    <cellStyle name="Normal 2 3 3 2 16" xfId="26950" xr:uid="{4D7F5D2D-8D03-4517-BA4D-BEF10A513E48}"/>
    <cellStyle name="Normal 2 3 3 2 16 2" xfId="26951" xr:uid="{FF256329-9034-41C2-9F15-E730155F9F26}"/>
    <cellStyle name="Normal 2 3 3 2 17" xfId="26952" xr:uid="{11502324-5955-4957-8C35-EED840459B55}"/>
    <cellStyle name="Normal 2 3 3 2 2" xfId="26953" xr:uid="{4F32FB44-1371-477F-A7D2-065FF3BFB5EF}"/>
    <cellStyle name="Normal 2 3 3 2 2 2" xfId="26954" xr:uid="{5E309931-D1FD-4024-B425-22C97EF8ABAF}"/>
    <cellStyle name="Normal 2 3 3 2 2 2 2" xfId="26955" xr:uid="{B9275F3D-C63B-4DA1-8873-0B0763624CF3}"/>
    <cellStyle name="Normal 2 3 3 2 2 2 2 2" xfId="26956" xr:uid="{34DDBF1D-4FB0-4340-B834-8DF5A11C0FD6}"/>
    <cellStyle name="Normal 2 3 3 2 2 2 2 2 2" xfId="26957" xr:uid="{CBC8ED84-20D0-421A-8826-18702A0C2547}"/>
    <cellStyle name="Normal 2 3 3 2 2 2 2 3" xfId="26958" xr:uid="{38181B3D-8CCC-4157-ACA5-E179F0A077A1}"/>
    <cellStyle name="Normal 2 3 3 2 2 2 3" xfId="26959" xr:uid="{0C320B3F-B3CD-407A-8D9D-774128B71DEB}"/>
    <cellStyle name="Normal 2 3 3 2 2 2 3 2" xfId="26960" xr:uid="{7C46F84D-5CA3-4C7E-9CD9-B93F3C222055}"/>
    <cellStyle name="Normal 2 3 3 2 2 2 3 2 2" xfId="26961" xr:uid="{7EA1DCF6-1D53-4297-923D-34F9BC07FBB4}"/>
    <cellStyle name="Normal 2 3 3 2 2 2 3 3" xfId="26962" xr:uid="{1F0B53CB-8F30-4787-883A-C9A3E906F5D4}"/>
    <cellStyle name="Normal 2 3 3 2 2 2 4" xfId="26963" xr:uid="{8AB237D0-4C47-40A7-9C9F-A5284BAE5260}"/>
    <cellStyle name="Normal 2 3 3 2 2 2 4 2" xfId="26964" xr:uid="{42E0B641-139F-4BAF-940C-9132C760721F}"/>
    <cellStyle name="Normal 2 3 3 2 2 2 5" xfId="26965" xr:uid="{71AC43F2-1079-4AA8-8575-0E24DC33B13D}"/>
    <cellStyle name="Normal 2 3 3 2 2 3" xfId="26966" xr:uid="{3BE101D8-D317-4EA3-8B49-343D8087DB4E}"/>
    <cellStyle name="Normal 2 3 3 2 2 3 2" xfId="26967" xr:uid="{2BD5362E-78FF-4190-9898-F32A3A00AA06}"/>
    <cellStyle name="Normal 2 3 3 2 2 3 2 2" xfId="26968" xr:uid="{9CAA1C07-25A3-4BE9-AF70-A4045EB40DF1}"/>
    <cellStyle name="Normal 2 3 3 2 2 3 3" xfId="26969" xr:uid="{F60DCBD0-4CB8-4922-A00A-D8EE7E2C8FE5}"/>
    <cellStyle name="Normal 2 3 3 2 2 4" xfId="26970" xr:uid="{91271DF4-09D6-40A3-B5CB-32ACC312ED43}"/>
    <cellStyle name="Normal 2 3 3 2 2 4 2" xfId="26971" xr:uid="{CFDBF8CF-E58D-4D88-9927-0C15A5728F19}"/>
    <cellStyle name="Normal 2 3 3 2 2 4 2 2" xfId="26972" xr:uid="{32805B25-D42B-4867-B051-E47E2703E8EA}"/>
    <cellStyle name="Normal 2 3 3 2 2 4 3" xfId="26973" xr:uid="{5439CE52-F87B-4F82-9232-102F4C6DE1C1}"/>
    <cellStyle name="Normal 2 3 3 2 2 5" xfId="26974" xr:uid="{24AD19E1-C8CB-4DD5-BD4C-5B645BA775AF}"/>
    <cellStyle name="Normal 2 3 3 2 2 5 2" xfId="26975" xr:uid="{C6CEDCF5-EB85-4BC5-8BA1-0C03325002A3}"/>
    <cellStyle name="Normal 2 3 3 2 2 6" xfId="26976" xr:uid="{5302AA98-89A5-4B96-9A2D-C7DF10112802}"/>
    <cellStyle name="Normal 2 3 3 2 3" xfId="26977" xr:uid="{EB325BCE-DA3F-4571-9173-CBF382C48888}"/>
    <cellStyle name="Normal 2 3 3 2 3 2" xfId="26978" xr:uid="{DBFB90BF-4CCB-4BAD-9217-AFEBCD396E3A}"/>
    <cellStyle name="Normal 2 3 3 2 3 2 2" xfId="26979" xr:uid="{36758851-1FAB-4F39-AA31-F0493393A5BC}"/>
    <cellStyle name="Normal 2 3 3 2 3 2 2 2" xfId="26980" xr:uid="{A53BDE64-5B94-436F-8CB9-B413B6AF9D9E}"/>
    <cellStyle name="Normal 2 3 3 2 3 2 2 2 2" xfId="26981" xr:uid="{159598EE-EB49-4498-B9EA-684EF8B95399}"/>
    <cellStyle name="Normal 2 3 3 2 3 2 2 3" xfId="26982" xr:uid="{D382D087-0AC2-47E1-9E0E-F28211D6292B}"/>
    <cellStyle name="Normal 2 3 3 2 3 2 3" xfId="26983" xr:uid="{65CB29CD-6AFA-46F1-9B97-3EF137DA74E3}"/>
    <cellStyle name="Normal 2 3 3 2 3 2 3 2" xfId="26984" xr:uid="{BB96276C-6E48-4080-B0B3-EE3F6796F8D0}"/>
    <cellStyle name="Normal 2 3 3 2 3 2 3 2 2" xfId="26985" xr:uid="{C03EC3DC-83C7-4F02-98BF-37FB3F699AE0}"/>
    <cellStyle name="Normal 2 3 3 2 3 2 3 3" xfId="26986" xr:uid="{F919ACD8-89BC-45E3-9150-35F7C7097080}"/>
    <cellStyle name="Normal 2 3 3 2 3 2 4" xfId="26987" xr:uid="{704379D7-DE5D-43E5-8521-7FCD83D860E4}"/>
    <cellStyle name="Normal 2 3 3 2 3 2 4 2" xfId="26988" xr:uid="{C2B6C125-4D85-40E2-A7CA-42F76FF40C1E}"/>
    <cellStyle name="Normal 2 3 3 2 3 2 5" xfId="26989" xr:uid="{834FB877-7E8F-4BB9-A1D6-5AEF3057EFE9}"/>
    <cellStyle name="Normal 2 3 3 2 3 3" xfId="26990" xr:uid="{09C86710-8E3A-4E72-8887-067E9011FEEF}"/>
    <cellStyle name="Normal 2 3 3 2 3 3 2" xfId="26991" xr:uid="{92292D92-2A58-411F-8653-96216ED5F35F}"/>
    <cellStyle name="Normal 2 3 3 2 3 3 2 2" xfId="26992" xr:uid="{9791C7DC-D838-40D9-A12E-3455133573AF}"/>
    <cellStyle name="Normal 2 3 3 2 3 3 2 2 2" xfId="26993" xr:uid="{06FCB1CB-CD07-4832-A8E2-6206F6875BC7}"/>
    <cellStyle name="Normal 2 3 3 2 3 3 2 3" xfId="26994" xr:uid="{92C6F70E-7FCA-466E-B37E-19E181D5E9EE}"/>
    <cellStyle name="Normal 2 3 3 2 3 3 2 3 2" xfId="26995" xr:uid="{03E59610-5F19-4442-8A2B-A2D7EFEBE55D}"/>
    <cellStyle name="Normal 2 3 3 2 3 3 2 4" xfId="26996" xr:uid="{B626B4AC-4BA1-4821-967D-0315158EA538}"/>
    <cellStyle name="Normal 2 3 3 2 3 3 3" xfId="26997" xr:uid="{55E44D96-363D-46DF-BD28-D4DA18A2697C}"/>
    <cellStyle name="Normal 2 3 3 2 3 3 3 2" xfId="26998" xr:uid="{E899EAFC-A2DE-4887-8824-F1F1B5F89AFB}"/>
    <cellStyle name="Normal 2 3 3 2 3 3 3 2 2" xfId="26999" xr:uid="{12B61A4C-13AE-43BD-B5CA-26F59ED1A526}"/>
    <cellStyle name="Normal 2 3 3 2 3 3 3 3" xfId="27000" xr:uid="{4201A241-A216-4A2F-B3C5-E1325670E15D}"/>
    <cellStyle name="Normal 2 3 3 2 3 3 3 3 2" xfId="27001" xr:uid="{502C8050-3530-4A6B-92DB-748BC16A8977}"/>
    <cellStyle name="Normal 2 3 3 2 3 3 3 4" xfId="27002" xr:uid="{091B486C-119B-441D-9E21-DD44639D51B5}"/>
    <cellStyle name="Normal 2 3 3 2 3 3 4" xfId="27003" xr:uid="{2923F4B7-6059-4F63-A213-9EED3BE51D8E}"/>
    <cellStyle name="Normal 2 3 3 2 3 3 4 2" xfId="27004" xr:uid="{4A42F078-9ABD-4AA1-91EF-4A6F6640F748}"/>
    <cellStyle name="Normal 2 3 3 2 3 3 4 2 2" xfId="27005" xr:uid="{D2D728FF-029A-4036-8E6B-19737DE52E9B}"/>
    <cellStyle name="Normal 2 3 3 2 3 3 4 2 2 2" xfId="27006" xr:uid="{C0598A79-AF5D-426B-AD96-2E95FA6791DB}"/>
    <cellStyle name="Normal 2 3 3 2 3 3 4 2 3" xfId="27007" xr:uid="{2750E8A1-046E-4235-A5DC-467AD2BA38CD}"/>
    <cellStyle name="Normal 2 3 3 2 3 3 4 2 3 2" xfId="27008" xr:uid="{5D32C996-910F-40B4-86E2-B620C4C319D2}"/>
    <cellStyle name="Normal 2 3 3 2 3 3 4 2 4" xfId="27009" xr:uid="{841C2751-1D79-4B0B-96B8-6E0A8A28075E}"/>
    <cellStyle name="Normal 2 3 3 2 3 3 4 3" xfId="27010" xr:uid="{5F75BFB8-ED98-44C7-AD82-0559F94870AF}"/>
    <cellStyle name="Normal 2 3 3 2 3 3 4 3 2" xfId="27011" xr:uid="{3931CB16-4ECC-4D6E-B182-1C5F37CE1DA0}"/>
    <cellStyle name="Normal 2 3 3 2 3 3 4 3 2 2" xfId="27012" xr:uid="{5CC811C3-2DC9-482D-927E-551BD901308E}"/>
    <cellStyle name="Normal 2 3 3 2 3 3 4 3 3" xfId="27013" xr:uid="{CEE9B251-4DF4-4A6F-BE3F-70C21C2D783F}"/>
    <cellStyle name="Normal 2 3 3 2 3 3 4 3 3 2" xfId="27014" xr:uid="{80784AA7-FA00-4FBE-A4A5-C35802FC9876}"/>
    <cellStyle name="Normal 2 3 3 2 3 3 4 3 4" xfId="27015" xr:uid="{AE6B6863-1485-4BA2-8FB1-5EF426509C74}"/>
    <cellStyle name="Normal 2 3 3 2 3 3 4 4" xfId="27016" xr:uid="{BED963BC-D163-4C7C-9670-7ED250859754}"/>
    <cellStyle name="Normal 2 3 3 2 3 3 4 4 2" xfId="27017" xr:uid="{C5252F15-9AF0-4240-A084-364DBB392003}"/>
    <cellStyle name="Normal 2 3 3 2 3 3 4 5" xfId="27018" xr:uid="{83ED9C18-EE04-422E-B0C9-D5046D0C98BC}"/>
    <cellStyle name="Normal 2 3 3 2 3 3 4 5 2" xfId="27019" xr:uid="{7D3DC6C8-CFB4-407F-B55F-A97DD4F3201B}"/>
    <cellStyle name="Normal 2 3 3 2 3 3 4 6" xfId="27020" xr:uid="{154E9B3A-326E-4752-8348-0A46AE4C1F0A}"/>
    <cellStyle name="Normal 2 3 3 2 3 3 5" xfId="27021" xr:uid="{30790842-190C-4A14-83C3-3D5F3BFB6606}"/>
    <cellStyle name="Normal 2 3 3 2 3 3 5 2" xfId="27022" xr:uid="{EDB06955-780E-4B1E-9A19-5A5085B242FB}"/>
    <cellStyle name="Normal 2 3 3 2 3 3 6" xfId="27023" xr:uid="{0BB5AA0F-DAE2-4274-B43A-AA7841C067E1}"/>
    <cellStyle name="Normal 2 3 3 2 3 3 6 2" xfId="27024" xr:uid="{7726A576-C7CE-4BFC-99D6-84D6DAF68E16}"/>
    <cellStyle name="Normal 2 3 3 2 3 3 7" xfId="27025" xr:uid="{85072C19-4DEB-4E7B-B878-6225734C03C1}"/>
    <cellStyle name="Normal 2 3 3 2 3 4" xfId="27026" xr:uid="{058AB7EE-4453-45BF-94F9-8454A1D28074}"/>
    <cellStyle name="Normal 2 3 3 2 3 4 2" xfId="27027" xr:uid="{C9E8B867-7690-4A45-86E3-14BA53627C6C}"/>
    <cellStyle name="Normal 2 3 3 2 3 4 2 2" xfId="27028" xr:uid="{1877B0B5-54DF-4445-9725-63D2F651D045}"/>
    <cellStyle name="Normal 2 3 3 2 3 4 3" xfId="27029" xr:uid="{F9F2103B-A653-46D9-BD5E-2D17DBE28286}"/>
    <cellStyle name="Normal 2 3 3 2 3 5" xfId="27030" xr:uid="{363B8D2B-3DCA-4073-967F-785E7E01AA05}"/>
    <cellStyle name="Normal 2 3 3 2 3 5 2" xfId="27031" xr:uid="{85690643-3065-4A3B-B462-3ECDEC6CE15A}"/>
    <cellStyle name="Normal 2 3 3 2 3 6" xfId="27032" xr:uid="{D391E1DE-E052-466B-BBDB-6B5AE6C45E75}"/>
    <cellStyle name="Normal 2 3 3 2 4" xfId="27033" xr:uid="{D9EC3118-387C-4A76-B15B-5B33CCB31E12}"/>
    <cellStyle name="Normal 2 3 3 2 4 2" xfId="27034" xr:uid="{EF395AF0-E339-4832-B389-A88BFAEB3171}"/>
    <cellStyle name="Normal 2 3 3 2 4 2 2" xfId="27035" xr:uid="{D912A7FC-6C4C-479D-988D-17A3132E92B0}"/>
    <cellStyle name="Normal 2 3 3 2 4 2 2 2" xfId="27036" xr:uid="{DDFB76F3-1141-4830-BA14-AB04766BCFE5}"/>
    <cellStyle name="Normal 2 3 3 2 4 2 2 2 2" xfId="27037" xr:uid="{786FE0E0-7A3E-4A3F-B932-22F18CECA955}"/>
    <cellStyle name="Normal 2 3 3 2 4 2 2 3" xfId="27038" xr:uid="{BDE191BE-67BF-46CD-A840-5B59ECDE57EE}"/>
    <cellStyle name="Normal 2 3 3 2 4 2 3" xfId="27039" xr:uid="{15AEF173-3AEF-4644-A70D-41E399D41454}"/>
    <cellStyle name="Normal 2 3 3 2 4 2 3 2" xfId="27040" xr:uid="{9FA1BAAD-DC9F-47AB-BE04-CE03F8B8C6FD}"/>
    <cellStyle name="Normal 2 3 3 2 4 2 3 2 2" xfId="27041" xr:uid="{93B8AE4D-ED7F-4C3E-B209-FFC1F663B0A0}"/>
    <cellStyle name="Normal 2 3 3 2 4 2 3 3" xfId="27042" xr:uid="{1AC5A11F-4009-4EFC-A65F-071C27ED3AC0}"/>
    <cellStyle name="Normal 2 3 3 2 4 2 4" xfId="27043" xr:uid="{2F590284-CE63-4840-8F8E-D07F29302BA2}"/>
    <cellStyle name="Normal 2 3 3 2 4 2 4 2" xfId="27044" xr:uid="{3782DA62-013C-4D9A-B7E1-79139D188843}"/>
    <cellStyle name="Normal 2 3 3 2 4 2 5" xfId="27045" xr:uid="{38F99E25-0697-4928-AB8E-B351658BCF61}"/>
    <cellStyle name="Normal 2 3 3 2 4 3" xfId="27046" xr:uid="{F733F305-0114-48BC-9573-BF411BCF251C}"/>
    <cellStyle name="Normal 2 3 3 2 4 3 2" xfId="27047" xr:uid="{28522255-460B-4691-BFAC-D171F370B96A}"/>
    <cellStyle name="Normal 2 3 3 2 4 3 2 2" xfId="27048" xr:uid="{CC4FBDA4-FB41-448D-BC53-5A40F9BA8D56}"/>
    <cellStyle name="Normal 2 3 3 2 4 3 3" xfId="27049" xr:uid="{A16F11CC-9327-4BA6-9F3C-85EC0C955A42}"/>
    <cellStyle name="Normal 2 3 3 2 4 4" xfId="27050" xr:uid="{FB6D595C-DA07-45A4-8630-03569D08352C}"/>
    <cellStyle name="Normal 2 3 3 2 4 4 2" xfId="27051" xr:uid="{5E125E70-5365-43B3-A640-7B9531EFE5CF}"/>
    <cellStyle name="Normal 2 3 3 2 4 4 2 2" xfId="27052" xr:uid="{2C027E20-117F-4414-8ADA-517B41B3A02B}"/>
    <cellStyle name="Normal 2 3 3 2 4 4 3" xfId="27053" xr:uid="{7A0AA07A-8595-4B14-BA1E-A5FCECC7CD37}"/>
    <cellStyle name="Normal 2 3 3 2 4 5" xfId="27054" xr:uid="{0F0D6562-3578-494B-9ADC-C449AA5A0431}"/>
    <cellStyle name="Normal 2 3 3 2 4 5 2" xfId="27055" xr:uid="{C2671CC4-55B1-4C68-891D-C2CEBA46B274}"/>
    <cellStyle name="Normal 2 3 3 2 4 6" xfId="27056" xr:uid="{26A5702E-C447-44E6-B2CB-76F6FE5AA6AC}"/>
    <cellStyle name="Normal 2 3 3 2 5" xfId="27057" xr:uid="{34757399-CF4E-48B4-8A5E-0DEB0486656F}"/>
    <cellStyle name="Normal 2 3 3 2 5 2" xfId="27058" xr:uid="{511E5CFA-0B30-4658-AA8D-996D7024AF0B}"/>
    <cellStyle name="Normal 2 3 3 2 5 2 2" xfId="27059" xr:uid="{C5210344-6507-459B-BAF1-2792A4FB4DAC}"/>
    <cellStyle name="Normal 2 3 3 2 5 2 2 2" xfId="27060" xr:uid="{22BB5781-D024-4B5B-955A-BDA005D665B2}"/>
    <cellStyle name="Normal 2 3 3 2 5 2 2 2 2" xfId="27061" xr:uid="{C768116D-E16C-48A1-B24C-327DD38A5083}"/>
    <cellStyle name="Normal 2 3 3 2 5 2 2 3" xfId="27062" xr:uid="{67A34502-C623-4C56-A6A7-132D817C2A5C}"/>
    <cellStyle name="Normal 2 3 3 2 5 2 3" xfId="27063" xr:uid="{D0CFB415-B195-4866-84C6-362443DEE16F}"/>
    <cellStyle name="Normal 2 3 3 2 5 2 3 2" xfId="27064" xr:uid="{34569A2F-7037-4A5E-BF56-D2FCE733BFC2}"/>
    <cellStyle name="Normal 2 3 3 2 5 2 3 2 2" xfId="27065" xr:uid="{782DF211-0BB1-45C5-877D-29BA288F8B5E}"/>
    <cellStyle name="Normal 2 3 3 2 5 2 3 3" xfId="27066" xr:uid="{9038F229-A4F5-4C6E-9052-7DEFED5DBECF}"/>
    <cellStyle name="Normal 2 3 3 2 5 2 4" xfId="27067" xr:uid="{0BB20DB6-619F-4FA7-8596-C9B3F2CDD24E}"/>
    <cellStyle name="Normal 2 3 3 2 5 2 4 2" xfId="27068" xr:uid="{A8A8FD41-F1A2-496A-80F1-F523CBBDFBE7}"/>
    <cellStyle name="Normal 2 3 3 2 5 2 5" xfId="27069" xr:uid="{BFBD2217-D945-486A-8F7A-1A8EA50091AF}"/>
    <cellStyle name="Normal 2 3 3 2 5 3" xfId="27070" xr:uid="{F70306D4-4660-4C2E-8B8E-A4254B15BF82}"/>
    <cellStyle name="Normal 2 3 3 2 5 3 2" xfId="27071" xr:uid="{33D4A4A1-D331-4B55-BF82-336ADC7CAE2E}"/>
    <cellStyle name="Normal 2 3 3 2 5 3 2 2" xfId="27072" xr:uid="{722C4DA8-B3C8-46C2-ACEF-66CD14237729}"/>
    <cellStyle name="Normal 2 3 3 2 5 3 3" xfId="27073" xr:uid="{828F2330-2D4A-40A1-A1BB-C513EE8E2ABA}"/>
    <cellStyle name="Normal 2 3 3 2 5 4" xfId="27074" xr:uid="{FBC2E0AF-0090-44F9-9BF4-6EB00F4ED1FA}"/>
    <cellStyle name="Normal 2 3 3 2 5 4 2" xfId="27075" xr:uid="{5B8AC273-FE54-4B1D-BB7D-4A0680D2B9A9}"/>
    <cellStyle name="Normal 2 3 3 2 5 4 2 2" xfId="27076" xr:uid="{48DC775C-2D44-4316-9669-BAA83FAF9605}"/>
    <cellStyle name="Normal 2 3 3 2 5 4 3" xfId="27077" xr:uid="{CF28C5A3-23EA-481D-9983-7BDDCF9E5D33}"/>
    <cellStyle name="Normal 2 3 3 2 5 5" xfId="27078" xr:uid="{AB38D824-BCFA-4F3A-BD49-A34471175618}"/>
    <cellStyle name="Normal 2 3 3 2 5 5 2" xfId="27079" xr:uid="{BB70C159-D651-4D49-B5E9-08E08A38043A}"/>
    <cellStyle name="Normal 2 3 3 2 5 6" xfId="27080" xr:uid="{7773C4C5-F81F-4CB1-8FFF-BA441A611AE0}"/>
    <cellStyle name="Normal 2 3 3 2 6" xfId="27081" xr:uid="{1CBDFC51-AC5C-417C-8600-9667578A4153}"/>
    <cellStyle name="Normal 2 3 3 2 6 2" xfId="27082" xr:uid="{4FB1BB8A-5E66-444A-9377-CB1E9FA6E238}"/>
    <cellStyle name="Normal 2 3 3 2 6 2 2" xfId="27083" xr:uid="{AED94438-E213-4B9A-908D-D4A99089F8E4}"/>
    <cellStyle name="Normal 2 3 3 2 6 2 2 2" xfId="27084" xr:uid="{C8DC5124-88D6-4576-8564-B9A53FD78400}"/>
    <cellStyle name="Normal 2 3 3 2 6 2 2 2 2" xfId="27085" xr:uid="{4E9FDD69-1332-44EA-B5D2-CDAC483B65ED}"/>
    <cellStyle name="Normal 2 3 3 2 6 2 2 3" xfId="27086" xr:uid="{36554008-817A-4B8B-A70E-F006BBA9E719}"/>
    <cellStyle name="Normal 2 3 3 2 6 2 3" xfId="27087" xr:uid="{ACA278FA-347F-411A-B139-F72578029B39}"/>
    <cellStyle name="Normal 2 3 3 2 6 2 3 2" xfId="27088" xr:uid="{D3429E57-F3A4-4C18-B485-CD4BE2DE3EC0}"/>
    <cellStyle name="Normal 2 3 3 2 6 2 3 2 2" xfId="27089" xr:uid="{FE311E99-A11A-4187-9F82-4B02982E371D}"/>
    <cellStyle name="Normal 2 3 3 2 6 2 3 3" xfId="27090" xr:uid="{EE49F5A5-494B-484E-8887-7C1068DA2FA0}"/>
    <cellStyle name="Normal 2 3 3 2 6 2 4" xfId="27091" xr:uid="{E3747FC2-FC92-4984-BC15-8F193AD79E30}"/>
    <cellStyle name="Normal 2 3 3 2 6 2 4 2" xfId="27092" xr:uid="{97B661CE-8DC2-41FE-BE23-9951763F46F8}"/>
    <cellStyle name="Normal 2 3 3 2 6 2 5" xfId="27093" xr:uid="{92DFCB51-44AC-4ABA-B281-EBE398FA3E67}"/>
    <cellStyle name="Normal 2 3 3 2 6 3" xfId="27094" xr:uid="{85ACA69C-6A7E-4C5C-9CC5-72B6D332C733}"/>
    <cellStyle name="Normal 2 3 3 2 6 3 2" xfId="27095" xr:uid="{DABE555A-98FC-4C74-9772-F7E29FA5F309}"/>
    <cellStyle name="Normal 2 3 3 2 6 3 2 2" xfId="27096" xr:uid="{1046629B-F370-43AA-9F15-64FF01FCB915}"/>
    <cellStyle name="Normal 2 3 3 2 6 3 3" xfId="27097" xr:uid="{041E5233-5DE6-4E36-B4B1-9A94EAD972C5}"/>
    <cellStyle name="Normal 2 3 3 2 6 4" xfId="27098" xr:uid="{D77CD9BD-E422-45F3-AA68-17F918F8E040}"/>
    <cellStyle name="Normal 2 3 3 2 6 4 2" xfId="27099" xr:uid="{53495F5C-5174-42CC-9B3E-D5955573239D}"/>
    <cellStyle name="Normal 2 3 3 2 6 4 2 2" xfId="27100" xr:uid="{A1440B27-FC60-4550-B7B1-496772423C6E}"/>
    <cellStyle name="Normal 2 3 3 2 6 4 3" xfId="27101" xr:uid="{1318B759-9ECE-43C5-843F-55267BFD6509}"/>
    <cellStyle name="Normal 2 3 3 2 6 5" xfId="27102" xr:uid="{5B2FB009-005E-4E60-9D4E-E1E528CB0845}"/>
    <cellStyle name="Normal 2 3 3 2 6 5 2" xfId="27103" xr:uid="{F809A927-F153-4F54-8D2D-B4A771123C27}"/>
    <cellStyle name="Normal 2 3 3 2 6 6" xfId="27104" xr:uid="{991D6BA9-496D-4272-A005-0629615FB6EA}"/>
    <cellStyle name="Normal 2 3 3 2 7" xfId="27105" xr:uid="{CD45A47A-CC98-4043-ADFF-F3F3E8C79BA0}"/>
    <cellStyle name="Normal 2 3 3 2 7 2" xfId="27106" xr:uid="{0DA5EDEB-7564-4C17-9390-AD575F3F36AC}"/>
    <cellStyle name="Normal 2 3 3 2 7 2 2" xfId="27107" xr:uid="{13AFE264-2DC7-4E2E-961E-A6EAA0759A57}"/>
    <cellStyle name="Normal 2 3 3 2 7 2 2 2" xfId="27108" xr:uid="{81CFA4A4-1FEF-4E04-A435-B0BBC31BEFC9}"/>
    <cellStyle name="Normal 2 3 3 2 7 2 2 2 2" xfId="27109" xr:uid="{F5EB4CDB-5435-4A8C-B126-CCF55E760B10}"/>
    <cellStyle name="Normal 2 3 3 2 7 2 2 3" xfId="27110" xr:uid="{C66EFE3F-23D6-438C-BB5C-6601FDE16F4B}"/>
    <cellStyle name="Normal 2 3 3 2 7 2 3" xfId="27111" xr:uid="{6878802A-82C9-4933-BF88-6D87CDB5BF42}"/>
    <cellStyle name="Normal 2 3 3 2 7 2 3 2" xfId="27112" xr:uid="{76B4C9F0-8C66-423D-A20E-E0FA54ACBAAE}"/>
    <cellStyle name="Normal 2 3 3 2 7 2 3 2 2" xfId="27113" xr:uid="{AC29C2B8-0C9B-450D-AE47-1AC2A1848418}"/>
    <cellStyle name="Normal 2 3 3 2 7 2 3 3" xfId="27114" xr:uid="{641156F5-217B-4397-9211-6365BD7471BF}"/>
    <cellStyle name="Normal 2 3 3 2 7 2 4" xfId="27115" xr:uid="{E2958558-571F-4399-97E7-12DBA2FD4439}"/>
    <cellStyle name="Normal 2 3 3 2 7 2 4 2" xfId="27116" xr:uid="{4981A734-98D8-4DC8-9C47-B87E42F74454}"/>
    <cellStyle name="Normal 2 3 3 2 7 2 5" xfId="27117" xr:uid="{E487476F-27E0-4E8B-A75A-7E5D52BF3C96}"/>
    <cellStyle name="Normal 2 3 3 2 7 3" xfId="27118" xr:uid="{D6754868-865D-46A7-82CB-ECDD45FF4A5F}"/>
    <cellStyle name="Normal 2 3 3 2 7 3 2" xfId="27119" xr:uid="{821E64BF-C3DB-4A70-8284-EEDCC0D2D125}"/>
    <cellStyle name="Normal 2 3 3 2 7 3 2 2" xfId="27120" xr:uid="{E57B9DB4-B14D-470F-9816-5FB78BF207BA}"/>
    <cellStyle name="Normal 2 3 3 2 7 3 3" xfId="27121" xr:uid="{52438624-4EF7-48DF-8726-5EC14CB4657D}"/>
    <cellStyle name="Normal 2 3 3 2 7 4" xfId="27122" xr:uid="{6E440C58-B4D2-40E9-A0F0-CCAF589E926A}"/>
    <cellStyle name="Normal 2 3 3 2 7 4 2" xfId="27123" xr:uid="{1C9DB389-1913-4951-809E-0A22907822D5}"/>
    <cellStyle name="Normal 2 3 3 2 7 4 2 2" xfId="27124" xr:uid="{A937CB32-806A-453E-B56A-F3F6593B53AA}"/>
    <cellStyle name="Normal 2 3 3 2 7 4 3" xfId="27125" xr:uid="{FCD6086C-2C31-4BB4-887A-33EDC4535FF7}"/>
    <cellStyle name="Normal 2 3 3 2 7 5" xfId="27126" xr:uid="{F56E25BE-2D87-4056-A5ED-EFA491BB3234}"/>
    <cellStyle name="Normal 2 3 3 2 7 5 2" xfId="27127" xr:uid="{8E5A1001-8153-4749-8A0E-65440B2668C5}"/>
    <cellStyle name="Normal 2 3 3 2 7 6" xfId="27128" xr:uid="{A83CA765-2D88-424D-9AF1-F47D54C0D2C9}"/>
    <cellStyle name="Normal 2 3 3 2 8" xfId="27129" xr:uid="{9253AB4E-1480-427C-88AE-45F42F2815FF}"/>
    <cellStyle name="Normal 2 3 3 2 8 2" xfId="27130" xr:uid="{9656505A-9840-4DA2-85FC-7262FAB1D112}"/>
    <cellStyle name="Normal 2 3 3 2 8 2 2" xfId="27131" xr:uid="{72231B9C-2663-43DD-B72F-D42BBB3E4D4F}"/>
    <cellStyle name="Normal 2 3 3 2 8 2 2 2" xfId="27132" xr:uid="{9655C8FC-4CF4-4F97-84DD-8834624312FD}"/>
    <cellStyle name="Normal 2 3 3 2 8 2 2 2 2" xfId="27133" xr:uid="{22DE898B-8AC0-4266-9EA3-D429D184F84C}"/>
    <cellStyle name="Normal 2 3 3 2 8 2 2 3" xfId="27134" xr:uid="{732D20E2-1D3B-4A94-893A-C078E7688619}"/>
    <cellStyle name="Normal 2 3 3 2 8 2 3" xfId="27135" xr:uid="{15DDDF2F-1825-4A83-9FD1-95F2ACF8226B}"/>
    <cellStyle name="Normal 2 3 3 2 8 2 3 2" xfId="27136" xr:uid="{A74A120B-EB8F-4FB2-A829-4ED069570227}"/>
    <cellStyle name="Normal 2 3 3 2 8 2 3 2 2" xfId="27137" xr:uid="{FE558DE6-45B5-48FC-BF44-A71082AFFA18}"/>
    <cellStyle name="Normal 2 3 3 2 8 2 3 3" xfId="27138" xr:uid="{4788897A-F5E1-491F-A601-6629BBA662BD}"/>
    <cellStyle name="Normal 2 3 3 2 8 2 4" xfId="27139" xr:uid="{2D03DE2C-8BE5-442A-BF8D-4315EAD6AEDE}"/>
    <cellStyle name="Normal 2 3 3 2 8 2 4 2" xfId="27140" xr:uid="{9383869E-B6DD-44CA-8610-67971D2057C1}"/>
    <cellStyle name="Normal 2 3 3 2 8 2 5" xfId="27141" xr:uid="{26B629B7-6D2C-46FF-A2FC-66D4CAEB369B}"/>
    <cellStyle name="Normal 2 3 3 2 8 3" xfId="27142" xr:uid="{3FD4C9E7-BF26-45F2-A53B-082D229D5303}"/>
    <cellStyle name="Normal 2 3 3 2 8 3 2" xfId="27143" xr:uid="{11FF13DF-14CD-4728-B476-1A77F6127A92}"/>
    <cellStyle name="Normal 2 3 3 2 8 3 2 2" xfId="27144" xr:uid="{33E871A3-BC3B-4BB6-B190-7E5F815820B1}"/>
    <cellStyle name="Normal 2 3 3 2 8 3 3" xfId="27145" xr:uid="{4DB7E303-6859-4139-B9D0-6D0A22DB9F36}"/>
    <cellStyle name="Normal 2 3 3 2 8 4" xfId="27146" xr:uid="{3A0A3B85-A059-4C7C-B56E-E9E4050C91F7}"/>
    <cellStyle name="Normal 2 3 3 2 8 4 2" xfId="27147" xr:uid="{158D7085-818C-4815-8CD5-DC5D138A37F1}"/>
    <cellStyle name="Normal 2 3 3 2 8 4 2 2" xfId="27148" xr:uid="{80F5C638-D94E-4FBF-855A-70FCBA2CBFDA}"/>
    <cellStyle name="Normal 2 3 3 2 8 4 3" xfId="27149" xr:uid="{42189B8E-2917-401D-9CC5-034D421250B1}"/>
    <cellStyle name="Normal 2 3 3 2 8 5" xfId="27150" xr:uid="{C1E0F14C-3D36-43A8-9CEC-01CECD592875}"/>
    <cellStyle name="Normal 2 3 3 2 8 5 2" xfId="27151" xr:uid="{49C7C384-93A6-450C-9890-8B5C6AB319DB}"/>
    <cellStyle name="Normal 2 3 3 2 8 6" xfId="27152" xr:uid="{A345FB40-5D8E-4ADD-90B5-F1EDA27715E3}"/>
    <cellStyle name="Normal 2 3 3 2 9" xfId="27153" xr:uid="{0753A870-FB81-4FDA-918B-8242F31588EB}"/>
    <cellStyle name="Normal 2 3 3 2 9 2" xfId="27154" xr:uid="{52A96767-EB82-4C28-BF01-EAA8A15B3467}"/>
    <cellStyle name="Normal 2 3 3 2 9 2 2" xfId="27155" xr:uid="{01FAC7E1-0077-4FD2-9FE6-720D4E8089F3}"/>
    <cellStyle name="Normal 2 3 3 2 9 2 2 2" xfId="27156" xr:uid="{8C2DF6D0-394F-4E4E-8421-66D460A220CF}"/>
    <cellStyle name="Normal 2 3 3 2 9 2 2 2 2" xfId="27157" xr:uid="{54215019-9FFC-4A95-A9C9-5F3E5E0211F0}"/>
    <cellStyle name="Normal 2 3 3 2 9 2 2 3" xfId="27158" xr:uid="{3C40799E-18ED-43CD-8134-883E0E5110E7}"/>
    <cellStyle name="Normal 2 3 3 2 9 2 3" xfId="27159" xr:uid="{2F248FDC-6155-49F7-88A7-6BFA5AF79E73}"/>
    <cellStyle name="Normal 2 3 3 2 9 2 3 2" xfId="27160" xr:uid="{F98A3C00-ACE9-4434-B3ED-DA971F4613BB}"/>
    <cellStyle name="Normal 2 3 3 2 9 2 3 2 2" xfId="27161" xr:uid="{5BC006E8-FE96-46EC-A33B-807CE304FDAF}"/>
    <cellStyle name="Normal 2 3 3 2 9 2 3 3" xfId="27162" xr:uid="{2800A24F-3DBC-49A2-87EB-D5317A4AF15E}"/>
    <cellStyle name="Normal 2 3 3 2 9 2 4" xfId="27163" xr:uid="{D6BF2CB2-A094-4BDF-94A2-A64B6F935BD6}"/>
    <cellStyle name="Normal 2 3 3 2 9 2 4 2" xfId="27164" xr:uid="{6205B0C3-7E42-47DF-8CED-140A517317AA}"/>
    <cellStyle name="Normal 2 3 3 2 9 2 5" xfId="27165" xr:uid="{062A6E7C-6EC9-44F1-9363-A4E143FEA71C}"/>
    <cellStyle name="Normal 2 3 3 2 9 3" xfId="27166" xr:uid="{B5051A61-1815-4320-87D6-022E4F1693D0}"/>
    <cellStyle name="Normal 2 3 3 2 9 3 2" xfId="27167" xr:uid="{D10A7621-111E-4E95-94CF-76FEC1E184B7}"/>
    <cellStyle name="Normal 2 3 3 2 9 3 2 2" xfId="27168" xr:uid="{76F2577C-D751-4F79-B56A-786C0B6E89D0}"/>
    <cellStyle name="Normal 2 3 3 2 9 3 3" xfId="27169" xr:uid="{B7EDAA5E-0EB7-4507-BD65-02DA41D228EF}"/>
    <cellStyle name="Normal 2 3 3 2 9 4" xfId="27170" xr:uid="{D6E8A10B-F85A-4AE7-BB66-37576A9B4341}"/>
    <cellStyle name="Normal 2 3 3 2 9 4 2" xfId="27171" xr:uid="{EEB7A028-230F-4303-90C6-6A01B9B10B0F}"/>
    <cellStyle name="Normal 2 3 3 2 9 4 2 2" xfId="27172" xr:uid="{360C3AFF-4D66-40B7-B87F-D52B42ADF482}"/>
    <cellStyle name="Normal 2 3 3 2 9 4 3" xfId="27173" xr:uid="{6AE24815-9B9D-4386-95A0-B0A87AB7DE49}"/>
    <cellStyle name="Normal 2 3 3 2 9 5" xfId="27174" xr:uid="{6F4ED3C8-0916-4A5F-A192-B3ED2C1CD9B2}"/>
    <cellStyle name="Normal 2 3 3 2 9 5 2" xfId="27175" xr:uid="{0AFF1ECE-E0C0-4F22-8182-C5062665A17C}"/>
    <cellStyle name="Normal 2 3 3 2 9 6" xfId="27176" xr:uid="{85BB37D9-C258-4AD3-A52D-0AF398762B89}"/>
    <cellStyle name="Normal 2 3 3 3" xfId="27177" xr:uid="{8CC55A54-E609-4AF4-A9A1-0A5D41919876}"/>
    <cellStyle name="Normal 2 3 3 3 2" xfId="27178" xr:uid="{FE9A52FD-F9BF-4D5D-A8FC-389AB119737B}"/>
    <cellStyle name="Normal 2 3 3 3 2 2" xfId="27179" xr:uid="{E05544C9-CC5D-421B-927B-C0FE1A72E169}"/>
    <cellStyle name="Normal 2 3 3 3 2 2 2" xfId="27180" xr:uid="{1F886240-2355-402C-8E9D-DC80661149ED}"/>
    <cellStyle name="Normal 2 3 3 3 2 2 2 2" xfId="27181" xr:uid="{0E6E9F11-0DA5-478A-BD9F-7BB344643020}"/>
    <cellStyle name="Normal 2 3 3 3 2 2 3" xfId="27182" xr:uid="{BB6F54AB-92A4-417A-B92F-8B40782A2A35}"/>
    <cellStyle name="Normal 2 3 3 3 2 3" xfId="27183" xr:uid="{3F68AA89-8619-4EBC-A099-935894F3D014}"/>
    <cellStyle name="Normal 2 3 3 3 2 3 2" xfId="27184" xr:uid="{A8FED660-7B24-4DA1-924B-262E9732B81E}"/>
    <cellStyle name="Normal 2 3 3 3 2 3 2 2" xfId="27185" xr:uid="{B6361470-9A50-41AE-AA2C-630EEF263669}"/>
    <cellStyle name="Normal 2 3 3 3 2 3 3" xfId="27186" xr:uid="{BDAAA803-9C65-4BA2-BF6B-4D48ED9A8BEC}"/>
    <cellStyle name="Normal 2 3 3 3 2 4" xfId="27187" xr:uid="{9EC61A79-313E-4F55-993B-A84F0F96498E}"/>
    <cellStyle name="Normal 2 3 3 3 2 4 2" xfId="27188" xr:uid="{41705ECF-F082-445A-B145-6A9CF11D0258}"/>
    <cellStyle name="Normal 2 3 3 3 2 5" xfId="27189" xr:uid="{B6E925AB-0072-469E-8ACE-76E8CAB89DCA}"/>
    <cellStyle name="Normal 2 3 3 3 3" xfId="27190" xr:uid="{9521FF75-AC51-4A74-A708-C587643A0FA6}"/>
    <cellStyle name="Normal 2 3 3 3 3 2" xfId="27191" xr:uid="{D1C33452-1769-484C-A596-3394D114145A}"/>
    <cellStyle name="Normal 2 3 3 3 3 2 2" xfId="27192" xr:uid="{F66C83EC-1BD8-48D2-AA87-027E57829D11}"/>
    <cellStyle name="Normal 2 3 3 3 3 3" xfId="27193" xr:uid="{94B83498-2D01-4602-ABE4-5ED1B1511CBE}"/>
    <cellStyle name="Normal 2 3 3 3 4" xfId="27194" xr:uid="{01D863DB-0D0C-4BD4-944A-CEBAA0B6EF62}"/>
    <cellStyle name="Normal 2 3 3 3 4 2" xfId="27195" xr:uid="{8E312A1C-E3D1-4E4A-BD23-E6F843E1096F}"/>
    <cellStyle name="Normal 2 3 3 3 4 2 2" xfId="27196" xr:uid="{5E62557D-5D22-4FB1-A823-396D08F49B54}"/>
    <cellStyle name="Normal 2 3 3 3 4 3" xfId="27197" xr:uid="{304B096C-7723-48D9-8573-3FAC205B6D20}"/>
    <cellStyle name="Normal 2 3 3 3 5" xfId="27198" xr:uid="{55502146-D36F-4254-B362-CCC158EB34B0}"/>
    <cellStyle name="Normal 2 3 3 3 5 2" xfId="27199" xr:uid="{D2142614-8345-4958-B267-C73AAC48EC1D}"/>
    <cellStyle name="Normal 2 3 3 3 6" xfId="27200" xr:uid="{C2DDA465-2AF7-4FAD-B9C3-B2A108E4658D}"/>
    <cellStyle name="Normal 2 3 3 4" xfId="27201" xr:uid="{F87067FC-BC57-4DCA-858C-151A4B3BE81E}"/>
    <cellStyle name="Normal 2 3 3 4 2" xfId="27202" xr:uid="{3F3CF9ED-9EDC-43EC-9CB0-B338CBEEDB41}"/>
    <cellStyle name="Normal 2 3 3 4 2 2" xfId="27203" xr:uid="{26155A07-0823-4691-A6E2-54C1EF26BB50}"/>
    <cellStyle name="Normal 2 3 3 4 2 2 2" xfId="27204" xr:uid="{DBE0BD12-7251-46E2-8724-AD3AC0A2E771}"/>
    <cellStyle name="Normal 2 3 3 4 2 2 2 2" xfId="27205" xr:uid="{C7DF30EC-4FCC-427C-8230-E0F85DB39EE1}"/>
    <cellStyle name="Normal 2 3 3 4 2 2 3" xfId="27206" xr:uid="{97C3CE4A-A275-4BA0-9342-4FD873F49BAB}"/>
    <cellStyle name="Normal 2 3 3 4 2 3" xfId="27207" xr:uid="{1C15AF51-FDE6-4179-8725-8BDA694FFD36}"/>
    <cellStyle name="Normal 2 3 3 4 2 3 2" xfId="27208" xr:uid="{A654161C-5D1C-48ED-A7CA-9B3049973C29}"/>
    <cellStyle name="Normal 2 3 3 4 2 3 2 2" xfId="27209" xr:uid="{8FD8E18F-D599-4257-B887-BA6FF28A868A}"/>
    <cellStyle name="Normal 2 3 3 4 2 3 3" xfId="27210" xr:uid="{49AD76F1-D232-42D8-8E81-3F725C6792A4}"/>
    <cellStyle name="Normal 2 3 3 4 2 4" xfId="27211" xr:uid="{215E8A18-631E-4923-983E-421046E299A4}"/>
    <cellStyle name="Normal 2 3 3 4 2 4 2" xfId="27212" xr:uid="{BC243518-957E-44C8-AD28-DE541ABE701E}"/>
    <cellStyle name="Normal 2 3 3 4 2 5" xfId="27213" xr:uid="{3C15E2C9-D44C-43A4-A732-F86CC2FD498E}"/>
    <cellStyle name="Normal 2 3 3 4 3" xfId="27214" xr:uid="{2F6A2E60-8C6C-4430-9B41-75C812FB3D23}"/>
    <cellStyle name="Normal 2 3 3 4 3 2" xfId="27215" xr:uid="{674F7D85-5828-4BB7-8D11-2828DBD9D730}"/>
    <cellStyle name="Normal 2 3 3 4 3 2 2" xfId="27216" xr:uid="{282E0D62-210E-46DD-B81F-86679FD151B6}"/>
    <cellStyle name="Normal 2 3 3 4 3 3" xfId="27217" xr:uid="{94FB31F7-5A69-4C01-A3A0-157B158D6545}"/>
    <cellStyle name="Normal 2 3 3 4 4" xfId="27218" xr:uid="{C31D2E45-6732-4F6C-8754-A6D47CF5CFB5}"/>
    <cellStyle name="Normal 2 3 3 4 4 2" xfId="27219" xr:uid="{6BD48C4C-8CD3-4D0A-9D04-F79B2D829162}"/>
    <cellStyle name="Normal 2 3 3 4 4 2 2" xfId="27220" xr:uid="{A70BC0AE-D2E0-43D4-B540-B0978AEDCAB4}"/>
    <cellStyle name="Normal 2 3 3 4 4 3" xfId="27221" xr:uid="{99172DB8-8569-4DDC-BC8F-2AE32A93E266}"/>
    <cellStyle name="Normal 2 3 3 4 5" xfId="27222" xr:uid="{2C977B9A-ECE1-4552-A5A0-3482E785130E}"/>
    <cellStyle name="Normal 2 3 3 4 5 2" xfId="27223" xr:uid="{27E37D62-3DFD-4564-AAD6-10B166F441EE}"/>
    <cellStyle name="Normal 2 3 3 4 6" xfId="27224" xr:uid="{1217043B-D443-40C7-98B5-78CDDA82DD73}"/>
    <cellStyle name="Normal 2 3 3 5" xfId="27225" xr:uid="{7BAA4FAC-CB49-4AC3-BFD7-0292C016B2E5}"/>
    <cellStyle name="Normal 2 3 3 5 2" xfId="27226" xr:uid="{4286E2DF-CC4A-4D87-A6C5-0C2B19F1C334}"/>
    <cellStyle name="Normal 2 3 3 5 2 2" xfId="27227" xr:uid="{52F63566-9DD8-4F19-910A-F7CF20135127}"/>
    <cellStyle name="Normal 2 3 3 5 2 2 2" xfId="27228" xr:uid="{64353166-C8D2-4F25-BE60-702356399EE9}"/>
    <cellStyle name="Normal 2 3 3 5 2 2 2 2" xfId="27229" xr:uid="{B4499D2E-7894-44D5-9650-CA799200BE87}"/>
    <cellStyle name="Normal 2 3 3 5 2 2 3" xfId="27230" xr:uid="{62BA48BA-B42C-4B7F-9107-133620EDE087}"/>
    <cellStyle name="Normal 2 3 3 5 2 3" xfId="27231" xr:uid="{ADD740CA-8368-4195-BA5B-E8ED38EBA8E4}"/>
    <cellStyle name="Normal 2 3 3 5 2 3 2" xfId="27232" xr:uid="{081EA045-741B-4982-A094-B344F4320511}"/>
    <cellStyle name="Normal 2 3 3 5 2 3 2 2" xfId="27233" xr:uid="{CD5E87C6-AB81-4FD9-9773-3D574AC756F1}"/>
    <cellStyle name="Normal 2 3 3 5 2 3 3" xfId="27234" xr:uid="{BFD74DA9-199E-42E8-87D1-FFE8723EA8F5}"/>
    <cellStyle name="Normal 2 3 3 5 2 4" xfId="27235" xr:uid="{E14020ED-62EF-4C58-B5FC-9D1AB3508947}"/>
    <cellStyle name="Normal 2 3 3 5 2 4 2" xfId="27236" xr:uid="{25D6C533-5C61-4DAF-B7B6-744164CBF6E2}"/>
    <cellStyle name="Normal 2 3 3 5 2 5" xfId="27237" xr:uid="{AF656190-8BBF-4C0F-9F3A-134D6F031D3F}"/>
    <cellStyle name="Normal 2 3 3 5 3" xfId="27238" xr:uid="{1D06D3A1-24E4-425C-A70C-69C2941828B1}"/>
    <cellStyle name="Normal 2 3 3 5 3 2" xfId="27239" xr:uid="{AA8A2531-C1FA-4DE5-A2BD-C7456BAA52DE}"/>
    <cellStyle name="Normal 2 3 3 5 3 2 2" xfId="27240" xr:uid="{DB2BE26E-3203-4B82-B0E6-77FEA9D4DB72}"/>
    <cellStyle name="Normal 2 3 3 5 3 3" xfId="27241" xr:uid="{3EA76415-C7F9-477B-8459-E31D4498B7E4}"/>
    <cellStyle name="Normal 2 3 3 5 4" xfId="27242" xr:uid="{CC3DCBE2-C010-470C-BC65-8C39876AD00C}"/>
    <cellStyle name="Normal 2 3 3 5 4 2" xfId="27243" xr:uid="{82EA470F-3E30-47D0-B4D4-41CF775564B3}"/>
    <cellStyle name="Normal 2 3 3 5 4 2 2" xfId="27244" xr:uid="{0BA384A4-29E1-40C1-91CA-0310F3DD07AA}"/>
    <cellStyle name="Normal 2 3 3 5 4 3" xfId="27245" xr:uid="{ECC2CC30-F870-44A7-A2D4-13650895F3C4}"/>
    <cellStyle name="Normal 2 3 3 5 5" xfId="27246" xr:uid="{3CCFFAF8-BD66-4E0A-B29A-979C4C7EF342}"/>
    <cellStyle name="Normal 2 3 3 5 5 2" xfId="27247" xr:uid="{FDAF7D6C-C8E3-4E16-ACA7-ED84073AE2F2}"/>
    <cellStyle name="Normal 2 3 3 5 6" xfId="27248" xr:uid="{8FF96BB1-6F77-43C6-9025-49C5AF9FF3CC}"/>
    <cellStyle name="Normal 2 3 3 6" xfId="27249" xr:uid="{C11367FE-75CE-4730-AB10-F6B76793CFD6}"/>
    <cellStyle name="Normal 2 3 3 6 2" xfId="27250" xr:uid="{FC570C5F-406B-436C-AD8D-F77AA1D8F917}"/>
    <cellStyle name="Normal 2 3 3 6 2 2" xfId="27251" xr:uid="{591E5B3C-FB28-4B3E-BDDB-E5D8D4C6AD0C}"/>
    <cellStyle name="Normal 2 3 3 6 2 2 2" xfId="27252" xr:uid="{AA56CC75-5ED1-4B5C-94ED-1C9C1E1006C7}"/>
    <cellStyle name="Normal 2 3 3 6 2 2 2 2" xfId="27253" xr:uid="{EA885F7D-440B-47CC-A4C0-638F49F6826C}"/>
    <cellStyle name="Normal 2 3 3 6 2 2 3" xfId="27254" xr:uid="{42DE0D15-2D37-4C67-BA40-8956514F18C1}"/>
    <cellStyle name="Normal 2 3 3 6 2 3" xfId="27255" xr:uid="{BFB54B1D-92BD-442C-B3F1-F0B7654041BA}"/>
    <cellStyle name="Normal 2 3 3 6 2 3 2" xfId="27256" xr:uid="{693820AB-7AEF-436A-B66C-31D5B7B7F6BF}"/>
    <cellStyle name="Normal 2 3 3 6 2 3 2 2" xfId="27257" xr:uid="{EB878D8A-DEB9-47F9-B4E1-E6884B0C6A6C}"/>
    <cellStyle name="Normal 2 3 3 6 2 3 3" xfId="27258" xr:uid="{4CE98981-7657-4917-B181-C2784D28F08B}"/>
    <cellStyle name="Normal 2 3 3 6 2 4" xfId="27259" xr:uid="{18442083-3F14-4CA8-82B3-DCA28B344275}"/>
    <cellStyle name="Normal 2 3 3 6 2 4 2" xfId="27260" xr:uid="{7E2AB39E-0CAF-4576-A9D2-363B5223CC81}"/>
    <cellStyle name="Normal 2 3 3 6 2 5" xfId="27261" xr:uid="{65C5BA57-7388-4D59-AA37-F78DDD27B64C}"/>
    <cellStyle name="Normal 2 3 3 6 3" xfId="27262" xr:uid="{43FE96F2-10B1-4045-BC6B-92FC10151125}"/>
    <cellStyle name="Normal 2 3 3 6 3 2" xfId="27263" xr:uid="{3A74DD8F-7B7F-49A5-909E-EB2B43224470}"/>
    <cellStyle name="Normal 2 3 3 6 3 2 2" xfId="27264" xr:uid="{A8233B49-9AC7-483F-90A7-1751476DE591}"/>
    <cellStyle name="Normal 2 3 3 6 3 3" xfId="27265" xr:uid="{2DCFF34F-7CAD-4CF4-8266-0FF314F99CCF}"/>
    <cellStyle name="Normal 2 3 3 6 4" xfId="27266" xr:uid="{F90339D1-CEA9-4578-AB9F-2470A5EC62C2}"/>
    <cellStyle name="Normal 2 3 3 6 4 2" xfId="27267" xr:uid="{903B189E-33F0-4FBA-8454-B6F880A19EF9}"/>
    <cellStyle name="Normal 2 3 3 6 4 2 2" xfId="27268" xr:uid="{4252DE50-06EA-4034-90B7-1A1F894D252E}"/>
    <cellStyle name="Normal 2 3 3 6 4 3" xfId="27269" xr:uid="{C2A20F90-CF8A-44A1-B97F-2E1A74DEB089}"/>
    <cellStyle name="Normal 2 3 3 6 5" xfId="27270" xr:uid="{DD67BA1E-6EE6-402B-9E7C-E486BABB6F31}"/>
    <cellStyle name="Normal 2 3 3 6 5 2" xfId="27271" xr:uid="{4BED42CD-5D38-41B4-A2ED-7A79ED95D5DD}"/>
    <cellStyle name="Normal 2 3 3 6 6" xfId="27272" xr:uid="{FC2F5EF1-C792-479E-8AB8-35487730CE8A}"/>
    <cellStyle name="Normal 2 3 3 7" xfId="27273" xr:uid="{0FA5849E-3205-45BD-858B-41B140E0A465}"/>
    <cellStyle name="Normal 2 3 3 7 2" xfId="27274" xr:uid="{37F6C6DD-A2EE-4C24-9E2A-D1767F9F11F9}"/>
    <cellStyle name="Normal 2 3 3 7 2 2" xfId="27275" xr:uid="{73D3F3F5-AA03-47A8-98B7-7ECD5650C62B}"/>
    <cellStyle name="Normal 2 3 3 7 2 2 2" xfId="27276" xr:uid="{8EC70BF5-E963-4F83-8D17-F74B314EEB52}"/>
    <cellStyle name="Normal 2 3 3 7 2 2 2 2" xfId="27277" xr:uid="{83BF5548-5E20-40FF-88FC-0F5EFC6304DA}"/>
    <cellStyle name="Normal 2 3 3 7 2 2 3" xfId="27278" xr:uid="{E32D3380-3DCE-473D-8390-22A7F4124FF1}"/>
    <cellStyle name="Normal 2 3 3 7 2 3" xfId="27279" xr:uid="{8E2A0432-7977-40A8-8303-208A724BF015}"/>
    <cellStyle name="Normal 2 3 3 7 2 3 2" xfId="27280" xr:uid="{41F0D01C-1EB6-46DC-89EA-C37637750691}"/>
    <cellStyle name="Normal 2 3 3 7 2 3 2 2" xfId="27281" xr:uid="{D9E08231-66F3-4A84-AEAF-6081FD9A2B10}"/>
    <cellStyle name="Normal 2 3 3 7 2 3 3" xfId="27282" xr:uid="{E2FBF9EC-7E38-416C-A159-2D00E8B003A9}"/>
    <cellStyle name="Normal 2 3 3 7 2 4" xfId="27283" xr:uid="{52C95FDE-CABC-457E-A80A-E3CFB0994A88}"/>
    <cellStyle name="Normal 2 3 3 7 2 4 2" xfId="27284" xr:uid="{1AD4591E-98AC-441A-B1F5-B84846BBB9D0}"/>
    <cellStyle name="Normal 2 3 3 7 2 5" xfId="27285" xr:uid="{B88FE24C-C80C-49B6-BED1-CB6628D8C486}"/>
    <cellStyle name="Normal 2 3 3 7 3" xfId="27286" xr:uid="{0E05BCA2-279C-46E1-9B02-7D2E3851B0C5}"/>
    <cellStyle name="Normal 2 3 3 7 3 2" xfId="27287" xr:uid="{BF01C5A3-7955-47F0-8566-BFA8D70999C5}"/>
    <cellStyle name="Normal 2 3 3 7 3 2 2" xfId="27288" xr:uid="{00E3E837-01B0-4FD0-B12B-7DC6EC4B10C1}"/>
    <cellStyle name="Normal 2 3 3 7 3 3" xfId="27289" xr:uid="{2ACAA2CA-9FFE-40AF-8205-4AF498CEA2D1}"/>
    <cellStyle name="Normal 2 3 3 7 4" xfId="27290" xr:uid="{DC85975A-5ED1-4DD2-88E8-8F8E922C34E9}"/>
    <cellStyle name="Normal 2 3 3 7 4 2" xfId="27291" xr:uid="{ED741885-625C-485D-BF5A-F78B90720857}"/>
    <cellStyle name="Normal 2 3 3 7 4 2 2" xfId="27292" xr:uid="{48071085-B0D9-4536-A252-CA41B142A2A7}"/>
    <cellStyle name="Normal 2 3 3 7 4 3" xfId="27293" xr:uid="{4F19B1FE-176C-473D-974B-E7982D384D4C}"/>
    <cellStyle name="Normal 2 3 3 7 5" xfId="27294" xr:uid="{93173612-E4F3-49BB-B003-5BD77C8EB7CB}"/>
    <cellStyle name="Normal 2 3 3 7 5 2" xfId="27295" xr:uid="{2C723C2A-0230-410C-A41D-B79FAE8C5193}"/>
    <cellStyle name="Normal 2 3 3 7 6" xfId="27296" xr:uid="{8389986D-3C08-4715-B89E-CFA2625831D8}"/>
    <cellStyle name="Normal 2 3 3 8" xfId="27297" xr:uid="{C6BC7779-A3DF-46E9-AE24-2651340FABCF}"/>
    <cellStyle name="Normal 2 3 3 8 2" xfId="27298" xr:uid="{0577A1F9-43C0-4D7B-B3F8-B6320A32771A}"/>
    <cellStyle name="Normal 2 3 3 8 2 2" xfId="27299" xr:uid="{C4521BC5-712D-4623-8123-8BBCA46753C3}"/>
    <cellStyle name="Normal 2 3 3 8 2 2 2" xfId="27300" xr:uid="{4994CD08-415C-44EA-934E-454AC92DD8FF}"/>
    <cellStyle name="Normal 2 3 3 8 2 2 2 2" xfId="27301" xr:uid="{4549934F-D4A7-49AB-911D-6B07EE26914B}"/>
    <cellStyle name="Normal 2 3 3 8 2 2 3" xfId="27302" xr:uid="{55032AE1-E7E6-4B67-9EC9-F3FDE617F43D}"/>
    <cellStyle name="Normal 2 3 3 8 2 3" xfId="27303" xr:uid="{C68DE07A-1BDC-472A-891B-30C2EFD1BC2B}"/>
    <cellStyle name="Normal 2 3 3 8 2 3 2" xfId="27304" xr:uid="{C45DEF2C-E941-4B29-A3C1-AB6CEE3DB0BE}"/>
    <cellStyle name="Normal 2 3 3 8 2 3 2 2" xfId="27305" xr:uid="{241107F3-94CF-4B14-95FD-CC74DCD56A37}"/>
    <cellStyle name="Normal 2 3 3 8 2 3 3" xfId="27306" xr:uid="{4B22BD14-7091-4201-8BCB-26A363AFC6B3}"/>
    <cellStyle name="Normal 2 3 3 8 2 4" xfId="27307" xr:uid="{00D3009C-CF91-43F7-A6F5-8103F0B493D8}"/>
    <cellStyle name="Normal 2 3 3 8 2 4 2" xfId="27308" xr:uid="{FA14B2E4-B044-4F5F-B6C8-341F83E9014A}"/>
    <cellStyle name="Normal 2 3 3 8 2 5" xfId="27309" xr:uid="{CCDDC555-9912-41FE-9A14-2422317BCFE3}"/>
    <cellStyle name="Normal 2 3 3 8 3" xfId="27310" xr:uid="{0ADDD0FC-886E-41D1-BEB7-369E343A1557}"/>
    <cellStyle name="Normal 2 3 3 8 3 2" xfId="27311" xr:uid="{60995FE6-C052-480F-844C-10B2612AC8F8}"/>
    <cellStyle name="Normal 2 3 3 8 3 2 2" xfId="27312" xr:uid="{6C52E6A3-D2D5-455E-85C4-C77DB73171EB}"/>
    <cellStyle name="Normal 2 3 3 8 3 3" xfId="27313" xr:uid="{D02F3098-387B-432F-9377-8158E4A80CEE}"/>
    <cellStyle name="Normal 2 3 3 8 4" xfId="27314" xr:uid="{F7F44A3B-EFDB-4DC4-9789-EDDE7CC621C8}"/>
    <cellStyle name="Normal 2 3 3 8 4 2" xfId="27315" xr:uid="{7F498524-554E-4F45-8FFD-C382154E6792}"/>
    <cellStyle name="Normal 2 3 3 8 4 2 2" xfId="27316" xr:uid="{383A3BFA-67D1-4586-86C6-256C929F58D6}"/>
    <cellStyle name="Normal 2 3 3 8 4 3" xfId="27317" xr:uid="{2E53563E-0568-4F12-9028-A302E6C422D3}"/>
    <cellStyle name="Normal 2 3 3 8 5" xfId="27318" xr:uid="{50C1FD12-1334-4C39-80E2-E857CA6104B6}"/>
    <cellStyle name="Normal 2 3 3 8 5 2" xfId="27319" xr:uid="{2A4BB062-4D04-4F0A-8513-0D9ECF1A5E78}"/>
    <cellStyle name="Normal 2 3 3 8 6" xfId="27320" xr:uid="{B1E5D40A-523B-46A6-96A9-B00CDA8733FC}"/>
    <cellStyle name="Normal 2 3 3 9" xfId="27321" xr:uid="{DFB6B915-220D-4823-A572-61B124A81D27}"/>
    <cellStyle name="Normal 2 3 3 9 2" xfId="27322" xr:uid="{5250E325-6F83-485D-8459-819DF67A0529}"/>
    <cellStyle name="Normal 2 3 3 9 2 2" xfId="27323" xr:uid="{65639A14-36E1-49B1-AE41-73CD506AD91D}"/>
    <cellStyle name="Normal 2 3 3 9 2 2 2" xfId="27324" xr:uid="{00CF2947-152D-425F-B6D4-A07012171133}"/>
    <cellStyle name="Normal 2 3 3 9 2 2 2 2" xfId="27325" xr:uid="{87872790-C34D-4C76-8055-E6F6F524816E}"/>
    <cellStyle name="Normal 2 3 3 9 2 2 3" xfId="27326" xr:uid="{35E2A9DC-97F6-4269-9CA7-4C8D22E83805}"/>
    <cellStyle name="Normal 2 3 3 9 2 3" xfId="27327" xr:uid="{2DB24032-E966-44BE-BC54-4B1A7305E879}"/>
    <cellStyle name="Normal 2 3 3 9 2 3 2" xfId="27328" xr:uid="{35722EDC-E3EA-47F2-BAA0-75849FA1DB46}"/>
    <cellStyle name="Normal 2 3 3 9 2 3 2 2" xfId="27329" xr:uid="{D23A25F7-DDCB-4A4C-AB31-A52BA22E24E7}"/>
    <cellStyle name="Normal 2 3 3 9 2 3 3" xfId="27330" xr:uid="{1513B79C-82E6-4E65-9FDD-F5A08B265B68}"/>
    <cellStyle name="Normal 2 3 3 9 2 4" xfId="27331" xr:uid="{2A364209-167F-4BAA-9ADD-2EF07AEC9041}"/>
    <cellStyle name="Normal 2 3 3 9 2 4 2" xfId="27332" xr:uid="{29448C29-06E8-4371-ADEB-2610AE6449D7}"/>
    <cellStyle name="Normal 2 3 3 9 2 5" xfId="27333" xr:uid="{9DA920C4-76AB-45EB-B844-7275F11F1984}"/>
    <cellStyle name="Normal 2 3 3 9 3" xfId="27334" xr:uid="{9837A8C0-76AF-43EB-8A79-F6C5A3EC6A19}"/>
    <cellStyle name="Normal 2 3 3 9 3 2" xfId="27335" xr:uid="{6E4B0128-9857-4992-B312-2AE3A0FB41EF}"/>
    <cellStyle name="Normal 2 3 3 9 3 2 2" xfId="27336" xr:uid="{B1AFA9B5-0AF8-4812-9AC3-D2CCD220AFBC}"/>
    <cellStyle name="Normal 2 3 3 9 3 3" xfId="27337" xr:uid="{346DF598-D92D-44F1-AD2F-7C66DD4B2351}"/>
    <cellStyle name="Normal 2 3 3 9 4" xfId="27338" xr:uid="{F14E9424-4C2C-43E9-97D1-E279ED745CEC}"/>
    <cellStyle name="Normal 2 3 3 9 4 2" xfId="27339" xr:uid="{CC725AA8-0F93-4E81-BBD7-AFC4BEB5A2EF}"/>
    <cellStyle name="Normal 2 3 3 9 4 2 2" xfId="27340" xr:uid="{3160F3C8-F184-48D7-B3E2-1E6313D7DA58}"/>
    <cellStyle name="Normal 2 3 3 9 4 3" xfId="27341" xr:uid="{0532E0A7-BEDD-42C4-AC1B-83015BD85DED}"/>
    <cellStyle name="Normal 2 3 3 9 5" xfId="27342" xr:uid="{DA50BD87-5F52-49F8-83E3-6C128981BA73}"/>
    <cellStyle name="Normal 2 3 3 9 5 2" xfId="27343" xr:uid="{901F2E5E-C6E3-4B91-A185-FD538D2384A5}"/>
    <cellStyle name="Normal 2 3 3 9 6" xfId="27344" xr:uid="{0A91ADA1-2D64-46F1-BD30-F75CAC801E2E}"/>
    <cellStyle name="Normal 2 3 4" xfId="27345" xr:uid="{2DE8A275-C74B-4347-8311-990BC29B4DCF}"/>
    <cellStyle name="Normal 2 3 4 2" xfId="27346" xr:uid="{91317825-1026-485F-AB97-ED12C80D2A00}"/>
    <cellStyle name="Normal 2 3 4 2 2" xfId="27347" xr:uid="{10FBFFEE-66C8-4DD3-BE74-D419B30791E0}"/>
    <cellStyle name="Normal 2 3 4 2 2 2" xfId="27348" xr:uid="{0D45DA77-6F2A-4DB0-AF72-468204C3471E}"/>
    <cellStyle name="Normal 2 3 4 2 2 2 2" xfId="27349" xr:uid="{676000C0-9E19-48AF-B38A-3E1FFC542679}"/>
    <cellStyle name="Normal 2 3 4 2 2 3" xfId="27350" xr:uid="{89274B65-2DF4-4E52-AF9B-E33301A07D2E}"/>
    <cellStyle name="Normal 2 3 4 2 3" xfId="27351" xr:uid="{A8EE7415-DED5-42C1-8558-073EFE684AF3}"/>
    <cellStyle name="Normal 2 3 4 2 3 2" xfId="27352" xr:uid="{8D3671AB-335D-4E8C-8BBB-8FE7050DBE95}"/>
    <cellStyle name="Normal 2 3 4 2 3 2 2" xfId="27353" xr:uid="{CC418004-30EB-47CD-91C3-6DFE8850F143}"/>
    <cellStyle name="Normal 2 3 4 2 3 3" xfId="27354" xr:uid="{72AAE38F-65BB-4DFF-879A-AB0009B0C30E}"/>
    <cellStyle name="Normal 2 3 4 2 4" xfId="27355" xr:uid="{FFBD005C-6D69-4DBA-B619-7584BFA302A1}"/>
    <cellStyle name="Normal 2 3 4 2 4 2" xfId="27356" xr:uid="{C5EEDD85-CAE7-433C-9F07-91FC047F7824}"/>
    <cellStyle name="Normal 2 3 4 2 5" xfId="27357" xr:uid="{4C9EA708-FB59-40E8-BF5A-BAA4230D530E}"/>
    <cellStyle name="Normal 2 3 4 3" xfId="27358" xr:uid="{15155A7D-A054-402B-AFAF-882154ECAEA5}"/>
    <cellStyle name="Normal 2 3 4 3 2" xfId="27359" xr:uid="{B2B891E8-00C4-4AE9-B29C-8922638E6933}"/>
    <cellStyle name="Normal 2 3 4 3 2 2" xfId="27360" xr:uid="{A076E42B-798C-4906-914B-AEB3BF17660C}"/>
    <cellStyle name="Normal 2 3 4 3 3" xfId="27361" xr:uid="{DB1453E6-4EE1-4505-8796-D20C639F8545}"/>
    <cellStyle name="Normal 2 3 4 4" xfId="27362" xr:uid="{3562355B-539A-41E4-8CF7-6835B369F4AA}"/>
    <cellStyle name="Normal 2 3 4 4 2" xfId="27363" xr:uid="{29A5319A-2466-4DDB-A089-DA2569F056C2}"/>
    <cellStyle name="Normal 2 3 4 4 2 2" xfId="27364" xr:uid="{F9B258DC-CDDF-4E0B-9ACA-0EF327317403}"/>
    <cellStyle name="Normal 2 3 4 4 3" xfId="27365" xr:uid="{9F58A92F-84CA-4EBC-9AD1-5D04CBB4E928}"/>
    <cellStyle name="Normal 2 3 4 5" xfId="27366" xr:uid="{D29094E7-E137-424A-967F-54AC3B835A5D}"/>
    <cellStyle name="Normal 2 3 4 5 2" xfId="27367" xr:uid="{09F64B5B-C767-4ED4-A7F7-C73BA45EE58E}"/>
    <cellStyle name="Normal 2 3 4 6" xfId="27368" xr:uid="{CD4C7B7A-AC33-495C-89CC-6ED2A970E737}"/>
    <cellStyle name="Normal 2 3 5" xfId="27369" xr:uid="{2A017C51-7D45-4E09-8160-7ABBCDEF5905}"/>
    <cellStyle name="Normal 2 3 5 2" xfId="27370" xr:uid="{D4060E65-24FF-460B-8575-78202A9D413A}"/>
    <cellStyle name="Normal 2 3 5 2 2" xfId="27371" xr:uid="{F02FBAD3-3064-4DC5-ABD6-8B7B37062CCC}"/>
    <cellStyle name="Normal 2 3 5 2 2 2" xfId="27372" xr:uid="{B294BD72-7D3F-44CE-9FD2-F1115265CEA0}"/>
    <cellStyle name="Normal 2 3 5 2 2 2 2" xfId="27373" xr:uid="{A31DE7F6-7E52-4B39-B72E-7C095DF2A74A}"/>
    <cellStyle name="Normal 2 3 5 2 2 3" xfId="27374" xr:uid="{E2BDD917-4486-4AB0-8391-831D386B3265}"/>
    <cellStyle name="Normal 2 3 5 2 3" xfId="27375" xr:uid="{82D904BE-193B-414D-B65D-176446AECA34}"/>
    <cellStyle name="Normal 2 3 5 2 3 2" xfId="27376" xr:uid="{B77E9A7D-8597-42E4-8A9C-BBFEFBECBC8C}"/>
    <cellStyle name="Normal 2 3 5 2 3 2 2" xfId="27377" xr:uid="{D8C52FC5-A049-4702-9228-0989820C3304}"/>
    <cellStyle name="Normal 2 3 5 2 3 3" xfId="27378" xr:uid="{31565018-96D0-4CBB-862D-5A3A78C6B653}"/>
    <cellStyle name="Normal 2 3 5 2 4" xfId="27379" xr:uid="{C0E1149D-E0C7-4C0A-93FD-87D2D57BD816}"/>
    <cellStyle name="Normal 2 3 5 2 4 2" xfId="27380" xr:uid="{1904C0D5-7011-4A93-A843-B5B6A16626B6}"/>
    <cellStyle name="Normal 2 3 5 2 5" xfId="27381" xr:uid="{F78CD627-066C-4504-AFF6-00E219A2A033}"/>
    <cellStyle name="Normal 2 3 5 3" xfId="27382" xr:uid="{BD680F15-1280-41FB-8AD2-7A232CE40B0D}"/>
    <cellStyle name="Normal 2 3 5 3 2" xfId="27383" xr:uid="{D67E8E83-77C2-4E04-A658-3AAAB77B6B03}"/>
    <cellStyle name="Normal 2 3 5 3 2 2" xfId="27384" xr:uid="{CA849C50-79E8-4D11-9A98-AEA9A2A391C1}"/>
    <cellStyle name="Normal 2 3 5 3 3" xfId="27385" xr:uid="{3ECA4260-5517-42BC-B55B-22BE8CF66F36}"/>
    <cellStyle name="Normal 2 3 5 4" xfId="27386" xr:uid="{E1159B18-54CD-467A-816D-6C10DB08C4B5}"/>
    <cellStyle name="Normal 2 3 5 4 2" xfId="27387" xr:uid="{239D0FAE-2EEA-403E-8005-C50C7A4E2520}"/>
    <cellStyle name="Normal 2 3 5 4 2 2" xfId="27388" xr:uid="{813DFE05-5F6F-414C-A97F-BFD07C00A632}"/>
    <cellStyle name="Normal 2 3 5 4 3" xfId="27389" xr:uid="{70B889D9-EF4A-4DA9-808E-CD83029CFB16}"/>
    <cellStyle name="Normal 2 3 5 5" xfId="27390" xr:uid="{D7A639F3-66F6-47B2-BED6-3C6CE238BA2C}"/>
    <cellStyle name="Normal 2 3 5 5 2" xfId="27391" xr:uid="{2F8A928D-026B-4B7E-8DD4-3435F806A549}"/>
    <cellStyle name="Normal 2 3 5 6" xfId="27392" xr:uid="{2EBC7D6D-CC9F-4FE3-9F4B-B56A8B8EAF2F}"/>
    <cellStyle name="Normal 2 3 6" xfId="27393" xr:uid="{76B89F2D-203C-4081-AC35-8D169E247D0B}"/>
    <cellStyle name="Normal 2 3 6 2" xfId="27394" xr:uid="{A62A3857-A1BE-4C19-984E-94E60C38F111}"/>
    <cellStyle name="Normal 2 3 6 2 2" xfId="27395" xr:uid="{475EADAA-E137-4CA3-9DA9-5B44CB6F74AB}"/>
    <cellStyle name="Normal 2 3 6 2 2 2" xfId="27396" xr:uid="{C5ED4B5E-769A-4189-98D0-BB7D9FCF8FFE}"/>
    <cellStyle name="Normal 2 3 6 2 2 2 2" xfId="27397" xr:uid="{C908880B-F25C-46D5-9382-E2DB978C1E7F}"/>
    <cellStyle name="Normal 2 3 6 2 2 3" xfId="27398" xr:uid="{999BCE6D-3197-4753-960C-B26FF4A7A2CD}"/>
    <cellStyle name="Normal 2 3 6 2 3" xfId="27399" xr:uid="{D2924E9B-5398-40E5-BB42-D0C89440BBEB}"/>
    <cellStyle name="Normal 2 3 6 2 3 2" xfId="27400" xr:uid="{BF8BED82-7D3B-47C2-B167-7DE725B050DB}"/>
    <cellStyle name="Normal 2 3 6 2 3 2 2" xfId="27401" xr:uid="{B61A79C3-FAB8-4E22-91FF-0A1DE4D89D0A}"/>
    <cellStyle name="Normal 2 3 6 2 3 3" xfId="27402" xr:uid="{4321DE29-6D2E-46CA-AF30-5D489703F0A7}"/>
    <cellStyle name="Normal 2 3 6 2 4" xfId="27403" xr:uid="{1B53FB9A-F961-4963-A711-924242A76285}"/>
    <cellStyle name="Normal 2 3 6 2 4 2" xfId="27404" xr:uid="{09429E83-CD30-4FE6-8291-1588D214E179}"/>
    <cellStyle name="Normal 2 3 6 2 5" xfId="27405" xr:uid="{67897038-48F6-4DEB-B884-F816B4048B8D}"/>
    <cellStyle name="Normal 2 3 6 3" xfId="27406" xr:uid="{057A9E1A-8FD0-4E19-B550-72134280270E}"/>
    <cellStyle name="Normal 2 3 6 3 2" xfId="27407" xr:uid="{C7A79C1E-C03C-45F5-B697-9C4516B73316}"/>
    <cellStyle name="Normal 2 3 6 3 2 2" xfId="27408" xr:uid="{042D20F2-B8A9-4D49-8BF9-5DFF7FC93A20}"/>
    <cellStyle name="Normal 2 3 6 3 3" xfId="27409" xr:uid="{94513A47-7E00-49B2-B617-628205C43303}"/>
    <cellStyle name="Normal 2 3 6 4" xfId="27410" xr:uid="{979C8448-9FA3-462B-966A-C6B82732B30F}"/>
    <cellStyle name="Normal 2 3 6 4 2" xfId="27411" xr:uid="{763F6F57-80FD-4771-9410-6FD3467FD037}"/>
    <cellStyle name="Normal 2 3 6 4 2 2" xfId="27412" xr:uid="{21F26253-66CE-46E7-8637-9FA2F11D25B5}"/>
    <cellStyle name="Normal 2 3 6 4 3" xfId="27413" xr:uid="{C914E706-853B-4B7D-85DB-5C96AC241237}"/>
    <cellStyle name="Normal 2 3 6 5" xfId="27414" xr:uid="{857DD7F6-A1DF-401A-9A28-77CFF6AE16F0}"/>
    <cellStyle name="Normal 2 3 6 5 2" xfId="27415" xr:uid="{A93269CD-1B84-48FE-9073-A8364AB9A0E3}"/>
    <cellStyle name="Normal 2 3 6 6" xfId="27416" xr:uid="{D98E12CF-AEDF-4075-97DE-8FA6432DD8FD}"/>
    <cellStyle name="Normal 2 3 7" xfId="27417" xr:uid="{CF7809C5-81F9-4D8B-9DFC-ABB865BAA4E0}"/>
    <cellStyle name="Normal 2 3 7 2" xfId="27418" xr:uid="{8BD256AB-A730-46B9-A904-B68085392DEC}"/>
    <cellStyle name="Normal 2 3 7 2 2" xfId="27419" xr:uid="{AAD75311-0E20-4927-91BD-754FB4192428}"/>
    <cellStyle name="Normal 2 3 7 2 2 2" xfId="27420" xr:uid="{4E4563AA-C884-48ED-BC93-CFB8976161D6}"/>
    <cellStyle name="Normal 2 3 7 2 2 2 2" xfId="27421" xr:uid="{9D2DAC35-B0A4-4BF2-BBDF-65721088A279}"/>
    <cellStyle name="Normal 2 3 7 2 2 3" xfId="27422" xr:uid="{D2C3F3CF-5091-4BCC-96E8-A7E8D3D721AD}"/>
    <cellStyle name="Normal 2 3 7 2 3" xfId="27423" xr:uid="{9C9C08E2-7B4A-486B-BDD5-C53C19F84EC7}"/>
    <cellStyle name="Normal 2 3 7 2 3 2" xfId="27424" xr:uid="{4593707B-46E4-4929-A21F-2559A71D7245}"/>
    <cellStyle name="Normal 2 3 7 2 3 2 2" xfId="27425" xr:uid="{C4804D2C-DF46-4E3D-B134-891433F2D6F1}"/>
    <cellStyle name="Normal 2 3 7 2 3 3" xfId="27426" xr:uid="{F35AFB78-97B0-42D6-981F-B98EA185EE0A}"/>
    <cellStyle name="Normal 2 3 7 2 4" xfId="27427" xr:uid="{BECBB608-4CD9-439A-AF5C-D5055E8713A8}"/>
    <cellStyle name="Normal 2 3 7 2 4 2" xfId="27428" xr:uid="{410522DB-72E4-4967-AB14-BAD6B31987F8}"/>
    <cellStyle name="Normal 2 3 7 2 5" xfId="27429" xr:uid="{DEA06F2C-00EA-4297-B710-31EE1E82C39A}"/>
    <cellStyle name="Normal 2 3 7 3" xfId="27430" xr:uid="{2FD16115-4775-4307-A88F-1734BF65E588}"/>
    <cellStyle name="Normal 2 3 7 3 2" xfId="27431" xr:uid="{65CEBF90-B2A7-4813-ACA9-FA845F7D2F35}"/>
    <cellStyle name="Normal 2 3 7 3 2 2" xfId="27432" xr:uid="{F454FADD-7E1D-4E9C-B69A-FE2040FB0283}"/>
    <cellStyle name="Normal 2 3 7 3 3" xfId="27433" xr:uid="{D34676EB-1362-40DD-98DA-73DA3ED57BEF}"/>
    <cellStyle name="Normal 2 3 7 4" xfId="27434" xr:uid="{37FE0BBC-C317-4AFB-B245-38373E494C26}"/>
    <cellStyle name="Normal 2 3 7 4 2" xfId="27435" xr:uid="{D12F936B-A0B4-4021-905F-CF911098F3AA}"/>
    <cellStyle name="Normal 2 3 7 4 2 2" xfId="27436" xr:uid="{B9406F98-8012-4BCD-A3FC-31FF62ADE6E1}"/>
    <cellStyle name="Normal 2 3 7 4 3" xfId="27437" xr:uid="{C893B5F5-7ACA-4318-A2E8-F8779A94FB4D}"/>
    <cellStyle name="Normal 2 3 7 5" xfId="27438" xr:uid="{E1D3D201-7479-4C10-A856-B1F85545B5C0}"/>
    <cellStyle name="Normal 2 3 7 5 2" xfId="27439" xr:uid="{F242E744-755B-475C-AFE7-CB13499E7917}"/>
    <cellStyle name="Normal 2 3 7 6" xfId="27440" xr:uid="{A1340EDD-4881-48B2-B3AB-AA3F7031BCC6}"/>
    <cellStyle name="Normal 2 3 8" xfId="27441" xr:uid="{9193A26F-007C-480D-B177-E6C260B2776C}"/>
    <cellStyle name="Normal 2 3 8 2" xfId="27442" xr:uid="{2EAFF58A-EB16-40BA-A0FF-590EACE14969}"/>
    <cellStyle name="Normal 2 3 8 2 2" xfId="27443" xr:uid="{3051DA40-4FF0-495A-896A-1F1995DC022E}"/>
    <cellStyle name="Normal 2 3 8 2 2 2" xfId="27444" xr:uid="{542AAA05-8E37-4BF5-8657-F4923F5093C5}"/>
    <cellStyle name="Normal 2 3 8 2 2 2 2" xfId="27445" xr:uid="{23C32FA5-CEBC-4701-8707-C93D67E8412A}"/>
    <cellStyle name="Normal 2 3 8 2 2 3" xfId="27446" xr:uid="{45836A45-7437-40B9-8EB0-EA7563206138}"/>
    <cellStyle name="Normal 2 3 8 2 3" xfId="27447" xr:uid="{D9E24E2B-B55D-4951-9936-88C332D6BE7D}"/>
    <cellStyle name="Normal 2 3 8 2 3 2" xfId="27448" xr:uid="{DA2E5D39-D425-4B0D-BC35-1D5E321A8980}"/>
    <cellStyle name="Normal 2 3 8 2 3 2 2" xfId="27449" xr:uid="{16B2543C-224D-4D26-8172-FFDB70881CE3}"/>
    <cellStyle name="Normal 2 3 8 2 3 3" xfId="27450" xr:uid="{03545A60-D25F-458A-B6FF-FCCC43A52E87}"/>
    <cellStyle name="Normal 2 3 8 2 4" xfId="27451" xr:uid="{BB77FD97-B811-4DAC-955C-E79033ABABDE}"/>
    <cellStyle name="Normal 2 3 8 2 4 2" xfId="27452" xr:uid="{AFC013EA-A458-43CC-BCB9-55487FB3F215}"/>
    <cellStyle name="Normal 2 3 8 2 5" xfId="27453" xr:uid="{3155BEF6-39AE-41A5-A7ED-0BE611D465FE}"/>
    <cellStyle name="Normal 2 3 8 3" xfId="27454" xr:uid="{9CC9BCFE-9965-4C8E-91A1-F1F035B86622}"/>
    <cellStyle name="Normal 2 3 8 3 2" xfId="27455" xr:uid="{8C27F3FD-82D6-4B73-8908-F65B355F92EC}"/>
    <cellStyle name="Normal 2 3 8 3 2 2" xfId="27456" xr:uid="{3FC1AC71-2684-44E4-B239-1CB4DE35147D}"/>
    <cellStyle name="Normal 2 3 8 3 3" xfId="27457" xr:uid="{20D79FF5-BE20-4DB2-94CB-7EF6EC1E4732}"/>
    <cellStyle name="Normal 2 3 8 4" xfId="27458" xr:uid="{6FAEAE1A-0103-4D29-8274-4657A31092B8}"/>
    <cellStyle name="Normal 2 3 8 4 2" xfId="27459" xr:uid="{462B3F51-740C-4914-A94A-3EA32DD6D6B8}"/>
    <cellStyle name="Normal 2 3 8 4 2 2" xfId="27460" xr:uid="{52299605-7E14-4B8A-860D-21E047EC10CE}"/>
    <cellStyle name="Normal 2 3 8 4 3" xfId="27461" xr:uid="{AE9F016D-5759-4B5F-ADC6-8611798B1AED}"/>
    <cellStyle name="Normal 2 3 8 5" xfId="27462" xr:uid="{A735BC53-691A-4CFA-8785-30BFFA7601DC}"/>
    <cellStyle name="Normal 2 3 8 5 2" xfId="27463" xr:uid="{DAA96EAF-BE64-46F7-BE88-1733FCE6B23F}"/>
    <cellStyle name="Normal 2 3 8 6" xfId="27464" xr:uid="{C0D8EFF4-0736-49AE-BAB5-7558A1F44EEF}"/>
    <cellStyle name="Normal 2 3 9" xfId="27465" xr:uid="{6CFA3EDE-DB6E-44C1-8723-1E31C4D749E2}"/>
    <cellStyle name="Normal 2 3 9 2" xfId="27466" xr:uid="{9F6C337B-5E7C-4C0B-BB40-2355E5F3F037}"/>
    <cellStyle name="Normal 2 3 9 2 2" xfId="27467" xr:uid="{BB1AD36C-6F7C-42D5-AD33-A9676F1B1DCF}"/>
    <cellStyle name="Normal 2 3 9 2 2 2" xfId="27468" xr:uid="{D3D3A3F8-47C5-4906-A061-868B684DF0D1}"/>
    <cellStyle name="Normal 2 3 9 2 2 2 2" xfId="27469" xr:uid="{C40C199A-3B2B-4A98-B250-BF3CC21335A2}"/>
    <cellStyle name="Normal 2 3 9 2 2 3" xfId="27470" xr:uid="{31BF20B9-17DE-40AB-8FA0-01080C7943F5}"/>
    <cellStyle name="Normal 2 3 9 2 3" xfId="27471" xr:uid="{CA96EAD8-4FB4-4EF1-A987-140D375979BB}"/>
    <cellStyle name="Normal 2 3 9 2 3 2" xfId="27472" xr:uid="{F1AFA6C5-410A-44E2-AF16-957D5E06BFCC}"/>
    <cellStyle name="Normal 2 3 9 2 3 2 2" xfId="27473" xr:uid="{981C30AA-CE30-4255-B419-005F57EE5247}"/>
    <cellStyle name="Normal 2 3 9 2 3 3" xfId="27474" xr:uid="{62681BB3-6B52-40F5-B74D-FFC24241CD68}"/>
    <cellStyle name="Normal 2 3 9 2 4" xfId="27475" xr:uid="{F2916066-A852-45CA-83E7-2FDB97A0E423}"/>
    <cellStyle name="Normal 2 3 9 2 4 2" xfId="27476" xr:uid="{9BDE7F92-C0A5-4EE1-8894-1CE199338392}"/>
    <cellStyle name="Normal 2 3 9 2 5" xfId="27477" xr:uid="{A8F5B537-39E1-4DD9-84FD-B6D9377632E2}"/>
    <cellStyle name="Normal 2 3 9 3" xfId="27478" xr:uid="{1D2552CE-3CFF-46A4-9C69-430CC8810E3D}"/>
    <cellStyle name="Normal 2 3 9 3 2" xfId="27479" xr:uid="{87D273DD-2345-4BB5-BAA4-5DC56661406B}"/>
    <cellStyle name="Normal 2 3 9 3 2 2" xfId="27480" xr:uid="{D7C855A2-D09C-4005-B530-84CDECD3208B}"/>
    <cellStyle name="Normal 2 3 9 3 3" xfId="27481" xr:uid="{E573C06F-3282-4AFB-927A-2CD21A99FF5E}"/>
    <cellStyle name="Normal 2 3 9 4" xfId="27482" xr:uid="{B269EE38-AE82-4EAB-A6DE-4BA89E9BABA1}"/>
    <cellStyle name="Normal 2 3 9 4 2" xfId="27483" xr:uid="{DA283EC0-0FD0-46CC-9B91-1FF0EDF85FB0}"/>
    <cellStyle name="Normal 2 3 9 4 2 2" xfId="27484" xr:uid="{49A8E5AA-AF50-4BCA-A60F-75C9135CDBAE}"/>
    <cellStyle name="Normal 2 3 9 4 3" xfId="27485" xr:uid="{B0C66E7A-E15D-4321-AF44-31B9129EDBE2}"/>
    <cellStyle name="Normal 2 3 9 5" xfId="27486" xr:uid="{C39CD8DC-A13F-4E61-BB64-49C978D80E5C}"/>
    <cellStyle name="Normal 2 3 9 5 2" xfId="27487" xr:uid="{BC83260A-EA8B-40A6-A9DC-1890D8A7D7D8}"/>
    <cellStyle name="Normal 2 3 9 6" xfId="27488" xr:uid="{17D8F743-853D-41B2-A767-E1CA61D5EC7E}"/>
    <cellStyle name="Normal 2 3_Jun 11 details" xfId="27489" xr:uid="{6DC6526A-DAC5-486C-8BA9-AFC144E71B5E}"/>
    <cellStyle name="Normal 2 30" xfId="26218" xr:uid="{15AE8BB6-713A-4EB1-8D45-6AA5D71ADB88}"/>
    <cellStyle name="Normal 2 31" xfId="86" xr:uid="{04DF30EC-A463-49F8-AC65-7C29DCCB05F1}"/>
    <cellStyle name="Normal 2 4" xfId="128" xr:uid="{161691A0-A108-41A5-81A7-B57ABA883819}"/>
    <cellStyle name="Normal 2 4 2" xfId="152" xr:uid="{DE0426C2-6F9C-435C-AB93-34E66ED1887A}"/>
    <cellStyle name="Normal 2 4 2 2" xfId="27492" xr:uid="{A4B618EF-4CC1-4B6A-A289-EBB3CE7DA2F3}"/>
    <cellStyle name="Normal 2 4 2 2 2" xfId="27493" xr:uid="{80F6C533-EEC1-45C7-93A1-A0EFE3EB3F68}"/>
    <cellStyle name="Normal 2 4 2 3" xfId="27494" xr:uid="{E95BF2A7-8459-449E-9FE5-C3660B94765B}"/>
    <cellStyle name="Normal 2 4 2 4" xfId="27491" xr:uid="{95300538-8E08-494D-BFCB-9D74C81AAE07}"/>
    <cellStyle name="Normal 2 4 3" xfId="150" xr:uid="{859E6A0A-E270-435D-9AAE-F66F2A058895}"/>
    <cellStyle name="Normal 2 4 3 2" xfId="27496" xr:uid="{E82EA8B9-DCE7-4E9B-BD7B-1B449CB9A26C}"/>
    <cellStyle name="Normal 2 4 3 3" xfId="27495" xr:uid="{0052BF15-3E47-4F10-85EC-47132CBF027E}"/>
    <cellStyle name="Normal 2 4 4" xfId="27497" xr:uid="{206DD356-6411-4AE2-AFD0-C4C401CB943E}"/>
    <cellStyle name="Normal 2 4 5" xfId="27490" xr:uid="{E023A5BC-5DE2-40D1-9BCA-A99308BDF6E7}"/>
    <cellStyle name="Normal 2 5" xfId="141" xr:uid="{6A882874-1835-406B-9E89-DD0CEBF367AD}"/>
    <cellStyle name="Normal 2 5 10" xfId="27499" xr:uid="{95C9C958-56FF-440C-8DCF-67034DF4BF9D}"/>
    <cellStyle name="Normal 2 5 10 2" xfId="27500" xr:uid="{382CF57C-A23E-4F10-9627-8ADC92A6D0FE}"/>
    <cellStyle name="Normal 2 5 10 2 2" xfId="27501" xr:uid="{B06CD7AE-EB26-4E27-A43C-437C25699E74}"/>
    <cellStyle name="Normal 2 5 10 2 2 2" xfId="27502" xr:uid="{31900B1D-89BA-4579-BE8B-51145198CDDD}"/>
    <cellStyle name="Normal 2 5 10 2 2 2 2" xfId="27503" xr:uid="{B01B14F7-D15F-49D4-9240-6981F7B35785}"/>
    <cellStyle name="Normal 2 5 10 2 2 3" xfId="27504" xr:uid="{E1775B7E-D4A9-4D13-90C7-DFE73B7A3DAB}"/>
    <cellStyle name="Normal 2 5 10 2 3" xfId="27505" xr:uid="{E5D5379D-935F-485C-A128-7DF51F5B209F}"/>
    <cellStyle name="Normal 2 5 10 2 3 2" xfId="27506" xr:uid="{AC104BE1-2EB7-4C11-9EF0-93E100BE18CD}"/>
    <cellStyle name="Normal 2 5 10 2 3 2 2" xfId="27507" xr:uid="{AFC85A7B-B76D-44DE-936D-EAC6CEEE8208}"/>
    <cellStyle name="Normal 2 5 10 2 3 3" xfId="27508" xr:uid="{179E9123-132D-4BC6-A001-7F3D7C994DFD}"/>
    <cellStyle name="Normal 2 5 10 2 4" xfId="27509" xr:uid="{2E86A6D2-45D8-43F0-96A7-797BD502817D}"/>
    <cellStyle name="Normal 2 5 10 2 4 2" xfId="27510" xr:uid="{A1A3BE19-899C-4F8D-A3DA-AEE13E2C5A21}"/>
    <cellStyle name="Normal 2 5 10 2 5" xfId="27511" xr:uid="{728612F8-BCBA-4407-8EB3-3B4E7EF34EDF}"/>
    <cellStyle name="Normal 2 5 10 3" xfId="27512" xr:uid="{0F3ED094-DC54-4CC4-AAED-6B4A203B283D}"/>
    <cellStyle name="Normal 2 5 10 3 2" xfId="27513" xr:uid="{E0C26C4A-5F1D-4E39-A0A3-12AEB896374F}"/>
    <cellStyle name="Normal 2 5 10 3 2 2" xfId="27514" xr:uid="{6728CA97-74E6-40FD-849B-B686A9DFEE4F}"/>
    <cellStyle name="Normal 2 5 10 3 3" xfId="27515" xr:uid="{6F1EBE8E-EB8B-46AE-B04F-EB67BD86E9B9}"/>
    <cellStyle name="Normal 2 5 10 4" xfId="27516" xr:uid="{3B76AFFF-1892-4C29-9830-4B5ECD3E6A28}"/>
    <cellStyle name="Normal 2 5 10 4 2" xfId="27517" xr:uid="{CD6B8CFE-C674-4EFE-A2EB-AA993153A0AE}"/>
    <cellStyle name="Normal 2 5 10 4 2 2" xfId="27518" xr:uid="{8E6A9E8D-64F7-4179-9A7E-497D074F00ED}"/>
    <cellStyle name="Normal 2 5 10 4 3" xfId="27519" xr:uid="{EC4D5C4B-73DA-4098-BC82-ED6043F4C02A}"/>
    <cellStyle name="Normal 2 5 10 5" xfId="27520" xr:uid="{7C2939D5-E2C3-4DEF-93CC-F5B3FE1E1D76}"/>
    <cellStyle name="Normal 2 5 10 5 2" xfId="27521" xr:uid="{D1DC3657-E4EF-45A9-818C-B8053280A8C9}"/>
    <cellStyle name="Normal 2 5 10 6" xfId="27522" xr:uid="{214AD1A9-5B67-457C-8684-8B9C282D6AAB}"/>
    <cellStyle name="Normal 2 5 11" xfId="27523" xr:uid="{170BD81F-A42D-4478-9A10-0D8131FB33EA}"/>
    <cellStyle name="Normal 2 5 11 2" xfId="27524" xr:uid="{8D722D1C-5AC3-4FBF-8157-6A7F34E72C66}"/>
    <cellStyle name="Normal 2 5 11 2 2" xfId="27525" xr:uid="{6ADD1C9B-1DF5-4802-9577-61782A5C5088}"/>
    <cellStyle name="Normal 2 5 11 2 2 2" xfId="27526" xr:uid="{12C202E4-4D23-46CF-9537-758F3DF70203}"/>
    <cellStyle name="Normal 2 5 11 2 2 2 2" xfId="27527" xr:uid="{B4E38011-3DA8-4746-9A4D-A68FC92FC7EB}"/>
    <cellStyle name="Normal 2 5 11 2 2 2 2 2" xfId="27528" xr:uid="{073DB345-42AA-4E1E-B588-4BCE8F4C7D9C}"/>
    <cellStyle name="Normal 2 5 11 2 2 2 3" xfId="27529" xr:uid="{8069B09A-A882-45D1-BFA6-759A89466002}"/>
    <cellStyle name="Normal 2 5 11 2 2 3" xfId="27530" xr:uid="{3DB36FBB-9153-45DD-9745-B5C77C764F89}"/>
    <cellStyle name="Normal 2 5 11 2 2 3 2" xfId="27531" xr:uid="{CEB26D17-4967-43AB-9309-5DDB278F63C2}"/>
    <cellStyle name="Normal 2 5 11 2 2 3 2 2" xfId="27532" xr:uid="{D4787778-6960-4C06-B7F8-7FD69E961174}"/>
    <cellStyle name="Normal 2 5 11 2 2 3 3" xfId="27533" xr:uid="{4A2C7F55-322C-436D-8A98-111D97394D68}"/>
    <cellStyle name="Normal 2 5 11 2 2 4" xfId="27534" xr:uid="{FDED23AA-1EA7-4A1C-AE15-4C391F7FD9A5}"/>
    <cellStyle name="Normal 2 5 11 2 2 4 2" xfId="27535" xr:uid="{3B3DC47E-3543-42C4-B2FB-529958DA0917}"/>
    <cellStyle name="Normal 2 5 11 2 2 5" xfId="27536" xr:uid="{EAB950A0-3AC0-4E36-A046-897BDE276327}"/>
    <cellStyle name="Normal 2 5 11 2 3" xfId="27537" xr:uid="{57FF2560-E149-472A-88EA-EECF528FFE9D}"/>
    <cellStyle name="Normal 2 5 11 2 3 2" xfId="27538" xr:uid="{F8EC806F-987C-47A3-B352-2FFB52A8E693}"/>
    <cellStyle name="Normal 2 5 11 2 3 2 2" xfId="27539" xr:uid="{3CA5E1BD-F30A-42FB-B796-5D446392A7A7}"/>
    <cellStyle name="Normal 2 5 11 2 3 3" xfId="27540" xr:uid="{4B0494A0-6C0F-4B6C-B3B1-FF3CE553CFDF}"/>
    <cellStyle name="Normal 2 5 11 2 4" xfId="27541" xr:uid="{32AD5458-D6A6-49A0-B76A-133B95557703}"/>
    <cellStyle name="Normal 2 5 11 2 4 2" xfId="27542" xr:uid="{11FA3B6E-1CEB-4157-B668-735A93DC8D7B}"/>
    <cellStyle name="Normal 2 5 11 2 4 2 2" xfId="27543" xr:uid="{DFA3DE0E-2F4A-4C67-830A-AD62A06F52ED}"/>
    <cellStyle name="Normal 2 5 11 2 4 3" xfId="27544" xr:uid="{ACE4DDFB-3BB6-4F70-BB17-BCA6B13E641A}"/>
    <cellStyle name="Normal 2 5 11 2 5" xfId="27545" xr:uid="{93952A66-FFA2-42CD-B73E-88A3A53F52BC}"/>
    <cellStyle name="Normal 2 5 11 2 5 2" xfId="27546" xr:uid="{B67C8992-7A0A-414E-A8F5-8267BA26866E}"/>
    <cellStyle name="Normal 2 5 11 2 6" xfId="27547" xr:uid="{6E681E12-E0D2-4B52-8430-BB97D155DD1D}"/>
    <cellStyle name="Normal 2 5 11 3" xfId="27548" xr:uid="{59705361-EE60-4810-B824-1EDCB040022C}"/>
    <cellStyle name="Normal 2 5 11 3 2" xfId="27549" xr:uid="{09DAA477-60B5-4F8A-B03E-3957D07747B1}"/>
    <cellStyle name="Normal 2 5 11 3 2 2" xfId="27550" xr:uid="{17324F97-60D3-4891-BEF6-E0AAC7E28831}"/>
    <cellStyle name="Normal 2 5 11 3 2 2 2" xfId="27551" xr:uid="{856B7D9A-2C7F-4522-8397-5CAF28D03E65}"/>
    <cellStyle name="Normal 2 5 11 3 2 3" xfId="27552" xr:uid="{36E75D3A-2298-484A-BC8B-742959BCFCB4}"/>
    <cellStyle name="Normal 2 5 11 3 3" xfId="27553" xr:uid="{47702E94-1832-4382-AF7E-133E3D687CCD}"/>
    <cellStyle name="Normal 2 5 11 3 3 2" xfId="27554" xr:uid="{11D6EDCC-3D39-4B2F-B8E0-2481C1FD765C}"/>
    <cellStyle name="Normal 2 5 11 3 3 2 2" xfId="27555" xr:uid="{3D487EF6-968D-4537-972D-508658590FC4}"/>
    <cellStyle name="Normal 2 5 11 3 3 3" xfId="27556" xr:uid="{E46CBC44-5F8C-4F2E-91F1-068F3C5B418D}"/>
    <cellStyle name="Normal 2 5 11 3 4" xfId="27557" xr:uid="{B563D7FF-271A-45BC-8055-B4A567F6A6FA}"/>
    <cellStyle name="Normal 2 5 11 3 4 2" xfId="27558" xr:uid="{0AA19D5E-D2C3-4544-8ECD-22641AB2ED3C}"/>
    <cellStyle name="Normal 2 5 11 3 5" xfId="27559" xr:uid="{FC32C7F2-3436-4415-9528-9CC8FCE88453}"/>
    <cellStyle name="Normal 2 5 11 4" xfId="27560" xr:uid="{89EBBD02-9C17-45B6-9C5E-40B070B786DA}"/>
    <cellStyle name="Normal 2 5 11 4 2" xfId="27561" xr:uid="{F7DFEAC5-3E03-4296-937E-7C55A3C8D346}"/>
    <cellStyle name="Normal 2 5 11 4 2 2" xfId="27562" xr:uid="{4C1FDBA0-B435-4587-8DB9-BBE8A23CBB71}"/>
    <cellStyle name="Normal 2 5 11 4 3" xfId="27563" xr:uid="{8B8269A1-9621-44CA-9F81-A1C621AF6CAE}"/>
    <cellStyle name="Normal 2 5 11 5" xfId="27564" xr:uid="{905EB552-850E-473D-93B2-E94F94C4DE14}"/>
    <cellStyle name="Normal 2 5 11 5 2" xfId="27565" xr:uid="{9DD36BB3-9547-41D4-A09F-1EF8DC7D831D}"/>
    <cellStyle name="Normal 2 5 11 5 2 2" xfId="27566" xr:uid="{EB9ECD13-C5FD-4E49-8D87-A0D339CA6967}"/>
    <cellStyle name="Normal 2 5 11 5 3" xfId="27567" xr:uid="{DAAF44B6-A4F2-430A-95AD-9C6B82917B08}"/>
    <cellStyle name="Normal 2 5 11 6" xfId="27568" xr:uid="{193962B9-4BE0-4616-80C6-338AEF97384A}"/>
    <cellStyle name="Normal 2 5 11 6 2" xfId="27569" xr:uid="{7AA9AA59-1D65-4AC7-80B8-F81670D30415}"/>
    <cellStyle name="Normal 2 5 11 7" xfId="27570" xr:uid="{9B036E81-D813-433C-A1F9-7F6365867D92}"/>
    <cellStyle name="Normal 2 5 12" xfId="27571" xr:uid="{1248155F-A38C-4673-931E-96A235A6ADDF}"/>
    <cellStyle name="Normal 2 5 12 2" xfId="27572" xr:uid="{E3964BC2-9D9A-4473-BF04-CB21F15F508E}"/>
    <cellStyle name="Normal 2 5 12 2 2" xfId="27573" xr:uid="{65050F6C-1E39-469A-BC70-4DBE533FBB19}"/>
    <cellStyle name="Normal 2 5 12 2 2 2" xfId="27574" xr:uid="{0E736DAA-528D-46D6-BAB9-B15BDEEDEADA}"/>
    <cellStyle name="Normal 2 5 12 2 3" xfId="27575" xr:uid="{45DFCCAA-7CA5-4564-A4BB-BD6504369545}"/>
    <cellStyle name="Normal 2 5 12 3" xfId="27576" xr:uid="{55421EFF-EE53-4D4A-B7A5-C024554CF571}"/>
    <cellStyle name="Normal 2 5 12 3 2" xfId="27577" xr:uid="{CDC9D9B9-7DC1-4CA2-B799-23DF41DFE487}"/>
    <cellStyle name="Normal 2 5 12 3 2 2" xfId="27578" xr:uid="{69F239F9-E75B-4C82-B982-9E17EDDBB4C5}"/>
    <cellStyle name="Normal 2 5 12 3 3" xfId="27579" xr:uid="{F7652CC3-EA95-4908-84E8-2035B68771D7}"/>
    <cellStyle name="Normal 2 5 12 4" xfId="27580" xr:uid="{096C5657-6459-4EDF-8CE9-90FED72320C6}"/>
    <cellStyle name="Normal 2 5 12 4 2" xfId="27581" xr:uid="{3892B72B-846F-4CA8-B6DC-0618913C2F1E}"/>
    <cellStyle name="Normal 2 5 12 5" xfId="27582" xr:uid="{17056C9F-E1C4-43C7-991A-DB503C9ECB56}"/>
    <cellStyle name="Normal 2 5 13" xfId="27583" xr:uid="{F47F7600-2FCB-46C4-AD79-B55D07919A1C}"/>
    <cellStyle name="Normal 2 5 13 2" xfId="27584" xr:uid="{9F05948A-BD82-442D-9D06-5AAE50867F6E}"/>
    <cellStyle name="Normal 2 5 13 2 2" xfId="27585" xr:uid="{19369D40-AC56-4C79-979E-8FFD2785FCCE}"/>
    <cellStyle name="Normal 2 5 13 3" xfId="27586" xr:uid="{0F2B1582-A860-4813-9011-F87499F42ABC}"/>
    <cellStyle name="Normal 2 5 14" xfId="27587" xr:uid="{3FB0BD8B-44C5-4E54-8BE7-AFD35669E60E}"/>
    <cellStyle name="Normal 2 5 14 2" xfId="27588" xr:uid="{E6FED27D-27FC-4B47-B39B-EF922A409693}"/>
    <cellStyle name="Normal 2 5 14 2 2" xfId="27589" xr:uid="{2C32FEE6-FC3F-431D-97C9-F8790B6696D1}"/>
    <cellStyle name="Normal 2 5 14 3" xfId="27590" xr:uid="{F1812A47-C6A8-407A-AB19-F37B27F804A3}"/>
    <cellStyle name="Normal 2 5 15" xfId="27591" xr:uid="{E41326BF-5882-4C6D-A5A6-968F72671A2F}"/>
    <cellStyle name="Normal 2 5 15 2" xfId="27592" xr:uid="{0BE42882-E274-4A78-8D30-8027EC88C607}"/>
    <cellStyle name="Normal 2 5 16" xfId="27593" xr:uid="{7160F33E-A183-45FA-809C-0C9304B661C4}"/>
    <cellStyle name="Normal 2 5 17" xfId="27498" xr:uid="{D37E9251-920B-425F-AC89-5F8034B0DDEC}"/>
    <cellStyle name="Normal 2 5 2" xfId="27594" xr:uid="{07B23FA7-56AC-4B8B-894C-23EBD53853D4}"/>
    <cellStyle name="Normal 2 5 2 2" xfId="27595" xr:uid="{5B04E96D-7684-4615-BFCB-855AA1A9CD65}"/>
    <cellStyle name="Normal 2 5 2 2 2" xfId="27596" xr:uid="{5A3BCA37-6E5E-4859-A58B-6CEF37166102}"/>
    <cellStyle name="Normal 2 5 2 2 2 2" xfId="27597" xr:uid="{19A09C01-8906-460C-9A3F-71EE6F69930B}"/>
    <cellStyle name="Normal 2 5 2 2 2 2 2" xfId="27598" xr:uid="{E9274A7A-68D1-43AC-9DF2-059A51F575A4}"/>
    <cellStyle name="Normal 2 5 2 2 2 3" xfId="27599" xr:uid="{1EC5D084-FE49-4B0A-A296-60191F045684}"/>
    <cellStyle name="Normal 2 5 2 2 3" xfId="27600" xr:uid="{667D6E80-20C5-4C5A-BFDE-0DBDCF815A5D}"/>
    <cellStyle name="Normal 2 5 2 2 3 2" xfId="27601" xr:uid="{3DDD8407-9C8B-468C-9C05-8D1DBCED78DC}"/>
    <cellStyle name="Normal 2 5 2 2 3 2 2" xfId="27602" xr:uid="{060BAD16-C325-4AEF-B326-612B9ECF3FC3}"/>
    <cellStyle name="Normal 2 5 2 2 3 3" xfId="27603" xr:uid="{CACA81FA-38A8-4791-A0F3-64EEC2022E7C}"/>
    <cellStyle name="Normal 2 5 2 2 4" xfId="27604" xr:uid="{93724F84-C18D-405F-BF18-2923588AFF01}"/>
    <cellStyle name="Normal 2 5 2 2 4 2" xfId="27605" xr:uid="{122E461B-2CE9-4FD4-B126-18F54B4CC172}"/>
    <cellStyle name="Normal 2 5 2 2 5" xfId="27606" xr:uid="{1124103B-021E-41B7-8CF6-7A4574E2D5F1}"/>
    <cellStyle name="Normal 2 5 2 3" xfId="27607" xr:uid="{F3D33DD5-C339-4990-A4ED-B673439A4DCF}"/>
    <cellStyle name="Normal 2 5 2 3 2" xfId="27608" xr:uid="{55704278-D9E3-489B-B0C5-6B5E4B9B1D5F}"/>
    <cellStyle name="Normal 2 5 2 3 2 2" xfId="27609" xr:uid="{176344F3-1499-4E95-A083-91B702C22130}"/>
    <cellStyle name="Normal 2 5 2 3 3" xfId="27610" xr:uid="{A1CD2B60-48DC-4307-ADCA-EFC3AA737E38}"/>
    <cellStyle name="Normal 2 5 2 4" xfId="27611" xr:uid="{FF82E5A4-7964-4E0F-9F6D-8E9E11568B99}"/>
    <cellStyle name="Normal 2 5 2 4 2" xfId="27612" xr:uid="{27812724-A62A-4BAA-9AFE-1AF4B1DCBD51}"/>
    <cellStyle name="Normal 2 5 2 4 2 2" xfId="27613" xr:uid="{5AA9A51C-9BEF-4D8C-B7CB-655895820C0F}"/>
    <cellStyle name="Normal 2 5 2 4 3" xfId="27614" xr:uid="{ACF483FD-F353-4032-92D1-E24DE6CABFFE}"/>
    <cellStyle name="Normal 2 5 2 5" xfId="27615" xr:uid="{81F23E99-CD78-4176-A2A8-36A6E8F702D3}"/>
    <cellStyle name="Normal 2 5 2 5 2" xfId="27616" xr:uid="{838E5565-8A4D-4707-B347-CEDB1C35CE49}"/>
    <cellStyle name="Normal 2 5 2 6" xfId="27617" xr:uid="{B66CCDFB-B114-4E7A-B857-BF6DB49F5C83}"/>
    <cellStyle name="Normal 2 5 3" xfId="27618" xr:uid="{425871AD-6854-4A62-A41D-46EBC256EC81}"/>
    <cellStyle name="Normal 2 5 3 2" xfId="27619" xr:uid="{C660FAE6-968A-49C0-AC58-7292D7BE5334}"/>
    <cellStyle name="Normal 2 5 3 2 2" xfId="27620" xr:uid="{1EC2A049-8718-4BC1-8E4F-0CB0FAFAEDD0}"/>
    <cellStyle name="Normal 2 5 3 2 2 2" xfId="27621" xr:uid="{C7D556A6-9C01-4F7E-BEF7-E30C323643E1}"/>
    <cellStyle name="Normal 2 5 3 2 2 2 2" xfId="27622" xr:uid="{72F4A27E-2093-41D3-BB33-E099901FDBF4}"/>
    <cellStyle name="Normal 2 5 3 2 2 3" xfId="27623" xr:uid="{60462AF5-097B-458D-95E2-38CB922B37AC}"/>
    <cellStyle name="Normal 2 5 3 2 3" xfId="27624" xr:uid="{74DB3D67-0D12-497F-9269-67BB6DCCE12E}"/>
    <cellStyle name="Normal 2 5 3 2 3 2" xfId="27625" xr:uid="{0BDD01C7-DB72-4D7D-BF1D-E3272ACD09D9}"/>
    <cellStyle name="Normal 2 5 3 2 3 2 2" xfId="27626" xr:uid="{7D072583-6461-4605-8E42-86FE3E9AB9CA}"/>
    <cellStyle name="Normal 2 5 3 2 3 3" xfId="27627" xr:uid="{DB8FA9C2-30A1-45C6-93CC-5B3CC31241B2}"/>
    <cellStyle name="Normal 2 5 3 2 4" xfId="27628" xr:uid="{D2A1C189-5550-4FDD-9215-E5AC8AC585FD}"/>
    <cellStyle name="Normal 2 5 3 2 4 2" xfId="27629" xr:uid="{183EAAFC-2605-49DF-A6EF-7B8D831CE759}"/>
    <cellStyle name="Normal 2 5 3 2 5" xfId="27630" xr:uid="{0916F13D-4481-472C-9313-534CDAEAA0C1}"/>
    <cellStyle name="Normal 2 5 3 3" xfId="27631" xr:uid="{F711D6EF-F10E-4072-8944-F0A651E9DC83}"/>
    <cellStyle name="Normal 2 5 3 3 2" xfId="27632" xr:uid="{E8916BC2-C428-4C53-8ED9-E0A20882261E}"/>
    <cellStyle name="Normal 2 5 3 3 2 2" xfId="27633" xr:uid="{E76B21ED-1D15-4DBC-9D95-FBC2350CC2FD}"/>
    <cellStyle name="Normal 2 5 3 3 3" xfId="27634" xr:uid="{A5F81792-99CB-4451-B8B3-629A1D12DBB5}"/>
    <cellStyle name="Normal 2 5 3 4" xfId="27635" xr:uid="{C20C6DF9-8599-4AE8-834F-F2A6B1F404FC}"/>
    <cellStyle name="Normal 2 5 3 4 2" xfId="27636" xr:uid="{1023779A-2BF1-4223-8842-B714A414D30D}"/>
    <cellStyle name="Normal 2 5 3 4 2 2" xfId="27637" xr:uid="{0C634C9A-89ED-4EFC-B4AB-CAECA5CF1F72}"/>
    <cellStyle name="Normal 2 5 3 4 3" xfId="27638" xr:uid="{E077E6B2-CBE1-4A55-8A6F-2C3FB79F06E3}"/>
    <cellStyle name="Normal 2 5 3 5" xfId="27639" xr:uid="{3D66B7AC-9C1D-4261-960D-F307C0967131}"/>
    <cellStyle name="Normal 2 5 3 5 2" xfId="27640" xr:uid="{E9B8B6C2-948A-4814-B015-9ACCD504CC1C}"/>
    <cellStyle name="Normal 2 5 3 6" xfId="27641" xr:uid="{CFB3CE6E-971A-4D26-A038-0CA34E680C8D}"/>
    <cellStyle name="Normal 2 5 4" xfId="27642" xr:uid="{5B662526-8393-4FA7-98B7-C7513AF8793B}"/>
    <cellStyle name="Normal 2 5 4 2" xfId="27643" xr:uid="{6C600899-88B8-48D8-BB92-49173606A4BB}"/>
    <cellStyle name="Normal 2 5 4 2 2" xfId="27644" xr:uid="{5157EB98-E27E-4EF5-982B-90A2B6D9A395}"/>
    <cellStyle name="Normal 2 5 4 2 2 2" xfId="27645" xr:uid="{0DEE4916-9805-4647-8008-D0EBDCCEEED8}"/>
    <cellStyle name="Normal 2 5 4 2 2 2 2" xfId="27646" xr:uid="{FEA567A0-0A90-4B3C-9D3D-56F5CD95EC34}"/>
    <cellStyle name="Normal 2 5 4 2 2 3" xfId="27647" xr:uid="{BD7EB403-7DA6-43FD-8E83-653DF66EAF77}"/>
    <cellStyle name="Normal 2 5 4 2 3" xfId="27648" xr:uid="{E137F4AA-C699-4B1B-B58F-D030BA4B6D8D}"/>
    <cellStyle name="Normal 2 5 4 2 3 2" xfId="27649" xr:uid="{8C2A8D59-EFB2-430B-92DA-A56E43AD8501}"/>
    <cellStyle name="Normal 2 5 4 2 3 2 2" xfId="27650" xr:uid="{5BCFF4ED-B51B-4A3B-A69D-F8AD7E2245E8}"/>
    <cellStyle name="Normal 2 5 4 2 3 3" xfId="27651" xr:uid="{F1BB217A-8A13-47D2-B437-B8E66823E89D}"/>
    <cellStyle name="Normal 2 5 4 2 4" xfId="27652" xr:uid="{5D39F853-B3E2-4EC7-B132-4423EB62874E}"/>
    <cellStyle name="Normal 2 5 4 2 4 2" xfId="27653" xr:uid="{894B2615-75DC-4169-BC4F-E261FF380A88}"/>
    <cellStyle name="Normal 2 5 4 2 5" xfId="27654" xr:uid="{08EB449D-C31D-4A8E-91C5-C7A22C3CFB79}"/>
    <cellStyle name="Normal 2 5 4 3" xfId="27655" xr:uid="{D1DFDA63-0090-40E6-8002-37FE92AD57B5}"/>
    <cellStyle name="Normal 2 5 4 3 2" xfId="27656" xr:uid="{8C3AAED9-81C3-4D98-85B9-6C3D451B9AA7}"/>
    <cellStyle name="Normal 2 5 4 3 2 2" xfId="27657" xr:uid="{E430F4CE-B0A3-4335-B6AA-1DF0EFE57998}"/>
    <cellStyle name="Normal 2 5 4 3 3" xfId="27658" xr:uid="{81FF9AF8-5073-40D3-BE28-28081E983B8C}"/>
    <cellStyle name="Normal 2 5 4 4" xfId="27659" xr:uid="{57123C7E-ACB5-456C-B0CA-D7EBCF312356}"/>
    <cellStyle name="Normal 2 5 4 4 2" xfId="27660" xr:uid="{45803179-E26F-4635-95C8-81F2F40B60C7}"/>
    <cellStyle name="Normal 2 5 4 4 2 2" xfId="27661" xr:uid="{F370DCBC-3746-4642-A871-C8BBE74485CE}"/>
    <cellStyle name="Normal 2 5 4 4 3" xfId="27662" xr:uid="{C4913D24-0B04-4536-9462-694FEC0CE01C}"/>
    <cellStyle name="Normal 2 5 4 5" xfId="27663" xr:uid="{6BE422DA-FBA0-401C-8A0D-F252163CF245}"/>
    <cellStyle name="Normal 2 5 4 5 2" xfId="27664" xr:uid="{F683B42D-6EC8-4D0F-A5E2-BD1BA84D95D7}"/>
    <cellStyle name="Normal 2 5 4 6" xfId="27665" xr:uid="{FEAD8FAF-B780-49B9-A40B-313EC5018114}"/>
    <cellStyle name="Normal 2 5 5" xfId="27666" xr:uid="{522D3CA3-6EFF-4A3A-943E-073919DE998C}"/>
    <cellStyle name="Normal 2 5 5 2" xfId="27667" xr:uid="{BDDD5909-0FAB-47D8-BF9C-FD5640748A4A}"/>
    <cellStyle name="Normal 2 5 5 2 2" xfId="27668" xr:uid="{243FD5F6-74E4-4D9B-A725-CDCF7D6BF9FD}"/>
    <cellStyle name="Normal 2 5 5 2 2 2" xfId="27669" xr:uid="{E8154D92-E1E6-4506-9E41-817A6801E8F2}"/>
    <cellStyle name="Normal 2 5 5 2 2 2 2" xfId="27670" xr:uid="{BC4FA2E6-5DCE-4CA0-AA9E-148B06A370E8}"/>
    <cellStyle name="Normal 2 5 5 2 2 3" xfId="27671" xr:uid="{25FFE4F3-BC57-4132-8D66-590B9274D3DB}"/>
    <cellStyle name="Normal 2 5 5 2 3" xfId="27672" xr:uid="{F0A88C18-9619-494D-80E9-B088117E7B56}"/>
    <cellStyle name="Normal 2 5 5 2 3 2" xfId="27673" xr:uid="{3C2723C6-56FF-4607-8C96-712B411EEAC8}"/>
    <cellStyle name="Normal 2 5 5 2 3 2 2" xfId="27674" xr:uid="{939D178E-EDB1-477F-908D-1CE9E8A8DD3E}"/>
    <cellStyle name="Normal 2 5 5 2 3 3" xfId="27675" xr:uid="{C6A58A6D-A0E9-44CD-A1D3-8CECA5A08CC3}"/>
    <cellStyle name="Normal 2 5 5 2 4" xfId="27676" xr:uid="{97E6AC4A-F267-4EF5-827D-7A12CE17B574}"/>
    <cellStyle name="Normal 2 5 5 2 4 2" xfId="27677" xr:uid="{9674B61C-3013-4015-9B06-589BD0C7C396}"/>
    <cellStyle name="Normal 2 5 5 2 5" xfId="27678" xr:uid="{E9F400E7-F885-4552-A19A-870F945C1D2A}"/>
    <cellStyle name="Normal 2 5 5 3" xfId="27679" xr:uid="{DB5CD002-521C-4727-82CA-D16CB1A52ED8}"/>
    <cellStyle name="Normal 2 5 5 3 2" xfId="27680" xr:uid="{B2E1E829-94ED-4504-92FC-B0D5E3B027F7}"/>
    <cellStyle name="Normal 2 5 5 3 2 2" xfId="27681" xr:uid="{890DFC51-4B43-46E4-B7DC-F0A4042C9474}"/>
    <cellStyle name="Normal 2 5 5 3 3" xfId="27682" xr:uid="{1252FD06-6397-4FF2-9B1A-B0FB72B95619}"/>
    <cellStyle name="Normal 2 5 5 4" xfId="27683" xr:uid="{BAFDFCA1-9D48-469A-AC99-9902029BC387}"/>
    <cellStyle name="Normal 2 5 5 4 2" xfId="27684" xr:uid="{24082859-7D21-4DC3-9311-5728602E05DD}"/>
    <cellStyle name="Normal 2 5 5 4 2 2" xfId="27685" xr:uid="{3C68E608-B97B-427E-9A0A-D1954285FC0C}"/>
    <cellStyle name="Normal 2 5 5 4 3" xfId="27686" xr:uid="{AD467A17-170F-485C-A5A4-C8E5470789DC}"/>
    <cellStyle name="Normal 2 5 5 5" xfId="27687" xr:uid="{1C98766E-3EDA-4809-A8C1-79815583A856}"/>
    <cellStyle name="Normal 2 5 5 5 2" xfId="27688" xr:uid="{D39FAD95-D405-476E-846F-A42EB1951E9C}"/>
    <cellStyle name="Normal 2 5 5 6" xfId="27689" xr:uid="{A53B6AB8-E033-42EE-BBBC-21B7E3D24488}"/>
    <cellStyle name="Normal 2 5 6" xfId="27690" xr:uid="{23A2D549-9CB5-427C-BD48-AE4E27EE21CC}"/>
    <cellStyle name="Normal 2 5 6 2" xfId="27691" xr:uid="{E1946926-2562-40BD-9E97-2E1EE893CA64}"/>
    <cellStyle name="Normal 2 5 6 2 2" xfId="27692" xr:uid="{BFD4FA08-29B5-456F-9796-2CB71E004743}"/>
    <cellStyle name="Normal 2 5 6 2 2 2" xfId="27693" xr:uid="{02497A05-DADF-4930-BF1E-6C7CEC02E0A1}"/>
    <cellStyle name="Normal 2 5 6 2 2 2 2" xfId="27694" xr:uid="{43643DCE-DE8E-4CE0-9A98-80085839199B}"/>
    <cellStyle name="Normal 2 5 6 2 2 3" xfId="27695" xr:uid="{4FB5631B-FE30-48D1-AF67-D1ADD832D2C0}"/>
    <cellStyle name="Normal 2 5 6 2 3" xfId="27696" xr:uid="{ABBBCF66-0AE4-406E-8B4F-F2C3B168A5C7}"/>
    <cellStyle name="Normal 2 5 6 2 3 2" xfId="27697" xr:uid="{FF193212-9A10-4D39-96EF-9A3E17F0C3BF}"/>
    <cellStyle name="Normal 2 5 6 2 3 2 2" xfId="27698" xr:uid="{0ACF7944-ECDB-4B84-AC75-8928E13F5387}"/>
    <cellStyle name="Normal 2 5 6 2 3 3" xfId="27699" xr:uid="{29E46930-1C33-4B67-9FDD-CFAE9AFA8CE3}"/>
    <cellStyle name="Normal 2 5 6 2 4" xfId="27700" xr:uid="{0C8CFAA8-B311-451B-A7B4-D3763A058ECD}"/>
    <cellStyle name="Normal 2 5 6 2 4 2" xfId="27701" xr:uid="{3804629C-20D8-4697-92C8-BE4353AD1118}"/>
    <cellStyle name="Normal 2 5 6 2 5" xfId="27702" xr:uid="{8D7786E2-B3D5-4170-B76E-089CCB53A6D3}"/>
    <cellStyle name="Normal 2 5 6 3" xfId="27703" xr:uid="{285EDFA6-2AC7-435A-9EFD-A6068F07170B}"/>
    <cellStyle name="Normal 2 5 6 3 2" xfId="27704" xr:uid="{927DF077-37E1-473B-927B-AF8FDD39E319}"/>
    <cellStyle name="Normal 2 5 6 3 2 2" xfId="27705" xr:uid="{54AB26DD-28C8-4C21-ADA8-62E50F6D85BE}"/>
    <cellStyle name="Normal 2 5 6 3 3" xfId="27706" xr:uid="{8EF4A2D3-AF4A-4FB9-8800-2097904D965D}"/>
    <cellStyle name="Normal 2 5 6 4" xfId="27707" xr:uid="{BF75977A-9E48-477F-9912-84709CE69458}"/>
    <cellStyle name="Normal 2 5 6 4 2" xfId="27708" xr:uid="{C8BB3842-032B-4F3E-9C79-B3A721794662}"/>
    <cellStyle name="Normal 2 5 6 4 2 2" xfId="27709" xr:uid="{162163C7-403D-4BC0-9712-7F21B09EAE93}"/>
    <cellStyle name="Normal 2 5 6 4 3" xfId="27710" xr:uid="{94B1AF70-B6E6-4FB4-9E6B-6565968CCE1B}"/>
    <cellStyle name="Normal 2 5 6 5" xfId="27711" xr:uid="{AF2FCD25-2660-442E-8C6F-31CE8E05C9A9}"/>
    <cellStyle name="Normal 2 5 6 5 2" xfId="27712" xr:uid="{1041E94C-2007-4358-A838-5AD14C132E50}"/>
    <cellStyle name="Normal 2 5 6 6" xfId="27713" xr:uid="{4B765312-0777-42CE-B9DC-0B65B7408A08}"/>
    <cellStyle name="Normal 2 5 7" xfId="27714" xr:uid="{7160567A-4446-4658-9C23-C93610E30B11}"/>
    <cellStyle name="Normal 2 5 7 2" xfId="27715" xr:uid="{B9E0AE5F-99AD-4F85-9551-ED5C6B04D2ED}"/>
    <cellStyle name="Normal 2 5 7 2 2" xfId="27716" xr:uid="{FD320F45-3416-49E0-8D87-E50FA8DEC7BE}"/>
    <cellStyle name="Normal 2 5 7 2 2 2" xfId="27717" xr:uid="{36E4913B-9B72-4F82-AC3B-30435B090236}"/>
    <cellStyle name="Normal 2 5 7 2 2 2 2" xfId="27718" xr:uid="{CD21D82C-CA6D-47F5-8976-D83920C17431}"/>
    <cellStyle name="Normal 2 5 7 2 2 3" xfId="27719" xr:uid="{A56C2A33-6A74-4E57-ABF3-4D5B3379135B}"/>
    <cellStyle name="Normal 2 5 7 2 3" xfId="27720" xr:uid="{3E025770-AB87-4706-85EF-E767EDFBBAB7}"/>
    <cellStyle name="Normal 2 5 7 2 3 2" xfId="27721" xr:uid="{B85B8A07-3543-44D0-AB88-E48690DE428A}"/>
    <cellStyle name="Normal 2 5 7 2 3 2 2" xfId="27722" xr:uid="{1C9E426D-6B73-4BE2-9FAA-59C1DC1E3E28}"/>
    <cellStyle name="Normal 2 5 7 2 3 3" xfId="27723" xr:uid="{E770FF2F-278F-4106-B5B5-AF55949A8EC5}"/>
    <cellStyle name="Normal 2 5 7 2 4" xfId="27724" xr:uid="{BDE7EF2C-E2EE-46B3-9855-E0F035A81EB1}"/>
    <cellStyle name="Normal 2 5 7 2 4 2" xfId="27725" xr:uid="{4BB88F3D-EF45-4165-9531-3553D30AC146}"/>
    <cellStyle name="Normal 2 5 7 2 5" xfId="27726" xr:uid="{DD146923-E429-4072-BA28-2171F890FC6B}"/>
    <cellStyle name="Normal 2 5 7 3" xfId="27727" xr:uid="{907DBF65-7232-49FE-A2AB-304CD14C7168}"/>
    <cellStyle name="Normal 2 5 7 3 2" xfId="27728" xr:uid="{813022CD-3EDA-44AF-9B2B-C6184A518BE3}"/>
    <cellStyle name="Normal 2 5 7 3 2 2" xfId="27729" xr:uid="{4F97BED1-A6D7-48A9-A866-07230C38D84F}"/>
    <cellStyle name="Normal 2 5 7 3 3" xfId="27730" xr:uid="{44BC9680-33E3-4DAE-8B97-BD78335C7599}"/>
    <cellStyle name="Normal 2 5 7 4" xfId="27731" xr:uid="{07AC9BCC-BE1D-4D03-9990-DBC851AB918C}"/>
    <cellStyle name="Normal 2 5 7 4 2" xfId="27732" xr:uid="{6AEFB0F4-7C4F-44AC-931F-DB51D59F0869}"/>
    <cellStyle name="Normal 2 5 7 4 2 2" xfId="27733" xr:uid="{00348292-B1D9-4701-B90C-537EF3C98257}"/>
    <cellStyle name="Normal 2 5 7 4 3" xfId="27734" xr:uid="{007025EB-1F23-48C4-B0C4-A0A573856C1F}"/>
    <cellStyle name="Normal 2 5 7 5" xfId="27735" xr:uid="{315D470B-2253-436A-B109-5F47489FB0BC}"/>
    <cellStyle name="Normal 2 5 7 5 2" xfId="27736" xr:uid="{ABCF5C65-AAAA-4204-872F-038FE0DE746C}"/>
    <cellStyle name="Normal 2 5 7 6" xfId="27737" xr:uid="{1D8DBBAE-619C-4BB6-A64D-7122076F6FE9}"/>
    <cellStyle name="Normal 2 5 8" xfId="27738" xr:uid="{27958AA7-6ED3-4342-9D67-942158CA3734}"/>
    <cellStyle name="Normal 2 5 8 2" xfId="27739" xr:uid="{6DB9DC37-DCB0-4AE7-8E08-A93352383F35}"/>
    <cellStyle name="Normal 2 5 8 2 2" xfId="27740" xr:uid="{152CC142-979C-4FD4-AC4D-ACEABBED6B46}"/>
    <cellStyle name="Normal 2 5 8 2 2 2" xfId="27741" xr:uid="{9D937CF5-DCA6-43C3-972B-F4A72AEAA700}"/>
    <cellStyle name="Normal 2 5 8 2 2 2 2" xfId="27742" xr:uid="{78F688BB-2E9C-421F-91C2-FE19BFF74FCC}"/>
    <cellStyle name="Normal 2 5 8 2 2 3" xfId="27743" xr:uid="{0A259F0A-B587-4AB2-AA83-09829D5D5C1A}"/>
    <cellStyle name="Normal 2 5 8 2 3" xfId="27744" xr:uid="{FAB8C843-0E75-4FF6-B209-5C2FBB2864A3}"/>
    <cellStyle name="Normal 2 5 8 2 3 2" xfId="27745" xr:uid="{B8519FB2-B50A-4C60-939A-5B88C790572B}"/>
    <cellStyle name="Normal 2 5 8 2 3 2 2" xfId="27746" xr:uid="{80429739-23BD-43EC-BAF5-64D25ACEAA3A}"/>
    <cellStyle name="Normal 2 5 8 2 3 3" xfId="27747" xr:uid="{B04A87D2-B3D7-4A3E-841A-65B68E55257C}"/>
    <cellStyle name="Normal 2 5 8 2 4" xfId="27748" xr:uid="{63953B69-ECD1-4CA1-8BDA-F4BEEB8240A5}"/>
    <cellStyle name="Normal 2 5 8 2 4 2" xfId="27749" xr:uid="{4A6D13A1-6B6B-4D1A-BE82-CA02C3DD0FA1}"/>
    <cellStyle name="Normal 2 5 8 2 5" xfId="27750" xr:uid="{0B71D763-8E74-40EC-B289-B46C4113436A}"/>
    <cellStyle name="Normal 2 5 8 3" xfId="27751" xr:uid="{F949F58A-7053-4E45-9B26-9A3709916CBC}"/>
    <cellStyle name="Normal 2 5 8 3 2" xfId="27752" xr:uid="{97E43DCF-D611-467F-A0CC-BEF1F5A22E71}"/>
    <cellStyle name="Normal 2 5 8 3 2 2" xfId="27753" xr:uid="{0D1F443E-E754-4BFB-9B78-4C65EB1827B8}"/>
    <cellStyle name="Normal 2 5 8 3 3" xfId="27754" xr:uid="{12FB75BE-075C-4262-AB9E-6A22B012560C}"/>
    <cellStyle name="Normal 2 5 8 4" xfId="27755" xr:uid="{4F0BDD53-5CA2-4623-9F1C-690C0D2ADA12}"/>
    <cellStyle name="Normal 2 5 8 4 2" xfId="27756" xr:uid="{B36BE48E-FF08-428E-9142-B75A4DE42A88}"/>
    <cellStyle name="Normal 2 5 8 4 2 2" xfId="27757" xr:uid="{DCD3E820-62F9-410E-9D3C-0A08F2994268}"/>
    <cellStyle name="Normal 2 5 8 4 3" xfId="27758" xr:uid="{F39578D4-F6F6-4E81-8FD1-A5322E3497A2}"/>
    <cellStyle name="Normal 2 5 8 5" xfId="27759" xr:uid="{703598C1-333A-444F-BBCB-83CBFF5104B3}"/>
    <cellStyle name="Normal 2 5 8 5 2" xfId="27760" xr:uid="{5D40D9F3-4B9B-4519-B417-29155419BE76}"/>
    <cellStyle name="Normal 2 5 8 6" xfId="27761" xr:uid="{F99CCF10-81F4-43A4-A6F1-43EB9014CCBF}"/>
    <cellStyle name="Normal 2 5 9" xfId="27762" xr:uid="{6AC1885E-54DB-4DDE-8783-21E5BE465E44}"/>
    <cellStyle name="Normal 2 5 9 2" xfId="27763" xr:uid="{B3D1447C-423A-4DBF-8421-66F0CCC7A9DD}"/>
    <cellStyle name="Normal 2 5 9 2 2" xfId="27764" xr:uid="{5DE7D37F-BD57-4A4F-8E9D-3A78B04E9E8F}"/>
    <cellStyle name="Normal 2 5 9 2 2 2" xfId="27765" xr:uid="{37D83A80-4FDA-4B57-8234-B7998429FF71}"/>
    <cellStyle name="Normal 2 5 9 2 2 2 2" xfId="27766" xr:uid="{C204D00D-63F3-4257-944A-8C3818D52556}"/>
    <cellStyle name="Normal 2 5 9 2 2 3" xfId="27767" xr:uid="{2E0A63CE-0042-47C7-AFE2-900F1C044361}"/>
    <cellStyle name="Normal 2 5 9 2 3" xfId="27768" xr:uid="{A5FE165B-D3AE-4967-ABB9-2D5E8554EA94}"/>
    <cellStyle name="Normal 2 5 9 2 3 2" xfId="27769" xr:uid="{0882F606-3255-4A45-92B0-4525106B71FC}"/>
    <cellStyle name="Normal 2 5 9 2 3 2 2" xfId="27770" xr:uid="{667C96C8-9FFC-4780-A871-390E763882E0}"/>
    <cellStyle name="Normal 2 5 9 2 3 3" xfId="27771" xr:uid="{BABF2490-5BA5-4115-B6A3-646396EDDAF2}"/>
    <cellStyle name="Normal 2 5 9 2 4" xfId="27772" xr:uid="{E10EC50B-7F6E-4C28-A8BF-BD4220BA2BA2}"/>
    <cellStyle name="Normal 2 5 9 2 4 2" xfId="27773" xr:uid="{82DFA7FD-5421-45FE-BC2C-AF93F73C47A7}"/>
    <cellStyle name="Normal 2 5 9 2 5" xfId="27774" xr:uid="{4705AB50-4D22-48FA-8BEA-3225A88E27AD}"/>
    <cellStyle name="Normal 2 5 9 3" xfId="27775" xr:uid="{1ECD569E-A2F2-42C4-B4B1-B56671B44469}"/>
    <cellStyle name="Normal 2 5 9 3 2" xfId="27776" xr:uid="{E14D637C-EE0B-445F-B26E-92E89FC16A86}"/>
    <cellStyle name="Normal 2 5 9 3 2 2" xfId="27777" xr:uid="{10B4861A-04F6-43C5-8670-F7949D970D40}"/>
    <cellStyle name="Normal 2 5 9 3 3" xfId="27778" xr:uid="{06B05960-690B-488F-AB71-F89D1F7C64A2}"/>
    <cellStyle name="Normal 2 5 9 4" xfId="27779" xr:uid="{D762111C-26CF-4367-AAE9-0CBEF908BC74}"/>
    <cellStyle name="Normal 2 5 9 4 2" xfId="27780" xr:uid="{7ABB1C31-867E-40EB-8131-96E128CC282A}"/>
    <cellStyle name="Normal 2 5 9 4 2 2" xfId="27781" xr:uid="{278E0041-3949-4821-9D85-2271FFB1E83D}"/>
    <cellStyle name="Normal 2 5 9 4 3" xfId="27782" xr:uid="{ABD44B17-9EBC-4780-BFCF-71E22AF4BF20}"/>
    <cellStyle name="Normal 2 5 9 5" xfId="27783" xr:uid="{AF44E18B-8598-447B-A365-85B403A0F136}"/>
    <cellStyle name="Normal 2 5 9 5 2" xfId="27784" xr:uid="{02844F40-A825-406C-90BF-6DB7CAEADAB7}"/>
    <cellStyle name="Normal 2 5 9 6" xfId="27785" xr:uid="{AFF41B12-42DD-4864-A50B-3ED47C5DDEB5}"/>
    <cellStyle name="Normal 2 6" xfId="143" xr:uid="{EE085B21-005C-49CA-969A-B1108B68531F}"/>
    <cellStyle name="Normal 2 6 2" xfId="154" xr:uid="{333A519A-5CB1-41AC-A985-A8299EB57594}"/>
    <cellStyle name="Normal 2 6 2 2" xfId="27788" xr:uid="{B21F1683-D912-4D96-A12B-F1997218B33A}"/>
    <cellStyle name="Normal 2 6 2 2 2" xfId="27789" xr:uid="{31C362AB-0B4E-465C-B4E7-ED9522D97CAB}"/>
    <cellStyle name="Normal 2 6 2 2 2 2" xfId="27790" xr:uid="{6E8C118C-BBD6-48D9-AA66-88A535DDE570}"/>
    <cellStyle name="Normal 2 6 2 2 3" xfId="27791" xr:uid="{32B6976F-542D-4598-82EA-BCA765545242}"/>
    <cellStyle name="Normal 2 6 2 3" xfId="27792" xr:uid="{2432BDFF-43AA-48CC-9167-86F6FE3EC686}"/>
    <cellStyle name="Normal 2 6 2 3 2" xfId="27793" xr:uid="{76EDE377-A96F-44C5-B026-9DF9C57900EA}"/>
    <cellStyle name="Normal 2 6 2 3 2 2" xfId="27794" xr:uid="{DC16397B-6AE2-4963-B5F3-BCFB9CF4E786}"/>
    <cellStyle name="Normal 2 6 2 3 3" xfId="27795" xr:uid="{7FC1FA40-596F-423C-8D4B-CDF1E4903A91}"/>
    <cellStyle name="Normal 2 6 2 4" xfId="27796" xr:uid="{DF15AEF5-34EA-4E70-A593-8F67DB4BFAF1}"/>
    <cellStyle name="Normal 2 6 2 4 2" xfId="27797" xr:uid="{B722B4CD-5F2B-43F5-BF8F-87DE38B7CCAE}"/>
    <cellStyle name="Normal 2 6 2 5" xfId="27787" xr:uid="{B0B4D959-C504-41A5-B8EA-E4561E01DB17}"/>
    <cellStyle name="Normal 2 6 3" xfId="27798" xr:uid="{23AFC9CF-8521-42CB-81FD-47F90978E048}"/>
    <cellStyle name="Normal 2 6 3 2" xfId="27799" xr:uid="{D8DFD5DA-65CA-4B8F-8AE5-ED2115E4E541}"/>
    <cellStyle name="Normal 2 6 3 2 2" xfId="27800" xr:uid="{E4CF5779-00C6-4F6B-883E-154A200EB561}"/>
    <cellStyle name="Normal 2 6 4" xfId="27801" xr:uid="{E7242947-FE0D-4F15-A98E-58D4EFD495E6}"/>
    <cellStyle name="Normal 2 6 4 2" xfId="27802" xr:uid="{5195383C-3667-4514-B016-08D7508FE5D0}"/>
    <cellStyle name="Normal 2 6 4 2 2" xfId="27803" xr:uid="{670B790D-DBD3-4B5C-B5F0-432BCF6D4B9C}"/>
    <cellStyle name="Normal 2 6 4 3" xfId="27804" xr:uid="{289D5BEB-097A-4321-887D-95DB4CB0E3FD}"/>
    <cellStyle name="Normal 2 6 5" xfId="27805" xr:uid="{AD5A4829-C2AE-4A1D-BC85-7E046EF49A6C}"/>
    <cellStyle name="Normal 2 6 5 2" xfId="27806" xr:uid="{E0283A2D-689A-44FF-9754-5E54551C9ACE}"/>
    <cellStyle name="Normal 2 6 6" xfId="27807" xr:uid="{F47169AA-FF8F-4EC3-A7BE-8CE6C59D698F}"/>
    <cellStyle name="Normal 2 6 7" xfId="39054" xr:uid="{CD01DD5A-FAE4-4E35-B35C-BF7856703689}"/>
    <cellStyle name="Normal 2 6 8" xfId="27786" xr:uid="{8D4E21AF-684A-42D6-A659-86F9A2F71BA7}"/>
    <cellStyle name="Normal 2 7" xfId="145" xr:uid="{2B536580-9237-4178-AAC4-B70A295657DA}"/>
    <cellStyle name="Normal 2 7 10" xfId="27809" xr:uid="{CA2254C6-F2D8-4C2D-BE27-3901B5F890C0}"/>
    <cellStyle name="Normal 2 7 10 2" xfId="27810" xr:uid="{97FAB960-510D-4AB1-869A-5371DBA301EB}"/>
    <cellStyle name="Normal 2 7 10 2 2" xfId="27811" xr:uid="{DA2CE05E-54B2-4222-A0C5-DE74388EA0C8}"/>
    <cellStyle name="Normal 2 7 10 3" xfId="27812" xr:uid="{D58F6C7B-AEAC-4D3D-B684-6AE56D4DE097}"/>
    <cellStyle name="Normal 2 7 10 3 2" xfId="27813" xr:uid="{F3550D0C-06B8-43BE-BD8D-5AB65D6A15E7}"/>
    <cellStyle name="Normal 2 7 10 4" xfId="27814" xr:uid="{03117FCF-AFBF-43F7-8241-95BCF032D7C8}"/>
    <cellStyle name="Normal 2 7 11" xfId="27815" xr:uid="{EFE7A380-08A0-4D17-9E8E-70ECB627D52D}"/>
    <cellStyle name="Normal 2 7 11 2" xfId="27816" xr:uid="{D338D49C-D1E0-44CD-A83D-119483DC7144}"/>
    <cellStyle name="Normal 2 7 11 2 2" xfId="27817" xr:uid="{0F85C36F-02E0-4D7B-935A-71FA7385E223}"/>
    <cellStyle name="Normal 2 7 11 3" xfId="27818" xr:uid="{1C50C44D-50F6-4706-8CC4-8F2AD4A37C79}"/>
    <cellStyle name="Normal 2 7 11 3 2" xfId="27819" xr:uid="{1E639DFD-236B-4B20-A5D5-A186A3153AF0}"/>
    <cellStyle name="Normal 2 7 11 4" xfId="27820" xr:uid="{864EFD10-5B79-4037-951B-1593D6B62ACD}"/>
    <cellStyle name="Normal 2 7 12" xfId="27821" xr:uid="{EDCC9326-06B3-4F0E-8F6E-E3DC1C07E1CA}"/>
    <cellStyle name="Normal 2 7 12 2" xfId="27822" xr:uid="{04401817-03F1-4C4A-85AA-F401D78A4D59}"/>
    <cellStyle name="Normal 2 7 12 2 2" xfId="27823" xr:uid="{FC50A35D-AE3B-4545-96F1-3B5F1C363D31}"/>
    <cellStyle name="Normal 2 7 12 3" xfId="27824" xr:uid="{C567E52A-C1BB-416A-8E39-7DBC4D1E56F4}"/>
    <cellStyle name="Normal 2 7 12 3 2" xfId="27825" xr:uid="{712136F7-37BB-4FC8-B902-98841C9437F4}"/>
    <cellStyle name="Normal 2 7 12 4" xfId="27826" xr:uid="{20F5289E-B48E-4FC3-9F08-208FA630D755}"/>
    <cellStyle name="Normal 2 7 13" xfId="27827" xr:uid="{158BEAA4-D36B-4691-A972-9C19C05B8360}"/>
    <cellStyle name="Normal 2 7 13 2" xfId="27828" xr:uid="{FD3A5E56-4DD8-4242-BC08-9DAA3C7999EB}"/>
    <cellStyle name="Normal 2 7 13 2 2" xfId="27829" xr:uid="{46E7DF9E-3F39-4958-AAC0-751376ECD9A3}"/>
    <cellStyle name="Normal 2 7 13 3" xfId="27830" xr:uid="{A3DB110B-B497-4001-A972-486FBD6F3C06}"/>
    <cellStyle name="Normal 2 7 13 3 2" xfId="27831" xr:uid="{9C982506-419A-4273-A8E6-C07C93A650E1}"/>
    <cellStyle name="Normal 2 7 13 4" xfId="27832" xr:uid="{170F8553-6853-458F-A55C-6B1DE9AD2AF3}"/>
    <cellStyle name="Normal 2 7 14" xfId="27833" xr:uid="{4636E057-B89C-45FD-A734-7F4AC2ED3031}"/>
    <cellStyle name="Normal 2 7 14 2" xfId="27834" xr:uid="{777100C5-E1F6-4B70-A890-88E6099877AC}"/>
    <cellStyle name="Normal 2 7 14 2 2" xfId="27835" xr:uid="{9CF4275F-1F31-4889-B060-E8F5F678AACE}"/>
    <cellStyle name="Normal 2 7 14 3" xfId="27836" xr:uid="{19DA42A6-0C04-470E-94A4-282E7D46EC39}"/>
    <cellStyle name="Normal 2 7 14 3 2" xfId="27837" xr:uid="{2E2CD7D7-A853-40DE-98DA-90EF41254B26}"/>
    <cellStyle name="Normal 2 7 14 4" xfId="27838" xr:uid="{BFB55A2F-6C13-40E2-B13D-A42B6A0E2500}"/>
    <cellStyle name="Normal 2 7 15" xfId="27839" xr:uid="{C525D0B7-7BD2-4CA9-AEDE-68B3CBC80DAF}"/>
    <cellStyle name="Normal 2 7 15 2" xfId="27840" xr:uid="{E89EFCB9-52FD-4342-8F2D-D07E1084ADF2}"/>
    <cellStyle name="Normal 2 7 15 2 2" xfId="27841" xr:uid="{EF51CD5F-AA60-40B7-8D2F-E7B04D4578F8}"/>
    <cellStyle name="Normal 2 7 15 3" xfId="27842" xr:uid="{2C540415-798E-44AB-9B8C-442DB0A9AA27}"/>
    <cellStyle name="Normal 2 7 15 3 2" xfId="27843" xr:uid="{B350403D-0881-4CAB-840C-8A13E387A55A}"/>
    <cellStyle name="Normal 2 7 15 4" xfId="27844" xr:uid="{96C9F24B-BDBF-4B82-AED1-142A4B35FE8D}"/>
    <cellStyle name="Normal 2 7 16" xfId="27845" xr:uid="{F677B7CE-F4C2-4E05-9D1A-C8399CA3EE6E}"/>
    <cellStyle name="Normal 2 7 16 2" xfId="27846" xr:uid="{EEFCE3C7-45E1-4136-9111-9602731A143F}"/>
    <cellStyle name="Normal 2 7 16 2 2" xfId="27847" xr:uid="{92BAC2ED-C756-4AFE-8A63-EF928E310B1F}"/>
    <cellStyle name="Normal 2 7 16 3" xfId="27848" xr:uid="{C8E5903B-6C2B-4D2C-A921-90F5135835F6}"/>
    <cellStyle name="Normal 2 7 16 3 2" xfId="27849" xr:uid="{F07650C2-3587-4F43-AEC4-48BA4703A885}"/>
    <cellStyle name="Normal 2 7 16 4" xfId="27850" xr:uid="{AD8FCE07-184D-4FC4-8CA7-6F506D39414C}"/>
    <cellStyle name="Normal 2 7 17" xfId="27851" xr:uid="{B9DA85DF-C909-4175-AC71-BB3FC6FAE162}"/>
    <cellStyle name="Normal 2 7 17 2" xfId="27852" xr:uid="{A5E01928-46AF-4B6C-8548-86371DF5B9BC}"/>
    <cellStyle name="Normal 2 7 17 2 2" xfId="27853" xr:uid="{CEF63A03-08FB-45E5-B448-C61BBD158E31}"/>
    <cellStyle name="Normal 2 7 17 3" xfId="27854" xr:uid="{A0470FAC-189C-4121-A50F-7D1806A8B90F}"/>
    <cellStyle name="Normal 2 7 17 3 2" xfId="27855" xr:uid="{6951A94C-7086-4E67-B9EB-083381D4FBC5}"/>
    <cellStyle name="Normal 2 7 17 4" xfId="27856" xr:uid="{9544D230-51A9-4F4F-A5D1-6428C289CCF2}"/>
    <cellStyle name="Normal 2 7 18" xfId="27857" xr:uid="{39F85F0A-0714-4659-9D02-202F3AB07777}"/>
    <cellStyle name="Normal 2 7 18 2" xfId="27858" xr:uid="{30DA35C1-4138-4D5B-B971-106294283138}"/>
    <cellStyle name="Normal 2 7 18 2 2" xfId="27859" xr:uid="{5513D086-36B3-4523-A132-A0F1C3C643AA}"/>
    <cellStyle name="Normal 2 7 18 3" xfId="27860" xr:uid="{89D6703F-B20E-4500-8F59-09C02451D541}"/>
    <cellStyle name="Normal 2 7 19" xfId="27861" xr:uid="{92D7AFDE-E533-4249-85EC-CEF6611D6625}"/>
    <cellStyle name="Normal 2 7 19 2" xfId="27862" xr:uid="{A1DBECF6-C6C7-4BFE-9A44-539588C9D77D}"/>
    <cellStyle name="Normal 2 7 19 2 2" xfId="27863" xr:uid="{E1A21EE4-41DC-4D3C-8ABF-8DE51603DF66}"/>
    <cellStyle name="Normal 2 7 19 3" xfId="27864" xr:uid="{C9C695A5-C727-4590-96A4-667C2D7D6802}"/>
    <cellStyle name="Normal 2 7 2" xfId="155" xr:uid="{DB1EA4C6-93BD-48B0-8492-61F75DDC4E5B}"/>
    <cellStyle name="Normal 2 7 2 2" xfId="27866" xr:uid="{EADCBDC1-A577-41BB-B4E7-DABFCB18DFEF}"/>
    <cellStyle name="Normal 2 7 2 2 2" xfId="27867" xr:uid="{5719CD70-AFEE-40AC-9FE0-2C33123A6179}"/>
    <cellStyle name="Normal 2 7 2 2 2 2" xfId="27868" xr:uid="{1C21971A-B5E0-45D0-9C36-D3F2482A23D3}"/>
    <cellStyle name="Normal 2 7 2 2 2 2 2" xfId="27869" xr:uid="{0238DDB9-F297-475D-8668-5F8D4E81A78D}"/>
    <cellStyle name="Normal 2 7 2 2 2 3" xfId="27870" xr:uid="{1EB38674-6B70-4099-BAB5-D81591D54692}"/>
    <cellStyle name="Normal 2 7 2 2 3" xfId="27871" xr:uid="{CA0FFC5F-4033-4951-BDFE-4395B03B5C24}"/>
    <cellStyle name="Normal 2 7 2 2 3 2" xfId="27872" xr:uid="{A48E7C32-F7A2-4F86-B462-C75FDB480BB3}"/>
    <cellStyle name="Normal 2 7 2 2 3 2 2" xfId="27873" xr:uid="{8429E19F-8BD7-46E7-B28C-5A0012A2459C}"/>
    <cellStyle name="Normal 2 7 2 2 3 3" xfId="27874" xr:uid="{6C4B0C65-6808-47F5-B3C0-1B572E1426CE}"/>
    <cellStyle name="Normal 2 7 2 2 4" xfId="27875" xr:uid="{855012D4-16F2-4854-B9FA-0AFDC9A4D981}"/>
    <cellStyle name="Normal 2 7 2 2 4 2" xfId="27876" xr:uid="{49F21822-3A45-4A86-BFBF-E94AB08797A4}"/>
    <cellStyle name="Normal 2 7 2 2 5" xfId="27877" xr:uid="{C86CD25F-17AE-4965-90D0-765173B3A255}"/>
    <cellStyle name="Normal 2 7 2 3" xfId="27878" xr:uid="{7C8312FB-9171-46E3-95E2-D8022CAC0429}"/>
    <cellStyle name="Normal 2 7 2 3 2" xfId="27879" xr:uid="{E835353B-6753-4FBB-8A23-68D2C608B44B}"/>
    <cellStyle name="Normal 2 7 2 3 2 2" xfId="27880" xr:uid="{0562422D-E029-47AB-AFA6-A76E41D63790}"/>
    <cellStyle name="Normal 2 7 2 3 3" xfId="27881" xr:uid="{6B2C4512-9F60-4377-833D-D7A1940C3990}"/>
    <cellStyle name="Normal 2 7 2 4" xfId="27882" xr:uid="{08985DCD-7CCE-41BD-82CC-7B98BC22DDA4}"/>
    <cellStyle name="Normal 2 7 2 4 2" xfId="27883" xr:uid="{B795F2AB-C6ED-4BA0-B6BE-9B5545919AA4}"/>
    <cellStyle name="Normal 2 7 2 4 2 2" xfId="27884" xr:uid="{48BAA468-CEDE-4DD7-8780-284A8129D1BC}"/>
    <cellStyle name="Normal 2 7 2 4 3" xfId="27885" xr:uid="{87E02D9D-0488-46BE-8A6F-64031E341EA4}"/>
    <cellStyle name="Normal 2 7 2 5" xfId="27886" xr:uid="{65CB36C6-183F-4EEC-A7E8-F12D67D75113}"/>
    <cellStyle name="Normal 2 7 2 5 2" xfId="27887" xr:uid="{2809EB2E-D9DF-45B8-BA1E-3A437864B96D}"/>
    <cellStyle name="Normal 2 7 2 6" xfId="27888" xr:uid="{4CFA6635-45A4-4858-97C5-E45144029C4D}"/>
    <cellStyle name="Normal 2 7 2 7" xfId="27865" xr:uid="{D2215285-D299-40AE-A739-6478AF6F3B28}"/>
    <cellStyle name="Normal 2 7 20" xfId="27889" xr:uid="{7CF6A631-1822-4E39-871B-63E784FD2A4D}"/>
    <cellStyle name="Normal 2 7 20 2" xfId="27890" xr:uid="{EAC1ACA3-0C20-472E-9C08-576795188860}"/>
    <cellStyle name="Normal 2 7 20 2 2" xfId="27891" xr:uid="{CDE31D9C-F58D-4B63-BDE9-2FD599FE7F73}"/>
    <cellStyle name="Normal 2 7 20 3" xfId="27892" xr:uid="{9319D3B2-9299-403C-B3FE-70FE343A49DD}"/>
    <cellStyle name="Normal 2 7 21" xfId="27893" xr:uid="{A4435BC6-04E8-45FE-8372-396FA1CF3303}"/>
    <cellStyle name="Normal 2 7 21 2" xfId="27894" xr:uid="{485A64BB-9C2A-4F3A-9E04-813EABF44509}"/>
    <cellStyle name="Normal 2 7 21 2 2" xfId="27895" xr:uid="{E05A933F-D0E4-4C79-9634-9E7828EF9C60}"/>
    <cellStyle name="Normal 2 7 21 3" xfId="27896" xr:uid="{BE2639E5-9D25-4304-B3FD-C1CB1C030E66}"/>
    <cellStyle name="Normal 2 7 22" xfId="27897" xr:uid="{553911C2-6E53-4B28-8F66-CADBDE9965FF}"/>
    <cellStyle name="Normal 2 7 22 2" xfId="27898" xr:uid="{5FFC3F90-3DF2-4C47-B3AB-A4195463CC51}"/>
    <cellStyle name="Normal 2 7 22 2 2" xfId="27899" xr:uid="{994A1BB3-2E6D-4706-B27F-2D1CB0DE0B1E}"/>
    <cellStyle name="Normal 2 7 22 3" xfId="27900" xr:uid="{BF9A6CA5-73FE-436B-A458-FDE6CBC86AC2}"/>
    <cellStyle name="Normal 2 7 23" xfId="27901" xr:uid="{DEDFBC4F-2B5C-41D9-BB7A-DEA9A858A386}"/>
    <cellStyle name="Normal 2 7 23 2" xfId="27902" xr:uid="{5BE9EF8F-2FAF-4126-8AE8-2B612A48449C}"/>
    <cellStyle name="Normal 2 7 24" xfId="27903" xr:uid="{7FBC901E-A80E-4104-80A4-BC38F16A6113}"/>
    <cellStyle name="Normal 2 7 24 2" xfId="27904" xr:uid="{BD7A7515-5B8B-4C9B-B2D0-D340262F8568}"/>
    <cellStyle name="Normal 2 7 25" xfId="27905" xr:uid="{8A36AF96-8141-4AF5-AB70-1F63F39EDC59}"/>
    <cellStyle name="Normal 2 7 26" xfId="39055" xr:uid="{4DA2B13B-27A1-4F7C-8392-EB8D5319CCC7}"/>
    <cellStyle name="Normal 2 7 27" xfId="27808" xr:uid="{C7E352F0-8B6A-4291-A087-148C7D539AA9}"/>
    <cellStyle name="Normal 2 7 3" xfId="148" xr:uid="{984963E4-543D-4150-82D1-F5C337296D42}"/>
    <cellStyle name="Normal 2 7 3 2" xfId="27907" xr:uid="{4EFDDF30-D6F0-4AFF-B0AC-D1ABFB099761}"/>
    <cellStyle name="Normal 2 7 3 2 2" xfId="27908" xr:uid="{6E1804E2-9C0D-478E-8F85-96DE809F9A57}"/>
    <cellStyle name="Normal 2 7 3 3" xfId="27909" xr:uid="{1D5E9C2D-40FF-4E63-9827-6BC6EDBB9AEC}"/>
    <cellStyle name="Normal 2 7 3 4" xfId="27906" xr:uid="{2FB69A9D-9FD5-4C7E-95B1-67EA90CE0006}"/>
    <cellStyle name="Normal 2 7 4" xfId="27910" xr:uid="{2D6F36B5-4E3F-4E6B-830F-29EE45E98AE7}"/>
    <cellStyle name="Normal 2 7 4 2" xfId="27911" xr:uid="{B947225C-70A1-4D7E-9328-F6143EA7BE13}"/>
    <cellStyle name="Normal 2 7 4 2 2" xfId="27912" xr:uid="{A5DED421-2C5C-4625-8706-C34E592C4995}"/>
    <cellStyle name="Normal 2 7 4 3" xfId="27913" xr:uid="{BFF53BA0-771A-40A7-954B-05855DC07039}"/>
    <cellStyle name="Normal 2 7 4 3 2" xfId="27914" xr:uid="{957CB451-2A6A-43DA-A0BF-6B25E47CEE3F}"/>
    <cellStyle name="Normal 2 7 4 4" xfId="27915" xr:uid="{E7A33899-D6BD-4E6B-92E9-6AF4DC522BFF}"/>
    <cellStyle name="Normal 2 7 5" xfId="27916" xr:uid="{DE209CE5-F0F0-4AF2-981F-AF4341D195B3}"/>
    <cellStyle name="Normal 2 7 5 2" xfId="27917" xr:uid="{8357DA0C-7F56-4C00-9D36-4774BAA78C93}"/>
    <cellStyle name="Normal 2 7 5 2 2" xfId="27918" xr:uid="{B20ED59B-4D9F-40B8-8750-52AC84D294EC}"/>
    <cellStyle name="Normal 2 7 5 3" xfId="27919" xr:uid="{142D8300-F992-4702-9B20-951996A35B32}"/>
    <cellStyle name="Normal 2 7 5 3 2" xfId="27920" xr:uid="{FDF1EFD9-1A48-4000-90D9-298B67E5659A}"/>
    <cellStyle name="Normal 2 7 5 4" xfId="27921" xr:uid="{EBF59784-B7F7-4A9A-B3DE-14B6EBFE56E6}"/>
    <cellStyle name="Normal 2 7 6" xfId="27922" xr:uid="{2AE1C9A4-B79D-4ADD-B15D-017277F96046}"/>
    <cellStyle name="Normal 2 7 6 2" xfId="27923" xr:uid="{8604CD5E-C6DF-47B6-BC18-7D52135D2B1C}"/>
    <cellStyle name="Normal 2 7 6 2 2" xfId="27924" xr:uid="{7234FB00-1819-44BF-8A95-2AC0C3B4DCC0}"/>
    <cellStyle name="Normal 2 7 6 3" xfId="27925" xr:uid="{DDFE1EF8-1688-4472-8BF9-01529D77B300}"/>
    <cellStyle name="Normal 2 7 6 3 2" xfId="27926" xr:uid="{2114E0D0-9C01-49B9-92E4-7345EF60D2FB}"/>
    <cellStyle name="Normal 2 7 6 4" xfId="27927" xr:uid="{31FC00D7-A3F0-45D2-A4ED-65BED61B6E54}"/>
    <cellStyle name="Normal 2 7 7" xfId="27928" xr:uid="{661BEBAA-5961-4C45-9774-F2178BD315C1}"/>
    <cellStyle name="Normal 2 7 7 2" xfId="27929" xr:uid="{4E5E8047-1631-476E-83AE-451B8374AAC6}"/>
    <cellStyle name="Normal 2 7 7 2 2" xfId="27930" xr:uid="{354B2542-2B80-4E9E-B9E0-D53598AB2BE4}"/>
    <cellStyle name="Normal 2 7 7 3" xfId="27931" xr:uid="{86F824C5-A199-4FB0-BD4E-C2D4B27649E0}"/>
    <cellStyle name="Normal 2 7 7 3 2" xfId="27932" xr:uid="{E8337541-CA08-4F61-919D-26E39DCBA8BA}"/>
    <cellStyle name="Normal 2 7 7 4" xfId="27933" xr:uid="{3703B9F9-CA31-4F17-A3A8-AA777E04732E}"/>
    <cellStyle name="Normal 2 7 8" xfId="27934" xr:uid="{4AA4C9C1-05DF-4D5D-8269-43D7772F4E2B}"/>
    <cellStyle name="Normal 2 7 8 2" xfId="27935" xr:uid="{DCA35807-E36D-43A9-BE05-2C0A544F863F}"/>
    <cellStyle name="Normal 2 7 8 2 2" xfId="27936" xr:uid="{B5A9437D-8738-440A-8CEE-3000C5273B29}"/>
    <cellStyle name="Normal 2 7 8 3" xfId="27937" xr:uid="{B7D065FB-7927-484E-83D1-334417DF7BE7}"/>
    <cellStyle name="Normal 2 7 8 3 2" xfId="27938" xr:uid="{EC852F35-7E35-498A-993F-5A2DF7768D44}"/>
    <cellStyle name="Normal 2 7 8 4" xfId="27939" xr:uid="{3406D50D-D611-4A5E-8B16-B66AF41D17EF}"/>
    <cellStyle name="Normal 2 7 9" xfId="27940" xr:uid="{A670A9AE-D03C-426A-91D6-2B2132A90083}"/>
    <cellStyle name="Normal 2 7 9 2" xfId="27941" xr:uid="{1D2FED75-7016-477F-9EF6-DB93074E48E1}"/>
    <cellStyle name="Normal 2 7 9 2 2" xfId="27942" xr:uid="{81B32E79-34B0-4801-A5B5-C610CA185AF2}"/>
    <cellStyle name="Normal 2 7 9 3" xfId="27943" xr:uid="{AAA2EBD8-FA95-4142-A30E-2C0B0BCE4067}"/>
    <cellStyle name="Normal 2 7 9 3 2" xfId="27944" xr:uid="{87B84331-7294-4E40-B134-83CD38754362}"/>
    <cellStyle name="Normal 2 7 9 4" xfId="27945" xr:uid="{AE8A79DC-9B60-46BF-A6CC-FC5294E07859}"/>
    <cellStyle name="Normal 2 8" xfId="27946" xr:uid="{AEFA96F8-1941-4061-A379-D0A1BC3D9C6C}"/>
    <cellStyle name="Normal 2 8 2" xfId="27947" xr:uid="{644CA328-5000-47C7-B15F-A84B8ACA4579}"/>
    <cellStyle name="Normal 2 8 2 2" xfId="27948" xr:uid="{6C0DB45A-1149-45E3-92DB-2ADE1EAE4763}"/>
    <cellStyle name="Normal 2 8 2 2 2" xfId="27949" xr:uid="{75C478F8-3325-44E2-8E0A-A1B3B1304F7D}"/>
    <cellStyle name="Normal 2 8 2 2 2 2" xfId="27950" xr:uid="{527AD0D1-86D3-48C3-A94E-72FF1998BD75}"/>
    <cellStyle name="Normal 2 8 2 2 3" xfId="27951" xr:uid="{89E78A6E-A1C4-4F0F-A90B-6032B579D8FB}"/>
    <cellStyle name="Normal 2 8 2 3" xfId="27952" xr:uid="{904F6FD6-01C2-4DBB-A79C-7679577A9B96}"/>
    <cellStyle name="Normal 2 8 2 3 2" xfId="27953" xr:uid="{560EDEC3-6AA3-4F74-A4D3-625B29E2F4DB}"/>
    <cellStyle name="Normal 2 8 2 3 2 2" xfId="27954" xr:uid="{814FB2C8-E560-4D66-BED7-0B9733CFB45F}"/>
    <cellStyle name="Normal 2 8 2 3 3" xfId="27955" xr:uid="{82AC1A39-78B6-421B-A46C-3E2FC15B6D28}"/>
    <cellStyle name="Normal 2 8 2 4" xfId="27956" xr:uid="{92360B2B-CC4E-4B8D-A751-66936E03E6DD}"/>
    <cellStyle name="Normal 2 8 2 4 2" xfId="27957" xr:uid="{2B0B1FBE-C5BA-4C71-AF36-70B870BE67EC}"/>
    <cellStyle name="Normal 2 8 3" xfId="27958" xr:uid="{8F186FD5-1286-4D06-8C0A-7F2AF6D5C37C}"/>
    <cellStyle name="Normal 2 8 3 2" xfId="27959" xr:uid="{1C8E0C78-C732-4C9B-AE62-1D42AA3A8AEE}"/>
    <cellStyle name="Normal 2 8 3 2 2" xfId="27960" xr:uid="{589434E4-1F18-4ED3-969B-0213CC23C441}"/>
    <cellStyle name="Normal 2 8 3 3" xfId="27961" xr:uid="{EF07AE94-6074-4C6B-8DC5-4A934FFEBC8C}"/>
    <cellStyle name="Normal 2 8 4" xfId="27962" xr:uid="{A18C34F0-B50E-4A74-9144-2EF386142739}"/>
    <cellStyle name="Normal 2 8 4 2" xfId="27963" xr:uid="{A3B7D013-CF95-4D06-A019-443A0C4FB98B}"/>
    <cellStyle name="Normal 2 8 4 2 2" xfId="27964" xr:uid="{110CA46A-2A8C-4F1B-9E1B-F94DB89B1CD7}"/>
    <cellStyle name="Normal 2 8 4 3" xfId="27965" xr:uid="{71CC41E8-5C82-4806-A702-446C533FDD8B}"/>
    <cellStyle name="Normal 2 8 5" xfId="27966" xr:uid="{F2C9BF65-6652-4D8A-AD88-B24133490F33}"/>
    <cellStyle name="Normal 2 8 5 2" xfId="27967" xr:uid="{18DA9BB6-4ACE-49A4-B90F-4EDE830ACA0F}"/>
    <cellStyle name="Normal 2 8 6" xfId="39056" xr:uid="{1F11D7B2-4B19-4212-826B-9821CBA94C68}"/>
    <cellStyle name="Normal 2 9" xfId="27968" xr:uid="{1AF16367-974C-4C07-B10E-DB48D2B249CA}"/>
    <cellStyle name="Normal 2 9 2" xfId="27969" xr:uid="{8CB04448-432C-49DC-A942-8FC40E694388}"/>
    <cellStyle name="Normal 2 9 2 2" xfId="27970" xr:uid="{D7075171-21BC-4550-813C-E89A011B292A}"/>
    <cellStyle name="Normal 2 9 2 2 2" xfId="27971" xr:uid="{BD4970D7-A8E3-4EA9-87BC-BBC42838C367}"/>
    <cellStyle name="Normal 2 9 2 2 2 2" xfId="27972" xr:uid="{37DD91A4-491B-4800-91CB-80CA8F91D596}"/>
    <cellStyle name="Normal 2 9 2 2 3" xfId="27973" xr:uid="{589024E1-E97A-44F2-8ECC-CA937797CADA}"/>
    <cellStyle name="Normal 2 9 2 3" xfId="27974" xr:uid="{A14FCC3C-584A-49A0-9B48-F71AC4CC1B8B}"/>
    <cellStyle name="Normal 2 9 2 3 2" xfId="27975" xr:uid="{2F299A94-C16D-402A-A7A4-F8163859E7F9}"/>
    <cellStyle name="Normal 2 9 2 3 2 2" xfId="27976" xr:uid="{5E44EB83-C887-4265-9A0C-CEFC77D22D66}"/>
    <cellStyle name="Normal 2 9 2 3 3" xfId="27977" xr:uid="{1141461F-7962-466D-8D3F-9FB06837061E}"/>
    <cellStyle name="Normal 2 9 2 4" xfId="27978" xr:uid="{68A874E1-B94B-4A3D-8BBD-D4E602517885}"/>
    <cellStyle name="Normal 2 9 2 4 2" xfId="27979" xr:uid="{5B5B67FA-E739-48F3-A5EC-9C6C22AFC47A}"/>
    <cellStyle name="Normal 2 9 3" xfId="27980" xr:uid="{EFAE1DA7-AF77-4CE1-935D-8DC8CC3B2A2B}"/>
    <cellStyle name="Normal 2 9 3 2" xfId="27981" xr:uid="{73E46EB4-7905-45E7-84A9-D5FC2D35D63A}"/>
    <cellStyle name="Normal 2 9 3 2 2" xfId="27982" xr:uid="{600C66F0-7F64-4277-907D-E65FC17D5D36}"/>
    <cellStyle name="Normal 2 9 3 3" xfId="27983" xr:uid="{864C8D83-2813-476A-A0A0-595B1AB9E548}"/>
    <cellStyle name="Normal 2 9 4" xfId="27984" xr:uid="{EDFA42E9-E73E-430F-9C9F-4A5DA8E395E5}"/>
    <cellStyle name="Normal 2 9 4 2" xfId="27985" xr:uid="{F06B99DE-EA80-4A31-B8D1-51C50553AAD4}"/>
    <cellStyle name="Normal 2 9 4 2 2" xfId="27986" xr:uid="{C161D0D7-D11B-4823-941F-1ACB99CDA2A5}"/>
    <cellStyle name="Normal 2 9 4 3" xfId="27987" xr:uid="{8DEDFF30-6A57-4FB0-8ACF-5F449E7A6B95}"/>
    <cellStyle name="Normal 2 9 5" xfId="27988" xr:uid="{167D37A4-DD52-44FE-9DB7-49876176D4E9}"/>
    <cellStyle name="Normal 2 9 5 2" xfId="27989" xr:uid="{ADD4EC1E-DD11-4480-9313-716AEA76D447}"/>
    <cellStyle name="Normal 2 9 6" xfId="39057" xr:uid="{98B5B613-53AF-4D64-8D26-2FDA775E7C88}"/>
    <cellStyle name="Normal 2 9 6 2" xfId="39058" xr:uid="{90C14383-ED3C-49A2-BEBC-BF3E3C4E7BEC}"/>
    <cellStyle name="Normal 2 9 7" xfId="39059" xr:uid="{BC2349A4-E03E-442F-A925-AAF99D65AF96}"/>
    <cellStyle name="Normal 20" xfId="27990" xr:uid="{60F24523-1C6B-412D-AB3D-28269AB2AF02}"/>
    <cellStyle name="Normal 20 10" xfId="27991" xr:uid="{3DFCBAF0-74E9-4EB0-A45A-C1481DC5480F}"/>
    <cellStyle name="Normal 20 10 2" xfId="27992" xr:uid="{6B6819B1-5345-4E40-9BAF-00FA2F75DA10}"/>
    <cellStyle name="Normal 20 10 2 2" xfId="27993" xr:uid="{A050EEA3-AA3D-4E3D-AA11-38BAE05EABDC}"/>
    <cellStyle name="Normal 20 10 3" xfId="27994" xr:uid="{57C12D03-5D6D-41D8-9505-06A5BAD5C499}"/>
    <cellStyle name="Normal 20 10 3 2" xfId="27995" xr:uid="{B0417F0A-31F7-48D2-ABF4-4797E6156A7A}"/>
    <cellStyle name="Normal 20 10 4" xfId="27996" xr:uid="{BD72D43F-BA5B-4B7D-B91A-8D9024866392}"/>
    <cellStyle name="Normal 20 11" xfId="27997" xr:uid="{C11D5600-C07E-4A78-A2FB-B7680FA8B586}"/>
    <cellStyle name="Normal 20 11 2" xfId="27998" xr:uid="{F280137D-5D1C-4BC6-AEBB-BD7ABDAEE4EC}"/>
    <cellStyle name="Normal 20 11 2 2" xfId="27999" xr:uid="{F88B2309-9589-4E25-BFA1-29349B8E2ED0}"/>
    <cellStyle name="Normal 20 11 3" xfId="28000" xr:uid="{DC309B89-F7F4-4C25-8E74-733224513302}"/>
    <cellStyle name="Normal 20 11 3 2" xfId="28001" xr:uid="{B0DA5073-BD02-42BB-83A5-94A44CFF384A}"/>
    <cellStyle name="Normal 20 11 4" xfId="28002" xr:uid="{B166F7EA-2D70-42F1-B7D1-913A2B9C5510}"/>
    <cellStyle name="Normal 20 12" xfId="28003" xr:uid="{42B96134-48C2-4E73-BD0E-58DAF4EC9F27}"/>
    <cellStyle name="Normal 20 12 2" xfId="28004" xr:uid="{F170277F-5658-47C4-9BF2-784977AC7684}"/>
    <cellStyle name="Normal 20 12 2 2" xfId="28005" xr:uid="{6F2338DB-9C02-4E7F-81F7-336F6D18CE50}"/>
    <cellStyle name="Normal 20 12 3" xfId="28006" xr:uid="{8B352560-49A4-4A0B-BD97-9E7D051AF165}"/>
    <cellStyle name="Normal 20 12 3 2" xfId="28007" xr:uid="{598C3AF2-AF1B-413E-8236-2BE6EC2CF6E2}"/>
    <cellStyle name="Normal 20 12 4" xfId="28008" xr:uid="{5E78914C-C5CA-4E8E-8E97-37CB02EC7728}"/>
    <cellStyle name="Normal 20 13" xfId="28009" xr:uid="{683F978C-FA1C-4718-A93B-BE1D23D47D28}"/>
    <cellStyle name="Normal 20 13 2" xfId="28010" xr:uid="{6FDC6F2E-F988-4353-8454-AED1BF1BC894}"/>
    <cellStyle name="Normal 20 13 2 2" xfId="28011" xr:uid="{FD86F3A4-9A2B-47D3-BC7E-636D713F3507}"/>
    <cellStyle name="Normal 20 13 3" xfId="28012" xr:uid="{8FEC66FF-8AC6-4DDF-B2C0-B74C70B438C2}"/>
    <cellStyle name="Normal 20 13 3 2" xfId="28013" xr:uid="{4B701AD1-CF7F-4E60-95CA-07AF1454C5C3}"/>
    <cellStyle name="Normal 20 13 4" xfId="28014" xr:uid="{5EA337DE-D0B7-4370-8899-9E3159AE66DF}"/>
    <cellStyle name="Normal 20 14" xfId="28015" xr:uid="{FFA2387F-55ED-499F-A0DD-6CE948411DFF}"/>
    <cellStyle name="Normal 20 14 2" xfId="28016" xr:uid="{52D86AC7-F635-4280-8690-FD6ECD491B01}"/>
    <cellStyle name="Normal 20 14 2 2" xfId="28017" xr:uid="{3598461A-6492-4231-9978-0C5C65B5E82B}"/>
    <cellStyle name="Normal 20 14 3" xfId="28018" xr:uid="{77A92B3E-C1CA-4616-8400-35E588BA0C7A}"/>
    <cellStyle name="Normal 20 14 3 2" xfId="28019" xr:uid="{5F1E2CB9-9EEB-42B2-B560-BAA4A5578505}"/>
    <cellStyle name="Normal 20 14 4" xfId="28020" xr:uid="{E76130B1-A7AB-42B0-A9B3-0D3D308A75E4}"/>
    <cellStyle name="Normal 20 15" xfId="28021" xr:uid="{57D69389-8BBC-416A-95F4-D269E76799B5}"/>
    <cellStyle name="Normal 20 15 2" xfId="28022" xr:uid="{0586F53E-B5B3-4D05-9788-AB56B10E5D54}"/>
    <cellStyle name="Normal 20 15 2 2" xfId="28023" xr:uid="{AE1F859F-9737-4AE8-A297-376B0EFF65BE}"/>
    <cellStyle name="Normal 20 15 3" xfId="28024" xr:uid="{98224892-97AD-431B-B986-66432871D9BC}"/>
    <cellStyle name="Normal 20 15 3 2" xfId="28025" xr:uid="{95865C1E-EB9E-461C-A0E8-0915B0038D68}"/>
    <cellStyle name="Normal 20 15 4" xfId="28026" xr:uid="{05BF83AC-D665-41E4-A210-706ACB0CB54F}"/>
    <cellStyle name="Normal 20 16" xfId="28027" xr:uid="{4F0E3BE5-B690-45EA-9961-37D04AB13884}"/>
    <cellStyle name="Normal 20 16 2" xfId="28028" xr:uid="{83435510-EC44-4D4E-B1F5-7230C7853910}"/>
    <cellStyle name="Normal 20 16 2 2" xfId="28029" xr:uid="{BB7682C9-77EF-438A-ACAE-48170952D2D9}"/>
    <cellStyle name="Normal 20 16 3" xfId="28030" xr:uid="{1840BB90-702F-402F-824A-213F4178C0AE}"/>
    <cellStyle name="Normal 20 16 3 2" xfId="28031" xr:uid="{41CE75FD-0529-4DDA-AD06-216498CF3FBC}"/>
    <cellStyle name="Normal 20 16 4" xfId="28032" xr:uid="{73FE120E-905F-4D82-9984-F46F3D003880}"/>
    <cellStyle name="Normal 20 17" xfId="28033" xr:uid="{6C8ED6E1-832C-4B94-BED7-5AFAE337FD7B}"/>
    <cellStyle name="Normal 20 17 2" xfId="28034" xr:uid="{77ABE33C-B805-4804-9730-724E57305A2B}"/>
    <cellStyle name="Normal 20 17 2 2" xfId="28035" xr:uid="{91C2F972-01E2-4A17-91A8-49BFEF1C30FE}"/>
    <cellStyle name="Normal 20 17 3" xfId="28036" xr:uid="{DBE9B808-68DF-42DF-8789-749DDDE56715}"/>
    <cellStyle name="Normal 20 17 3 2" xfId="28037" xr:uid="{445F8685-E6FF-4FC2-8DB9-15410DE587C2}"/>
    <cellStyle name="Normal 20 17 4" xfId="28038" xr:uid="{3BBFFBAD-111E-459C-989C-20C97A71D50B}"/>
    <cellStyle name="Normal 20 18" xfId="28039" xr:uid="{158A81D1-4352-4505-B1DB-17F34C767846}"/>
    <cellStyle name="Normal 20 18 2" xfId="28040" xr:uid="{8A3C69B7-DC40-4B56-A23A-E2D82511C40D}"/>
    <cellStyle name="Normal 20 18 2 2" xfId="28041" xr:uid="{426ED102-1CA9-4800-8872-C46E7BE86347}"/>
    <cellStyle name="Normal 20 18 3" xfId="28042" xr:uid="{FDAB638E-8435-43FB-8C24-62666564B6D5}"/>
    <cellStyle name="Normal 20 18 3 2" xfId="28043" xr:uid="{782918FE-2F54-45E9-A324-0AE311FD70FC}"/>
    <cellStyle name="Normal 20 18 4" xfId="28044" xr:uid="{EF4B1B8E-59BD-4BB3-89B6-573834B9F2AA}"/>
    <cellStyle name="Normal 20 19" xfId="28045" xr:uid="{46F6DED0-6955-45E7-8AD6-B669DC21E812}"/>
    <cellStyle name="Normal 20 19 2" xfId="28046" xr:uid="{382638AD-28D8-44B0-AE10-25E7241FB05D}"/>
    <cellStyle name="Normal 20 19 2 2" xfId="28047" xr:uid="{723D98DC-DE07-42C4-8326-AC9E6B018903}"/>
    <cellStyle name="Normal 20 19 3" xfId="28048" xr:uid="{9FB34EBF-2155-4BF3-A92D-67F504BB3065}"/>
    <cellStyle name="Normal 20 19 3 2" xfId="28049" xr:uid="{A1DB7E1F-7D5E-4492-860D-CC1BD86528FB}"/>
    <cellStyle name="Normal 20 19 4" xfId="28050" xr:uid="{C4BA601B-53D2-47BD-BBBC-B7C5BBE22A9C}"/>
    <cellStyle name="Normal 20 2" xfId="28051" xr:uid="{13B1209B-08C1-4BFF-A2C3-6C7243E0B317}"/>
    <cellStyle name="Normal 20 2 2" xfId="28052" xr:uid="{7E70C23C-4F5E-4759-B0DA-9A66845D4F7C}"/>
    <cellStyle name="Normal 20 2 2 2" xfId="28053" xr:uid="{BEC08BFD-F843-40BF-B27D-6B90EBF94EF5}"/>
    <cellStyle name="Normal 20 2 2 2 2" xfId="28054" xr:uid="{66070CE9-4B83-4C1E-A76F-79928FABBA40}"/>
    <cellStyle name="Normal 20 2 2 2 2 2" xfId="28055" xr:uid="{16AF0F62-D3AA-44E9-91F9-1F1AC1546209}"/>
    <cellStyle name="Normal 20 2 2 2 3" xfId="28056" xr:uid="{87C7FC3D-D463-4C2B-B030-A3017EB9BFFE}"/>
    <cellStyle name="Normal 20 2 2 3" xfId="28057" xr:uid="{7FC62F10-8FB6-4A02-A43F-03C199E7393C}"/>
    <cellStyle name="Normal 20 2 2 3 2" xfId="28058" xr:uid="{8169FA46-B833-4BAE-B49C-80BFD8BF8469}"/>
    <cellStyle name="Normal 20 2 2 3 2 2" xfId="28059" xr:uid="{0698A0EC-9B45-4DDD-AFFC-0F478BD48D27}"/>
    <cellStyle name="Normal 20 2 2 3 3" xfId="28060" xr:uid="{A2BDFAA8-24AD-46CC-A094-5C8A018498D3}"/>
    <cellStyle name="Normal 20 2 2 4" xfId="28061" xr:uid="{FE98579A-9C75-4BB6-A305-32CDB7F75D63}"/>
    <cellStyle name="Normal 20 2 2 4 2" xfId="28062" xr:uid="{471773B8-1894-4A2B-9673-4446C330D8B8}"/>
    <cellStyle name="Normal 20 2 2 5" xfId="28063" xr:uid="{5680F553-7E1B-4B66-8959-F1BA12D828C0}"/>
    <cellStyle name="Normal 20 2 3" xfId="28064" xr:uid="{62CE98FB-815A-4899-B379-1E927C8C47CE}"/>
    <cellStyle name="Normal 20 2 3 2" xfId="28065" xr:uid="{B967DFF1-4C92-4010-9D57-0A36B51F50EC}"/>
    <cellStyle name="Normal 20 2 3 2 2" xfId="28066" xr:uid="{B34C14E8-2055-4161-A921-EF67368B7887}"/>
    <cellStyle name="Normal 20 2 3 3" xfId="28067" xr:uid="{6581C9A8-3065-4055-8325-2B278B0225D3}"/>
    <cellStyle name="Normal 20 2 4" xfId="28068" xr:uid="{584D076D-3723-47AF-B4F2-79B43955D757}"/>
    <cellStyle name="Normal 20 2 4 2" xfId="28069" xr:uid="{B435FB21-0EC5-4966-9D7B-06826617B6B5}"/>
    <cellStyle name="Normal 20 2 4 2 2" xfId="28070" xr:uid="{7250C641-1822-4C11-976F-DEC091B091BA}"/>
    <cellStyle name="Normal 20 2 4 3" xfId="28071" xr:uid="{F525B31C-FB49-49AD-81A9-3F9CBDCE3A7B}"/>
    <cellStyle name="Normal 20 2 5" xfId="28072" xr:uid="{143EFCEF-66D1-4FD6-8514-9A475AF1389A}"/>
    <cellStyle name="Normal 20 2 5 2" xfId="28073" xr:uid="{B7C6A605-7199-482A-B617-B3582C7A8689}"/>
    <cellStyle name="Normal 20 2 6" xfId="28074" xr:uid="{00A06D55-5023-4AD1-8BDD-061E2E9726CF}"/>
    <cellStyle name="Normal 20 2 7" xfId="39060" xr:uid="{93B4C461-A1D5-4E32-953F-01042565AF15}"/>
    <cellStyle name="Normal 20 20" xfId="28075" xr:uid="{06DD8233-8F5B-4298-BA85-EA52403B3C68}"/>
    <cellStyle name="Normal 20 20 2" xfId="28076" xr:uid="{FFE8387B-6074-4B7B-987A-E917A70CC213}"/>
    <cellStyle name="Normal 20 20 2 2" xfId="28077" xr:uid="{FCDF345D-A334-4F14-A605-26DAAAC71CF4}"/>
    <cellStyle name="Normal 20 20 3" xfId="28078" xr:uid="{91D88AB4-E4B3-4AF1-93C1-E1E966D83865}"/>
    <cellStyle name="Normal 20 21" xfId="28079" xr:uid="{332D025F-D7D9-4CC7-8705-FEE89332E2D8}"/>
    <cellStyle name="Normal 20 21 2" xfId="28080" xr:uid="{E8EA5BDB-C069-4AA7-886C-9A77BD05DE5A}"/>
    <cellStyle name="Normal 20 21 2 2" xfId="28081" xr:uid="{7C407FC8-2AE4-4A2C-BA46-63AC9E8B6BA6}"/>
    <cellStyle name="Normal 20 21 3" xfId="28082" xr:uid="{21AB247D-904B-48F4-BCBC-64FABA69EF6A}"/>
    <cellStyle name="Normal 20 22" xfId="28083" xr:uid="{D3E69A1A-3D1B-482A-9F29-AC6DE48EDBFB}"/>
    <cellStyle name="Normal 20 22 2" xfId="28084" xr:uid="{5D089072-77A4-4BBB-8C86-8C894D8C34DE}"/>
    <cellStyle name="Normal 20 22 2 2" xfId="28085" xr:uid="{9E3328CD-FAF7-4464-B071-62248ED44B37}"/>
    <cellStyle name="Normal 20 22 3" xfId="28086" xr:uid="{3FE89173-94DF-4687-9D9A-8F243DEB2B18}"/>
    <cellStyle name="Normal 20 23" xfId="28087" xr:uid="{DFF5B248-89FD-41B8-8811-7C1DA1677D11}"/>
    <cellStyle name="Normal 20 23 2" xfId="28088" xr:uid="{939CEB80-EEE3-470F-A9CE-E15535AD3F1D}"/>
    <cellStyle name="Normal 20 23 2 2" xfId="28089" xr:uid="{BFC325C0-A984-4DE7-A9A4-CE9DD942811C}"/>
    <cellStyle name="Normal 20 23 3" xfId="28090" xr:uid="{2039C7D5-931C-4699-8A5B-25F6A6005201}"/>
    <cellStyle name="Normal 20 24" xfId="28091" xr:uid="{7B905E19-2571-44E6-854D-12B34494F352}"/>
    <cellStyle name="Normal 20 24 2" xfId="28092" xr:uid="{6525D10F-D7E4-4801-8D0D-73CAECA9E8CF}"/>
    <cellStyle name="Normal 20 24 2 2" xfId="28093" xr:uid="{277808B4-0E63-48D8-B137-82BD41B91BB0}"/>
    <cellStyle name="Normal 20 24 3" xfId="28094" xr:uid="{E574F20E-3651-4F6D-9132-AD6FD3E35D45}"/>
    <cellStyle name="Normal 20 25" xfId="28095" xr:uid="{BF916CDC-09BC-42F7-B3D3-ADDAEF81C5F1}"/>
    <cellStyle name="Normal 20 25 2" xfId="28096" xr:uid="{9E1868E0-E728-45DB-805F-34AD0F4D46C9}"/>
    <cellStyle name="Normal 20 25 2 2" xfId="28097" xr:uid="{0314EBFF-D087-45EB-9212-BF88F2EBA43E}"/>
    <cellStyle name="Normal 20 25 3" xfId="28098" xr:uid="{83CF55D1-FA74-4883-A437-487991CD1F2C}"/>
    <cellStyle name="Normal 20 26" xfId="28099" xr:uid="{3879FC8D-CFF4-494C-801B-27BD3B14907E}"/>
    <cellStyle name="Normal 20 26 2" xfId="28100" xr:uid="{4D56A0F1-CA09-49F2-9691-BFCBAFF1DC4C}"/>
    <cellStyle name="Normal 20 27" xfId="28101" xr:uid="{D26616DF-B9B7-4114-A708-3DEF994207B1}"/>
    <cellStyle name="Normal 20 27 2" xfId="28102" xr:uid="{94EC7198-0830-45E9-AD3A-84FB2474F864}"/>
    <cellStyle name="Normal 20 28" xfId="28103" xr:uid="{39FC18D4-5A2A-44E8-A10F-B67767BF18A7}"/>
    <cellStyle name="Normal 20 29" xfId="39061" xr:uid="{0EFA3576-6CFE-44A0-8C81-3034FBA05FEF}"/>
    <cellStyle name="Normal 20 3" xfId="28104" xr:uid="{3E8AD9E5-9BE0-4DE9-B13B-657448505E74}"/>
    <cellStyle name="Normal 20 3 2" xfId="28105" xr:uid="{7BE32938-52DF-4BA2-91DA-A6C1BC685A91}"/>
    <cellStyle name="Normal 20 3 2 2" xfId="28106" xr:uid="{27521BBF-47AC-48BB-BDDB-EDF3B4D957F3}"/>
    <cellStyle name="Normal 20 3 2 2 2" xfId="28107" xr:uid="{4CA0BBF2-C811-4128-B3BC-4DA18A3FD0FF}"/>
    <cellStyle name="Normal 20 3 2 2 2 2" xfId="28108" xr:uid="{0DD68DED-1A92-41CD-B57A-650265ABC9C9}"/>
    <cellStyle name="Normal 20 3 2 2 2 2 2" xfId="28109" xr:uid="{B4CB60FF-8EC5-42C4-A4D8-3C1FF3F208B6}"/>
    <cellStyle name="Normal 20 3 2 2 2 3" xfId="28110" xr:uid="{00FB1133-77CC-4571-B384-4DD7D901CF6A}"/>
    <cellStyle name="Normal 20 3 2 2 3" xfId="28111" xr:uid="{C8F589B5-C4AE-4F44-A33D-CB79D339DB2E}"/>
    <cellStyle name="Normal 20 3 2 2 3 2" xfId="28112" xr:uid="{37619810-96B2-4DF2-AF9D-CE9C6778DB77}"/>
    <cellStyle name="Normal 20 3 2 2 3 2 2" xfId="28113" xr:uid="{52061139-6A31-48AA-A6F7-CC7C13A18056}"/>
    <cellStyle name="Normal 20 3 2 2 3 3" xfId="28114" xr:uid="{3244480E-CC10-4FB4-AF76-65653846B6CB}"/>
    <cellStyle name="Normal 20 3 2 2 4" xfId="28115" xr:uid="{5522E6E6-D27E-4B1D-9774-D6F899AB5788}"/>
    <cellStyle name="Normal 20 3 2 2 4 2" xfId="28116" xr:uid="{770D5C25-995F-492B-BB0D-981A3E85EBD0}"/>
    <cellStyle name="Normal 20 3 2 2 5" xfId="28117" xr:uid="{48E68EBA-09F5-4548-B37C-1F3B9CBD6A63}"/>
    <cellStyle name="Normal 20 3 2 3" xfId="28118" xr:uid="{D16B9E2D-01FD-41F9-8C90-42FFD816E910}"/>
    <cellStyle name="Normal 20 3 2 3 2" xfId="28119" xr:uid="{852CE4A2-C22D-4F95-986E-1D707684DC01}"/>
    <cellStyle name="Normal 20 3 2 3 2 2" xfId="28120" xr:uid="{BAB8FCFE-354F-4CE8-842D-565224EB4D8E}"/>
    <cellStyle name="Normal 20 3 2 3 3" xfId="28121" xr:uid="{0B3A3DAC-D5FB-408D-B042-9F798266FB04}"/>
    <cellStyle name="Normal 20 3 2 4" xfId="28122" xr:uid="{2A7447F8-E035-433A-A7C7-BF9AA66A1351}"/>
    <cellStyle name="Normal 20 3 2 4 2" xfId="28123" xr:uid="{EEC4CC97-5BED-4BD0-BB0B-2CAA404A1032}"/>
    <cellStyle name="Normal 20 3 2 4 2 2" xfId="28124" xr:uid="{55D4994A-B84C-42D7-B0E4-BAB44A386F55}"/>
    <cellStyle name="Normal 20 3 2 4 3" xfId="28125" xr:uid="{D1A33E9E-F429-4B4C-A300-0E084750442A}"/>
    <cellStyle name="Normal 20 3 2 5" xfId="28126" xr:uid="{41EF8E00-5956-44C6-8E59-37A0F773075D}"/>
    <cellStyle name="Normal 20 3 2 5 2" xfId="28127" xr:uid="{086FAB05-F189-4AD1-A25D-F5AB16BA5BF0}"/>
    <cellStyle name="Normal 20 3 2 6" xfId="28128" xr:uid="{BC9CE80A-93AE-46B4-8D96-BD69ACB5EA85}"/>
    <cellStyle name="Normal 20 3 3" xfId="28129" xr:uid="{6027F478-3FC9-4922-AA8C-6296D36E61B9}"/>
    <cellStyle name="Normal 20 3 3 2" xfId="28130" xr:uid="{6F0B74FA-6372-445D-8631-A87E070457DF}"/>
    <cellStyle name="Normal 20 3 3 2 2" xfId="28131" xr:uid="{5A3AD91C-824C-48AC-BFDE-68F2F5EBF01F}"/>
    <cellStyle name="Normal 20 3 3 2 2 2" xfId="28132" xr:uid="{C9512824-1286-4A1A-9875-4D441B05BDA5}"/>
    <cellStyle name="Normal 20 3 3 2 3" xfId="28133" xr:uid="{C11F7950-2602-431B-BFA5-BE4FC1D679DC}"/>
    <cellStyle name="Normal 20 3 3 3" xfId="28134" xr:uid="{791FFC2C-391E-459D-B758-BB86AD680B37}"/>
    <cellStyle name="Normal 20 3 3 3 2" xfId="28135" xr:uid="{739C553E-8ADD-4EC1-B00F-6457D4F6547B}"/>
    <cellStyle name="Normal 20 3 3 3 2 2" xfId="28136" xr:uid="{C6E03DA7-1811-4112-BAA7-A272BE03BDF7}"/>
    <cellStyle name="Normal 20 3 3 3 3" xfId="28137" xr:uid="{ACEBC7E2-48A4-44DA-ACB4-FE7947B2EB1F}"/>
    <cellStyle name="Normal 20 3 3 4" xfId="28138" xr:uid="{5C129E17-EF88-41A3-82A7-AB2136E609CF}"/>
    <cellStyle name="Normal 20 3 3 4 2" xfId="28139" xr:uid="{6A7815E7-4402-473F-8D78-0E6E42572BCB}"/>
    <cellStyle name="Normal 20 3 3 5" xfId="28140" xr:uid="{1EF5CBA6-9A42-4F9A-A0B7-30006A6D1E45}"/>
    <cellStyle name="Normal 20 3 4" xfId="28141" xr:uid="{1A9EF364-A6D0-4EC4-8D7A-0E22067D0C0E}"/>
    <cellStyle name="Normal 20 3 4 2" xfId="28142" xr:uid="{D1174D91-792E-481E-AF46-77FC7CC1B1D9}"/>
    <cellStyle name="Normal 20 3 4 2 2" xfId="28143" xr:uid="{D794A708-E21A-4E53-B667-B4321C752A8A}"/>
    <cellStyle name="Normal 20 3 4 3" xfId="28144" xr:uid="{EB4EE019-FB62-4E3D-8D6B-CE6B66EFA228}"/>
    <cellStyle name="Normal 20 3 5" xfId="28145" xr:uid="{CC29ACCE-0D82-42C1-AB16-DED2B8B71FBB}"/>
    <cellStyle name="Normal 20 3 5 2" xfId="28146" xr:uid="{8460C5BA-8638-4400-9EBD-0B2B1C9E9CBA}"/>
    <cellStyle name="Normal 20 3 5 2 2" xfId="28147" xr:uid="{47A75187-4B60-4A7E-96E3-81BE7D5E9BFF}"/>
    <cellStyle name="Normal 20 3 5 3" xfId="28148" xr:uid="{78703406-C47C-4200-9F7E-1216A3D92BF6}"/>
    <cellStyle name="Normal 20 3 6" xfId="28149" xr:uid="{7F99732A-092E-42B6-A277-2F5DCC5536EB}"/>
    <cellStyle name="Normal 20 3 6 2" xfId="28150" xr:uid="{0245FA38-C610-46CA-8E53-A94EB84F596D}"/>
    <cellStyle name="Normal 20 3 7" xfId="28151" xr:uid="{FB07CA6D-FDCD-41A3-BC60-4CA97D056087}"/>
    <cellStyle name="Normal 20 3 8" xfId="39062" xr:uid="{A3B32215-9FC2-4CC7-AF6F-51FA085BF016}"/>
    <cellStyle name="Normal 20 4" xfId="28152" xr:uid="{D59FFE73-4FA7-4BFA-A9B7-656F4E87F980}"/>
    <cellStyle name="Normal 20 4 2" xfId="28153" xr:uid="{203DB1C4-7A88-464A-A69D-E2A82D61EC15}"/>
    <cellStyle name="Normal 20 4 2 2" xfId="28154" xr:uid="{3DAA224F-3AFF-4755-B22C-3425D17EEDD1}"/>
    <cellStyle name="Normal 20 4 2 2 2" xfId="28155" xr:uid="{12310363-5DF0-4F23-896C-80DEC6A39D22}"/>
    <cellStyle name="Normal 20 4 2 2 2 2" xfId="28156" xr:uid="{49A9E646-42BD-43B5-BF63-424061EAFDF2}"/>
    <cellStyle name="Normal 20 4 2 2 3" xfId="28157" xr:uid="{B0DE973C-ABBF-4207-B962-AAEC3D8A9AB2}"/>
    <cellStyle name="Normal 20 4 2 3" xfId="28158" xr:uid="{7B8F68E5-A9BC-47C0-89A6-55075CF57FBF}"/>
    <cellStyle name="Normal 20 4 2 3 2" xfId="28159" xr:uid="{4ADC3174-66AA-47A8-BABD-92E016146272}"/>
    <cellStyle name="Normal 20 4 2 3 2 2" xfId="28160" xr:uid="{6F9F2CDD-CEE0-4559-BFF3-D107C5457042}"/>
    <cellStyle name="Normal 20 4 2 3 3" xfId="28161" xr:uid="{6B9B5DBA-8559-4483-8592-EC56D38C22E4}"/>
    <cellStyle name="Normal 20 4 2 4" xfId="28162" xr:uid="{64853A1B-89FB-4AC6-A6AF-47C38C0B2C64}"/>
    <cellStyle name="Normal 20 4 2 4 2" xfId="28163" xr:uid="{9A4F3F64-DE1C-41A5-8877-BC130912BC62}"/>
    <cellStyle name="Normal 20 4 2 5" xfId="28164" xr:uid="{059BE28D-83D6-429E-AF37-3EB63F523655}"/>
    <cellStyle name="Normal 20 4 3" xfId="28165" xr:uid="{8AC26D05-88C4-4D00-87FB-6FD905A02EAC}"/>
    <cellStyle name="Normal 20 4 3 2" xfId="28166" xr:uid="{1B7BAAC0-12CA-42AC-8C93-6F3082A04CA8}"/>
    <cellStyle name="Normal 20 4 3 2 2" xfId="28167" xr:uid="{F9C40654-4525-4A3B-AF8C-FB17A43A71E0}"/>
    <cellStyle name="Normal 20 4 3 3" xfId="28168" xr:uid="{48545085-9273-4BBE-AE2A-317C2EA862E6}"/>
    <cellStyle name="Normal 20 4 4" xfId="28169" xr:uid="{E1300021-C731-413B-8C17-047DA5FAD396}"/>
    <cellStyle name="Normal 20 4 4 2" xfId="28170" xr:uid="{4BD51D20-D87F-4A4A-87BA-C5E13DDEE7BD}"/>
    <cellStyle name="Normal 20 4 4 2 2" xfId="28171" xr:uid="{70DAEE17-643B-4FC1-A690-379141BFF189}"/>
    <cellStyle name="Normal 20 4 4 3" xfId="28172" xr:uid="{949B327F-A4D6-4845-B83E-580C273619A1}"/>
    <cellStyle name="Normal 20 4 5" xfId="28173" xr:uid="{E1D705CD-6EA1-439C-A16E-4E51AEAE0F95}"/>
    <cellStyle name="Normal 20 4 5 2" xfId="28174" xr:uid="{3E513471-EEDE-4AB8-9267-0D7F2F165378}"/>
    <cellStyle name="Normal 20 4 6" xfId="28175" xr:uid="{AC5A403C-FDED-4620-A890-877C2D8EECC9}"/>
    <cellStyle name="Normal 20 5" xfId="28176" xr:uid="{651B35A1-51A1-4394-94F0-E07EB8449650}"/>
    <cellStyle name="Normal 20 5 2" xfId="28177" xr:uid="{93BBC4FA-2E47-40F9-B818-45FF874B8D3F}"/>
    <cellStyle name="Normal 20 5 2 2" xfId="28178" xr:uid="{48BC7CBD-A0DC-4065-84FE-D56C8C632FBE}"/>
    <cellStyle name="Normal 20 5 2 2 2" xfId="28179" xr:uid="{73C3CC68-7605-49FA-AD83-FC1FA6769CC6}"/>
    <cellStyle name="Normal 20 5 2 3" xfId="28180" xr:uid="{45141AA0-FB44-4CAB-9B28-ED793A4B1513}"/>
    <cellStyle name="Normal 20 5 3" xfId="28181" xr:uid="{64979436-885E-4A48-9482-10F8B207C80D}"/>
    <cellStyle name="Normal 20 5 3 2" xfId="28182" xr:uid="{E8AC9A85-13CC-4D01-8207-C28038D02D01}"/>
    <cellStyle name="Normal 20 5 3 2 2" xfId="28183" xr:uid="{BEE77C58-C8AD-494B-B7DB-A441B4F8ACE9}"/>
    <cellStyle name="Normal 20 5 3 3" xfId="28184" xr:uid="{572E7F35-6FA1-4C87-A4B9-AA21C4C3CD90}"/>
    <cellStyle name="Normal 20 5 4" xfId="28185" xr:uid="{943B01C6-8137-4F75-9BC2-17DEFB7841C2}"/>
    <cellStyle name="Normal 20 5 4 2" xfId="28186" xr:uid="{392920FB-8732-4A75-9E6C-E43D5F6CA705}"/>
    <cellStyle name="Normal 20 5 5" xfId="28187" xr:uid="{78A57B56-5F74-42A8-AA7F-AEF18B6DC351}"/>
    <cellStyle name="Normal 20 6" xfId="28188" xr:uid="{AF1DDB99-1CCC-4A96-9153-EEACACFAB548}"/>
    <cellStyle name="Normal 20 6 2" xfId="28189" xr:uid="{AA0254F4-1027-4B22-9BEB-FD636DB5667D}"/>
    <cellStyle name="Normal 20 6 2 2" xfId="28190" xr:uid="{8B86AB36-BE83-4C5A-BD10-93ABBFDB1293}"/>
    <cellStyle name="Normal 20 6 3" xfId="28191" xr:uid="{5844DB63-494C-4A49-A12E-0E6B1D5132D3}"/>
    <cellStyle name="Normal 20 6 3 2" xfId="28192" xr:uid="{D4895A34-2D71-4D16-89CE-4F8A8E0AE359}"/>
    <cellStyle name="Normal 20 6 4" xfId="28193" xr:uid="{8B188396-BEC8-4F21-B5D5-E9503BE47D91}"/>
    <cellStyle name="Normal 20 7" xfId="28194" xr:uid="{70077B15-AD07-4BE1-8ED0-F94B6590FDD6}"/>
    <cellStyle name="Normal 20 7 2" xfId="28195" xr:uid="{983395D9-B51D-4212-87A7-8C293ABCD6EC}"/>
    <cellStyle name="Normal 20 7 2 2" xfId="28196" xr:uid="{A0DA3463-4DFB-498C-A790-1A0541C822B4}"/>
    <cellStyle name="Normal 20 7 3" xfId="28197" xr:uid="{5D3F7FA3-5F5E-44F7-BCB0-5490A18B3BB6}"/>
    <cellStyle name="Normal 20 7 3 2" xfId="28198" xr:uid="{6B6561FC-1BC3-41C6-9B1C-2072F91BEC96}"/>
    <cellStyle name="Normal 20 7 4" xfId="28199" xr:uid="{8C1EF5B3-C8BB-4AB4-B480-A7D463BB0062}"/>
    <cellStyle name="Normal 20 8" xfId="28200" xr:uid="{78037529-F768-440C-BC9F-C0D82AF5B244}"/>
    <cellStyle name="Normal 20 8 2" xfId="28201" xr:uid="{EF1570B8-7392-486F-AAA0-8336202C4655}"/>
    <cellStyle name="Normal 20 8 2 2" xfId="28202" xr:uid="{E0594D82-44C0-4AFB-B488-0B5F0C259919}"/>
    <cellStyle name="Normal 20 8 3" xfId="28203" xr:uid="{02A33BE8-9763-4B1D-AFD2-0FB75BF866A5}"/>
    <cellStyle name="Normal 20 8 3 2" xfId="28204" xr:uid="{70597769-FEFE-407B-8C46-27482F80CADD}"/>
    <cellStyle name="Normal 20 8 4" xfId="28205" xr:uid="{210AAC2F-78AE-427E-96F2-F4E4F3BE32F3}"/>
    <cellStyle name="Normal 20 9" xfId="28206" xr:uid="{4114BC24-37E3-4AEF-96E3-F411A0E946F9}"/>
    <cellStyle name="Normal 20 9 2" xfId="28207" xr:uid="{CCB31BC0-E8E4-4543-B1C2-B3C4D260CA0D}"/>
    <cellStyle name="Normal 20 9 2 2" xfId="28208" xr:uid="{6CB9E837-09D9-4ED4-82F9-C6B6E4939595}"/>
    <cellStyle name="Normal 20 9 3" xfId="28209" xr:uid="{04B6919A-BAD4-4372-84C8-E05D2A42CB82}"/>
    <cellStyle name="Normal 20 9 3 2" xfId="28210" xr:uid="{A01FE290-0CCC-4285-A70C-0AA2C2344116}"/>
    <cellStyle name="Normal 20 9 4" xfId="28211" xr:uid="{E0FC621F-8BD6-45A5-8577-1C7C9EBFF8B3}"/>
    <cellStyle name="Normal 21" xfId="28212" xr:uid="{63E3F496-15C8-4CBD-B017-5BFF94D77F1B}"/>
    <cellStyle name="Normal 21 10" xfId="28213" xr:uid="{A83CAD2C-7B7F-4DB7-994A-48F7E655DDAC}"/>
    <cellStyle name="Normal 21 2" xfId="28214" xr:uid="{F29EF03A-69B5-4659-A03A-553088EC9F89}"/>
    <cellStyle name="Normal 21 2 2" xfId="28215" xr:uid="{7CB315B5-05CD-44DF-9D32-E16F588F11B0}"/>
    <cellStyle name="Normal 21 2 2 2" xfId="28216" xr:uid="{FA8414FE-4FA1-42E2-B7A6-F590412394DF}"/>
    <cellStyle name="Normal 21 2 2 2 2" xfId="28217" xr:uid="{EC24CA78-4B06-4F4D-BF70-E3FE76F5A6A3}"/>
    <cellStyle name="Normal 21 2 2 2 2 2" xfId="28218" xr:uid="{DCF9EE23-0EBA-48E8-A09B-A5F7E785619C}"/>
    <cellStyle name="Normal 21 2 2 2 2 2 2" xfId="28219" xr:uid="{DC8EE75E-0C34-4AF4-89BE-D31298125362}"/>
    <cellStyle name="Normal 21 2 2 2 2 3" xfId="28220" xr:uid="{F48DBFE4-4E23-40A6-B818-21C46683D5A5}"/>
    <cellStyle name="Normal 21 2 2 2 3" xfId="28221" xr:uid="{8F84B60D-DBD9-46F6-AEB0-5B3A15CAE7BC}"/>
    <cellStyle name="Normal 21 2 2 2 3 2" xfId="28222" xr:uid="{3C422DE8-58F9-4E2B-9A58-A95D92336F84}"/>
    <cellStyle name="Normal 21 2 2 2 3 2 2" xfId="28223" xr:uid="{58366011-F902-419B-AA35-F8E781BA3868}"/>
    <cellStyle name="Normal 21 2 2 2 3 3" xfId="28224" xr:uid="{B6E96873-7763-49E3-9700-13576C623729}"/>
    <cellStyle name="Normal 21 2 2 2 4" xfId="28225" xr:uid="{70C80AB8-777A-48C8-B9DA-2167E0473159}"/>
    <cellStyle name="Normal 21 2 2 2 4 2" xfId="28226" xr:uid="{33EBFEC5-1FB7-4F5E-B6FF-D361B3855DE1}"/>
    <cellStyle name="Normal 21 2 2 2 5" xfId="28227" xr:uid="{EB5B025F-6DDE-4264-984B-D046BB992A2A}"/>
    <cellStyle name="Normal 21 2 2 3" xfId="28228" xr:uid="{D4DAAAE3-3EA9-4A08-8610-23FEB7835C00}"/>
    <cellStyle name="Normal 21 2 2 3 2" xfId="28229" xr:uid="{DB625096-2DFF-4D77-A62B-0929E9CD1711}"/>
    <cellStyle name="Normal 21 2 2 3 2 2" xfId="28230" xr:uid="{58684240-B3F2-4BB2-BE8B-41C3DB8DA37F}"/>
    <cellStyle name="Normal 21 2 2 3 3" xfId="28231" xr:uid="{4DACC4C7-9BFD-4FE2-8761-DF060823F097}"/>
    <cellStyle name="Normal 21 2 2 4" xfId="28232" xr:uid="{C368B024-ED89-4261-96B3-E7CB0A8600E6}"/>
    <cellStyle name="Normal 21 2 2 4 2" xfId="28233" xr:uid="{1F231EF2-5318-4072-A320-8835B3AD05C2}"/>
    <cellStyle name="Normal 21 2 2 4 2 2" xfId="28234" xr:uid="{4305A61F-8C5B-4CBA-8F7C-85DB8044DBDC}"/>
    <cellStyle name="Normal 21 2 2 4 3" xfId="28235" xr:uid="{9690004B-A5FA-4267-B9B6-D8AD7AA1D1C0}"/>
    <cellStyle name="Normal 21 2 2 5" xfId="28236" xr:uid="{449C0E1B-1934-43A1-8E3A-0121E8E6DDAD}"/>
    <cellStyle name="Normal 21 2 2 5 2" xfId="28237" xr:uid="{00E589CE-CD4C-45DD-BDB1-FF074C168F14}"/>
    <cellStyle name="Normal 21 2 2 6" xfId="28238" xr:uid="{BC9BD1CB-0FB7-4C09-961F-7E71ECA96224}"/>
    <cellStyle name="Normal 21 2 3" xfId="28239" xr:uid="{E1E21A51-7713-41D6-9E5E-DE7CEE490579}"/>
    <cellStyle name="Normal 21 2 3 2" xfId="28240" xr:uid="{6F6B8E75-1279-47C9-A66A-13D86ED745DC}"/>
    <cellStyle name="Normal 21 2 3 2 2" xfId="28241" xr:uid="{D8FAE5A8-431E-43FE-AE68-FD329AE957ED}"/>
    <cellStyle name="Normal 21 2 3 2 2 2" xfId="28242" xr:uid="{3C8E8128-DEB8-4F9E-9553-870388DED687}"/>
    <cellStyle name="Normal 21 2 3 2 3" xfId="28243" xr:uid="{342C1738-E489-4E92-B5B9-437EBA76B1E7}"/>
    <cellStyle name="Normal 21 2 3 3" xfId="28244" xr:uid="{B55C6FEB-5922-4189-B860-3CECC0401D06}"/>
    <cellStyle name="Normal 21 2 3 3 2" xfId="28245" xr:uid="{8D500BC9-1C0A-4590-AD4C-DF1C50D5BA06}"/>
    <cellStyle name="Normal 21 2 3 3 2 2" xfId="28246" xr:uid="{975794E9-3E0C-45A8-BA6F-012CFA0ED1B6}"/>
    <cellStyle name="Normal 21 2 3 3 3" xfId="28247" xr:uid="{3A723DBC-9025-48AB-8BAC-047948AA4D25}"/>
    <cellStyle name="Normal 21 2 3 4" xfId="28248" xr:uid="{4D3A4CFA-C9EB-4315-AE20-6EC3D46217F9}"/>
    <cellStyle name="Normal 21 2 3 4 2" xfId="28249" xr:uid="{DA72C203-E681-45E4-B78C-28BB82F9A0D1}"/>
    <cellStyle name="Normal 21 2 3 5" xfId="28250" xr:uid="{074B3EEE-CEAF-443E-A341-667B5F3E08A0}"/>
    <cellStyle name="Normal 21 2 4" xfId="28251" xr:uid="{EFE2909E-3DCF-4C9F-8E01-7D86021B34AA}"/>
    <cellStyle name="Normal 21 2 4 2" xfId="28252" xr:uid="{ACBC12DF-E252-4C2E-A7B6-F5F82269E47E}"/>
    <cellStyle name="Normal 21 2 4 2 2" xfId="28253" xr:uid="{D5CEBB76-7793-4B72-80EC-65AA0FD55C72}"/>
    <cellStyle name="Normal 21 2 4 3" xfId="28254" xr:uid="{2D7B2103-2E5E-46EA-B136-180EF9EAA18C}"/>
    <cellStyle name="Normal 21 2 5" xfId="28255" xr:uid="{19F02ADF-619E-4984-8ED8-A3C10636244D}"/>
    <cellStyle name="Normal 21 2 5 2" xfId="28256" xr:uid="{A1FD4A8B-41BA-452A-884D-0B6B272B5587}"/>
    <cellStyle name="Normal 21 2 5 2 2" xfId="28257" xr:uid="{D248FA40-3206-414F-AB0A-D0395677A5F5}"/>
    <cellStyle name="Normal 21 2 5 3" xfId="28258" xr:uid="{847588EE-39A2-4DEF-9278-884C19DC0E80}"/>
    <cellStyle name="Normal 21 2 6" xfId="28259" xr:uid="{958FB124-C0AF-4CD4-9916-BE8CA0A27C3E}"/>
    <cellStyle name="Normal 21 2 6 2" xfId="28260" xr:uid="{6F0C9F41-5627-4683-BC22-DD040EAFCF58}"/>
    <cellStyle name="Normal 21 2 7" xfId="28261" xr:uid="{72C98D6F-01C4-4A52-8A54-85953E5CA100}"/>
    <cellStyle name="Normal 21 2 8" xfId="39063" xr:uid="{61A762F5-6506-40C5-9744-251F37B4E5B9}"/>
    <cellStyle name="Normal 21 3" xfId="28262" xr:uid="{A3315175-18BB-4539-8BBE-F55DEC91F032}"/>
    <cellStyle name="Normal 21 3 2" xfId="28263" xr:uid="{2223D91B-F5E5-45A0-8768-69C1ACE8FDE5}"/>
    <cellStyle name="Normal 21 3 2 2" xfId="28264" xr:uid="{E02C82C8-8214-40C1-901F-48BD21D39CE9}"/>
    <cellStyle name="Normal 21 3 2 2 2" xfId="28265" xr:uid="{63E1B484-FA9E-4AB0-A7B7-8D8D47CB3DBE}"/>
    <cellStyle name="Normal 21 3 2 3" xfId="28266" xr:uid="{101C7F06-6600-4AC7-8D4F-DBDA21D2549C}"/>
    <cellStyle name="Normal 21 3 3" xfId="28267" xr:uid="{759566A7-A0A0-41C7-8344-99EA17DAA320}"/>
    <cellStyle name="Normal 21 3 3 2" xfId="28268" xr:uid="{3960A7D0-853B-4665-8225-B78213C49CAF}"/>
    <cellStyle name="Normal 21 3 3 2 2" xfId="28269" xr:uid="{E29A4F3D-991A-497E-B233-F1AB77953165}"/>
    <cellStyle name="Normal 21 3 3 3" xfId="28270" xr:uid="{0237489D-06B5-4F50-83E7-A0E587C1D162}"/>
    <cellStyle name="Normal 21 3 4" xfId="28271" xr:uid="{C7534532-BD05-4A60-9488-AB5D5502C2DB}"/>
    <cellStyle name="Normal 21 3 4 2" xfId="28272" xr:uid="{FB2FE464-0BB4-418E-9805-229873416F69}"/>
    <cellStyle name="Normal 21 3 5" xfId="28273" xr:uid="{B3CACCFA-905D-486C-8D41-CF3D9CC5B114}"/>
    <cellStyle name="Normal 21 4" xfId="28274" xr:uid="{9B9CD193-9F64-40C2-8E3F-1F84D2456E47}"/>
    <cellStyle name="Normal 21 4 2" xfId="28275" xr:uid="{37A8FA37-9BDE-4708-B946-00DE236C0FDC}"/>
    <cellStyle name="Normal 21 5" xfId="28276" xr:uid="{FE87CEA6-9FDC-4313-8326-0E02626431AE}"/>
    <cellStyle name="Normal 21 5 2" xfId="28277" xr:uid="{02B8416E-69F0-4192-9363-AD9129377A79}"/>
    <cellStyle name="Normal 21 5 2 2" xfId="28278" xr:uid="{E408DFA6-DAB2-46B6-AC31-067B49AF71F2}"/>
    <cellStyle name="Normal 21 5 3" xfId="28279" xr:uid="{A6A20117-221E-4C48-95DD-A82E52A1074B}"/>
    <cellStyle name="Normal 21 6" xfId="28280" xr:uid="{CBC4D68C-20D9-47B5-898C-F968E832CB66}"/>
    <cellStyle name="Normal 21 6 2" xfId="28281" xr:uid="{86A2AB89-A286-41CE-9245-7CE964112831}"/>
    <cellStyle name="Normal 21 6 2 2" xfId="28282" xr:uid="{0327E136-33B1-4B15-BD9C-8A4F364A8580}"/>
    <cellStyle name="Normal 21 6 3" xfId="28283" xr:uid="{2AC1E5E8-A241-4ED6-9ACA-B0ED9C0346FF}"/>
    <cellStyle name="Normal 21 7" xfId="28284" xr:uid="{15D4C496-DED4-4354-9EF7-AEC8EE9538E8}"/>
    <cellStyle name="Normal 21 7 2" xfId="28285" xr:uid="{04C30F48-1A93-4D9E-890F-9E500418A85C}"/>
    <cellStyle name="Normal 21 7 2 2" xfId="28286" xr:uid="{E674330C-34CE-44B9-88AA-21154CB2D6D2}"/>
    <cellStyle name="Normal 21 7 3" xfId="28287" xr:uid="{B5C93098-33CE-4A19-B754-31D4E3B5BA60}"/>
    <cellStyle name="Normal 21 8" xfId="28288" xr:uid="{44B94FF9-FE54-4D98-AD70-778D045BEDA5}"/>
    <cellStyle name="Normal 21 8 2" xfId="28289" xr:uid="{DF15251F-0A31-4C59-98B0-820232305E9D}"/>
    <cellStyle name="Normal 21 9" xfId="28290" xr:uid="{3D5FDC19-D5F9-4C9E-B95E-E1DC5C321E5A}"/>
    <cellStyle name="Normal 22" xfId="28291" xr:uid="{B2BB9FF3-40FB-4B89-AA22-BFDF04F58FCD}"/>
    <cellStyle name="Normal 22 2" xfId="28292" xr:uid="{78D082B8-D3A1-4579-9EBD-3B3130D9C7FB}"/>
    <cellStyle name="Normal 22 2 2" xfId="28293" xr:uid="{01AD9D7B-CAE2-4FCB-B51B-37B3804DDD36}"/>
    <cellStyle name="Normal 22 2 2 2" xfId="28294" xr:uid="{6DA7C0DB-48D5-41B9-82C9-6C4B9DA575CA}"/>
    <cellStyle name="Normal 22 2 2 2 2" xfId="28295" xr:uid="{7EC9EA7A-1F49-404C-8270-DFD439A9F557}"/>
    <cellStyle name="Normal 22 2 2 3" xfId="28296" xr:uid="{2503AD96-1D0A-43C0-8CA0-BCC63674853C}"/>
    <cellStyle name="Normal 22 2 3" xfId="28297" xr:uid="{0E23A0EE-E470-4BB7-AC90-0A1A91404F0C}"/>
    <cellStyle name="Normal 22 2 3 2" xfId="28298" xr:uid="{F28EFB65-FD3F-441F-A3E3-580EB3EBC563}"/>
    <cellStyle name="Normal 22 2 3 2 2" xfId="28299" xr:uid="{3CCF09FA-A1F5-4F0F-BD31-F0243F62EA56}"/>
    <cellStyle name="Normal 22 2 3 3" xfId="28300" xr:uid="{26A2E444-05A0-4E99-B8B7-2B3477A1BE46}"/>
    <cellStyle name="Normal 22 2 4" xfId="28301" xr:uid="{2F9DD3CF-3944-4E0B-B056-5D747E0DD02F}"/>
    <cellStyle name="Normal 22 2 4 2" xfId="28302" xr:uid="{5984D499-0BCB-437A-84A4-B2BDA5ED163C}"/>
    <cellStyle name="Normal 22 2 5" xfId="28303" xr:uid="{D718E323-C47C-4ACC-B19B-328FD33BCB5A}"/>
    <cellStyle name="Normal 22 2 6" xfId="39064" xr:uid="{B2FD1DA1-14A6-48F2-AF3B-BD1226E1489C}"/>
    <cellStyle name="Normal 22 3" xfId="28304" xr:uid="{ACEFBFD8-E33D-4B8A-8CC3-76AA054D0D7D}"/>
    <cellStyle name="Normal 22 3 2" xfId="28305" xr:uid="{88E7B442-48E7-4DD9-AEB9-5FEA22F926D9}"/>
    <cellStyle name="Normal 22 3 2 2" xfId="28306" xr:uid="{0BDF4945-496A-4F82-8B11-5F34EB1830FA}"/>
    <cellStyle name="Normal 22 3 3" xfId="28307" xr:uid="{15A9838D-1B87-4239-9949-9E536CA66B7A}"/>
    <cellStyle name="Normal 22 4" xfId="28308" xr:uid="{D7EB2738-C1C9-4523-9FF2-9CEE9F49F098}"/>
    <cellStyle name="Normal 22 4 2" xfId="28309" xr:uid="{02D16E84-1C32-4EFA-AFD4-9E5FA718E5EA}"/>
    <cellStyle name="Normal 22 4 2 2" xfId="28310" xr:uid="{2ADCE10F-5137-45D7-897B-2F462EC75EC3}"/>
    <cellStyle name="Normal 22 4 3" xfId="28311" xr:uid="{77929E0B-3D2D-4E14-B58D-6F1FC655687E}"/>
    <cellStyle name="Normal 22 5" xfId="28312" xr:uid="{75F5B8DB-DAD6-4185-9763-75C1E11E5A0E}"/>
    <cellStyle name="Normal 22 5 2" xfId="28313" xr:uid="{E7AC6AAE-AD2E-4056-917F-3327306CAB3D}"/>
    <cellStyle name="Normal 22 6" xfId="28314" xr:uid="{CB27377A-CABA-430E-9247-4BE7AB1D84E9}"/>
    <cellStyle name="Normal 23" xfId="28315" xr:uid="{9DF03ECA-6280-4387-B7FA-9FDC34AC9367}"/>
    <cellStyle name="Normal 23 2" xfId="28316" xr:uid="{4C398B2D-CCEE-4913-89C8-5629F23D1E8F}"/>
    <cellStyle name="Normal 23 2 2" xfId="28317" xr:uid="{0801088D-61D4-4378-AF10-3C3782D7FFEF}"/>
    <cellStyle name="Normal 23 2 2 2" xfId="28318" xr:uid="{E2C194ED-1E0B-43D6-8E20-45FB88FA6BB3}"/>
    <cellStyle name="Normal 23 2 2 2 2" xfId="28319" xr:uid="{0BCF8CC7-6670-42B7-B70C-E9A9751D51D2}"/>
    <cellStyle name="Normal 23 2 2 3" xfId="28320" xr:uid="{BC4E0929-5F19-445B-B4EC-AF9064351C8A}"/>
    <cellStyle name="Normal 23 2 3" xfId="28321" xr:uid="{FA14DD16-3BFF-4A2F-83B1-43FF92E379C3}"/>
    <cellStyle name="Normal 23 2 3 2" xfId="28322" xr:uid="{C2DA0BA8-2E2C-4BCC-A34E-42D6E99652F3}"/>
    <cellStyle name="Normal 23 2 3 2 2" xfId="28323" xr:uid="{7E7C8EE9-8273-491D-995A-3BFBD47318EB}"/>
    <cellStyle name="Normal 23 2 3 3" xfId="28324" xr:uid="{02B9E38B-A644-4A74-AA00-04B91BB02A92}"/>
    <cellStyle name="Normal 23 2 4" xfId="28325" xr:uid="{0096CDE1-CE3B-45D9-B998-DB8176E1777B}"/>
    <cellStyle name="Normal 23 2 4 2" xfId="28326" xr:uid="{196F218C-651F-4333-9CBA-BF821126B87F}"/>
    <cellStyle name="Normal 23 2 5" xfId="28327" xr:uid="{A1878085-7D8C-4F4A-99C2-4F65E9BB6986}"/>
    <cellStyle name="Normal 23 2 6" xfId="39065" xr:uid="{3F0E2648-30EB-4CAE-B394-CB3A8D5B6636}"/>
    <cellStyle name="Normal 23 3" xfId="28328" xr:uid="{A481C550-B1C9-4812-A1B6-E62B67740D50}"/>
    <cellStyle name="Normal 23 3 2" xfId="28329" xr:uid="{1E1109EC-349F-4DF8-B4FF-AF9F8CD2AE04}"/>
    <cellStyle name="Normal 23 3 2 2" xfId="28330" xr:uid="{02D8DD68-4F93-4B54-A9DB-B34B59112B94}"/>
    <cellStyle name="Normal 23 3 3" xfId="28331" xr:uid="{BD43B298-BA96-4A85-9829-DAC8DA600960}"/>
    <cellStyle name="Normal 23 4" xfId="28332" xr:uid="{1D0D1335-08E6-473E-A472-CC2F3B14F89A}"/>
    <cellStyle name="Normal 23 4 2" xfId="28333" xr:uid="{95345791-CCA4-43BA-BB9C-DC7880EB9497}"/>
    <cellStyle name="Normal 23 4 2 2" xfId="28334" xr:uid="{231CAD0D-C4A1-462D-91A0-15C2285936A2}"/>
    <cellStyle name="Normal 23 4 3" xfId="28335" xr:uid="{BE33BF77-1E61-4F46-9BEE-B23077430AA2}"/>
    <cellStyle name="Normal 23 5" xfId="28336" xr:uid="{DBEC2BBE-95A7-43B2-8045-665B731D9A5B}"/>
    <cellStyle name="Normal 23 5 2" xfId="28337" xr:uid="{888C2A6F-D36B-4DEA-ACD6-76264E4819B6}"/>
    <cellStyle name="Normal 23 6" xfId="28338" xr:uid="{F25C713A-FEC2-4033-963E-24D9D85AA505}"/>
    <cellStyle name="Normal 23 7" xfId="39066" xr:uid="{2E8C1530-324D-45B4-9645-E061A7D25893}"/>
    <cellStyle name="Normal 24" xfId="28339" xr:uid="{12414EE1-A763-41DB-BF72-CF0FAE79A451}"/>
    <cellStyle name="Normal 24 2" xfId="28340" xr:uid="{C6639FEE-7660-40E4-B2EF-614398878194}"/>
    <cellStyle name="Normal 24 2 2" xfId="28341" xr:uid="{E8C34C41-189A-4570-9F78-047BE4AFFC0B}"/>
    <cellStyle name="Normal 24 2 2 2" xfId="28342" xr:uid="{BF889D48-D11E-4227-954B-6BD214041A24}"/>
    <cellStyle name="Normal 24 2 2 2 2" xfId="28343" xr:uid="{7885F1D9-E607-49E5-90B5-E44D7ED3A97A}"/>
    <cellStyle name="Normal 24 2 2 3" xfId="28344" xr:uid="{E59447E7-9BAE-4758-905D-129A9DF4F6D4}"/>
    <cellStyle name="Normal 24 2 3" xfId="28345" xr:uid="{99E8C5F2-09DE-4252-82F0-EBC7614F9772}"/>
    <cellStyle name="Normal 24 2 3 2" xfId="28346" xr:uid="{47394242-0EBE-4092-B842-56C2C5E56A23}"/>
    <cellStyle name="Normal 24 2 3 2 2" xfId="28347" xr:uid="{D1193743-449F-4C2A-A5EB-4353E14AD13E}"/>
    <cellStyle name="Normal 24 2 3 3" xfId="28348" xr:uid="{6E48C021-EC31-4513-B878-728472841D63}"/>
    <cellStyle name="Normal 24 2 4" xfId="28349" xr:uid="{7716C64D-EC00-41C5-87F6-0896C05AA054}"/>
    <cellStyle name="Normal 24 2 4 2" xfId="28350" xr:uid="{E78DAFEB-E4BA-47D9-A61E-96B04044171D}"/>
    <cellStyle name="Normal 24 2 5" xfId="28351" xr:uid="{CE8EEC62-FF33-430F-BDAE-4705A4796E57}"/>
    <cellStyle name="Normal 24 2 6" xfId="39067" xr:uid="{E48CA9AC-B079-435C-ACFE-B27304DAFD8D}"/>
    <cellStyle name="Normal 24 3" xfId="28352" xr:uid="{C53B01A3-398F-4FCE-BF2E-EB38F2E35746}"/>
    <cellStyle name="Normal 24 3 2" xfId="28353" xr:uid="{4C40A0BC-E753-464F-AF6B-B5A5319F7456}"/>
    <cellStyle name="Normal 24 3 2 2" xfId="28354" xr:uid="{23DBAA27-12E2-414B-8BA1-CE12B61D9B86}"/>
    <cellStyle name="Normal 24 3 3" xfId="28355" xr:uid="{3AA741C4-CF33-4BEB-B002-4742DEFC1989}"/>
    <cellStyle name="Normal 24 4" xfId="28356" xr:uid="{A105C895-766F-411B-87AF-2577B878EDA6}"/>
    <cellStyle name="Normal 24 4 2" xfId="28357" xr:uid="{D287AC42-02C3-446C-93A8-A319FB21AF8B}"/>
    <cellStyle name="Normal 24 4 2 2" xfId="28358" xr:uid="{882E785F-DFC0-4F8C-9004-553F29DDDB61}"/>
    <cellStyle name="Normal 24 4 3" xfId="28359" xr:uid="{1054501A-FD2A-4FCF-B24F-C5D36EEE9F2D}"/>
    <cellStyle name="Normal 24 5" xfId="28360" xr:uid="{CB849968-14CE-4054-8475-55262401EE19}"/>
    <cellStyle name="Normal 24 5 2" xfId="28361" xr:uid="{F9B73B64-6433-4F9E-86FF-C95E37BA9F53}"/>
    <cellStyle name="Normal 24 6" xfId="28362" xr:uid="{1EB7549B-F724-44FF-A2FC-EEC18C09C17A}"/>
    <cellStyle name="Normal 24 7" xfId="39068" xr:uid="{A0B9F454-D396-492C-AEFC-63462885EFF2}"/>
    <cellStyle name="Normal 25" xfId="28363" xr:uid="{6DF641E0-39A8-47AB-AE9B-4B4D902150E4}"/>
    <cellStyle name="Normal 25 2" xfId="28364" xr:uid="{122C45D8-33DB-4041-BD93-47B4F06090F9}"/>
    <cellStyle name="Normal 25 2 2" xfId="28365" xr:uid="{FE91963A-E16B-440D-9554-D8914558F3B0}"/>
    <cellStyle name="Normal 25 2 2 2" xfId="28366" xr:uid="{8B82C547-2984-4A4E-BED2-845AE558E4CE}"/>
    <cellStyle name="Normal 25 2 2 2 2" xfId="28367" xr:uid="{CC9AAE24-0BD9-4403-99FE-A556FF532BD1}"/>
    <cellStyle name="Normal 25 2 2 3" xfId="28368" xr:uid="{CB153E83-6ED4-4635-9459-1674AC5CC7B8}"/>
    <cellStyle name="Normal 25 2 3" xfId="28369" xr:uid="{8714E310-E1F6-437C-88BD-679CE73E6FAC}"/>
    <cellStyle name="Normal 25 2 3 2" xfId="28370" xr:uid="{05F5617E-8A9D-44E6-987C-F45139CB2EC2}"/>
    <cellStyle name="Normal 25 2 3 2 2" xfId="28371" xr:uid="{9F5B3544-8EDE-45E4-BDF1-7F6B53F5B78C}"/>
    <cellStyle name="Normal 25 2 3 3" xfId="28372" xr:uid="{0E7277BE-8FB7-4399-B0F7-21446097C32F}"/>
    <cellStyle name="Normal 25 2 4" xfId="28373" xr:uid="{BEFAB46E-2546-401F-B18C-5B74911D5E3E}"/>
    <cellStyle name="Normal 25 2 4 2" xfId="28374" xr:uid="{84670DAA-CE8D-4045-89B8-39DF7A18AAA5}"/>
    <cellStyle name="Normal 25 2 5" xfId="28375" xr:uid="{C4E5CBBD-3BE3-44D0-8F40-BFA37254A2EE}"/>
    <cellStyle name="Normal 25 2 6" xfId="39069" xr:uid="{B78D794B-B44E-4A56-B427-749796C810F2}"/>
    <cellStyle name="Normal 25 3" xfId="28376" xr:uid="{8DE7518D-EF57-4B5F-81D1-4E6C82D5FEA2}"/>
    <cellStyle name="Normal 25 3 2" xfId="28377" xr:uid="{184247D7-A2F6-4870-B13A-3FEBD885920C}"/>
    <cellStyle name="Normal 25 3 2 2" xfId="28378" xr:uid="{40092BF3-4F55-4C17-9A9E-FF4847873178}"/>
    <cellStyle name="Normal 25 3 3" xfId="28379" xr:uid="{104AB26F-1DB6-4C6C-983E-2AAAAC6584C5}"/>
    <cellStyle name="Normal 25 4" xfId="28380" xr:uid="{13EE0A37-B819-49E8-A1C6-37A8F8A87259}"/>
    <cellStyle name="Normal 25 4 2" xfId="28381" xr:uid="{9BBCC3BE-E5EF-4DBB-824A-A4C9633C3066}"/>
    <cellStyle name="Normal 25 4 2 2" xfId="28382" xr:uid="{BFF2E5FD-9C9E-46FE-8310-0BDA63265265}"/>
    <cellStyle name="Normal 25 4 3" xfId="28383" xr:uid="{95969B2B-516D-44CC-926B-35223367C447}"/>
    <cellStyle name="Normal 25 5" xfId="28384" xr:uid="{A8CEFD92-ECE0-4998-97DD-D27FDC5B5D80}"/>
    <cellStyle name="Normal 25 5 2" xfId="28385" xr:uid="{6B90080C-2C0C-4759-8FE2-25D36C493244}"/>
    <cellStyle name="Normal 25 6" xfId="28386" xr:uid="{219BE116-EB02-408D-A76A-EE29F29FAE5D}"/>
    <cellStyle name="Normal 25 7" xfId="39070" xr:uid="{3103079B-DE42-4662-971F-CD5C7949A789}"/>
    <cellStyle name="Normal 26" xfId="28387" xr:uid="{2EC79FC6-A8D3-40F5-8850-D782B707797D}"/>
    <cellStyle name="Normal 26 2" xfId="28388" xr:uid="{E10847DE-1F25-4288-B322-04BF32F0F371}"/>
    <cellStyle name="Normal 26 2 2" xfId="28389" xr:uid="{8056B544-9400-4D9D-B98C-F8B5336E6FCE}"/>
    <cellStyle name="Normal 26 2 2 2" xfId="28390" xr:uid="{6770DB02-CA08-429E-BE05-A856C5BBFAEB}"/>
    <cellStyle name="Normal 26 2 2 2 2" xfId="28391" xr:uid="{F48B1295-E9E5-4A3E-97D0-4AE8D035F815}"/>
    <cellStyle name="Normal 26 2 2 3" xfId="28392" xr:uid="{9B6A30FD-72EE-4650-B2DE-5A80A72B104C}"/>
    <cellStyle name="Normal 26 2 3" xfId="28393" xr:uid="{DFAC76E7-579F-4291-8902-0FE669D05652}"/>
    <cellStyle name="Normal 26 2 3 2" xfId="28394" xr:uid="{BE7F03CB-4481-4073-BFFB-7A55B48E94CF}"/>
    <cellStyle name="Normal 26 2 3 2 2" xfId="28395" xr:uid="{17C09F58-22F9-4320-B754-CA574C09D7CF}"/>
    <cellStyle name="Normal 26 2 3 3" xfId="28396" xr:uid="{B75B1E8A-CFED-4916-802E-7EBFF6461256}"/>
    <cellStyle name="Normal 26 2 4" xfId="28397" xr:uid="{77AE2BC1-65F9-47B1-BD3C-96789AFB2DCC}"/>
    <cellStyle name="Normal 26 2 4 2" xfId="28398" xr:uid="{D5C0AAC1-C4CF-49CA-9A66-A8492B47A7F7}"/>
    <cellStyle name="Normal 26 2 5" xfId="28399" xr:uid="{85E622B8-1780-40FC-806E-45961E133D8F}"/>
    <cellStyle name="Normal 26 2 6" xfId="39071" xr:uid="{8E330BDE-A8E4-4A09-AEC7-634E0464969F}"/>
    <cellStyle name="Normal 26 3" xfId="28400" xr:uid="{DF300E3D-5FE1-40E5-BC9F-8966D273DBEE}"/>
    <cellStyle name="Normal 26 3 2" xfId="28401" xr:uid="{F9815659-B6B9-42DB-9D01-7A4E6BE71E4D}"/>
    <cellStyle name="Normal 26 3 2 2" xfId="28402" xr:uid="{8D31360E-6E3D-4757-8AFA-F1249960F5BB}"/>
    <cellStyle name="Normal 26 3 3" xfId="28403" xr:uid="{9C241CBA-13F8-4CDE-AA2B-97AF2A39B990}"/>
    <cellStyle name="Normal 26 4" xfId="28404" xr:uid="{95A11E25-032E-4039-89BF-8590FD4BEF68}"/>
    <cellStyle name="Normal 26 4 2" xfId="28405" xr:uid="{12577C1F-CD92-4C71-BE5F-EAB1522E8C29}"/>
    <cellStyle name="Normal 26 4 2 2" xfId="28406" xr:uid="{150DB121-A1E6-4470-B149-7805B35347AF}"/>
    <cellStyle name="Normal 26 4 3" xfId="28407" xr:uid="{6741920E-F840-4600-B24F-EAEAD8114F61}"/>
    <cellStyle name="Normal 26 5" xfId="28408" xr:uid="{49740C89-5A31-4464-B9AB-34AFBAE55DA3}"/>
    <cellStyle name="Normal 26 5 2" xfId="28409" xr:uid="{FACE55F1-9F6F-4B57-B05C-C5D8EB58F91D}"/>
    <cellStyle name="Normal 26 6" xfId="28410" xr:uid="{7526151A-A7B0-4E15-9C86-E242670CAA8E}"/>
    <cellStyle name="Normal 26 7" xfId="28411" xr:uid="{F6A54BBA-532C-4274-A59B-1C93C1B9AE49}"/>
    <cellStyle name="Normal 27" xfId="28412" xr:uid="{A816A6CE-D20B-4EB4-A9A2-D8125D0D4DF7}"/>
    <cellStyle name="Normal 27 10" xfId="28413" xr:uid="{F236EDD7-DFD6-4D3D-8B73-635EFBFE8E15}"/>
    <cellStyle name="Normal 27 10 2" xfId="28414" xr:uid="{91A9AD02-D5BB-46D4-8FF0-E130B43A5EA2}"/>
    <cellStyle name="Normal 27 10 2 2" xfId="28415" xr:uid="{CAE9DCE5-7E91-418B-A32A-8AA24FD24318}"/>
    <cellStyle name="Normal 27 10 3" xfId="28416" xr:uid="{0B8289BA-EE26-4BA2-811D-699D7FA04D99}"/>
    <cellStyle name="Normal 27 10 3 2" xfId="28417" xr:uid="{50EB298D-5A20-4715-A61D-B0F3E237572E}"/>
    <cellStyle name="Normal 27 10 4" xfId="28418" xr:uid="{38B76CBC-BFE4-4650-A75A-A99D9C8033CB}"/>
    <cellStyle name="Normal 27 11" xfId="28419" xr:uid="{5BCF25BB-B4E4-4B79-BA8D-B9FA314F4675}"/>
    <cellStyle name="Normal 27 11 2" xfId="28420" xr:uid="{BEA5AC12-D697-4C5B-ACB3-12B6B074A63A}"/>
    <cellStyle name="Normal 27 11 2 2" xfId="28421" xr:uid="{EAA433A1-DC8C-45EF-BC96-54A437B55880}"/>
    <cellStyle name="Normal 27 11 3" xfId="28422" xr:uid="{60CDBF4A-7BB8-4B39-89A4-8AF2672107F3}"/>
    <cellStyle name="Normal 27 11 3 2" xfId="28423" xr:uid="{AB8D2BB6-ACDE-4D34-AEB7-33EC1126D3A1}"/>
    <cellStyle name="Normal 27 11 4" xfId="28424" xr:uid="{36D6BAE8-BFC0-43CF-A5D5-410E70909731}"/>
    <cellStyle name="Normal 27 12" xfId="28425" xr:uid="{37BA13EF-103F-4C1F-BA14-0C6999C7CAD5}"/>
    <cellStyle name="Normal 27 12 2" xfId="28426" xr:uid="{1F1603C3-5979-48B8-91CC-EA78760EDE35}"/>
    <cellStyle name="Normal 27 12 2 2" xfId="28427" xr:uid="{7E3538DC-AA67-4DD4-8FEB-B0685CE43FB8}"/>
    <cellStyle name="Normal 27 12 3" xfId="28428" xr:uid="{26E7E135-AEFE-44C2-97B2-3C62B4AF957E}"/>
    <cellStyle name="Normal 27 12 3 2" xfId="28429" xr:uid="{D8C437FE-D3CC-422D-A3CB-335B06A6BB72}"/>
    <cellStyle name="Normal 27 12 4" xfId="28430" xr:uid="{F23E8B3F-32C4-4960-BF67-8CA8787261B8}"/>
    <cellStyle name="Normal 27 13" xfId="28431" xr:uid="{E125B5CE-A594-437D-AC82-CFBBC35BB0CF}"/>
    <cellStyle name="Normal 27 13 2" xfId="28432" xr:uid="{7598412A-85D7-4548-B6D8-1F0C9258C2BE}"/>
    <cellStyle name="Normal 27 13 2 2" xfId="28433" xr:uid="{0359B515-0EF7-4F28-8949-3B1203D66518}"/>
    <cellStyle name="Normal 27 13 3" xfId="28434" xr:uid="{30573F4C-A339-4FA3-90D7-A1406311875D}"/>
    <cellStyle name="Normal 27 13 3 2" xfId="28435" xr:uid="{FA214B44-7DFA-4E5D-81FB-627D3DE384AB}"/>
    <cellStyle name="Normal 27 13 4" xfId="28436" xr:uid="{341CE9CC-852F-4F3D-A252-5F1A53898348}"/>
    <cellStyle name="Normal 27 14" xfId="28437" xr:uid="{E0388B99-6629-43F9-A653-A10DEA66A82B}"/>
    <cellStyle name="Normal 27 14 2" xfId="28438" xr:uid="{108F9894-40B1-4635-B1F8-6487050B2BA3}"/>
    <cellStyle name="Normal 27 14 2 2" xfId="28439" xr:uid="{3D4BEBE7-B761-40B7-A00E-FE4292CEECB6}"/>
    <cellStyle name="Normal 27 14 3" xfId="28440" xr:uid="{C5A9D06B-4497-41EE-B76F-D87EA215A97B}"/>
    <cellStyle name="Normal 27 14 3 2" xfId="28441" xr:uid="{959F1F86-C9F7-47D4-AB23-61A3BA070DA7}"/>
    <cellStyle name="Normal 27 14 4" xfId="28442" xr:uid="{6E1446B0-BA7C-49CB-9C03-618C16D60F25}"/>
    <cellStyle name="Normal 27 15" xfId="28443" xr:uid="{795FEF57-68DF-40A7-88CD-A266C516E25A}"/>
    <cellStyle name="Normal 27 15 2" xfId="28444" xr:uid="{4717B620-91F0-4BAB-A6F3-9734AC3E0F62}"/>
    <cellStyle name="Normal 27 15 2 2" xfId="28445" xr:uid="{2EEDF9A2-780B-49F4-9F5A-A8386B2880B7}"/>
    <cellStyle name="Normal 27 15 3" xfId="28446" xr:uid="{8C929E16-BA5F-495F-B0BC-9CD5C42806D7}"/>
    <cellStyle name="Normal 27 15 3 2" xfId="28447" xr:uid="{910CDB64-3D32-4CAE-82E0-90AEDE158AAA}"/>
    <cellStyle name="Normal 27 15 4" xfId="28448" xr:uid="{5833F163-3054-4896-A554-08FF8A85A1BD}"/>
    <cellStyle name="Normal 27 16" xfId="28449" xr:uid="{EDFCA8D4-EA59-4A03-B089-4699593503AE}"/>
    <cellStyle name="Normal 27 16 2" xfId="28450" xr:uid="{272E2979-1841-4058-92DF-F46D1F996891}"/>
    <cellStyle name="Normal 27 16 2 2" xfId="28451" xr:uid="{B601EED1-273D-4DA5-971C-8E12E46B667D}"/>
    <cellStyle name="Normal 27 16 3" xfId="28452" xr:uid="{E0687CDD-2F68-4867-94E5-8E829CB5AB6C}"/>
    <cellStyle name="Normal 27 16 3 2" xfId="28453" xr:uid="{87305E34-E5CA-4A63-995C-D1C2DB391F41}"/>
    <cellStyle name="Normal 27 16 4" xfId="28454" xr:uid="{DBF0CB5E-3817-4344-AAF1-9215650D96AA}"/>
    <cellStyle name="Normal 27 17" xfId="28455" xr:uid="{15C3D261-E01A-4CCF-B0B8-88A50C5E6087}"/>
    <cellStyle name="Normal 27 17 2" xfId="28456" xr:uid="{F30454D3-7CBB-44C7-A8E1-071D9D23D7AB}"/>
    <cellStyle name="Normal 27 17 2 2" xfId="28457" xr:uid="{AD142B97-C63F-4A41-83F3-60CFFC36BA43}"/>
    <cellStyle name="Normal 27 17 3" xfId="28458" xr:uid="{22FD7BEC-DDBE-4623-864A-39E65089D970}"/>
    <cellStyle name="Normal 27 17 3 2" xfId="28459" xr:uid="{DED9841E-69A9-4DFB-8616-624B248F7E89}"/>
    <cellStyle name="Normal 27 17 4" xfId="28460" xr:uid="{65771657-5023-41E1-8884-D4DDE2B6FA0D}"/>
    <cellStyle name="Normal 27 18" xfId="28461" xr:uid="{7B54ECDD-ACE0-498E-AF95-C8ED3C95AEC1}"/>
    <cellStyle name="Normal 27 18 2" xfId="28462" xr:uid="{4C2B69E8-E934-4CCD-BE9B-8927D57E173E}"/>
    <cellStyle name="Normal 27 18 2 2" xfId="28463" xr:uid="{E9B6260C-0993-4282-9B5A-01C2511D4058}"/>
    <cellStyle name="Normal 27 18 3" xfId="28464" xr:uid="{CD4B7BEA-6D8A-4103-99A9-1972104887DA}"/>
    <cellStyle name="Normal 27 18 3 2" xfId="28465" xr:uid="{B56FBED1-5F63-49E6-91B0-CE25357339C9}"/>
    <cellStyle name="Normal 27 18 4" xfId="28466" xr:uid="{F199263E-26CF-451E-845B-75E0DD85B53A}"/>
    <cellStyle name="Normal 27 19" xfId="28467" xr:uid="{7F5FF26C-6168-4B30-A305-76847AC227C8}"/>
    <cellStyle name="Normal 27 19 2" xfId="28468" xr:uid="{0BD40826-0880-4048-BBB6-580316615E47}"/>
    <cellStyle name="Normal 27 19 2 2" xfId="28469" xr:uid="{D3635D64-268B-4EA1-9931-F82C051CFDA3}"/>
    <cellStyle name="Normal 27 19 3" xfId="28470" xr:uid="{1C40AF19-DA90-4F71-962E-DD88A2B4C3F4}"/>
    <cellStyle name="Normal 27 19 3 2" xfId="28471" xr:uid="{60501A1C-DF1C-430A-B5CD-4618186D38A0}"/>
    <cellStyle name="Normal 27 19 4" xfId="28472" xr:uid="{151A004E-82EA-4A6E-BCF2-E585BA2C9DFB}"/>
    <cellStyle name="Normal 27 2" xfId="28473" xr:uid="{667770F2-348D-493E-B1B0-DA99CC838D3E}"/>
    <cellStyle name="Normal 27 2 2" xfId="28474" xr:uid="{96043353-8851-4005-9867-5A268C4BA1C0}"/>
    <cellStyle name="Normal 27 2 2 2" xfId="28475" xr:uid="{AB3A58BE-945C-408F-BD26-DB5F9D514F66}"/>
    <cellStyle name="Normal 27 2 2 2 2" xfId="28476" xr:uid="{50ED66CA-DA5C-47AF-BF4B-E7195D500D63}"/>
    <cellStyle name="Normal 27 2 2 2 2 2" xfId="28477" xr:uid="{E0472952-7765-4CB9-BD46-A940C8A26159}"/>
    <cellStyle name="Normal 27 2 2 2 3" xfId="28478" xr:uid="{23ADBDB4-232C-42E5-BD31-12B2D706CEAE}"/>
    <cellStyle name="Normal 27 2 2 3" xfId="28479" xr:uid="{2449C45F-6E74-4326-80E0-5EC88BED3DD0}"/>
    <cellStyle name="Normal 27 2 2 3 2" xfId="28480" xr:uid="{3CF5CC39-7B34-4286-A130-9536CBA11B9B}"/>
    <cellStyle name="Normal 27 2 2 3 2 2" xfId="28481" xr:uid="{B29AB7AF-5D6B-4A94-9C79-FCB49058889D}"/>
    <cellStyle name="Normal 27 2 2 3 3" xfId="28482" xr:uid="{0C18F150-1580-4A40-8B38-3442C17A749E}"/>
    <cellStyle name="Normal 27 2 2 4" xfId="28483" xr:uid="{BFFFFEFC-7C24-4916-BDDD-7A7525240FB1}"/>
    <cellStyle name="Normal 27 2 3" xfId="28484" xr:uid="{A1C331A2-E0A6-4DE1-87E4-3CB3B99716A4}"/>
    <cellStyle name="Normal 27 2 3 2" xfId="28485" xr:uid="{EB37D90B-0D8B-4761-BC83-10A2B9768618}"/>
    <cellStyle name="Normal 27 2 3 2 2" xfId="28486" xr:uid="{C19761BB-D4AB-459C-8A19-40A3C1A56EC2}"/>
    <cellStyle name="Normal 27 2 3 3" xfId="28487" xr:uid="{CACAF9EA-F731-4833-8FAD-40FC167AFE3D}"/>
    <cellStyle name="Normal 27 2 4" xfId="28488" xr:uid="{2789E6C7-6F34-4AD9-98EE-E19589FEF422}"/>
    <cellStyle name="Normal 27 2 4 2" xfId="28489" xr:uid="{5C3F4836-437C-4D9C-8C1D-0FE493EA5C3F}"/>
    <cellStyle name="Normal 27 2 4 2 2" xfId="28490" xr:uid="{F793924D-27E4-4342-B755-2BC39AD2FFA2}"/>
    <cellStyle name="Normal 27 2 4 3" xfId="28491" xr:uid="{64F5FB67-7903-49C3-B1F0-204DD976200A}"/>
    <cellStyle name="Normal 27 2 5" xfId="28492" xr:uid="{6F05BC86-EE47-4673-BE5B-3E0B63842B2E}"/>
    <cellStyle name="Normal 27 2 6" xfId="39072" xr:uid="{64D3D4AA-9567-486A-B4CD-C9655AA9E98F}"/>
    <cellStyle name="Normal 27 20" xfId="28493" xr:uid="{B0309EFC-8437-4809-9BDA-F2223DF99CE5}"/>
    <cellStyle name="Normal 27 20 2" xfId="28494" xr:uid="{A7A99BE1-123D-44A4-9A76-9369297D4DB5}"/>
    <cellStyle name="Normal 27 20 2 2" xfId="28495" xr:uid="{2E130452-010C-431F-A4B3-DC86BE16B7A8}"/>
    <cellStyle name="Normal 27 20 3" xfId="28496" xr:uid="{763DAB5E-41BD-426C-8BDC-D6C5A05D2D08}"/>
    <cellStyle name="Normal 27 20 3 2" xfId="28497" xr:uid="{BB51EACB-379E-4C47-8858-61D26454EAE6}"/>
    <cellStyle name="Normal 27 20 4" xfId="28498" xr:uid="{9750B1C6-86D4-4C19-8620-F9318519F71A}"/>
    <cellStyle name="Normal 27 21" xfId="28499" xr:uid="{F5A4B2FF-1858-4D1D-98AE-7C8AAF682B5A}"/>
    <cellStyle name="Normal 27 21 2" xfId="28500" xr:uid="{BD88B3C1-69A9-42CD-BA23-9F41AE901AC4}"/>
    <cellStyle name="Normal 27 21 2 2" xfId="28501" xr:uid="{D9F9740D-8B2D-4429-9B13-19ED6D9FA410}"/>
    <cellStyle name="Normal 27 21 3" xfId="28502" xr:uid="{89C1EB35-3663-4A57-9BAE-A061254CE129}"/>
    <cellStyle name="Normal 27 21 3 2" xfId="28503" xr:uid="{9556F717-8B0C-40E7-BB48-9C3BB8B75BCB}"/>
    <cellStyle name="Normal 27 21 4" xfId="28504" xr:uid="{37C69D88-BF09-427F-9377-24A343E1D8B4}"/>
    <cellStyle name="Normal 27 22" xfId="28505" xr:uid="{8C803D7E-2021-4F3F-9362-D110CCC41BFE}"/>
    <cellStyle name="Normal 27 22 2" xfId="28506" xr:uid="{80853C66-0A4E-4C5A-8A1B-C1553DDB1F88}"/>
    <cellStyle name="Normal 27 22 2 2" xfId="28507" xr:uid="{49EAEA02-E8AC-4505-949F-63288082F1F6}"/>
    <cellStyle name="Normal 27 22 3" xfId="28508" xr:uid="{7DAD2B98-3308-4D17-BF7C-6C78EB3EF605}"/>
    <cellStyle name="Normal 27 22 3 2" xfId="28509" xr:uid="{030FA019-572B-46B6-8BD2-DF10354D946A}"/>
    <cellStyle name="Normal 27 22 4" xfId="28510" xr:uid="{DE36841F-EFB3-41D8-A336-12B8C90F7078}"/>
    <cellStyle name="Normal 27 23" xfId="28511" xr:uid="{81EE4BA6-DC85-4065-8287-AD2B0C1624E5}"/>
    <cellStyle name="Normal 27 23 2" xfId="28512" xr:uid="{9041C110-A1EE-4F0B-963D-A28F864D46BB}"/>
    <cellStyle name="Normal 27 23 2 2" xfId="28513" xr:uid="{23A69ACB-1F80-4D46-B12C-AA3E280932FC}"/>
    <cellStyle name="Normal 27 23 3" xfId="28514" xr:uid="{988C2CDD-967A-4A52-9907-9589F49E063E}"/>
    <cellStyle name="Normal 27 24" xfId="28515" xr:uid="{7984BF5B-EECF-4964-91DE-BE95520C17AD}"/>
    <cellStyle name="Normal 27 24 2" xfId="28516" xr:uid="{2DFDDAF7-4EBB-45DB-95E2-3317AED504C2}"/>
    <cellStyle name="Normal 27 25" xfId="28517" xr:uid="{5D29D100-02EC-436F-9F38-B9FADAED3120}"/>
    <cellStyle name="Normal 27 26" xfId="39073" xr:uid="{241AFF6C-BADB-4A07-952A-1E633E4BF43D}"/>
    <cellStyle name="Normal 27 3" xfId="28518" xr:uid="{3EF5EE70-482D-4748-A5E9-CE216630F263}"/>
    <cellStyle name="Normal 27 3 2" xfId="28519" xr:uid="{DBD42094-49A9-4486-893E-EA41FAB4D7C1}"/>
    <cellStyle name="Normal 27 3 2 2" xfId="28520" xr:uid="{92FC42CB-D6BA-499B-9EB3-9F2F6666179F}"/>
    <cellStyle name="Normal 27 3 2 2 2" xfId="28521" xr:uid="{FE87EC41-CA85-4169-AD2E-9421F3F68E50}"/>
    <cellStyle name="Normal 27 3 2 2 2 2" xfId="28522" xr:uid="{A419913F-20FD-45FD-9562-B1B3EA1C3024}"/>
    <cellStyle name="Normal 27 3 2 2 3" xfId="28523" xr:uid="{21972896-2030-4F5A-8D97-3006B821ABB8}"/>
    <cellStyle name="Normal 27 3 2 3" xfId="28524" xr:uid="{DE38D5CB-BA82-4B98-86CD-B80192B637CA}"/>
    <cellStyle name="Normal 27 3 2 3 2" xfId="28525" xr:uid="{F5F9161B-78AB-48B2-9C5A-368B7A7CF9BA}"/>
    <cellStyle name="Normal 27 3 2 3 2 2" xfId="28526" xr:uid="{38308738-249F-42F0-8ADA-3E203913CF31}"/>
    <cellStyle name="Normal 27 3 2 3 3" xfId="28527" xr:uid="{182CD805-9CD8-4ED6-BF3C-F9A4ACCE3FF9}"/>
    <cellStyle name="Normal 27 3 2 4" xfId="28528" xr:uid="{BCF7A3C3-2457-4E4A-A5DC-D93A0B2A1249}"/>
    <cellStyle name="Normal 27 3 2 4 2" xfId="28529" xr:uid="{6F9B6116-E4D6-4036-853B-AE014206C90E}"/>
    <cellStyle name="Normal 27 3 2 5" xfId="28530" xr:uid="{0D06A7EB-825F-45C2-A52D-7D177FCCDC35}"/>
    <cellStyle name="Normal 27 3 3" xfId="28531" xr:uid="{AF60420B-FDCB-4147-A4F4-BD7EA221A287}"/>
    <cellStyle name="Normal 27 3 3 2" xfId="28532" xr:uid="{43705386-3AE2-4DD3-951D-7AAB598DF933}"/>
    <cellStyle name="Normal 27 3 3 2 2" xfId="28533" xr:uid="{E2E5890A-CB1F-4657-9C59-7207B17ABAD7}"/>
    <cellStyle name="Normal 27 3 3 3" xfId="28534" xr:uid="{F4AE2F3C-3D11-45B8-A988-4E5D7438DF98}"/>
    <cellStyle name="Normal 27 3 4" xfId="28535" xr:uid="{F555C612-E756-455E-9D8F-91D45C61A46B}"/>
    <cellStyle name="Normal 27 3 4 2" xfId="28536" xr:uid="{098D348F-F318-49B2-B7A2-016F34E02992}"/>
    <cellStyle name="Normal 27 3 4 2 2" xfId="28537" xr:uid="{7A05626D-6871-4A5C-93FC-131A34D061F3}"/>
    <cellStyle name="Normal 27 3 4 3" xfId="28538" xr:uid="{8512E892-A4AB-48D0-BB1A-0DEB4E3CA519}"/>
    <cellStyle name="Normal 27 3 5" xfId="28539" xr:uid="{A66202A3-3E43-4FBC-85E9-0463526D4A8B}"/>
    <cellStyle name="Normal 27 3 5 2" xfId="28540" xr:uid="{CA25FA5E-6F9A-4C6D-80E2-485C27534D9F}"/>
    <cellStyle name="Normal 27 3 6" xfId="28541" xr:uid="{F26B3A26-B230-409D-B418-80B87FFAB3C4}"/>
    <cellStyle name="Normal 27 4" xfId="28542" xr:uid="{9AFE7ACC-6B68-4695-8A14-ED4750F045D6}"/>
    <cellStyle name="Normal 27 4 2" xfId="28543" xr:uid="{3978A584-EFF5-4592-91ED-82E42E6875C6}"/>
    <cellStyle name="Normal 27 4 2 2" xfId="28544" xr:uid="{AFBECA7D-A44F-4405-807E-6126A0D5EEDD}"/>
    <cellStyle name="Normal 27 4 2 2 2" xfId="28545" xr:uid="{0E8A1CFA-4320-404D-9EBF-4B13696DFF8D}"/>
    <cellStyle name="Normal 27 4 2 2 2 2" xfId="28546" xr:uid="{E58C05EC-E8A1-4413-B7DE-5BEEC0DD08D5}"/>
    <cellStyle name="Normal 27 4 2 2 3" xfId="28547" xr:uid="{138D6E0B-ED9B-4675-B06A-9FD9407C8092}"/>
    <cellStyle name="Normal 27 4 2 3" xfId="28548" xr:uid="{9DD72B29-60E2-4568-AC37-2CF6B748EFF9}"/>
    <cellStyle name="Normal 27 4 2 3 2" xfId="28549" xr:uid="{0A06BF3D-FFBB-4BBC-A652-8619C7888774}"/>
    <cellStyle name="Normal 27 4 2 3 2 2" xfId="28550" xr:uid="{40DE509A-70DE-4BF4-838C-99F0EBBD2708}"/>
    <cellStyle name="Normal 27 4 2 3 3" xfId="28551" xr:uid="{78405240-082B-4A67-981D-BCFBF04541AE}"/>
    <cellStyle name="Normal 27 4 2 4" xfId="28552" xr:uid="{8FBB3061-0BE3-4BF5-B781-6EFAF41E4EE0}"/>
    <cellStyle name="Normal 27 4 2 4 2" xfId="28553" xr:uid="{BFA3F4D9-1069-4122-8E6D-C01AEA874B0B}"/>
    <cellStyle name="Normal 27 4 2 5" xfId="28554" xr:uid="{37F4A5B0-E667-4137-8913-F02B835D0B5E}"/>
    <cellStyle name="Normal 27 4 3" xfId="28555" xr:uid="{6E55F7FE-73FA-486C-AA4A-8E37655D4851}"/>
    <cellStyle name="Normal 27 4 3 2" xfId="28556" xr:uid="{9E20AC93-D075-4677-BE1A-00E7C35E0A84}"/>
    <cellStyle name="Normal 27 4 3 2 2" xfId="28557" xr:uid="{99B5E791-6B6A-4422-B0C7-1A55B6E1A073}"/>
    <cellStyle name="Normal 27 4 3 3" xfId="28558" xr:uid="{2E0DA8E1-FADD-4F84-B0AC-6E44FED0DEC9}"/>
    <cellStyle name="Normal 27 4 4" xfId="28559" xr:uid="{1FA374E5-19C9-4546-8357-26AD55B52E6C}"/>
    <cellStyle name="Normal 27 4 4 2" xfId="28560" xr:uid="{71CD99BA-338A-4E22-9CA4-3A5F0A33B4B2}"/>
    <cellStyle name="Normal 27 4 4 2 2" xfId="28561" xr:uid="{2077B2BD-8F24-4B5E-AAB9-CE17A2DA12A8}"/>
    <cellStyle name="Normal 27 4 4 3" xfId="28562" xr:uid="{1878DE52-6F0E-4067-BFE1-C912DA21C8B4}"/>
    <cellStyle name="Normal 27 4 5" xfId="28563" xr:uid="{A1E677A2-D2A0-4A80-A353-5B8BD22734F6}"/>
    <cellStyle name="Normal 27 4 5 2" xfId="28564" xr:uid="{2C245BB8-9303-4650-95EA-7E93AD1B16FE}"/>
    <cellStyle name="Normal 27 4 6" xfId="28565" xr:uid="{56A81DA9-2F4A-4D5A-AF45-9F9C94DEC97A}"/>
    <cellStyle name="Normal 27 5" xfId="28566" xr:uid="{D2108639-B948-48EA-80D9-4F63054198C5}"/>
    <cellStyle name="Normal 27 5 2" xfId="28567" xr:uid="{EB5CE5F8-E394-4393-8281-47F05AC751D7}"/>
    <cellStyle name="Normal 27 5 2 2" xfId="28568" xr:uid="{73B43C3E-FF02-43F0-A66C-F26CD705064B}"/>
    <cellStyle name="Normal 27 5 2 2 2" xfId="28569" xr:uid="{33779E1D-5715-463B-AC66-2E9D9B6F5FF7}"/>
    <cellStyle name="Normal 27 5 2 3" xfId="28570" xr:uid="{83A16E67-FBC4-44B1-A512-E16E089A0E16}"/>
    <cellStyle name="Normal 27 5 3" xfId="28571" xr:uid="{0211CB9A-B728-4EB0-8945-F9382C44A7BE}"/>
    <cellStyle name="Normal 27 5 3 2" xfId="28572" xr:uid="{119A6E6D-79BA-4ABF-893B-AA80B2B47B1A}"/>
    <cellStyle name="Normal 27 5 3 2 2" xfId="28573" xr:uid="{63C2222B-852C-4A8A-8984-9E1E31DB9B32}"/>
    <cellStyle name="Normal 27 5 3 3" xfId="28574" xr:uid="{D13AB639-CBCD-46DF-83A4-AD06B5ABB58B}"/>
    <cellStyle name="Normal 27 5 4" xfId="28575" xr:uid="{65F34E77-B916-4263-897B-3A2D052EDC80}"/>
    <cellStyle name="Normal 27 5 4 2" xfId="28576" xr:uid="{9D0F84B4-656C-45B4-AFD0-38DEC9F27B2C}"/>
    <cellStyle name="Normal 27 5 5" xfId="28577" xr:uid="{85594B8B-E0FB-48ED-A686-BD9735855AEF}"/>
    <cellStyle name="Normal 27 6" xfId="28578" xr:uid="{345629ED-4C9A-443E-A5BF-A5E66B93AA90}"/>
    <cellStyle name="Normal 27 6 2" xfId="28579" xr:uid="{C0136D0A-E537-4651-814A-FF106D821393}"/>
    <cellStyle name="Normal 27 6 2 2" xfId="28580" xr:uid="{021C576A-802B-419F-B087-0EF11DBDBDFA}"/>
    <cellStyle name="Normal 27 6 3" xfId="28581" xr:uid="{8E24C57D-1CC8-4A4F-9D80-EF2EFE22A6C6}"/>
    <cellStyle name="Normal 27 6 3 2" xfId="28582" xr:uid="{DA3D2574-562E-494C-9CAB-EA8BBC0355D5}"/>
    <cellStyle name="Normal 27 6 4" xfId="28583" xr:uid="{78B0EE99-0FDF-458B-97AB-336D63258CEF}"/>
    <cellStyle name="Normal 27 7" xfId="28584" xr:uid="{DFB4E8F8-2198-4E63-8491-7EC55496E116}"/>
    <cellStyle name="Normal 27 7 2" xfId="28585" xr:uid="{95C79C37-42D3-4357-A931-82934D8AD676}"/>
    <cellStyle name="Normal 27 7 2 2" xfId="28586" xr:uid="{2E3046D9-B645-4622-AF61-F42E193D4D6F}"/>
    <cellStyle name="Normal 27 7 3" xfId="28587" xr:uid="{3E781247-2214-41C5-9B51-46E1AFF5130C}"/>
    <cellStyle name="Normal 27 7 3 2" xfId="28588" xr:uid="{92E4B616-C338-46F9-A41A-B671CDD061A5}"/>
    <cellStyle name="Normal 27 7 4" xfId="28589" xr:uid="{5516D0E6-31AE-4338-9149-93EE62B77DFB}"/>
    <cellStyle name="Normal 27 8" xfId="28590" xr:uid="{B3D86678-646D-41AA-AA63-BFE0E93F13AE}"/>
    <cellStyle name="Normal 27 8 2" xfId="28591" xr:uid="{A373FB5A-C4DB-4E34-B7AD-B85764F3C219}"/>
    <cellStyle name="Normal 27 8 2 2" xfId="28592" xr:uid="{031F185C-C30E-4070-8F12-49B6F0BAEF0D}"/>
    <cellStyle name="Normal 27 8 3" xfId="28593" xr:uid="{A1AA3BA0-E62D-4F7C-87E1-91C0725C9D7E}"/>
    <cellStyle name="Normal 27 8 3 2" xfId="28594" xr:uid="{9816E2D3-ECBA-4E6D-A0EC-036F022992DF}"/>
    <cellStyle name="Normal 27 8 4" xfId="28595" xr:uid="{61FB5D43-4805-4133-AC3D-6EF5D772F460}"/>
    <cellStyle name="Normal 27 9" xfId="28596" xr:uid="{CEA2B758-E704-4D8B-912E-CCF6B09EBA68}"/>
    <cellStyle name="Normal 27 9 2" xfId="28597" xr:uid="{6E521261-DD41-446D-BA1C-1DB71C7DBA78}"/>
    <cellStyle name="Normal 27 9 2 2" xfId="28598" xr:uid="{785B8E7B-DC1A-44CB-AC51-472B0F80A986}"/>
    <cellStyle name="Normal 27 9 3" xfId="28599" xr:uid="{F5BE6E68-7BDE-4010-941D-02A761F80438}"/>
    <cellStyle name="Normal 27 9 3 2" xfId="28600" xr:uid="{593C4B58-8F8D-41E0-9382-7BDE2116A7AD}"/>
    <cellStyle name="Normal 27 9 4" xfId="28601" xr:uid="{7BCE03B9-AE25-4E38-B4D0-30205A0DEF24}"/>
    <cellStyle name="Normal 28" xfId="28602" xr:uid="{272A4BEF-DF94-437C-9051-9C7EB3F01A30}"/>
    <cellStyle name="Normal 28 2" xfId="28603" xr:uid="{E98415A5-E51E-4384-901C-D337655427CB}"/>
    <cellStyle name="Normal 28 2 2" xfId="28604" xr:uid="{4523F3E5-8D4F-45B0-B24C-E0FC0802A275}"/>
    <cellStyle name="Normal 28 2 2 2" xfId="28605" xr:uid="{BFA37E60-A503-4629-A452-685474B3F7AF}"/>
    <cellStyle name="Normal 28 2 2 2 2" xfId="28606" xr:uid="{6F8C975D-708B-49F1-86D4-7425D82F71D9}"/>
    <cellStyle name="Normal 28 2 2 3" xfId="28607" xr:uid="{200762E7-7685-41E9-8973-058C510E6278}"/>
    <cellStyle name="Normal 28 2 3" xfId="28608" xr:uid="{C3ADFD29-BBAA-4C9D-A5B0-48A5ADB0E95D}"/>
    <cellStyle name="Normal 28 2 3 2" xfId="28609" xr:uid="{794D646C-631D-407C-A704-494B51D5AF09}"/>
    <cellStyle name="Normal 28 2 3 2 2" xfId="28610" xr:uid="{BD8BD679-1CDF-4CFD-83F5-DEACBB3CE566}"/>
    <cellStyle name="Normal 28 2 3 3" xfId="28611" xr:uid="{CF40B063-965C-4E14-9C06-B0145FD50C3E}"/>
    <cellStyle name="Normal 28 2 4" xfId="28612" xr:uid="{D1C64238-70E4-46AB-A02D-53B75A1376B8}"/>
    <cellStyle name="Normal 28 2 4 2" xfId="28613" xr:uid="{2734BE87-B9EB-4270-9C92-F9D6A1E8777A}"/>
    <cellStyle name="Normal 28 2 5" xfId="28614" xr:uid="{A32A60A1-14A8-442E-8BAA-1CD479756632}"/>
    <cellStyle name="Normal 28 2 6" xfId="39074" xr:uid="{1D92BD5B-FE45-49C9-8F04-0FBB1B3A3E16}"/>
    <cellStyle name="Normal 28 3" xfId="28615" xr:uid="{42BBC216-41E6-42B7-9B74-4A04C9E5469E}"/>
    <cellStyle name="Normal 28 3 2" xfId="28616" xr:uid="{4C5CFFBF-F7DD-479C-9904-93AEA025B300}"/>
    <cellStyle name="Normal 28 3 2 2" xfId="28617" xr:uid="{381A6F55-4626-4E37-9913-5E170E3B8B0B}"/>
    <cellStyle name="Normal 28 3 3" xfId="28618" xr:uid="{07E8EAC4-E9CC-4F69-831C-1AFD200B4742}"/>
    <cellStyle name="Normal 28 4" xfId="28619" xr:uid="{D6745690-D0D4-43B3-AB2A-0B547153AF44}"/>
    <cellStyle name="Normal 28 4 2" xfId="28620" xr:uid="{6511FA84-7A42-4124-8DAB-80DA5D48B668}"/>
    <cellStyle name="Normal 28 4 2 2" xfId="28621" xr:uid="{A641A353-4464-466D-84FD-5BC3053931C5}"/>
    <cellStyle name="Normal 28 4 3" xfId="28622" xr:uid="{92575F29-A4D4-447C-B40C-6B04A51883FB}"/>
    <cellStyle name="Normal 28 5" xfId="28623" xr:uid="{79F21B08-0B28-46C3-8081-ACEE86EC8BFA}"/>
    <cellStyle name="Normal 28 5 2" xfId="28624" xr:uid="{5B6AD351-F718-4D9C-9E1F-01E9DB4233F3}"/>
    <cellStyle name="Normal 28 6" xfId="28625" xr:uid="{7EC52B27-7DAD-4AA2-8D19-647AF1C8D909}"/>
    <cellStyle name="Normal 28 7" xfId="39075" xr:uid="{DFE0F8D0-9A1E-40C6-9E17-F2DA515A03F3}"/>
    <cellStyle name="Normal 29" xfId="28626" xr:uid="{D151E939-CBBC-4C0E-ACFA-EA75A7F57EBC}"/>
    <cellStyle name="Normal 29 2" xfId="28627" xr:uid="{752E4992-31B3-4CC1-9224-6F9B7C98A0BD}"/>
    <cellStyle name="Normal 29 2 2" xfId="28628" xr:uid="{281A6E67-2822-4FDC-9B52-8771E8B680DC}"/>
    <cellStyle name="Normal 29 2 2 2" xfId="28629" xr:uid="{B4BDB71B-29F4-469A-B36A-374557840C87}"/>
    <cellStyle name="Normal 29 2 2 2 2" xfId="28630" xr:uid="{57D4296C-28D1-4C3F-A3A8-0203EBFBBBE9}"/>
    <cellStyle name="Normal 29 2 2 3" xfId="28631" xr:uid="{70A7D416-0409-4005-B55B-E7CB68DFBDA6}"/>
    <cellStyle name="Normal 29 2 3" xfId="28632" xr:uid="{C23C7AB6-27EE-4EE8-9F54-0C7C91250848}"/>
    <cellStyle name="Normal 29 2 3 2" xfId="28633" xr:uid="{4216451D-124A-40CF-BD88-146359E8C148}"/>
    <cellStyle name="Normal 29 2 3 2 2" xfId="28634" xr:uid="{A1269FF4-5086-4566-A0F7-41714A5D6C95}"/>
    <cellStyle name="Normal 29 2 3 3" xfId="28635" xr:uid="{7E29B09A-D5A0-472B-AED2-2E085985C5F1}"/>
    <cellStyle name="Normal 29 2 4" xfId="28636" xr:uid="{8DD63B4D-4C3F-426A-B259-CAC28B66D8BD}"/>
    <cellStyle name="Normal 29 2 4 2" xfId="28637" xr:uid="{2159EFD2-AF9E-4211-8B11-392C8ACD43C8}"/>
    <cellStyle name="Normal 29 2 5" xfId="28638" xr:uid="{5C12F2B3-3A7E-4E5B-8E0A-DD55556C0DB8}"/>
    <cellStyle name="Normal 29 2 6" xfId="39076" xr:uid="{A94CF2FD-429E-4AA6-8BD3-C2A0817115C2}"/>
    <cellStyle name="Normal 29 3" xfId="28639" xr:uid="{0FA6EA29-24DB-4773-8C48-64BC0926B4ED}"/>
    <cellStyle name="Normal 29 3 2" xfId="28640" xr:uid="{3D9E9AE9-8871-484C-BCE3-72B75E00BBF7}"/>
    <cellStyle name="Normal 29 3 2 2" xfId="28641" xr:uid="{26B9F4C4-02D0-45E7-A331-D88463DB3F24}"/>
    <cellStyle name="Normal 29 3 3" xfId="28642" xr:uid="{B875BDEB-0A58-4282-82D1-3C5A083A6F31}"/>
    <cellStyle name="Normal 29 4" xfId="28643" xr:uid="{8B162C80-4AEE-40C6-80B0-E56AD7EF9036}"/>
    <cellStyle name="Normal 29 4 2" xfId="28644" xr:uid="{1A8A60FA-CA20-42AB-8BBA-D45C7B42A1E6}"/>
    <cellStyle name="Normal 29 4 2 2" xfId="28645" xr:uid="{3573D07A-B54C-4628-AEBB-3DE4F9257B2A}"/>
    <cellStyle name="Normal 29 4 3" xfId="28646" xr:uid="{F2B4150E-3489-4D0B-B6B4-323AC50D739E}"/>
    <cellStyle name="Normal 29 5" xfId="28647" xr:uid="{A0273CAF-BBAD-442A-898B-BD4B0A8ACC09}"/>
    <cellStyle name="Normal 29 5 2" xfId="28648" xr:uid="{5BEB1626-C09D-4CC2-AE48-A7F45E330509}"/>
    <cellStyle name="Normal 29 6" xfId="28649" xr:uid="{3AD4417D-7DE3-4E54-B7A8-5DBB0F842E31}"/>
    <cellStyle name="Normal 29 7" xfId="39077" xr:uid="{0A78B395-4765-482B-B734-1D2FD3F61828}"/>
    <cellStyle name="Normal 3" xfId="77" xr:uid="{89AE0902-BF2D-4EE2-B1A9-D071CB392CE7}"/>
    <cellStyle name="Normal 3 10" xfId="28651" xr:uid="{AABF893A-B72D-43C8-9F7B-138634CF0573}"/>
    <cellStyle name="Normal 3 11" xfId="28652" xr:uid="{92C21525-7AB6-4C91-BA95-6B36747C43B0}"/>
    <cellStyle name="Normal 3 12" xfId="28653" xr:uid="{C61884A2-D74C-4915-A124-86AA00DF28E3}"/>
    <cellStyle name="Normal 3 12 2" xfId="28654" xr:uid="{9B59D886-7C71-4D2A-87CE-037F346F15BF}"/>
    <cellStyle name="Normal 3 12 2 2" xfId="28655" xr:uid="{D055A066-8519-4EA2-9A77-C939FEBD3C60}"/>
    <cellStyle name="Normal 3 12 2 2 2" xfId="28656" xr:uid="{84D65DD9-BE22-4976-8458-B69AB1A17E73}"/>
    <cellStyle name="Normal 3 12 2 3" xfId="28657" xr:uid="{4EE85A4B-9884-4626-B47C-D5FBABD0E2C4}"/>
    <cellStyle name="Normal 3 12 3" xfId="28658" xr:uid="{AEC78B82-B7C1-43D6-8EB4-29B23738E376}"/>
    <cellStyle name="Normal 3 12 3 2" xfId="28659" xr:uid="{CCA44134-9EE3-4370-818F-45EAFFF5AA9A}"/>
    <cellStyle name="Normal 3 12 3 2 2" xfId="28660" xr:uid="{DCF4C314-079F-4BA1-9954-A4ECC3CBA403}"/>
    <cellStyle name="Normal 3 12 3 3" xfId="28661" xr:uid="{DADE8B27-80BC-42E4-B797-A9FD83768C1F}"/>
    <cellStyle name="Normal 3 12 4" xfId="28662" xr:uid="{078F5BDF-BFB9-43C6-8D50-A03F2F1676AE}"/>
    <cellStyle name="Normal 3 12 4 2" xfId="28663" xr:uid="{CA35688C-FBE6-4981-96FF-F2552EAF5645}"/>
    <cellStyle name="Normal 3 12 5" xfId="28664" xr:uid="{E20F1BCA-C19D-47E2-84DD-F64695B2374E}"/>
    <cellStyle name="Normal 3 13" xfId="28665" xr:uid="{F0B6392C-44F8-4D05-A590-CA35E66FC02E}"/>
    <cellStyle name="Normal 3 13 2" xfId="28666" xr:uid="{B6FD04B4-92B0-41E3-A2CF-28DCDBA13C04}"/>
    <cellStyle name="Normal 3 13 2 2" xfId="28667" xr:uid="{E65B4351-13CF-4D3A-BA68-1F03C4886789}"/>
    <cellStyle name="Normal 3 13 3" xfId="28668" xr:uid="{EB5ED087-C6A4-41A9-9F74-A2D62676A52B}"/>
    <cellStyle name="Normal 3 14" xfId="28669" xr:uid="{C8A777AF-AE00-4437-A127-B3315C5B1EC4}"/>
    <cellStyle name="Normal 3 14 2" xfId="28670" xr:uid="{1B65769E-2A79-4B5E-98CB-0EDA78A00885}"/>
    <cellStyle name="Normal 3 14 2 2" xfId="28671" xr:uid="{CD4A9B4C-2D82-42B3-9679-4F0A24E6F369}"/>
    <cellStyle name="Normal 3 14 3" xfId="28672" xr:uid="{9CCD6B9D-E977-4341-BAA5-6629FD66A14F}"/>
    <cellStyle name="Normal 3 15" xfId="28673" xr:uid="{13EB329B-200B-4523-A74E-F6510AF4C00C}"/>
    <cellStyle name="Normal 3 15 2" xfId="28674" xr:uid="{0C2FCAA4-1CE7-4240-9E22-8B8B2D0B5FEE}"/>
    <cellStyle name="Normal 3 16" xfId="28675" xr:uid="{5B620A17-3CD9-42D0-A9BF-FE56E3D1BF41}"/>
    <cellStyle name="Normal 3 17" xfId="39078" xr:uid="{AF652CEC-EFBD-41F8-BD8B-2CAF36C6F942}"/>
    <cellStyle name="Normal 3 18" xfId="39079" xr:uid="{FEA37E47-B95B-4927-9485-660F885EA0A5}"/>
    <cellStyle name="Normal 3 19" xfId="28650" xr:uid="{011F7F7A-7E6A-4091-BB0D-26A5E7673C43}"/>
    <cellStyle name="Normal 3 2" xfId="140" xr:uid="{82C38C9A-DD58-4251-BC51-E91E835711D3}"/>
    <cellStyle name="Normal 3 2 2" xfId="153" xr:uid="{8B9956C8-F707-4082-A66D-3253CE6E36D7}"/>
    <cellStyle name="Normal 3 2 2 2" xfId="28678" xr:uid="{F4E8AC29-00E2-4CB3-953D-4D9A0CE611B2}"/>
    <cellStyle name="Normal 3 2 2 3" xfId="28677" xr:uid="{32EE1835-D94B-4A38-B5C7-8370C5BB729D}"/>
    <cellStyle name="Normal 3 2 3" xfId="151" xr:uid="{75F7C654-38D0-45C6-96FE-73D2114A9F88}"/>
    <cellStyle name="Normal 3 2 3 2" xfId="39080" xr:uid="{FD37B641-ECF4-4556-8810-34629AB3F6C8}"/>
    <cellStyle name="Normal 3 2 4" xfId="28676" xr:uid="{098864B2-9F35-4C2F-9FE6-FCE19FB8C925}"/>
    <cellStyle name="Normal 3 20" xfId="137" xr:uid="{2748D981-64E0-475C-B03A-AEF9E39EAE89}"/>
    <cellStyle name="Normal 3 3" xfId="142" xr:uid="{3528F93B-DFF7-4348-9AEA-798E7A152F6E}"/>
    <cellStyle name="Normal 3 3 2" xfId="28680" xr:uid="{B3198EF6-3833-4668-AA38-5747539F862C}"/>
    <cellStyle name="Normal 3 3 2 2" xfId="39590" xr:uid="{4D285662-B220-4045-B04A-1BF732082169}"/>
    <cellStyle name="Normal 3 3 3" xfId="39081" xr:uid="{B24610CD-39A4-488F-A281-3ECC6A2CF663}"/>
    <cellStyle name="Normal 3 3 4" xfId="28679" xr:uid="{65DEA6C6-9C38-4219-8B5E-26EB859064C0}"/>
    <cellStyle name="Normal 3 4" xfId="144" xr:uid="{887DCEDC-B510-4EAD-A73F-889018E506C6}"/>
    <cellStyle name="Normal 3 4 2" xfId="28682" xr:uid="{40A79DEE-F5A0-405F-9471-1A062E89E2F4}"/>
    <cellStyle name="Normal 3 4 3" xfId="28681" xr:uid="{B3A4D049-2D4A-417E-AA1C-2066DC09E6DA}"/>
    <cellStyle name="Normal 3 5" xfId="139" xr:uid="{296C9E48-76E2-418F-A769-0FBFCD384454}"/>
    <cellStyle name="Normal 3 5 2" xfId="147" xr:uid="{002DD2EC-68F7-4760-96F3-92FE642714C7}"/>
    <cellStyle name="Normal 3 5 2 2" xfId="28685" xr:uid="{EC5C0719-5B1B-47FB-A7E2-7530D662C596}"/>
    <cellStyle name="Normal 3 5 2 3" xfId="39082" xr:uid="{EF80C58F-DCED-4A01-9B30-ECDD480D59BF}"/>
    <cellStyle name="Normal 3 5 2 4" xfId="28684" xr:uid="{9D426C05-0904-4246-8FA4-93A45E4A8210}"/>
    <cellStyle name="Normal 3 5 3" xfId="28686" xr:uid="{FB174CA4-46F3-4029-A21D-6F0CB259CC04}"/>
    <cellStyle name="Normal 3 5 3 2" xfId="39589" xr:uid="{18F4BC41-01F3-4895-B503-F21B7569D084}"/>
    <cellStyle name="Normal 3 5 4" xfId="28683" xr:uid="{65334D5E-20E4-47B5-B051-521EF462B1BD}"/>
    <cellStyle name="Normal 3 6" xfId="157" xr:uid="{7BD173DC-07D1-4720-B72C-7451278C80E3}"/>
    <cellStyle name="Normal 3 6 2" xfId="28688" xr:uid="{ECB7FB8D-E81D-412E-AC6A-7197557B1EE0}"/>
    <cellStyle name="Normal 3 6 2 2" xfId="28689" xr:uid="{8C02694D-08CF-4F90-8D4E-694F981BA561}"/>
    <cellStyle name="Normal 3 6 3" xfId="28690" xr:uid="{717C3E19-C362-4864-84D3-25646E66B354}"/>
    <cellStyle name="Normal 3 6 4" xfId="39083" xr:uid="{10A78CCB-5B54-496E-8A13-6C84382B6DFD}"/>
    <cellStyle name="Normal 3 6 5" xfId="28687" xr:uid="{7C10A92C-5811-4FBD-82D0-79A61DF4412D}"/>
    <cellStyle name="Normal 3 7" xfId="28691" xr:uid="{E52FD59E-6A87-4645-A7BB-799EADB758DD}"/>
    <cellStyle name="Normal 3 7 2" xfId="39084" xr:uid="{B52B5996-EE22-4211-96EE-175122E425D7}"/>
    <cellStyle name="Normal 3 8" xfId="28692" xr:uid="{6E2F2ED4-1E41-4ED4-984F-8BF39C81579C}"/>
    <cellStyle name="Normal 3 9" xfId="28693" xr:uid="{0ED8A931-B768-421A-8336-D79306D76F30}"/>
    <cellStyle name="Normal 3_20080207_Nexium_specialisti_GITA" xfId="28694" xr:uid="{E9CB784B-2A68-4CF1-A498-705531EA0547}"/>
    <cellStyle name="Normal 30" xfId="28695" xr:uid="{452694E0-9087-4947-8474-120BF90AB744}"/>
    <cellStyle name="Normal 30 2" xfId="28696" xr:uid="{39680F7F-C8B1-4E30-8810-18A620716F2E}"/>
    <cellStyle name="Normal 30 2 2" xfId="28697" xr:uid="{0EDBDD0B-A17F-4371-9143-28FD8F6649BE}"/>
    <cellStyle name="Normal 30 2 2 2" xfId="28698" xr:uid="{450E67EB-730C-4E21-9743-0915CB1AFA5C}"/>
    <cellStyle name="Normal 30 2 2 2 2" xfId="28699" xr:uid="{29D3C515-9A65-4ADE-A1B0-D26608FC8A98}"/>
    <cellStyle name="Normal 30 2 2 3" xfId="28700" xr:uid="{87EC6D13-FE4B-44B0-A6D7-EAD0A8284C88}"/>
    <cellStyle name="Normal 30 2 3" xfId="28701" xr:uid="{927D5BC1-7AF8-4970-BB97-D05E17170EBE}"/>
    <cellStyle name="Normal 30 2 3 2" xfId="28702" xr:uid="{B89A7211-ADDC-4B85-A105-4FD989AB5C99}"/>
    <cellStyle name="Normal 30 2 3 2 2" xfId="28703" xr:uid="{6701C52E-B854-45EA-B7A3-F7A56883136E}"/>
    <cellStyle name="Normal 30 2 3 3" xfId="28704" xr:uid="{A65B4B75-04F7-438D-A17B-0478A7BAE73C}"/>
    <cellStyle name="Normal 30 2 4" xfId="28705" xr:uid="{70759B0B-6DBE-4930-AAF0-24A9DF784EA0}"/>
    <cellStyle name="Normal 30 2 4 2" xfId="28706" xr:uid="{993BD27A-FA58-49C4-AFC6-B390C69D5FA9}"/>
    <cellStyle name="Normal 30 2 5" xfId="28707" xr:uid="{13088A39-2760-4294-A447-0782DC3D7CFE}"/>
    <cellStyle name="Normal 30 2 6" xfId="39085" xr:uid="{B85E0A00-5184-4C51-9A65-DAE3913BD6BF}"/>
    <cellStyle name="Normal 30 3" xfId="28708" xr:uid="{994F54BC-8EED-4367-BA11-A105C8DB7956}"/>
    <cellStyle name="Normal 30 3 2" xfId="28709" xr:uid="{7513435B-F11D-4A34-B071-7F77D9AF7CF3}"/>
    <cellStyle name="Normal 30 3 2 2" xfId="28710" xr:uid="{0A490CB3-0CCC-46AC-BBD7-9CCFE31A2F98}"/>
    <cellStyle name="Normal 30 3 3" xfId="28711" xr:uid="{747826CE-D8BC-4744-91B7-1F0DBAE4B84F}"/>
    <cellStyle name="Normal 30 4" xfId="28712" xr:uid="{97F4282A-68E2-4C53-A9C9-BAB580EC66E6}"/>
    <cellStyle name="Normal 30 4 2" xfId="28713" xr:uid="{DDC3BADF-D283-441A-9577-99BA4632309E}"/>
    <cellStyle name="Normal 30 4 2 2" xfId="28714" xr:uid="{C10CD4D9-F1E2-48D5-BB66-C0E63E6D88BA}"/>
    <cellStyle name="Normal 30 4 3" xfId="28715" xr:uid="{570C040B-9460-4BC5-BB2F-885DA71698D1}"/>
    <cellStyle name="Normal 30 5" xfId="28716" xr:uid="{EA210A15-A18E-4F77-8ECB-653BAB9CDDE8}"/>
    <cellStyle name="Normal 30 5 2" xfId="28717" xr:uid="{39E75B12-6243-4073-9269-E265C51AA99F}"/>
    <cellStyle name="Normal 30 6" xfId="28718" xr:uid="{0DFC1A9E-F379-4AF4-8B46-FE07FB403777}"/>
    <cellStyle name="Normal 30 7" xfId="39086" xr:uid="{BF633B3F-E003-4506-A02C-95CAE6A42608}"/>
    <cellStyle name="Normal 31" xfId="28719" xr:uid="{368D3D3B-5BE8-4AA8-9DBC-5625F2E443FC}"/>
    <cellStyle name="Normal 31 10" xfId="28720" xr:uid="{1C433F07-9580-40DE-A6C2-11A0215F9B4C}"/>
    <cellStyle name="Normal 31 10 2" xfId="28721" xr:uid="{4FE6022F-3E8C-4D71-A6BE-E24FC0D88029}"/>
    <cellStyle name="Normal 31 10 2 2" xfId="28722" xr:uid="{64913E58-05A8-4A74-A4DE-286FB8AD4DA3}"/>
    <cellStyle name="Normal 31 10 3" xfId="28723" xr:uid="{582A9201-4DCB-4564-A153-FCBEB7E8D2B0}"/>
    <cellStyle name="Normal 31 10 3 2" xfId="28724" xr:uid="{BCE3C992-B736-451C-907F-7E358AC82373}"/>
    <cellStyle name="Normal 31 10 4" xfId="28725" xr:uid="{F5477456-7AD7-44CF-A11E-B20403D4342A}"/>
    <cellStyle name="Normal 31 11" xfId="28726" xr:uid="{F6F6BAC4-9A68-4B87-9E6B-BC376982575D}"/>
    <cellStyle name="Normal 31 11 2" xfId="28727" xr:uid="{2FA640D6-CA04-4E33-A2FE-725A14D51E1D}"/>
    <cellStyle name="Normal 31 11 2 2" xfId="28728" xr:uid="{C283767F-AD58-4DAE-8B8C-4A6307836971}"/>
    <cellStyle name="Normal 31 11 3" xfId="28729" xr:uid="{9F82C257-9438-4C7D-B1A7-F9E0F7B02CB0}"/>
    <cellStyle name="Normal 31 11 3 2" xfId="28730" xr:uid="{D9CA6620-F5F5-4297-9C84-FA3E61E85CC2}"/>
    <cellStyle name="Normal 31 11 4" xfId="28731" xr:uid="{E1042BEA-B6C3-4EC9-BBB4-7DFAC215874E}"/>
    <cellStyle name="Normal 31 12" xfId="28732" xr:uid="{82B5C0B4-F359-4770-A644-DC1917D1ED1F}"/>
    <cellStyle name="Normal 31 12 2" xfId="28733" xr:uid="{738042E1-0D60-4D0D-946E-BE29C62B920C}"/>
    <cellStyle name="Normal 31 12 2 2" xfId="28734" xr:uid="{28CCB39D-66FA-4B46-8029-8E90B3F09648}"/>
    <cellStyle name="Normal 31 12 3" xfId="28735" xr:uid="{AAC315E9-6848-415A-A36F-156E639E2106}"/>
    <cellStyle name="Normal 31 12 3 2" xfId="28736" xr:uid="{0B94C6C3-D52A-49E6-B9C9-9BA3D8367A8C}"/>
    <cellStyle name="Normal 31 12 4" xfId="28737" xr:uid="{5B603972-0080-4712-BF6F-5CFA38B2870F}"/>
    <cellStyle name="Normal 31 13" xfId="28738" xr:uid="{9596846A-E3FA-40C0-BC1E-26563A117E20}"/>
    <cellStyle name="Normal 31 13 2" xfId="28739" xr:uid="{3EA263BF-9255-4353-AD29-F7B3304EB683}"/>
    <cellStyle name="Normal 31 13 2 2" xfId="28740" xr:uid="{17206E73-27EB-40D1-A0E4-470E4D6CF9E0}"/>
    <cellStyle name="Normal 31 13 3" xfId="28741" xr:uid="{508214B8-53F2-4933-8F2C-968200F01E09}"/>
    <cellStyle name="Normal 31 13 3 2" xfId="28742" xr:uid="{17FBD775-AA78-45F9-AA93-EB68230DD3AF}"/>
    <cellStyle name="Normal 31 13 4" xfId="28743" xr:uid="{1ADC56C0-CE69-4FF2-BDB4-36070079BAAE}"/>
    <cellStyle name="Normal 31 14" xfId="28744" xr:uid="{17A709AD-A82D-4677-A8EB-88237933B06A}"/>
    <cellStyle name="Normal 31 14 2" xfId="28745" xr:uid="{A087642C-9B79-4F93-B6D7-1FBC7C82D41F}"/>
    <cellStyle name="Normal 31 14 2 2" xfId="28746" xr:uid="{F58D9ACB-0968-4AAD-91D5-6ABA00BDE6CA}"/>
    <cellStyle name="Normal 31 14 3" xfId="28747" xr:uid="{7CD9F69C-EB20-48A9-A52E-32F0525958DA}"/>
    <cellStyle name="Normal 31 14 3 2" xfId="28748" xr:uid="{3093415A-02A4-40EC-82FD-BDB8B73B133C}"/>
    <cellStyle name="Normal 31 14 4" xfId="28749" xr:uid="{A7064170-F879-408F-A705-6F4B6E1A1A1F}"/>
    <cellStyle name="Normal 31 15" xfId="28750" xr:uid="{31744CA7-7D33-4FBE-8476-43DCBD27A6F0}"/>
    <cellStyle name="Normal 31 15 2" xfId="28751" xr:uid="{7DD985A5-25D6-499D-86DD-604916069D5F}"/>
    <cellStyle name="Normal 31 15 2 2" xfId="28752" xr:uid="{999E45AC-65C8-45A1-91A1-A890E85C7EB1}"/>
    <cellStyle name="Normal 31 15 3" xfId="28753" xr:uid="{7F1F5295-68DA-4405-BEB6-CCF6DC4D6364}"/>
    <cellStyle name="Normal 31 15 3 2" xfId="28754" xr:uid="{4AC06D7A-3D39-4751-8B69-5AECBE0492D7}"/>
    <cellStyle name="Normal 31 15 4" xfId="28755" xr:uid="{8EA05714-D3D4-44FC-8729-0F0CF74062BB}"/>
    <cellStyle name="Normal 31 16" xfId="28756" xr:uid="{8E10642B-CA48-4083-9B99-AA816B077146}"/>
    <cellStyle name="Normal 31 16 2" xfId="28757" xr:uid="{ACB0C597-CE30-432B-B03C-F1372C11E814}"/>
    <cellStyle name="Normal 31 16 2 2" xfId="28758" xr:uid="{3DE307D9-16A9-45BD-905D-DD22E07D0971}"/>
    <cellStyle name="Normal 31 16 3" xfId="28759" xr:uid="{D2E33DA4-668E-47BD-98A6-AF10372A43C4}"/>
    <cellStyle name="Normal 31 16 3 2" xfId="28760" xr:uid="{BF10EDF6-FB0C-4A21-AC5B-241C495F817A}"/>
    <cellStyle name="Normal 31 16 4" xfId="28761" xr:uid="{8C9F5745-BAEE-41A4-AC34-9F02DD427235}"/>
    <cellStyle name="Normal 31 17" xfId="28762" xr:uid="{5A8F3951-0979-4070-94D3-B852B466DD69}"/>
    <cellStyle name="Normal 31 17 2" xfId="28763" xr:uid="{F6D9EC46-C36C-43E6-9D03-0E714BF29D85}"/>
    <cellStyle name="Normal 31 17 2 2" xfId="28764" xr:uid="{1168FF9F-0244-44E1-A034-D57288069F50}"/>
    <cellStyle name="Normal 31 17 3" xfId="28765" xr:uid="{CAB50651-DA94-444A-8C20-E5020AFAEE7C}"/>
    <cellStyle name="Normal 31 17 3 2" xfId="28766" xr:uid="{D5E074EA-D4C8-4549-B5C3-9550C62E196B}"/>
    <cellStyle name="Normal 31 17 4" xfId="28767" xr:uid="{674EDF7D-E15E-4F71-A584-D2607DED5DDE}"/>
    <cellStyle name="Normal 31 18" xfId="28768" xr:uid="{B256ED13-0524-4208-B998-A302C65EC15D}"/>
    <cellStyle name="Normal 31 18 2" xfId="28769" xr:uid="{3CA3E08A-F861-4DA9-86A4-5F671CD76648}"/>
    <cellStyle name="Normal 31 18 2 2" xfId="28770" xr:uid="{D1F9C46A-B13D-4E2A-8767-AD26675404CB}"/>
    <cellStyle name="Normal 31 18 3" xfId="28771" xr:uid="{1F9771CE-8403-4ED2-A84C-10A625537B0C}"/>
    <cellStyle name="Normal 31 18 3 2" xfId="28772" xr:uid="{EF6D35F3-9204-45F5-8DB9-98459F6F1B91}"/>
    <cellStyle name="Normal 31 18 4" xfId="28773" xr:uid="{C736CCC8-F1FD-4D01-86B7-5C129E1A2292}"/>
    <cellStyle name="Normal 31 19" xfId="28774" xr:uid="{686D9687-7A10-48C7-A33C-DD7E5C9FB96A}"/>
    <cellStyle name="Normal 31 19 2" xfId="28775" xr:uid="{D80C7F98-F526-4C9E-A241-6525A1EF2E8E}"/>
    <cellStyle name="Normal 31 19 2 2" xfId="28776" xr:uid="{AFB96423-D26B-4348-BF14-4C1391100A3F}"/>
    <cellStyle name="Normal 31 19 3" xfId="28777" xr:uid="{78E93B44-8A6E-4E62-BA39-821300B37CD0}"/>
    <cellStyle name="Normal 31 19 3 2" xfId="28778" xr:uid="{95A1E15C-4C97-4E30-A685-181152FC1BE5}"/>
    <cellStyle name="Normal 31 19 4" xfId="28779" xr:uid="{BA8922FD-21E5-472D-816F-675837B5738A}"/>
    <cellStyle name="Normal 31 2" xfId="28780" xr:uid="{47CCF397-2A52-47EB-BE34-80833C783516}"/>
    <cellStyle name="Normal 31 2 2" xfId="28781" xr:uid="{FD594CA4-56C6-4EBF-8F56-1BD8EB43DB08}"/>
    <cellStyle name="Normal 31 2 2 2" xfId="28782" xr:uid="{DEE12067-7964-41BB-926D-D3FBA6A77BA2}"/>
    <cellStyle name="Normal 31 2 2 2 2" xfId="28783" xr:uid="{EB90174D-8909-4A7A-A1B4-E5192F6CD4B7}"/>
    <cellStyle name="Normal 31 2 2 2 2 2" xfId="28784" xr:uid="{45D14C7B-6D3C-4BD4-8B14-2B612DF6A872}"/>
    <cellStyle name="Normal 31 2 2 2 3" xfId="28785" xr:uid="{D2CDD65B-A0A4-456D-8107-37AC75347FFF}"/>
    <cellStyle name="Normal 31 2 2 3" xfId="28786" xr:uid="{7EA8CAD4-3E60-4F12-8B15-7416D4B2E03C}"/>
    <cellStyle name="Normal 31 2 2 3 2" xfId="28787" xr:uid="{A340E323-B079-471F-91FE-B15B65607C3E}"/>
    <cellStyle name="Normal 31 2 2 3 2 2" xfId="28788" xr:uid="{EB3775B6-3E6D-40ED-879A-D15E4968732F}"/>
    <cellStyle name="Normal 31 2 2 3 3" xfId="28789" xr:uid="{D602B75D-7C8C-4391-BAA5-2DA02650BDA8}"/>
    <cellStyle name="Normal 31 2 2 4" xfId="28790" xr:uid="{1323F7E8-9333-4B9D-9796-7FE0E29ECC21}"/>
    <cellStyle name="Normal 31 2 2 4 2" xfId="28791" xr:uid="{539E9EF8-4FA4-45C8-B546-68012632A3E4}"/>
    <cellStyle name="Normal 31 2 2 5" xfId="28792" xr:uid="{E29E6B18-D719-48CD-8254-412BC7CC7D25}"/>
    <cellStyle name="Normal 31 2 3" xfId="28793" xr:uid="{1BF24A98-EB63-4FC2-9B80-FDD2BD4D29F2}"/>
    <cellStyle name="Normal 31 2 3 2" xfId="28794" xr:uid="{EC3B6D28-46F7-4FA7-9B1E-4D2B0F956B76}"/>
    <cellStyle name="Normal 31 2 3 2 2" xfId="28795" xr:uid="{CEABDEF8-60D1-455E-BB00-31B85392F4F2}"/>
    <cellStyle name="Normal 31 2 3 3" xfId="28796" xr:uid="{26D75199-B24D-46A6-91AD-FA0E124EB9AA}"/>
    <cellStyle name="Normal 31 2 4" xfId="28797" xr:uid="{7A24BC61-47AB-40AF-8B76-E37DDB1685AF}"/>
    <cellStyle name="Normal 31 2 4 2" xfId="28798" xr:uid="{EEDD109C-74E1-4DBA-885C-9B14B7264CF6}"/>
    <cellStyle name="Normal 31 2 4 2 2" xfId="28799" xr:uid="{FE1A141B-CD62-4640-9EA2-D0FE36BAB25F}"/>
    <cellStyle name="Normal 31 2 4 3" xfId="28800" xr:uid="{581BE52B-1C2B-436A-8477-848790221B15}"/>
    <cellStyle name="Normal 31 2 5" xfId="28801" xr:uid="{212B82E6-B5F5-454A-9906-BC12A87F146F}"/>
    <cellStyle name="Normal 31 2 5 2" xfId="28802" xr:uid="{70F010F6-1888-4E13-8118-5B8D6345E777}"/>
    <cellStyle name="Normal 31 2 6" xfId="28803" xr:uid="{7B01C688-5071-4A01-8761-E11B4CB204B1}"/>
    <cellStyle name="Normal 31 2 7" xfId="39087" xr:uid="{D0AE22B0-BADE-4D81-BD0A-F6F02674559E}"/>
    <cellStyle name="Normal 31 20" xfId="28804" xr:uid="{4EC9DD6B-D246-492C-833E-820221FDC0E0}"/>
    <cellStyle name="Normal 31 20 2" xfId="28805" xr:uid="{C56C9277-3893-4906-9EF5-B9ACD5737984}"/>
    <cellStyle name="Normal 31 20 2 2" xfId="28806" xr:uid="{FE5E5883-A63F-4015-B306-B4202247BF75}"/>
    <cellStyle name="Normal 31 20 3" xfId="28807" xr:uid="{A0E16BA1-4723-464C-ACD0-9BEBE610ABCB}"/>
    <cellStyle name="Normal 31 21" xfId="28808" xr:uid="{9B826F48-2BC9-40A0-BBD4-0D5CBAA211DE}"/>
    <cellStyle name="Normal 31 21 2" xfId="28809" xr:uid="{93C20DF5-CD91-47D4-80A7-633E59084F31}"/>
    <cellStyle name="Normal 31 21 2 2" xfId="28810" xr:uid="{D266EC16-EDCC-401C-A301-C4DC1D408957}"/>
    <cellStyle name="Normal 31 21 3" xfId="28811" xr:uid="{AFE87C7B-97E5-4E9A-BD33-E894BA2FFE89}"/>
    <cellStyle name="Normal 31 22" xfId="28812" xr:uid="{341673AF-970D-47B0-83A2-4C2445A5A09C}"/>
    <cellStyle name="Normal 31 22 2" xfId="28813" xr:uid="{82F06B26-469F-4596-B92E-909EC7588FF2}"/>
    <cellStyle name="Normal 31 22 2 2" xfId="28814" xr:uid="{B5DF9F11-1C9C-43AB-B11C-D23D87884820}"/>
    <cellStyle name="Normal 31 22 3" xfId="28815" xr:uid="{F53EC140-A4A0-476F-829E-B17795F68FCD}"/>
    <cellStyle name="Normal 31 23" xfId="28816" xr:uid="{E9C5D540-9F51-4DD4-A087-9B55F1697C4B}"/>
    <cellStyle name="Normal 31 23 2" xfId="28817" xr:uid="{21894BF1-729D-4AD1-97FF-AD589124418F}"/>
    <cellStyle name="Normal 31 23 2 2" xfId="28818" xr:uid="{215A39C1-CF18-4FBE-A08C-37AD61D3A351}"/>
    <cellStyle name="Normal 31 23 3" xfId="28819" xr:uid="{C73D8157-279F-4CEC-B081-6671ABCB0FCE}"/>
    <cellStyle name="Normal 31 24" xfId="28820" xr:uid="{95596B6A-1994-49DA-8A16-8E3111E79EC7}"/>
    <cellStyle name="Normal 31 24 2" xfId="28821" xr:uid="{2C5DFBD1-0047-4A99-91EE-D2877AA3E7AA}"/>
    <cellStyle name="Normal 31 24 2 2" xfId="28822" xr:uid="{0684B684-EC0D-4D75-A386-36FFE62BE7F7}"/>
    <cellStyle name="Normal 31 24 3" xfId="28823" xr:uid="{62901A08-682D-4908-9646-6B1B31FC00E0}"/>
    <cellStyle name="Normal 31 25" xfId="28824" xr:uid="{08087F18-800D-4F49-8959-D9784933FA20}"/>
    <cellStyle name="Normal 31 25 2" xfId="28825" xr:uid="{B9CD6404-E948-4F98-A083-4AE0013A939A}"/>
    <cellStyle name="Normal 31 26" xfId="28826" xr:uid="{1AC6E859-7F97-44DE-8D11-E774754AB008}"/>
    <cellStyle name="Normal 31 26 2" xfId="28827" xr:uid="{1A2DAD67-5D13-4363-A4F9-3C7337275AE7}"/>
    <cellStyle name="Normal 31 27" xfId="39088" xr:uid="{5050D9D0-36ED-4B5C-9DAF-1BA49C32A5B1}"/>
    <cellStyle name="Normal 31 3" xfId="28828" xr:uid="{07675309-AEB6-4CD4-92D0-BB58DA786148}"/>
    <cellStyle name="Normal 31 3 2" xfId="28829" xr:uid="{6EF53F61-A46D-4D30-BC9F-2E2407D7B202}"/>
    <cellStyle name="Normal 31 3 2 2" xfId="28830" xr:uid="{C212B6C0-A9FB-4922-B698-918D00232F40}"/>
    <cellStyle name="Normal 31 3 3" xfId="28831" xr:uid="{680CC9F2-C289-4106-AD11-82D3C0462704}"/>
    <cellStyle name="Normal 31 3 3 2" xfId="28832" xr:uid="{5E45CEC3-E230-4369-9798-11108E14E311}"/>
    <cellStyle name="Normal 31 3 4" xfId="28833" xr:uid="{2B764DF0-F04A-48AB-98BE-8F6193AADD1F}"/>
    <cellStyle name="Normal 31 4" xfId="28834" xr:uid="{ED38C440-197E-441D-8EF1-E041AF29E46E}"/>
    <cellStyle name="Normal 31 4 2" xfId="28835" xr:uid="{E90EBADB-F103-4F50-A13A-565DCB3EDF05}"/>
    <cellStyle name="Normal 31 4 2 2" xfId="28836" xr:uid="{8CE0681F-C412-4439-8672-119ABDC1C666}"/>
    <cellStyle name="Normal 31 4 3" xfId="28837" xr:uid="{3737BD3F-C14F-4469-AAB9-A3D0E5CD4BDA}"/>
    <cellStyle name="Normal 31 4 3 2" xfId="28838" xr:uid="{B78EE068-164B-424F-A2AC-2E0FFA417759}"/>
    <cellStyle name="Normal 31 4 4" xfId="28839" xr:uid="{A1BD5AAB-8097-4D94-A047-901B74F3CBD2}"/>
    <cellStyle name="Normal 31 5" xfId="28840" xr:uid="{20ADC9B2-2B95-4B8F-97FE-7E7652A8E255}"/>
    <cellStyle name="Normal 31 5 2" xfId="28841" xr:uid="{FA0D9EEF-B868-4929-914E-89805A7A05E9}"/>
    <cellStyle name="Normal 31 5 2 2" xfId="28842" xr:uid="{DF986F9C-BC8D-48A0-81A9-37E3D2F90430}"/>
    <cellStyle name="Normal 31 5 3" xfId="28843" xr:uid="{7A239F18-5E1B-4217-B19A-838CB8CCFD85}"/>
    <cellStyle name="Normal 31 5 3 2" xfId="28844" xr:uid="{0291E79A-E8EF-4DFA-A624-8D5A44629FD2}"/>
    <cellStyle name="Normal 31 5 4" xfId="28845" xr:uid="{51A637E3-9377-4823-8232-4EE807DEC159}"/>
    <cellStyle name="Normal 31 6" xfId="28846" xr:uid="{D7C90647-77F9-4C40-A67A-E558AD625983}"/>
    <cellStyle name="Normal 31 6 2" xfId="28847" xr:uid="{A959CCC8-A8D6-4978-8853-C9E5B467FD45}"/>
    <cellStyle name="Normal 31 6 2 2" xfId="28848" xr:uid="{AF0C212D-DFC4-4F23-941B-DC1AACA11F7C}"/>
    <cellStyle name="Normal 31 6 3" xfId="28849" xr:uid="{9C5AA1BB-3C05-46BD-B054-7553361C3F18}"/>
    <cellStyle name="Normal 31 6 3 2" xfId="28850" xr:uid="{6CFFA200-A64C-4FA9-8E95-4F097A4DA6DD}"/>
    <cellStyle name="Normal 31 6 4" xfId="28851" xr:uid="{0C9C3408-4B87-4A3D-A2B1-45948104B735}"/>
    <cellStyle name="Normal 31 7" xfId="28852" xr:uid="{293FAD3D-03B5-4C63-B3E1-3D3D9B46503B}"/>
    <cellStyle name="Normal 31 7 2" xfId="28853" xr:uid="{0C07B7F9-72BF-4FA3-9955-59590D90DBFD}"/>
    <cellStyle name="Normal 31 7 2 2" xfId="28854" xr:uid="{79822656-AE75-4B8C-BE85-9520B33063BB}"/>
    <cellStyle name="Normal 31 7 3" xfId="28855" xr:uid="{18DCA550-D0A0-4AD7-B219-F1731149E373}"/>
    <cellStyle name="Normal 31 7 3 2" xfId="28856" xr:uid="{1CE15359-A869-415A-A820-61262B39457D}"/>
    <cellStyle name="Normal 31 7 4" xfId="28857" xr:uid="{8715C4CA-52E7-4DD0-A23E-474EF9B85D3B}"/>
    <cellStyle name="Normal 31 8" xfId="28858" xr:uid="{E0A44647-9558-4439-8ECC-DC2779C85799}"/>
    <cellStyle name="Normal 31 8 2" xfId="28859" xr:uid="{E904B3EF-136B-4AD5-B007-9CD711FF52B5}"/>
    <cellStyle name="Normal 31 8 2 2" xfId="28860" xr:uid="{66CD2F3A-7268-4D3B-AD70-67DB074F2BCA}"/>
    <cellStyle name="Normal 31 8 3" xfId="28861" xr:uid="{60ECEFC3-F19D-47A1-B607-854C094D452F}"/>
    <cellStyle name="Normal 31 8 3 2" xfId="28862" xr:uid="{CD0D9E5D-D6A1-477C-8E51-6D3604473AD3}"/>
    <cellStyle name="Normal 31 8 4" xfId="28863" xr:uid="{ABFFF129-B8D8-4CB6-B68A-2AB5E1657261}"/>
    <cellStyle name="Normal 31 9" xfId="28864" xr:uid="{F89B75D1-1F6F-4EFB-B636-3D774FADEAA3}"/>
    <cellStyle name="Normal 31 9 2" xfId="28865" xr:uid="{1D411632-500E-4CBF-AD63-B84B9D838BA1}"/>
    <cellStyle name="Normal 31 9 2 2" xfId="28866" xr:uid="{3978056E-2C3A-461C-992F-950C5B074930}"/>
    <cellStyle name="Normal 31 9 3" xfId="28867" xr:uid="{E661182C-3FD4-41C8-A8B6-24A623A259E5}"/>
    <cellStyle name="Normal 31 9 3 2" xfId="28868" xr:uid="{A6E37BA0-0355-4AA7-BC20-E6FC2ED3F56C}"/>
    <cellStyle name="Normal 31 9 4" xfId="28869" xr:uid="{696CBFCD-D38F-4DF0-993D-225547CDF7F3}"/>
    <cellStyle name="Normal 32" xfId="28870" xr:uid="{3E90A572-8B60-497C-8613-544ACB577F9A}"/>
    <cellStyle name="Normal 32 10" xfId="28871" xr:uid="{2355A5F5-E677-46AD-BC4C-B7B9888E9A22}"/>
    <cellStyle name="Normal 32 10 2" xfId="28872" xr:uid="{F61CC693-A0B6-43B3-9F22-08A48824A99B}"/>
    <cellStyle name="Normal 32 10 2 2" xfId="28873" xr:uid="{A55828C5-F6E9-49D8-A888-4C739A5F78A4}"/>
    <cellStyle name="Normal 32 10 3" xfId="28874" xr:uid="{96659AAB-AC6E-437E-87A3-3AEB9D242878}"/>
    <cellStyle name="Normal 32 10 3 2" xfId="28875" xr:uid="{A62D3710-8A3E-42CD-887A-6A45CBDC6EFD}"/>
    <cellStyle name="Normal 32 10 4" xfId="28876" xr:uid="{CE04A300-7252-457F-BBFD-E81BF821DDC3}"/>
    <cellStyle name="Normal 32 11" xfId="28877" xr:uid="{A624A11E-5BAB-4264-8D8F-8718C0B04DE9}"/>
    <cellStyle name="Normal 32 11 2" xfId="28878" xr:uid="{45117C31-0EB4-45BC-AF07-9C77C26B1863}"/>
    <cellStyle name="Normal 32 11 2 2" xfId="28879" xr:uid="{F3573385-D0A5-4B5B-9F5E-3C8AF6CA57FA}"/>
    <cellStyle name="Normal 32 11 3" xfId="28880" xr:uid="{FD6249E5-6823-46BA-BB2D-C486DFEF4084}"/>
    <cellStyle name="Normal 32 11 3 2" xfId="28881" xr:uid="{20C322E6-AACA-4A65-ABE1-1C933B843192}"/>
    <cellStyle name="Normal 32 11 4" xfId="28882" xr:uid="{176D453B-83F7-4B76-9451-963B260CB2E5}"/>
    <cellStyle name="Normal 32 12" xfId="28883" xr:uid="{41546ED6-AF31-4FD2-99A4-97B0EE1D0D9D}"/>
    <cellStyle name="Normal 32 12 2" xfId="28884" xr:uid="{2430649C-626B-45CD-8CFF-394D749A8105}"/>
    <cellStyle name="Normal 32 12 2 2" xfId="28885" xr:uid="{971D07C3-DBDF-4D65-AED0-B8795D2AA774}"/>
    <cellStyle name="Normal 32 12 3" xfId="28886" xr:uid="{FA07EC4D-47BE-47AE-AE84-4AAB41B47722}"/>
    <cellStyle name="Normal 32 12 3 2" xfId="28887" xr:uid="{F5A10D59-7A19-4B50-8734-9BC983904E49}"/>
    <cellStyle name="Normal 32 12 4" xfId="28888" xr:uid="{76C4A939-85AB-4E64-A48D-992715A6FB0B}"/>
    <cellStyle name="Normal 32 13" xfId="28889" xr:uid="{A3F00FD4-26B5-422E-87F8-D86FCD4A3292}"/>
    <cellStyle name="Normal 32 13 2" xfId="28890" xr:uid="{E03ECE1C-451C-4DAC-A54B-9300349F2867}"/>
    <cellStyle name="Normal 32 13 2 2" xfId="28891" xr:uid="{F855414C-70FC-42E4-B4D7-E4F3522359CE}"/>
    <cellStyle name="Normal 32 13 3" xfId="28892" xr:uid="{9A9E4CAF-3C3A-4923-812F-6F685D311116}"/>
    <cellStyle name="Normal 32 14" xfId="28893" xr:uid="{B0D495D7-0910-4259-B508-E44818F6878C}"/>
    <cellStyle name="Normal 32 14 2" xfId="28894" xr:uid="{2230F2C4-13F8-41AF-AD11-B4A0CCB8CD59}"/>
    <cellStyle name="Normal 32 14 2 2" xfId="28895" xr:uid="{F1771C8C-BDAF-4572-8A03-FF6E10B193D2}"/>
    <cellStyle name="Normal 32 14 3" xfId="28896" xr:uid="{EBC70FBE-EB83-4B53-86D8-6BAD782EE480}"/>
    <cellStyle name="Normal 32 15" xfId="28897" xr:uid="{D83831EB-7920-41CF-B85E-BFDA9A93D602}"/>
    <cellStyle name="Normal 32 16" xfId="39089" xr:uid="{D8E7DA0A-5AED-42D4-9504-2786E75E7E79}"/>
    <cellStyle name="Normal 32 2" xfId="28898" xr:uid="{F5BB3F5D-87C6-4C49-B3B4-9A6190586966}"/>
    <cellStyle name="Normal 32 2 2" xfId="28899" xr:uid="{907BA102-3183-4A13-98AE-660837E177BC}"/>
    <cellStyle name="Normal 32 2 2 2" xfId="28900" xr:uid="{38195A03-7BD7-402B-BF29-10FAF33EA379}"/>
    <cellStyle name="Normal 32 2 2 2 2" xfId="28901" xr:uid="{FE7712EA-15AB-421C-9833-12A57CF98E40}"/>
    <cellStyle name="Normal 32 2 2 2 2 2" xfId="28902" xr:uid="{95AF6859-B3E3-40CF-B31A-6672B56DA75F}"/>
    <cellStyle name="Normal 32 2 2 2 3" xfId="28903" xr:uid="{061CDBAB-AB17-4FDA-AE5C-07B64882B68E}"/>
    <cellStyle name="Normal 32 2 2 3" xfId="28904" xr:uid="{2E9F7393-6C18-4E22-959C-9AED3D1ED83A}"/>
    <cellStyle name="Normal 32 2 2 3 2" xfId="28905" xr:uid="{B2D3F604-5191-4535-B8EB-039FDD678871}"/>
    <cellStyle name="Normal 32 2 2 3 2 2" xfId="28906" xr:uid="{D0FEA425-19AE-4171-A53E-771278F11605}"/>
    <cellStyle name="Normal 32 2 2 3 3" xfId="28907" xr:uid="{FC7FBF01-93C1-4FEA-8F70-991F09B54423}"/>
    <cellStyle name="Normal 32 2 2 4" xfId="28908" xr:uid="{39889C46-DD03-4308-A344-6C3495E64959}"/>
    <cellStyle name="Normal 32 2 2 4 2" xfId="28909" xr:uid="{5B1B5F5B-ACE6-431C-9E6C-71691D8693D0}"/>
    <cellStyle name="Normal 32 2 2 5" xfId="28910" xr:uid="{ED5B74AC-1D26-4DE4-BFF9-2C2662184252}"/>
    <cellStyle name="Normal 32 2 3" xfId="28911" xr:uid="{23EB1B29-29E4-4891-AFAB-552418F3602F}"/>
    <cellStyle name="Normal 32 2 3 2" xfId="28912" xr:uid="{D3F337F0-B32F-4BE0-91A7-FE9F7685983A}"/>
    <cellStyle name="Normal 32 2 3 2 2" xfId="28913" xr:uid="{68236884-257C-4EB5-9259-E23883C16A96}"/>
    <cellStyle name="Normal 32 2 3 3" xfId="28914" xr:uid="{CF929053-F454-4225-91A3-1A54BFA79273}"/>
    <cellStyle name="Normal 32 2 4" xfId="28915" xr:uid="{8F24DC6E-A229-4255-9EA4-8DCD45D61BD1}"/>
    <cellStyle name="Normal 32 2 4 2" xfId="28916" xr:uid="{8F40B06B-A65D-49BA-878A-C45487FDCFBF}"/>
    <cellStyle name="Normal 32 2 4 2 2" xfId="28917" xr:uid="{00C73747-3D7B-476C-B248-7AA337D6D740}"/>
    <cellStyle name="Normal 32 2 4 3" xfId="28918" xr:uid="{A2999CC4-7FA3-4B76-AF54-2E3A4B16C15D}"/>
    <cellStyle name="Normal 32 2 5" xfId="28919" xr:uid="{4ABAE8DB-FAE3-4639-91FA-A76A6DCE39BC}"/>
    <cellStyle name="Normal 32 2 5 2" xfId="28920" xr:uid="{50C13046-695D-4BE0-9F5A-2E96DB02C2CC}"/>
    <cellStyle name="Normal 32 2 6" xfId="28921" xr:uid="{DF26540A-AE2A-498A-BFB9-DF68B118ABAF}"/>
    <cellStyle name="Normal 32 2 7" xfId="39090" xr:uid="{D030359B-051A-4E67-80CB-91117A18C6E7}"/>
    <cellStyle name="Normal 32 3" xfId="28922" xr:uid="{D6FFF55E-8237-4707-985F-1C76D613F9FC}"/>
    <cellStyle name="Normal 32 3 2" xfId="28923" xr:uid="{F7BEB3A0-1D41-4DBB-B83B-5FBC033937E1}"/>
    <cellStyle name="Normal 32 3 2 2" xfId="28924" xr:uid="{5242D120-631C-4B66-80EC-149FA29B5706}"/>
    <cellStyle name="Normal 32 3 2 2 2" xfId="28925" xr:uid="{45C97D33-4476-4526-AB76-69E76CC08A93}"/>
    <cellStyle name="Normal 32 3 2 2 2 2" xfId="28926" xr:uid="{A665777A-39BB-4C1F-B135-BC04CAF526B5}"/>
    <cellStyle name="Normal 32 3 2 2 2 2 2" xfId="28927" xr:uid="{106CE12F-F9B4-416F-843E-1254C97B7247}"/>
    <cellStyle name="Normal 32 3 2 2 2 3" xfId="28928" xr:uid="{2E040BED-E6A7-43F0-8C3C-7A59B468431B}"/>
    <cellStyle name="Normal 32 3 2 2 3" xfId="28929" xr:uid="{0AB2E5DB-A32D-4894-A52A-7968C38CF333}"/>
    <cellStyle name="Normal 32 3 2 2 3 2" xfId="28930" xr:uid="{D3955DC7-D8A5-4DCF-85DF-778711C68A23}"/>
    <cellStyle name="Normal 32 3 2 2 3 2 2" xfId="28931" xr:uid="{46EC7826-BDAD-45C6-80BC-FF3A4818ACAA}"/>
    <cellStyle name="Normal 32 3 2 2 3 3" xfId="28932" xr:uid="{6AA5C757-0C2C-4996-BED4-5EE62F96A683}"/>
    <cellStyle name="Normal 32 3 2 2 4" xfId="28933" xr:uid="{B4E07970-F1EB-45D9-BE6F-39434CAED037}"/>
    <cellStyle name="Normal 32 3 2 2 4 2" xfId="28934" xr:uid="{3655A638-A336-457A-AFAE-EB11E39F9238}"/>
    <cellStyle name="Normal 32 3 2 2 5" xfId="28935" xr:uid="{44885982-DEAC-4469-842D-6641E606EE0C}"/>
    <cellStyle name="Normal 32 3 2 3" xfId="28936" xr:uid="{3E251883-81F3-43EB-A834-FE5DC0C56607}"/>
    <cellStyle name="Normal 32 3 2 3 2" xfId="28937" xr:uid="{8B5D4955-B0AC-427E-8777-7AC3C4BDD65A}"/>
    <cellStyle name="Normal 32 3 2 3 2 2" xfId="28938" xr:uid="{904C9BE4-46E9-40F7-AB93-857F0059BFCF}"/>
    <cellStyle name="Normal 32 3 2 3 3" xfId="28939" xr:uid="{A471C430-E923-46E7-883A-8231B2059FD7}"/>
    <cellStyle name="Normal 32 3 2 4" xfId="28940" xr:uid="{3906443B-2844-4F40-A410-15ACCDA45B3E}"/>
    <cellStyle name="Normal 32 3 2 4 2" xfId="28941" xr:uid="{EADDF0B3-0694-455F-882F-7EECAFB5F0DE}"/>
    <cellStyle name="Normal 32 3 2 4 2 2" xfId="28942" xr:uid="{33A03F4B-5C33-4F13-8A0C-FB3A3244B7B5}"/>
    <cellStyle name="Normal 32 3 2 4 3" xfId="28943" xr:uid="{D7CA107B-1F18-417D-B9D2-ECB206C08082}"/>
    <cellStyle name="Normal 32 3 2 5" xfId="28944" xr:uid="{D18BE065-2C60-4105-ACE9-CC6A65406F49}"/>
    <cellStyle name="Normal 32 3 2 5 2" xfId="28945" xr:uid="{29B30447-B6EE-4F7F-8437-4EEAD61A0E98}"/>
    <cellStyle name="Normal 32 3 2 6" xfId="28946" xr:uid="{F6AFF5E0-D8A2-4ED1-A49A-3969D03FF608}"/>
    <cellStyle name="Normal 32 3 3" xfId="28947" xr:uid="{B5202E50-A8C3-430C-96F4-6EC32DFBA566}"/>
    <cellStyle name="Normal 32 3 3 2" xfId="28948" xr:uid="{83A9E38E-5A14-45A2-8AEF-BFFCA76AAB4D}"/>
    <cellStyle name="Normal 32 3 3 2 2" xfId="28949" xr:uid="{C43869B4-7F59-42C5-BF83-29D06E91CACA}"/>
    <cellStyle name="Normal 32 3 3 2 2 2" xfId="28950" xr:uid="{5FCC29FC-A3DC-46E9-9736-E27F457DBEAF}"/>
    <cellStyle name="Normal 32 3 3 2 3" xfId="28951" xr:uid="{B7F6FDC3-663C-4AB6-98EF-589B0820D734}"/>
    <cellStyle name="Normal 32 3 3 3" xfId="28952" xr:uid="{F2744E31-24DA-4755-877A-0C9232621B83}"/>
    <cellStyle name="Normal 32 3 3 3 2" xfId="28953" xr:uid="{24B0EE4C-BF67-4F24-90EC-2843E18CC4D1}"/>
    <cellStyle name="Normal 32 3 3 3 2 2" xfId="28954" xr:uid="{EDEE98D6-286B-4BAA-A633-578A18676548}"/>
    <cellStyle name="Normal 32 3 3 3 3" xfId="28955" xr:uid="{C9B63CF3-D906-44B4-B960-3F57A84CF62B}"/>
    <cellStyle name="Normal 32 3 3 4" xfId="28956" xr:uid="{FB3CCA4E-7A57-4963-93A4-BF4F2E29A4D7}"/>
    <cellStyle name="Normal 32 3 3 4 2" xfId="28957" xr:uid="{B95007C0-CD43-40FF-B7FB-057228F262BD}"/>
    <cellStyle name="Normal 32 3 3 5" xfId="28958" xr:uid="{B4B4DF1E-2D8C-451A-AAA1-7164337BDAC8}"/>
    <cellStyle name="Normal 32 3 4" xfId="28959" xr:uid="{96B569C7-8CE0-4D10-AF80-E556CDE9D967}"/>
    <cellStyle name="Normal 32 3 4 2" xfId="28960" xr:uid="{48721965-DF34-44C5-9252-70EF9CD408C2}"/>
    <cellStyle name="Normal 32 3 4 2 2" xfId="28961" xr:uid="{80A8DB4E-D1EA-4DF5-9271-920B70C4B7FC}"/>
    <cellStyle name="Normal 32 3 4 3" xfId="28962" xr:uid="{CBA44C5B-403A-4A9C-BF53-2C1A9725B18E}"/>
    <cellStyle name="Normal 32 3 5" xfId="28963" xr:uid="{AC9B8574-F10F-4095-A5D6-6499510237B9}"/>
    <cellStyle name="Normal 32 3 5 2" xfId="28964" xr:uid="{72BDE57D-7491-419C-AB1C-29F710F53F1A}"/>
    <cellStyle name="Normal 32 3 5 2 2" xfId="28965" xr:uid="{D775FEA8-CEBC-4AB6-9EC2-5BCACEE1FEC6}"/>
    <cellStyle name="Normal 32 3 5 3" xfId="28966" xr:uid="{9C11B7E7-2ABF-4C7A-8E6B-FDDE1D56BA65}"/>
    <cellStyle name="Normal 32 3 6" xfId="28967" xr:uid="{39922B4F-D4A9-4D3B-8B0D-0D78EE76A0D1}"/>
    <cellStyle name="Normal 32 3 6 2" xfId="28968" xr:uid="{8423203D-85CF-4986-9B55-E2B0A0B0858A}"/>
    <cellStyle name="Normal 32 3 7" xfId="28969" xr:uid="{DA9168CE-1927-4593-A84C-87FF25042CAD}"/>
    <cellStyle name="Normal 32 4" xfId="28970" xr:uid="{CB4CCAD2-D03E-4AAE-B4EE-E66E0A4C5C1B}"/>
    <cellStyle name="Normal 32 4 2" xfId="28971" xr:uid="{95CE72B8-0671-4C9C-AA69-B4C203E3DBBA}"/>
    <cellStyle name="Normal 32 4 2 2" xfId="28972" xr:uid="{12BB873D-2E48-44DA-94E0-A5584430B8B9}"/>
    <cellStyle name="Normal 32 4 2 2 2" xfId="28973" xr:uid="{FA8750D8-1232-474A-999F-ACE7298F623C}"/>
    <cellStyle name="Normal 32 4 2 2 2 2" xfId="28974" xr:uid="{081C2A53-9551-47F4-9047-FAABF2999C87}"/>
    <cellStyle name="Normal 32 4 2 2 3" xfId="28975" xr:uid="{AA3D71EC-7A12-4D12-988B-190378410088}"/>
    <cellStyle name="Normal 32 4 2 3" xfId="28976" xr:uid="{C432D67C-D394-40FF-8B1C-546A0DFB08EB}"/>
    <cellStyle name="Normal 32 4 2 3 2" xfId="28977" xr:uid="{98B978A0-4B70-4E0B-A58A-50882F9ED28E}"/>
    <cellStyle name="Normal 32 4 2 3 2 2" xfId="28978" xr:uid="{C9BF2D8A-C6EA-4CC8-9F62-947E4DD50D57}"/>
    <cellStyle name="Normal 32 4 2 3 3" xfId="28979" xr:uid="{692F262F-195C-4822-8202-531C84B393B6}"/>
    <cellStyle name="Normal 32 4 2 4" xfId="28980" xr:uid="{5B7CD57C-1A9E-4CAA-8FAE-38E2475B0327}"/>
    <cellStyle name="Normal 32 4 2 4 2" xfId="28981" xr:uid="{0FAC27E4-F89D-4520-8FF1-041B8267FDEB}"/>
    <cellStyle name="Normal 32 4 2 5" xfId="28982" xr:uid="{CA9F18D7-A605-4B5F-853A-EAE4363917FE}"/>
    <cellStyle name="Normal 32 4 3" xfId="28983" xr:uid="{5021E33D-E14C-4D5B-9D75-55EF023C926E}"/>
    <cellStyle name="Normal 32 4 3 2" xfId="28984" xr:uid="{4265CF57-8FB4-444F-AE1A-498E67D0344B}"/>
    <cellStyle name="Normal 32 4 3 2 2" xfId="28985" xr:uid="{341E5F51-3462-4940-956C-DD4CC45E9403}"/>
    <cellStyle name="Normal 32 4 3 3" xfId="28986" xr:uid="{16366982-268E-44F6-B871-C0A3AA1ADFDD}"/>
    <cellStyle name="Normal 32 4 4" xfId="28987" xr:uid="{4BFDA8B7-7222-488F-AD3E-57C69468A9AB}"/>
    <cellStyle name="Normal 32 4 4 2" xfId="28988" xr:uid="{8D1000F3-6B4C-4BD6-ABAA-4C6AB389CCEF}"/>
    <cellStyle name="Normal 32 4 4 2 2" xfId="28989" xr:uid="{BEBA23FD-2A86-42A7-B965-F06AD13B2D00}"/>
    <cellStyle name="Normal 32 4 4 3" xfId="28990" xr:uid="{BB81A9D2-B946-4D0B-9A37-FE7B6B87CDB1}"/>
    <cellStyle name="Normal 32 4 5" xfId="28991" xr:uid="{B4112E19-006E-4B14-8546-A053C3484AB4}"/>
    <cellStyle name="Normal 32 4 5 2" xfId="28992" xr:uid="{47958F75-F47E-4DD3-B028-ED927A7051D6}"/>
    <cellStyle name="Normal 32 4 6" xfId="28993" xr:uid="{7A9F619E-4BF4-4BD8-870F-9006F5B3BA00}"/>
    <cellStyle name="Normal 32 5" xfId="28994" xr:uid="{A541B713-0FB8-4EB0-872D-1E8554FB2E55}"/>
    <cellStyle name="Normal 32 5 2" xfId="28995" xr:uid="{6660122A-DEDA-4595-8C68-1846C4B75B7D}"/>
    <cellStyle name="Normal 32 5 2 2" xfId="28996" xr:uid="{F9D920C0-BC2D-43BF-9DCB-8386DE049049}"/>
    <cellStyle name="Normal 32 5 3" xfId="28997" xr:uid="{6C213CBA-9248-4FFD-9643-714303B82F57}"/>
    <cellStyle name="Normal 32 5 3 2" xfId="28998" xr:uid="{18CF502B-00CD-4C25-A73C-F9353569AFF3}"/>
    <cellStyle name="Normal 32 5 4" xfId="28999" xr:uid="{28E654BA-859C-4ADF-9063-9D7934E5269E}"/>
    <cellStyle name="Normal 32 6" xfId="29000" xr:uid="{50D1CE11-B855-46B5-A6D1-6C39265C3E8E}"/>
    <cellStyle name="Normal 32 6 2" xfId="29001" xr:uid="{8E94915C-4904-437D-8FA6-BC9DCC473E85}"/>
    <cellStyle name="Normal 32 6 2 2" xfId="29002" xr:uid="{CF6F8F60-ADFC-48DB-A011-D2B8E64E008C}"/>
    <cellStyle name="Normal 32 6 3" xfId="29003" xr:uid="{4D1F3E75-876E-4C45-8B89-93CDFAC8E538}"/>
    <cellStyle name="Normal 32 6 3 2" xfId="29004" xr:uid="{89887AA8-F256-469F-99B7-9DCF6A9F438C}"/>
    <cellStyle name="Normal 32 6 4" xfId="29005" xr:uid="{04505923-0100-40B9-8B13-FC7CDE6AB390}"/>
    <cellStyle name="Normal 32 7" xfId="29006" xr:uid="{821FF72B-8E3B-4ECE-84C3-1364400F5AA1}"/>
    <cellStyle name="Normal 32 7 2" xfId="29007" xr:uid="{09227F2C-E220-4C4E-8454-9B57D8D328F4}"/>
    <cellStyle name="Normal 32 7 2 2" xfId="29008" xr:uid="{2B988C68-F3D4-445D-AEAF-C64965F2E939}"/>
    <cellStyle name="Normal 32 7 3" xfId="29009" xr:uid="{678CE3FF-6D47-46C7-8B11-B251AFEF05BC}"/>
    <cellStyle name="Normal 32 7 3 2" xfId="29010" xr:uid="{EF52B982-F551-44D4-8F85-FB5298FAD476}"/>
    <cellStyle name="Normal 32 7 4" xfId="29011" xr:uid="{2A0A9D4F-4DE2-4BAD-AD85-3F2F584381F3}"/>
    <cellStyle name="Normal 32 8" xfId="29012" xr:uid="{26712655-B8D9-4849-B18D-AA553B6A2A1E}"/>
    <cellStyle name="Normal 32 8 2" xfId="29013" xr:uid="{F1F46C69-8105-406B-9793-FC1B0EA59A80}"/>
    <cellStyle name="Normal 32 8 2 2" xfId="29014" xr:uid="{2F49B9A8-398E-4FC1-A285-A4C6B4A81AF2}"/>
    <cellStyle name="Normal 32 8 3" xfId="29015" xr:uid="{A9BE26AA-2CC1-4480-BC3E-EFBE32EE95E1}"/>
    <cellStyle name="Normal 32 8 3 2" xfId="29016" xr:uid="{AF24001D-5314-492C-8D42-001493C1D402}"/>
    <cellStyle name="Normal 32 8 4" xfId="29017" xr:uid="{63A533C0-F5A8-4D91-81B7-8568CF7CBA72}"/>
    <cellStyle name="Normal 32 9" xfId="29018" xr:uid="{E23A5048-08BA-400A-BD08-8AF465109576}"/>
    <cellStyle name="Normal 32 9 2" xfId="29019" xr:uid="{07F8EA44-CAC4-4E94-A75E-6B4D0C91107F}"/>
    <cellStyle name="Normal 32 9 2 2" xfId="29020" xr:uid="{9442F733-2756-40E5-9795-04E6D909708D}"/>
    <cellStyle name="Normal 32 9 3" xfId="29021" xr:uid="{1D03B1D5-4200-4BB7-9D5A-2A76F5660516}"/>
    <cellStyle name="Normal 32 9 3 2" xfId="29022" xr:uid="{2E1EB3A0-E5FD-482A-AAD0-86A0D59A2B33}"/>
    <cellStyle name="Normal 32 9 4" xfId="29023" xr:uid="{6C89BBC0-E0A4-4512-82F0-7E770A3AAA8F}"/>
    <cellStyle name="Normal 33" xfId="29024" xr:uid="{2A1225DA-2A7C-43BB-AC88-76E34C018235}"/>
    <cellStyle name="Normal 33 10" xfId="29025" xr:uid="{BC238FD1-0F65-41A8-B44A-934475482AE7}"/>
    <cellStyle name="Normal 33 11" xfId="39091" xr:uid="{EC810F6C-897D-4E91-A776-98A6FA9384D7}"/>
    <cellStyle name="Normal 33 2" xfId="29026" xr:uid="{DF26C94A-5DF5-4494-AD7A-394D104AC367}"/>
    <cellStyle name="Normal 33 2 2" xfId="29027" xr:uid="{FEBF82DB-4949-4D52-A943-8112FF8D7C18}"/>
    <cellStyle name="Normal 33 2 2 2" xfId="29028" xr:uid="{E00E3ECF-85C1-4942-B2A7-AA2B895874AC}"/>
    <cellStyle name="Normal 33 2 2 2 2" xfId="29029" xr:uid="{7849D73A-8F09-43E2-999A-31A5163CEEFF}"/>
    <cellStyle name="Normal 33 2 2 2 2 2" xfId="29030" xr:uid="{8D7F7D48-BDDE-4407-9CA8-8DE15C15F636}"/>
    <cellStyle name="Normal 33 2 2 2 3" xfId="29031" xr:uid="{6B88B010-E10F-408B-9D15-A2021C39A7C0}"/>
    <cellStyle name="Normal 33 2 2 3" xfId="29032" xr:uid="{1F2C9E25-5560-4C5B-AC02-338C090148E5}"/>
    <cellStyle name="Normal 33 2 2 3 2" xfId="29033" xr:uid="{06C1D1B2-CBE9-4A78-A937-78ACEEE2EEF8}"/>
    <cellStyle name="Normal 33 2 2 3 2 2" xfId="29034" xr:uid="{349388C8-83B7-4733-BA79-4069AD604BD7}"/>
    <cellStyle name="Normal 33 2 2 3 3" xfId="29035" xr:uid="{DA311615-4D12-4A6A-B740-58F878075E14}"/>
    <cellStyle name="Normal 33 2 2 4" xfId="29036" xr:uid="{4268EFA2-DEEF-4B93-9C20-BF84A7D91755}"/>
    <cellStyle name="Normal 33 2 2 4 2" xfId="29037" xr:uid="{2B632A50-13BD-496B-AE73-00119AE233FA}"/>
    <cellStyle name="Normal 33 2 2 5" xfId="29038" xr:uid="{37CC8E17-9090-4F24-B5E1-3184B49F682D}"/>
    <cellStyle name="Normal 33 2 3" xfId="29039" xr:uid="{A2581FA6-0B4B-4D4D-A9D2-08D2E13AEE17}"/>
    <cellStyle name="Normal 33 2 3 2" xfId="29040" xr:uid="{9A521446-A60F-4E95-B22B-987B4AEBA2DB}"/>
    <cellStyle name="Normal 33 2 3 2 2" xfId="29041" xr:uid="{DBB45802-B0A0-4F4B-8DE9-E1649FF99353}"/>
    <cellStyle name="Normal 33 2 3 3" xfId="29042" xr:uid="{ECEE15AB-9158-40C0-AA31-5A87DDAE7D39}"/>
    <cellStyle name="Normal 33 2 4" xfId="29043" xr:uid="{E7F124E4-4967-4902-A482-031A5884D386}"/>
    <cellStyle name="Normal 33 2 4 2" xfId="29044" xr:uid="{D068017A-E2AC-453A-A36A-E2EADDCF787D}"/>
    <cellStyle name="Normal 33 2 4 2 2" xfId="29045" xr:uid="{54F16387-EED0-4561-A2F2-D5ADA79C9D61}"/>
    <cellStyle name="Normal 33 2 4 3" xfId="29046" xr:uid="{1815C927-28C1-48EF-A1C6-2ED0E7E33F2C}"/>
    <cellStyle name="Normal 33 2 5" xfId="29047" xr:uid="{CA663B1B-B19C-4ADE-B6B7-AFA4EC67A89C}"/>
    <cellStyle name="Normal 33 2 5 2" xfId="29048" xr:uid="{31AC25A1-4573-4F35-B124-45308820DEF1}"/>
    <cellStyle name="Normal 33 2 6" xfId="29049" xr:uid="{23B722A4-1A2F-43FF-94A6-CCFB3EA3CCB6}"/>
    <cellStyle name="Normal 33 2 7" xfId="39092" xr:uid="{F573A577-2971-4C88-9632-4450BE4A7008}"/>
    <cellStyle name="Normal 33 3" xfId="29050" xr:uid="{84020D19-2142-44B4-B5B8-97A8CBB050EF}"/>
    <cellStyle name="Normal 33 3 2" xfId="29051" xr:uid="{90F018DD-13DC-4517-9655-71DA48F5DAC2}"/>
    <cellStyle name="Normal 33 3 2 2" xfId="29052" xr:uid="{D1C2EDD5-4C43-4631-A85E-3A310D5486F6}"/>
    <cellStyle name="Normal 33 3 2 2 2" xfId="29053" xr:uid="{0D58F853-90F2-48EB-BCF6-45C25D944309}"/>
    <cellStyle name="Normal 33 3 2 3" xfId="29054" xr:uid="{1D8B8634-CC1F-4D9B-9371-767C26EE0CE0}"/>
    <cellStyle name="Normal 33 3 3" xfId="29055" xr:uid="{3C0A561F-8394-427B-BFCE-482D84759723}"/>
    <cellStyle name="Normal 33 3 3 2" xfId="29056" xr:uid="{727C4EEA-86C3-49E1-BBFE-5C93B3650138}"/>
    <cellStyle name="Normal 33 3 3 2 2" xfId="29057" xr:uid="{190BE2C7-8EBB-448E-A27A-A8625DF54862}"/>
    <cellStyle name="Normal 33 3 3 3" xfId="29058" xr:uid="{C05810C5-0ADB-45B3-93FD-7B6FDA90F2ED}"/>
    <cellStyle name="Normal 33 3 4" xfId="29059" xr:uid="{551F7ED6-F2EC-4298-924C-988EC093FC14}"/>
    <cellStyle name="Normal 33 3 4 2" xfId="29060" xr:uid="{19C32D97-5F39-4C4F-807F-E27ACFCDC4D7}"/>
    <cellStyle name="Normal 33 3 5" xfId="29061" xr:uid="{9D4B2C9D-4C87-4743-A0A4-B9D01D4FF02E}"/>
    <cellStyle name="Normal 33 4" xfId="29062" xr:uid="{80207B8A-A720-4E01-BD2A-4947B1EA97EA}"/>
    <cellStyle name="Normal 33 4 2" xfId="29063" xr:uid="{3952D9A0-75D1-486A-9AF7-58908A6ECD7E}"/>
    <cellStyle name="Normal 33 4 2 2" xfId="29064" xr:uid="{E8617681-1656-4046-BEE9-6F296EF9A54F}"/>
    <cellStyle name="Normal 33 4 3" xfId="29065" xr:uid="{1B0DF966-952B-4D72-BDF3-CD6E5038234A}"/>
    <cellStyle name="Normal 33 4 3 2" xfId="29066" xr:uid="{DA9A8A09-C558-4069-8459-E1F6BADA06BD}"/>
    <cellStyle name="Normal 33 4 4" xfId="29067" xr:uid="{F4CDC7E4-9010-4B6F-9C7A-37FA558C2FE5}"/>
    <cellStyle name="Normal 33 5" xfId="29068" xr:uid="{7079A174-1C1A-4617-9506-7288E076CBB3}"/>
    <cellStyle name="Normal 33 5 2" xfId="29069" xr:uid="{21A829A7-B2EF-4BD7-91B4-DAD83879CBE4}"/>
    <cellStyle name="Normal 33 5 2 2" xfId="29070" xr:uid="{1BCB9260-9B73-4BE0-8309-19582E3A4C99}"/>
    <cellStyle name="Normal 33 5 3" xfId="29071" xr:uid="{3C534879-45BD-4D16-9FC5-4B934154C254}"/>
    <cellStyle name="Normal 33 5 3 2" xfId="29072" xr:uid="{EE0645FE-944D-469F-9F8C-D39D356B53E5}"/>
    <cellStyle name="Normal 33 5 4" xfId="29073" xr:uid="{D2F87770-B148-490C-818B-A6EF6D48ADCE}"/>
    <cellStyle name="Normal 33 6" xfId="29074" xr:uid="{5872508B-C62A-4E28-8729-4BF536186EC9}"/>
    <cellStyle name="Normal 33 6 2" xfId="29075" xr:uid="{0CFB96FC-312E-4059-98DF-E3C20E5ED650}"/>
    <cellStyle name="Normal 33 6 2 2" xfId="29076" xr:uid="{BE1F36DD-3756-4CDC-92E6-03D9447E1DAD}"/>
    <cellStyle name="Normal 33 6 3" xfId="29077" xr:uid="{467C775B-C0AC-4016-AA9A-0A7B625508EA}"/>
    <cellStyle name="Normal 33 6 3 2" xfId="29078" xr:uid="{8B57C846-260F-4769-8661-590797B22E36}"/>
    <cellStyle name="Normal 33 6 4" xfId="29079" xr:uid="{FF7B9535-4CAB-47FF-84F3-0DAC04399970}"/>
    <cellStyle name="Normal 33 7" xfId="29080" xr:uid="{F6DA12F5-6DB2-4132-8F98-4EFAC3D459C4}"/>
    <cellStyle name="Normal 33 7 2" xfId="29081" xr:uid="{10212A74-EEE1-46F9-85DD-A3234A689574}"/>
    <cellStyle name="Normal 33 7 2 2" xfId="29082" xr:uid="{38C230BF-37D9-47E9-A23D-0C7AA5A7BBFC}"/>
    <cellStyle name="Normal 33 7 3" xfId="29083" xr:uid="{2DA0FB7B-D6C4-4927-ACA3-11684563E073}"/>
    <cellStyle name="Normal 33 7 3 2" xfId="29084" xr:uid="{C4CF3CD9-5852-4148-82B7-83323CB4B0EB}"/>
    <cellStyle name="Normal 33 7 4" xfId="29085" xr:uid="{49ABD16F-28A6-4BAB-8657-D940845CE436}"/>
    <cellStyle name="Normal 33 8" xfId="29086" xr:uid="{D122F59E-4105-41F3-99E7-D4152A65137A}"/>
    <cellStyle name="Normal 33 8 2" xfId="29087" xr:uid="{0D0B9101-5BC0-464A-A93C-EA71DB3EACDA}"/>
    <cellStyle name="Normal 33 8 2 2" xfId="29088" xr:uid="{AA9EA5B0-CDF1-40E3-8525-5807ACD43A30}"/>
    <cellStyle name="Normal 33 8 3" xfId="29089" xr:uid="{3B55BED4-0759-46D1-8466-EA7067820D77}"/>
    <cellStyle name="Normal 33 9" xfId="29090" xr:uid="{1D78374B-363B-4D36-8AA5-0A42827F88B9}"/>
    <cellStyle name="Normal 33 9 2" xfId="29091" xr:uid="{127879CA-08CF-4B58-A479-D452C2EFC567}"/>
    <cellStyle name="Normal 33 9 2 2" xfId="29092" xr:uid="{E1F9A0C5-C519-4859-9B28-4F9CDF29E4C0}"/>
    <cellStyle name="Normal 33 9 3" xfId="29093" xr:uid="{8B7E3FAD-13AD-4DBA-A428-9068C28121AE}"/>
    <cellStyle name="Normal 34" xfId="29094" xr:uid="{729128A7-582E-43E7-8CFB-7202AEDD38B8}"/>
    <cellStyle name="Normal 34 2" xfId="29095" xr:uid="{3C8F17D9-FAE6-498C-8DC2-01BD790D2A06}"/>
    <cellStyle name="Normal 34 2 2" xfId="29096" xr:uid="{23C17E19-5D9B-47B5-94C0-D03BBDC78167}"/>
    <cellStyle name="Normal 34 2 2 2" xfId="29097" xr:uid="{94E29292-3F0B-4C83-8A01-D8FBACB65BFA}"/>
    <cellStyle name="Normal 34 2 2 2 2" xfId="29098" xr:uid="{4DBBA9AA-858C-4168-BE3C-B118064AC67F}"/>
    <cellStyle name="Normal 34 2 2 3" xfId="29099" xr:uid="{A12137B1-F31B-436A-91AC-0069BAE6C09E}"/>
    <cellStyle name="Normal 34 2 3" xfId="29100" xr:uid="{26295C90-42D8-4DCC-8BE1-55C88BC496C0}"/>
    <cellStyle name="Normal 34 2 3 2" xfId="29101" xr:uid="{E95CC231-9689-43C2-B301-5E575D7E466B}"/>
    <cellStyle name="Normal 34 2 3 2 2" xfId="29102" xr:uid="{A182E3A8-9A6E-4E6C-A68B-BFA4837C1C4E}"/>
    <cellStyle name="Normal 34 2 3 3" xfId="29103" xr:uid="{4A9A7EBC-2CC6-44F4-BB39-A14AAB1F5940}"/>
    <cellStyle name="Normal 34 2 4" xfId="29104" xr:uid="{F87BF5A6-510A-496E-8332-7A7F3AA5734A}"/>
    <cellStyle name="Normal 34 2 4 2" xfId="29105" xr:uid="{A32D6F5D-ADF7-4EB9-AAE2-E8C2D89C9B8E}"/>
    <cellStyle name="Normal 34 2 5" xfId="29106" xr:uid="{26C64C8A-3830-47B4-A05A-D22BC5AEA0D1}"/>
    <cellStyle name="Normal 34 2 6" xfId="39093" xr:uid="{7BAFC535-BE2F-49AA-8020-AE3C81224B45}"/>
    <cellStyle name="Normal 34 3" xfId="29107" xr:uid="{35152955-8773-4F0D-8037-36210E253BB3}"/>
    <cellStyle name="Normal 34 3 2" xfId="29108" xr:uid="{C4F1CBC4-2E09-424D-980C-4EEC87FCD51D}"/>
    <cellStyle name="Normal 34 3 2 2" xfId="29109" xr:uid="{871F2A42-3F27-452A-9808-A34774E6931A}"/>
    <cellStyle name="Normal 34 3 3" xfId="29110" xr:uid="{A3D31596-314B-4DF5-B8CA-4805CA76F309}"/>
    <cellStyle name="Normal 34 4" xfId="29111" xr:uid="{54ADAE67-D789-4B3C-B82E-DDD2F0FB3FDE}"/>
    <cellStyle name="Normal 34 4 2" xfId="29112" xr:uid="{7F20A3AE-CE34-4B82-91D3-CDB45A56AB76}"/>
    <cellStyle name="Normal 34 4 2 2" xfId="29113" xr:uid="{11622942-912D-48C8-A252-1CA274296851}"/>
    <cellStyle name="Normal 34 4 3" xfId="29114" xr:uid="{3C87D7D3-DCB5-4C09-A6E3-11C2D475B93D}"/>
    <cellStyle name="Normal 34 5" xfId="29115" xr:uid="{47ADEA8E-3538-499D-B0E4-7791F0F4B916}"/>
    <cellStyle name="Normal 34 5 2" xfId="29116" xr:uid="{9A00334E-B18F-46E9-BA42-E44D7F27D9F3}"/>
    <cellStyle name="Normal 34 6" xfId="29117" xr:uid="{3A2A07DC-CFDC-477D-92AD-82F1B7270BBD}"/>
    <cellStyle name="Normal 34 7" xfId="39094" xr:uid="{FAE848A9-0056-4F51-A883-2566341EC941}"/>
    <cellStyle name="Normal 35" xfId="29118" xr:uid="{B499EF55-7DC7-4054-BEA6-0AC923D78349}"/>
    <cellStyle name="Normal 35 10" xfId="39095" xr:uid="{02840AB7-2E88-462C-BBF5-04F4BDF4E34B}"/>
    <cellStyle name="Normal 35 2" xfId="29119" xr:uid="{DBEBD799-011A-4551-B0B2-357B494A817D}"/>
    <cellStyle name="Normal 35 2 2" xfId="29120" xr:uid="{A61CFE8C-974A-473B-BEE1-7C33CDFD58C1}"/>
    <cellStyle name="Normal 35 2 2 2" xfId="29121" xr:uid="{8CD26261-BC6B-4E76-9A22-E33E1F235421}"/>
    <cellStyle name="Normal 35 2 2 2 2" xfId="29122" xr:uid="{498B5844-81CD-4BB0-A0C3-22C9F9957600}"/>
    <cellStyle name="Normal 35 2 2 2 2 2" xfId="29123" xr:uid="{598525B3-BA2D-4E29-A976-5907E5479576}"/>
    <cellStyle name="Normal 35 2 2 2 2 2 2" xfId="29124" xr:uid="{CE1097A3-9C94-49E6-AAA7-D59E82418E0C}"/>
    <cellStyle name="Normal 35 2 2 2 2 3" xfId="29125" xr:uid="{115D11F6-0971-4F23-AAAF-C8E47243EF72}"/>
    <cellStyle name="Normal 35 2 2 2 3" xfId="29126" xr:uid="{8A5EA6BC-E345-4957-AEE6-662B43ED27F3}"/>
    <cellStyle name="Normal 35 2 2 2 3 2" xfId="29127" xr:uid="{E7A5CB46-8C0F-49A7-9D58-441474185217}"/>
    <cellStyle name="Normal 35 2 2 2 3 2 2" xfId="29128" xr:uid="{0D6058D0-22A8-4A36-9FB4-05257BD258CE}"/>
    <cellStyle name="Normal 35 2 2 2 3 3" xfId="29129" xr:uid="{800158C6-63F9-4B44-B6CF-5A071092EB56}"/>
    <cellStyle name="Normal 35 2 2 2 4" xfId="29130" xr:uid="{31445702-146C-4BB1-8C85-7BAAF12688C0}"/>
    <cellStyle name="Normal 35 2 2 2 4 2" xfId="29131" xr:uid="{73801251-3775-476B-AAB0-0336EBEBF026}"/>
    <cellStyle name="Normal 35 2 2 2 5" xfId="29132" xr:uid="{23E3257F-4707-4709-948D-9F86ABBAF237}"/>
    <cellStyle name="Normal 35 2 2 3" xfId="29133" xr:uid="{E87EF308-3F9A-4813-98D4-F1BD6D0303E0}"/>
    <cellStyle name="Normal 35 2 2 3 2" xfId="29134" xr:uid="{82FD1255-7DE3-4597-9556-E338A275BF85}"/>
    <cellStyle name="Normal 35 2 2 3 2 2" xfId="29135" xr:uid="{CA5B8069-3B58-49AF-9676-9D10A63D8A20}"/>
    <cellStyle name="Normal 35 2 2 3 3" xfId="29136" xr:uid="{71E9A99F-A3DB-4069-A103-402593C2B780}"/>
    <cellStyle name="Normal 35 2 2 4" xfId="29137" xr:uid="{BFAD6E4B-7D55-4C69-A560-9686434FD515}"/>
    <cellStyle name="Normal 35 2 2 4 2" xfId="29138" xr:uid="{016BEAB4-9048-4AF9-8A9E-6FAF673297E4}"/>
    <cellStyle name="Normal 35 2 2 4 2 2" xfId="29139" xr:uid="{AAB13150-E951-4A2A-A791-0704974A2468}"/>
    <cellStyle name="Normal 35 2 2 4 3" xfId="29140" xr:uid="{E07BBA77-497F-44DF-B118-23270593FDCC}"/>
    <cellStyle name="Normal 35 2 2 5" xfId="29141" xr:uid="{5EBC9D96-5F44-407A-A90E-89E5D03B3791}"/>
    <cellStyle name="Normal 35 2 2 5 2" xfId="29142" xr:uid="{38EB376C-34F4-41CB-A026-109E13458082}"/>
    <cellStyle name="Normal 35 2 2 6" xfId="29143" xr:uid="{1C51C2CD-85B9-41AE-93C7-3DA1D2A9677F}"/>
    <cellStyle name="Normal 35 2 3" xfId="29144" xr:uid="{A39BBED9-1ADE-43FA-B036-E66AA2CD994A}"/>
    <cellStyle name="Normal 35 2 3 2" xfId="29145" xr:uid="{723B86DD-50AB-4F19-958F-E17326738239}"/>
    <cellStyle name="Normal 35 2 3 2 2" xfId="29146" xr:uid="{3A2374DD-A49C-40A6-B212-B97FBBCB0140}"/>
    <cellStyle name="Normal 35 2 3 2 2 2" xfId="29147" xr:uid="{9FB5A4BF-676B-4F37-9F03-D2E3E71FCEE0}"/>
    <cellStyle name="Normal 35 2 3 2 2 2 2" xfId="29148" xr:uid="{EA493F03-7AB4-415F-8AA7-B24E1AD4791A}"/>
    <cellStyle name="Normal 35 2 3 2 2 3" xfId="29149" xr:uid="{F75DFD88-5E8B-4883-90DD-BAD609C30D8C}"/>
    <cellStyle name="Normal 35 2 3 2 3" xfId="29150" xr:uid="{6E5FC139-5496-46CD-8C42-D00B55A92A99}"/>
    <cellStyle name="Normal 35 2 3 2 3 2" xfId="29151" xr:uid="{0B04FEB6-CB18-46C3-8712-3BA6E91FFA7D}"/>
    <cellStyle name="Normal 35 2 3 2 3 2 2" xfId="29152" xr:uid="{D32F13EF-C8FD-4A13-8121-7748F4DDD188}"/>
    <cellStyle name="Normal 35 2 3 2 3 3" xfId="29153" xr:uid="{04F3DA4E-A2CD-425A-A551-511919B930C9}"/>
    <cellStyle name="Normal 35 2 3 2 4" xfId="29154" xr:uid="{F14734AA-565A-45FC-B043-95926DEB1681}"/>
    <cellStyle name="Normal 35 2 3 2 4 2" xfId="29155" xr:uid="{1DE53339-E012-48F1-9D18-C0B52C253BCF}"/>
    <cellStyle name="Normal 35 2 3 2 5" xfId="29156" xr:uid="{FEB63546-B050-4933-90A4-321A8E39B5E0}"/>
    <cellStyle name="Normal 35 2 3 3" xfId="29157" xr:uid="{A76CC7F7-CB45-47D9-A7EB-389F185592F9}"/>
    <cellStyle name="Normal 35 2 3 3 2" xfId="29158" xr:uid="{C778CD10-21C8-423A-96F6-1FF17B68D8EB}"/>
    <cellStyle name="Normal 35 2 3 3 2 2" xfId="29159" xr:uid="{FA89E963-A439-4A87-9DA0-3AECC092B967}"/>
    <cellStyle name="Normal 35 2 3 3 3" xfId="29160" xr:uid="{FC7798C7-A95B-41CF-AB52-BB08848DF9AD}"/>
    <cellStyle name="Normal 35 2 3 4" xfId="29161" xr:uid="{B12E7348-6B63-4A23-96DA-DCB4B8F2F0A7}"/>
    <cellStyle name="Normal 35 2 3 4 2" xfId="29162" xr:uid="{A6BA51A9-CF32-46A2-8498-F59F4ABA09C6}"/>
    <cellStyle name="Normal 35 2 3 4 2 2" xfId="29163" xr:uid="{DCCEBC38-123D-4828-9BA2-1B3FC4ACB5AA}"/>
    <cellStyle name="Normal 35 2 3 4 3" xfId="29164" xr:uid="{1C037EA5-AC7A-41F9-84BC-877E02E104ED}"/>
    <cellStyle name="Normal 35 2 3 5" xfId="29165" xr:uid="{B9797827-807F-4E38-B5DF-56DB7B4BE429}"/>
    <cellStyle name="Normal 35 2 3 5 2" xfId="29166" xr:uid="{998A86E9-5DB9-4ED8-AA81-7A64ACAB94BD}"/>
    <cellStyle name="Normal 35 2 3 6" xfId="29167" xr:uid="{8FAD3E7A-6716-40C4-A3B6-5A4E6D4D0081}"/>
    <cellStyle name="Normal 35 2 4" xfId="29168" xr:uid="{3E1D0A4E-8270-4E5A-A02D-43C50325E0A3}"/>
    <cellStyle name="Normal 35 2 4 2" xfId="29169" xr:uid="{A0AF4681-06DD-4F0D-A991-BE7561957F87}"/>
    <cellStyle name="Normal 35 2 4 2 2" xfId="29170" xr:uid="{78AF0186-2EE9-49F0-BBDD-51C64F5A4BE0}"/>
    <cellStyle name="Normal 35 2 4 2 2 2" xfId="29171" xr:uid="{1647D8FD-7BB5-4A6F-AD91-18F9FB706B3D}"/>
    <cellStyle name="Normal 35 2 4 2 3" xfId="29172" xr:uid="{8DD2C6A1-FC85-4C8A-8394-7C6DA5E7E2E4}"/>
    <cellStyle name="Normal 35 2 4 3" xfId="29173" xr:uid="{1E24AD04-A575-4955-AC3A-F3BBC4E677F2}"/>
    <cellStyle name="Normal 35 2 4 3 2" xfId="29174" xr:uid="{0006B1FE-6119-44EE-800D-669E66EC11B7}"/>
    <cellStyle name="Normal 35 2 4 3 2 2" xfId="29175" xr:uid="{C8E0F495-549D-4D23-A98D-648EC411BDB1}"/>
    <cellStyle name="Normal 35 2 4 3 3" xfId="29176" xr:uid="{37C266C0-0966-4D81-AECE-A356FC90391B}"/>
    <cellStyle name="Normal 35 2 4 4" xfId="29177" xr:uid="{0C48BF74-0D4A-404E-AE87-2D5CEB43DE39}"/>
    <cellStyle name="Normal 35 2 4 4 2" xfId="29178" xr:uid="{F137AC43-921B-4744-99D0-100E68E8416E}"/>
    <cellStyle name="Normal 35 2 4 5" xfId="29179" xr:uid="{085F2A00-C46A-46DC-9BCE-F93179B0B12C}"/>
    <cellStyle name="Normal 35 2 5" xfId="29180" xr:uid="{0C4158D5-D310-44C6-ACDD-E822A70BA2C3}"/>
    <cellStyle name="Normal 35 2 5 2" xfId="29181" xr:uid="{D866F0D8-61B9-45DF-A5E9-C8FA3C14C303}"/>
    <cellStyle name="Normal 35 2 5 2 2" xfId="29182" xr:uid="{C416960A-E3A8-4D02-9FD0-BED38DC3B7AD}"/>
    <cellStyle name="Normal 35 2 5 3" xfId="29183" xr:uid="{668413B9-68A1-43A5-B5BE-C7944FBB22CC}"/>
    <cellStyle name="Normal 35 2 6" xfId="29184" xr:uid="{99898773-9244-4E71-BB5A-8806D4C4621A}"/>
    <cellStyle name="Normal 35 2 6 2" xfId="29185" xr:uid="{D561A958-496A-49BA-8B75-42EADCA3652A}"/>
    <cellStyle name="Normal 35 2 6 2 2" xfId="29186" xr:uid="{A8E02A14-43E3-4910-9B31-094A8B6FFEF9}"/>
    <cellStyle name="Normal 35 2 6 3" xfId="29187" xr:uid="{A6E1C937-5BF5-45AB-B7C5-6A98A4853778}"/>
    <cellStyle name="Normal 35 2 7" xfId="29188" xr:uid="{4560D904-C12E-4105-8BD0-3A7F1987A1F5}"/>
    <cellStyle name="Normal 35 2 7 2" xfId="29189" xr:uid="{445194C2-7FDC-43F0-B991-7A70DF1C2245}"/>
    <cellStyle name="Normal 35 2 8" xfId="29190" xr:uid="{03F25095-4331-4F9F-82EA-EFB5C7FF706F}"/>
    <cellStyle name="Normal 35 2 9" xfId="39096" xr:uid="{E1C7FBA1-165A-4080-933C-343906E1051F}"/>
    <cellStyle name="Normal 35 3" xfId="29191" xr:uid="{C4C6232E-FA8D-42BB-B75C-B7E1FFB34AE4}"/>
    <cellStyle name="Normal 35 3 2" xfId="29192" xr:uid="{2ABC8A4A-4364-461D-897C-AE236225CE7D}"/>
    <cellStyle name="Normal 35 3 2 2" xfId="29193" xr:uid="{C268DE43-6B7B-4EB2-B00D-06694F428309}"/>
    <cellStyle name="Normal 35 3 2 2 2" xfId="29194" xr:uid="{4E652003-BCED-490C-B291-58D27DF18679}"/>
    <cellStyle name="Normal 35 3 2 2 2 2" xfId="29195" xr:uid="{60E56B5E-192D-4B27-94C6-6D997E422428}"/>
    <cellStyle name="Normal 35 3 2 2 3" xfId="29196" xr:uid="{AE9B9B80-63CF-4B8F-AEAD-A3A0AC08F9E9}"/>
    <cellStyle name="Normal 35 3 2 3" xfId="29197" xr:uid="{8C0DEC9B-4C92-46D9-9877-FCA0F60A09A5}"/>
    <cellStyle name="Normal 35 3 2 3 2" xfId="29198" xr:uid="{BCC9585D-892A-4DDD-A764-83BBC3289E60}"/>
    <cellStyle name="Normal 35 3 2 3 2 2" xfId="29199" xr:uid="{59034E41-BEAC-4630-8B5A-DDC3A11828FE}"/>
    <cellStyle name="Normal 35 3 2 3 3" xfId="29200" xr:uid="{A689C682-B688-4B8F-894A-B9EBDC6CE428}"/>
    <cellStyle name="Normal 35 3 2 4" xfId="29201" xr:uid="{B8259265-633B-4F30-889E-BDA70F7EA874}"/>
    <cellStyle name="Normal 35 3 2 4 2" xfId="29202" xr:uid="{6D2EB25B-F909-4BAD-900D-2FD33580BE90}"/>
    <cellStyle name="Normal 35 3 2 5" xfId="29203" xr:uid="{51AFE6B4-EB6C-4ABB-833B-C2B87B36A6A1}"/>
    <cellStyle name="Normal 35 3 3" xfId="29204" xr:uid="{D8E2B5D9-6932-4A06-88B1-AF3D604329FB}"/>
    <cellStyle name="Normal 35 3 3 2" xfId="29205" xr:uid="{75BE78AE-3422-4F13-9ED0-E945CA125AA4}"/>
    <cellStyle name="Normal 35 3 3 2 2" xfId="29206" xr:uid="{69220E23-B6FB-44C9-80C1-F8E9E1E16A96}"/>
    <cellStyle name="Normal 35 3 3 3" xfId="29207" xr:uid="{41B42141-A68A-43DE-BD17-71077090CD1F}"/>
    <cellStyle name="Normal 35 3 4" xfId="29208" xr:uid="{40C7BA78-0339-48E8-B2A2-C52C1EDCD465}"/>
    <cellStyle name="Normal 35 3 4 2" xfId="29209" xr:uid="{B49B2AF6-CFDF-4803-AB82-22891EE3DEDE}"/>
    <cellStyle name="Normal 35 3 4 2 2" xfId="29210" xr:uid="{18CAAA85-9335-483D-9A55-AEB88062EDC8}"/>
    <cellStyle name="Normal 35 3 4 3" xfId="29211" xr:uid="{12221D27-96F5-4884-A11F-275F346D35AE}"/>
    <cellStyle name="Normal 35 3 5" xfId="29212" xr:uid="{0A5EF33C-9E18-4BD1-ADFF-2F97F44E8A68}"/>
    <cellStyle name="Normal 35 3 5 2" xfId="29213" xr:uid="{7DAC93AE-10DE-4240-8DCC-FDBF9A27B5A0}"/>
    <cellStyle name="Normal 35 3 6" xfId="29214" xr:uid="{771DF22C-5F2D-40E6-BB5A-8A797B45F3E3}"/>
    <cellStyle name="Normal 35 4" xfId="29215" xr:uid="{808B3A76-B93E-4FCD-9E59-50439C1010D8}"/>
    <cellStyle name="Normal 35 4 2" xfId="29216" xr:uid="{3FF675A0-10C7-4891-AA9C-DA1F288B1590}"/>
    <cellStyle name="Normal 35 4 2 2" xfId="29217" xr:uid="{F88C808C-092F-4628-88DF-A2FC5E6CF689}"/>
    <cellStyle name="Normal 35 4 2 2 2" xfId="29218" xr:uid="{9ECDD76C-E86C-42F4-8B3D-E6A5F94C8C87}"/>
    <cellStyle name="Normal 35 4 2 2 2 2" xfId="29219" xr:uid="{9AF128C0-33F6-48A3-ABB4-2CB6EA707266}"/>
    <cellStyle name="Normal 35 4 2 2 3" xfId="29220" xr:uid="{FF0ABCB2-8BB0-44D8-8343-9337283ACA58}"/>
    <cellStyle name="Normal 35 4 2 3" xfId="29221" xr:uid="{34AA3D27-2322-4278-B07E-AAA724324485}"/>
    <cellStyle name="Normal 35 4 2 3 2" xfId="29222" xr:uid="{0128063C-BDC5-4834-81E1-F8C55DAF20F2}"/>
    <cellStyle name="Normal 35 4 2 3 2 2" xfId="29223" xr:uid="{690908EE-1DFA-4153-952C-D2CC2C0CA757}"/>
    <cellStyle name="Normal 35 4 2 3 3" xfId="29224" xr:uid="{E0ED85F2-5A71-4DB9-B6C6-5B7511FF7C79}"/>
    <cellStyle name="Normal 35 4 2 4" xfId="29225" xr:uid="{9C9A46F7-0176-4E3D-9717-0502160F49F8}"/>
    <cellStyle name="Normal 35 4 2 4 2" xfId="29226" xr:uid="{83A4B671-D0C9-475F-B6EA-6D77967943A9}"/>
    <cellStyle name="Normal 35 4 2 5" xfId="29227" xr:uid="{4D0DB29C-76CE-452E-887E-FC32250FD1C6}"/>
    <cellStyle name="Normal 35 4 3" xfId="29228" xr:uid="{A904CF44-BEBD-4624-AD86-F5B97189EDFD}"/>
    <cellStyle name="Normal 35 4 3 2" xfId="29229" xr:uid="{E15BFC36-B18A-435F-89A6-4D7053E2EE54}"/>
    <cellStyle name="Normal 35 4 3 2 2" xfId="29230" xr:uid="{B65C6014-ECDF-460C-BD54-B1D91156B92B}"/>
    <cellStyle name="Normal 35 4 3 3" xfId="29231" xr:uid="{793F247C-C53F-42A6-AFE0-477129811DFD}"/>
    <cellStyle name="Normal 35 4 4" xfId="29232" xr:uid="{2A01EF68-8F95-481A-BF19-44CEE564768B}"/>
    <cellStyle name="Normal 35 4 4 2" xfId="29233" xr:uid="{A907AA53-F64D-4D53-B795-47A7E596D8A8}"/>
    <cellStyle name="Normal 35 4 4 2 2" xfId="29234" xr:uid="{3AEDD671-5526-4BD0-AA49-9E22114F68E4}"/>
    <cellStyle name="Normal 35 4 4 3" xfId="29235" xr:uid="{D33595EC-E668-400F-A680-9485BF6AABAE}"/>
    <cellStyle name="Normal 35 4 5" xfId="29236" xr:uid="{36B76C0B-D9A0-4754-8F82-8C9F9F53FCE5}"/>
    <cellStyle name="Normal 35 4 5 2" xfId="29237" xr:uid="{307B379C-3C46-4B16-9F4D-131084BDF1CF}"/>
    <cellStyle name="Normal 35 4 6" xfId="29238" xr:uid="{3C2E6160-AC35-4C28-AB0F-731ACBD94112}"/>
    <cellStyle name="Normal 35 5" xfId="29239" xr:uid="{157988F3-5F96-49FF-A750-481B413ADCD5}"/>
    <cellStyle name="Normal 35 5 2" xfId="29240" xr:uid="{4E5EABDE-A701-42C4-AC05-B39A05716385}"/>
    <cellStyle name="Normal 35 5 2 2" xfId="29241" xr:uid="{31AF15A8-E997-4E03-91D4-E2993C244D0E}"/>
    <cellStyle name="Normal 35 5 2 2 2" xfId="29242" xr:uid="{F9AFBD21-4D4F-471D-A7F8-DA9FD74322C1}"/>
    <cellStyle name="Normal 35 5 2 3" xfId="29243" xr:uid="{4DB786B2-F54B-4D2F-B34C-8B841DBBE156}"/>
    <cellStyle name="Normal 35 5 3" xfId="29244" xr:uid="{E4B77A46-2358-48FA-A905-8F543602B764}"/>
    <cellStyle name="Normal 35 5 3 2" xfId="29245" xr:uid="{06A53E11-15F2-403A-9B72-7112291A79D5}"/>
    <cellStyle name="Normal 35 5 3 2 2" xfId="29246" xr:uid="{B1863618-56CD-4058-9BB4-47ADA866FD5F}"/>
    <cellStyle name="Normal 35 5 3 3" xfId="29247" xr:uid="{01C16D58-A704-4692-A37A-87FD796128A5}"/>
    <cellStyle name="Normal 35 5 4" xfId="29248" xr:uid="{D3563304-56B0-4A74-B0B1-1C0BCA860537}"/>
    <cellStyle name="Normal 35 5 4 2" xfId="29249" xr:uid="{14B9CA57-5F49-4D05-9139-67A2C06930C8}"/>
    <cellStyle name="Normal 35 5 5" xfId="29250" xr:uid="{2474641B-C25C-4A58-8EAC-B2DDF2151409}"/>
    <cellStyle name="Normal 35 6" xfId="29251" xr:uid="{9A174694-4CE5-4C07-898E-F7844F6B1634}"/>
    <cellStyle name="Normal 35 6 2" xfId="29252" xr:uid="{17F234CE-9A38-4CCA-952B-D6628B807874}"/>
    <cellStyle name="Normal 35 6 2 2" xfId="29253" xr:uid="{48C4B30D-DD40-41F1-9A79-E42169BD05E1}"/>
    <cellStyle name="Normal 35 6 3" xfId="29254" xr:uid="{8D83C960-7172-4122-87B1-581A26D01F71}"/>
    <cellStyle name="Normal 35 7" xfId="29255" xr:uid="{3F1321EA-0E92-4BFE-AEFB-B6DEF8FACF87}"/>
    <cellStyle name="Normal 35 7 2" xfId="29256" xr:uid="{A442ECE9-A71E-4EF7-9DB2-E6D258704DD3}"/>
    <cellStyle name="Normal 35 7 2 2" xfId="29257" xr:uid="{515C4AE8-22C8-47D0-B3F1-1186DC59278E}"/>
    <cellStyle name="Normal 35 7 3" xfId="29258" xr:uid="{108F11D1-0316-4E6A-AA6C-09A1AA438ABA}"/>
    <cellStyle name="Normal 35 8" xfId="29259" xr:uid="{5AC5616D-EF65-4C36-9407-AA88B89BC2C5}"/>
    <cellStyle name="Normal 35 8 2" xfId="29260" xr:uid="{EFF9FC2B-4992-454A-BE49-F51EA57B2215}"/>
    <cellStyle name="Normal 35 9" xfId="29261" xr:uid="{8A980310-6285-4B70-B128-DE4D37084FD0}"/>
    <cellStyle name="Normal 36" xfId="29262" xr:uid="{4758058F-9EC0-4DA4-B109-7B9554A36032}"/>
    <cellStyle name="Normal 36 2" xfId="29263" xr:uid="{D820BA22-D7ED-47D3-9EBE-61C331B26751}"/>
    <cellStyle name="Normal 36 2 2" xfId="29264" xr:uid="{3D1BDA57-7747-47B1-A365-2F8C65998009}"/>
    <cellStyle name="Normal 36 2 2 2" xfId="29265" xr:uid="{8514447F-B643-4E82-9924-5DCD9E57152F}"/>
    <cellStyle name="Normal 36 2 2 2 2" xfId="29266" xr:uid="{D3F76422-D8BE-4A68-B156-3CFBEC8C3BDB}"/>
    <cellStyle name="Normal 36 2 2 3" xfId="29267" xr:uid="{FC898566-8CA4-4F40-8B63-ACE947156E0A}"/>
    <cellStyle name="Normal 36 2 3" xfId="29268" xr:uid="{BA282899-BCEA-48F4-A2E6-324341A5F493}"/>
    <cellStyle name="Normal 36 2 3 2" xfId="29269" xr:uid="{880FF898-DB87-456E-9D37-458BC9EBCDC5}"/>
    <cellStyle name="Normal 36 2 3 2 2" xfId="29270" xr:uid="{53F9F984-6BA9-4B68-86F1-A81B76379585}"/>
    <cellStyle name="Normal 36 2 3 3" xfId="29271" xr:uid="{B27456FA-C674-4EA7-987D-FAC15D41BDE4}"/>
    <cellStyle name="Normal 36 2 4" xfId="29272" xr:uid="{76D50848-42C8-486C-9270-06347DD86D0C}"/>
    <cellStyle name="Normal 36 2 4 2" xfId="29273" xr:uid="{8D0CA044-658A-47F7-9194-619929D9D456}"/>
    <cellStyle name="Normal 36 2 5" xfId="29274" xr:uid="{B6703FA7-80D1-476B-BADF-9D71A72C1F76}"/>
    <cellStyle name="Normal 36 2 6" xfId="39097" xr:uid="{67F1971A-834D-478F-83A4-17E3B91B6229}"/>
    <cellStyle name="Normal 36 3" xfId="29275" xr:uid="{D8A8B98D-F986-4C14-812D-AF02B9620BB2}"/>
    <cellStyle name="Normal 36 3 2" xfId="29276" xr:uid="{66A70352-17A9-4110-9E7B-410CCD151742}"/>
    <cellStyle name="Normal 36 3 2 2" xfId="29277" xr:uid="{30403B79-B984-4C58-BFD6-1735E0890298}"/>
    <cellStyle name="Normal 36 3 3" xfId="29278" xr:uid="{34C39C3E-4164-478A-A99E-1009451A3109}"/>
    <cellStyle name="Normal 36 4" xfId="29279" xr:uid="{16289FC1-E038-482E-A8C9-83D93F0D45CA}"/>
    <cellStyle name="Normal 36 4 2" xfId="29280" xr:uid="{ADF1308A-5A09-4E49-8BCA-90435ED31FBE}"/>
    <cellStyle name="Normal 36 4 2 2" xfId="29281" xr:uid="{3E726C79-DE43-42B7-BB89-2F3D2024FEE8}"/>
    <cellStyle name="Normal 36 4 3" xfId="29282" xr:uid="{798143B0-E6C9-4EC6-A174-D27036D350F7}"/>
    <cellStyle name="Normal 36 5" xfId="29283" xr:uid="{394FA91A-BE14-4C75-88E6-7876E7D79313}"/>
    <cellStyle name="Normal 36 5 2" xfId="29284" xr:uid="{1794CECC-E6EC-4519-9AED-AD9A9443AC0B}"/>
    <cellStyle name="Normal 36 5 2 2" xfId="29285" xr:uid="{9AD701C7-B81F-4200-9B2F-22E9581F3FBD}"/>
    <cellStyle name="Normal 36 5 3" xfId="29286" xr:uid="{A3BA250B-0278-4E03-82FA-4FC75071EA14}"/>
    <cellStyle name="Normal 36 6" xfId="29287" xr:uid="{DFF9FE9E-CFA8-4EBF-A51B-BE67D01B03BA}"/>
    <cellStyle name="Normal 36 6 2" xfId="29288" xr:uid="{A8D69BD7-CAB4-4FCB-8134-F1A46F391EF5}"/>
    <cellStyle name="Normal 36 7" xfId="29289" xr:uid="{18C7B77C-6BB6-46C9-8D6D-B50134E3A88F}"/>
    <cellStyle name="Normal 36 8" xfId="39098" xr:uid="{0B29FEBF-1D36-4537-BE28-E39BFC3415C2}"/>
    <cellStyle name="Normal 37" xfId="29290" xr:uid="{210DACB1-778A-4440-A14A-F3B0C341511D}"/>
    <cellStyle name="Normal 37 2" xfId="29291" xr:uid="{F6A8E790-74DC-4FA3-B18A-F8621ED57789}"/>
    <cellStyle name="Normal 37 2 2" xfId="29292" xr:uid="{F643BF24-F924-41D1-9F0E-36D7646F8746}"/>
    <cellStyle name="Normal 37 2 2 2" xfId="29293" xr:uid="{A76F387F-9739-47B1-B839-29ECD9494C6B}"/>
    <cellStyle name="Normal 37 2 2 2 2" xfId="29294" xr:uid="{FDBA6E19-BDF5-4B13-9412-58E6B7654DF8}"/>
    <cellStyle name="Normal 37 2 2 3" xfId="29295" xr:uid="{A07A1DF1-ECE3-456B-A847-55F7E1E7338C}"/>
    <cellStyle name="Normal 37 2 3" xfId="29296" xr:uid="{2190B97F-7061-4C46-ABD9-1665CB422E79}"/>
    <cellStyle name="Normal 37 2 3 2" xfId="29297" xr:uid="{0DF361C9-97AB-430F-AE26-F6EAE93E1356}"/>
    <cellStyle name="Normal 37 2 3 2 2" xfId="29298" xr:uid="{E3D93035-4C6A-4095-A599-C955C5D932E8}"/>
    <cellStyle name="Normal 37 2 3 3" xfId="29299" xr:uid="{7CFA3162-B679-41EC-8E8A-E637224ED5FE}"/>
    <cellStyle name="Normal 37 2 4" xfId="29300" xr:uid="{B35E2A29-39B7-4098-89AE-7281DF51D50A}"/>
    <cellStyle name="Normal 37 2 4 2" xfId="29301" xr:uid="{9941B7AE-2982-4B99-8ED0-63183CFEC200}"/>
    <cellStyle name="Normal 37 2 5" xfId="29302" xr:uid="{00F8CF69-2BAD-47F1-A9C6-07650D599AEF}"/>
    <cellStyle name="Normal 37 2 6" xfId="39099" xr:uid="{16D0535B-739A-4C3F-8368-E510222B2974}"/>
    <cellStyle name="Normal 37 3" xfId="29303" xr:uid="{EDCF13E4-225E-4CE8-B61B-3AE216CD166D}"/>
    <cellStyle name="Normal 37 3 2" xfId="29304" xr:uid="{E4D25098-2988-4425-B7CD-56351E44D0FA}"/>
    <cellStyle name="Normal 37 3 2 2" xfId="29305" xr:uid="{65C8A32B-EC8F-455A-8028-C6006AD32689}"/>
    <cellStyle name="Normal 37 3 3" xfId="29306" xr:uid="{F68DA7CF-90B4-416C-BDBB-DFBC31545D80}"/>
    <cellStyle name="Normal 37 4" xfId="29307" xr:uid="{17C2CFC9-3487-4A94-8F7F-85299A45167C}"/>
    <cellStyle name="Normal 37 4 2" xfId="29308" xr:uid="{EB17FBFA-0AFF-47F8-8284-30B15886D559}"/>
    <cellStyle name="Normal 37 4 2 2" xfId="29309" xr:uid="{8C192AB0-E42D-4AD4-BEC3-D1EE576D51C8}"/>
    <cellStyle name="Normal 37 4 3" xfId="29310" xr:uid="{8A6D6894-565D-435C-92F9-843765B6CF09}"/>
    <cellStyle name="Normal 37 5" xfId="29311" xr:uid="{1D77FFFF-BCF4-4765-BA59-602B5FE0E96C}"/>
    <cellStyle name="Normal 37 5 2" xfId="29312" xr:uid="{4572E695-25CD-4E74-AD7D-C009DC0CBFA2}"/>
    <cellStyle name="Normal 37 6" xfId="29313" xr:uid="{ACDE15D6-AA4A-43E7-9786-D46FC1776DB5}"/>
    <cellStyle name="Normal 37 7" xfId="39100" xr:uid="{DC87F131-D0A7-4EC3-A9E8-7BCCFF278258}"/>
    <cellStyle name="Normal 38" xfId="29314" xr:uid="{C784B2ED-88B2-4E92-9996-BFA95B332181}"/>
    <cellStyle name="Normal 38 2" xfId="29315" xr:uid="{9FC34CD2-048B-48E0-8376-5BE6068D1AE0}"/>
    <cellStyle name="Normal 38 2 2" xfId="29316" xr:uid="{154365F8-A4C7-4CFD-A39E-B90904221235}"/>
    <cellStyle name="Normal 38 2 2 2" xfId="29317" xr:uid="{DE4EA464-E19B-4EEA-B649-2F4BC8B99A15}"/>
    <cellStyle name="Normal 38 2 2 2 2" xfId="29318" xr:uid="{884C44B5-8360-4914-8F85-396AD34B6744}"/>
    <cellStyle name="Normal 38 2 2 3" xfId="29319" xr:uid="{A355B878-5BB5-49C2-B8E9-A2A167C2A7D5}"/>
    <cellStyle name="Normal 38 2 3" xfId="29320" xr:uid="{17170D01-2CF3-4EB2-B71A-7D075C42111C}"/>
    <cellStyle name="Normal 38 2 3 2" xfId="29321" xr:uid="{3851E6EB-7655-4B69-B64A-255005D74677}"/>
    <cellStyle name="Normal 38 2 3 2 2" xfId="29322" xr:uid="{994709C6-871B-4018-804B-ED32BAF1DCE5}"/>
    <cellStyle name="Normal 38 2 3 3" xfId="29323" xr:uid="{E5269A55-9723-487D-9490-836E923876DF}"/>
    <cellStyle name="Normal 38 2 4" xfId="29324" xr:uid="{20D526E2-CBED-430B-AD25-54CED1FDDA02}"/>
    <cellStyle name="Normal 38 2 4 2" xfId="29325" xr:uid="{C8F5188D-68DF-4198-B46D-52677FC98FE1}"/>
    <cellStyle name="Normal 38 2 5" xfId="29326" xr:uid="{5A618E21-1393-4443-907D-2B3959E776EA}"/>
    <cellStyle name="Normal 38 2 6" xfId="39101" xr:uid="{1E10A595-0619-466A-A5A6-C8381094446F}"/>
    <cellStyle name="Normal 38 3" xfId="29327" xr:uid="{4DBE1BC0-5A38-422F-8A31-14BB02D4DC7A}"/>
    <cellStyle name="Normal 38 3 2" xfId="29328" xr:uid="{4F661CF4-4621-4B79-95CF-105E1177610F}"/>
    <cellStyle name="Normal 38 4" xfId="29329" xr:uid="{276D255D-5E70-44C0-ACAD-6DCF06B4E36D}"/>
    <cellStyle name="Normal 38 4 2" xfId="29330" xr:uid="{2F9786BD-3889-4D3D-AAA7-2512EAD9FA60}"/>
    <cellStyle name="Normal 38 5" xfId="29331" xr:uid="{CEF08607-42B6-4FF6-9355-FBEC57F183E2}"/>
    <cellStyle name="Normal 38 6" xfId="39102" xr:uid="{1935D51C-9DC5-4FCF-A97A-B6FEC800D69E}"/>
    <cellStyle name="Normal 38 7" xfId="39103" xr:uid="{18CD6D79-0EFF-4B20-A0BF-F5F8BE315835}"/>
    <cellStyle name="Normal 39" xfId="29332" xr:uid="{32E246CB-EF9A-4B8A-83D6-727B9ECB73F0}"/>
    <cellStyle name="Normal 39 2" xfId="29333" xr:uid="{BE2DF428-D9A7-403F-9CF5-95E064C893B9}"/>
    <cellStyle name="Normal 39 2 2" xfId="29334" xr:uid="{ECE93277-A072-4DC3-929F-1D389B4A287A}"/>
    <cellStyle name="Normal 39 2 2 2" xfId="29335" xr:uid="{D6AAD0B0-730B-4BF4-8B33-14614A6203F7}"/>
    <cellStyle name="Normal 39 2 2 2 2" xfId="29336" xr:uid="{CDF6DEC3-966D-4C68-9804-30D791814E84}"/>
    <cellStyle name="Normal 39 2 2 3" xfId="29337" xr:uid="{A7CAE422-AACE-46FE-939C-E4C8863949CC}"/>
    <cellStyle name="Normal 39 2 3" xfId="29338" xr:uid="{498D78CC-577F-4B42-85C8-61BEB7B2D842}"/>
    <cellStyle name="Normal 39 2 3 2" xfId="29339" xr:uid="{32C6D048-6A15-4CD7-873D-6665D0D7CF43}"/>
    <cellStyle name="Normal 39 2 3 2 2" xfId="29340" xr:uid="{D08EA8C1-1AFE-418B-A020-F894F780FC15}"/>
    <cellStyle name="Normal 39 2 3 3" xfId="29341" xr:uid="{50D543F6-D0EF-4C5F-A656-570C026FA91C}"/>
    <cellStyle name="Normal 39 2 4" xfId="29342" xr:uid="{B8422FDA-EDED-44E3-9C60-0631D75E0683}"/>
    <cellStyle name="Normal 39 2 4 2" xfId="29343" xr:uid="{DCFFF581-9985-4159-8D6E-B1C14CD3E6AB}"/>
    <cellStyle name="Normal 39 2 5" xfId="29344" xr:uid="{E2D18FA2-8680-417D-883D-BB16D7CD7ECF}"/>
    <cellStyle name="Normal 39 2 6" xfId="39104" xr:uid="{687F3695-ABD2-4714-A9EE-1443577B4BB6}"/>
    <cellStyle name="Normal 39 3" xfId="29345" xr:uid="{66878996-93F6-4F3A-B9FD-CCF5BB6202CE}"/>
    <cellStyle name="Normal 39 3 2" xfId="29346" xr:uid="{E5262969-717E-4B55-804E-A39EF666CC2A}"/>
    <cellStyle name="Normal 39 3 2 2" xfId="29347" xr:uid="{DD9B6C15-12C0-4E95-BDCB-5DD1B7389B2C}"/>
    <cellStyle name="Normal 39 3 3" xfId="29348" xr:uid="{643B43B9-D8FF-4819-8326-9DD9F1DEAF41}"/>
    <cellStyle name="Normal 39 4" xfId="29349" xr:uid="{5220AB04-A5C6-4AF2-A260-2F7D1EAD409E}"/>
    <cellStyle name="Normal 39 4 2" xfId="29350" xr:uid="{6351099C-C6DD-42CA-B0A5-406F2618E55E}"/>
    <cellStyle name="Normal 39 4 2 2" xfId="29351" xr:uid="{6B207955-FBFE-479C-ACA7-D2CCB05539A1}"/>
    <cellStyle name="Normal 39 4 3" xfId="29352" xr:uid="{FEA494BE-7C88-4542-97E9-B40975A34A83}"/>
    <cellStyle name="Normal 39 5" xfId="29353" xr:uid="{87754AD5-6179-431C-9393-964EB10CF67B}"/>
    <cellStyle name="Normal 39 5 2" xfId="29354" xr:uid="{5FD81CC2-0723-413C-AF3F-F246CCCD2052}"/>
    <cellStyle name="Normal 39 6" xfId="29355" xr:uid="{D9E4E6BD-5DFC-42D1-843B-D87E5368AE05}"/>
    <cellStyle name="Normal 39 7" xfId="39105" xr:uid="{3380A621-C665-4588-963D-EF5E3847D2CE}"/>
    <cellStyle name="Normal 4" xfId="78" xr:uid="{44C3653F-060B-480B-B603-E763E0EA9765}"/>
    <cellStyle name="Normal 4 10" xfId="29356" xr:uid="{95AD72A9-658C-44EF-B901-F52445EF1E42}"/>
    <cellStyle name="Normal 4 11" xfId="135" xr:uid="{0A7BEF91-B209-4751-A05F-B31B104E15B5}"/>
    <cellStyle name="Normal 4 2" xfId="29357" xr:uid="{CE6517FD-CB74-4FAC-9ADD-CFB249C65A4C}"/>
    <cellStyle name="Normal 4 2 10" xfId="29358" xr:uid="{1FFFFEDA-5194-4DD4-B011-D7459A1603B7}"/>
    <cellStyle name="Normal 4 2 10 2" xfId="29359" xr:uid="{6EF74561-DDB8-46C2-A813-ABA5629B7A65}"/>
    <cellStyle name="Normal 4 2 10 2 2" xfId="29360" xr:uid="{81EA62F5-0D65-4E71-8834-155B418E1EBC}"/>
    <cellStyle name="Normal 4 2 10 2 2 2" xfId="29361" xr:uid="{631C0B62-E19D-4D49-A830-AC5DE4001DC0}"/>
    <cellStyle name="Normal 4 2 10 2 2 2 2" xfId="29362" xr:uid="{24B208FC-4271-4BDD-9596-3C0E9E41B21B}"/>
    <cellStyle name="Normal 4 2 10 2 2 3" xfId="29363" xr:uid="{31641ACB-9BAD-4A91-B8A2-245014C14D90}"/>
    <cellStyle name="Normal 4 2 10 2 3" xfId="29364" xr:uid="{470093FB-730D-4DDC-8448-88A42F66FB9A}"/>
    <cellStyle name="Normal 4 2 10 2 3 2" xfId="29365" xr:uid="{CC233CAE-4147-40F5-992E-BCC40A6750CE}"/>
    <cellStyle name="Normal 4 2 10 2 3 2 2" xfId="29366" xr:uid="{F126D406-0136-4325-8F96-03664FA44FC9}"/>
    <cellStyle name="Normal 4 2 10 2 3 3" xfId="29367" xr:uid="{BED4CBDD-4011-483C-86BF-8203152D399D}"/>
    <cellStyle name="Normal 4 2 10 2 4" xfId="29368" xr:uid="{D1D2C8C4-18D2-4E22-9806-631636836866}"/>
    <cellStyle name="Normal 4 2 10 2 4 2" xfId="29369" xr:uid="{98CC1D7E-0266-4926-B2B0-DD671EE27FA0}"/>
    <cellStyle name="Normal 4 2 10 2 5" xfId="29370" xr:uid="{706805E8-E2C4-43D3-B18E-AC303D35FDC5}"/>
    <cellStyle name="Normal 4 2 10 3" xfId="29371" xr:uid="{403AB6B9-40E9-4553-BEC8-FF17CD78B562}"/>
    <cellStyle name="Normal 4 2 10 3 2" xfId="29372" xr:uid="{10B465F8-F075-43F9-AF9E-A692D832ABFC}"/>
    <cellStyle name="Normal 4 2 10 3 2 2" xfId="29373" xr:uid="{AFA8AFC7-6962-48D5-AF86-FD6B050F44BD}"/>
    <cellStyle name="Normal 4 2 10 3 3" xfId="29374" xr:uid="{4AD06FC7-D5D3-4D3C-9CDB-B84004FA48CF}"/>
    <cellStyle name="Normal 4 2 10 4" xfId="29375" xr:uid="{38022821-9383-4E9D-B0ED-B5B12837CE58}"/>
    <cellStyle name="Normal 4 2 10 4 2" xfId="29376" xr:uid="{9CC710BF-99C6-4671-91B5-322409108604}"/>
    <cellStyle name="Normal 4 2 10 4 2 2" xfId="29377" xr:uid="{E89D3473-E31E-49ED-945A-CA756D98FD6E}"/>
    <cellStyle name="Normal 4 2 10 4 3" xfId="29378" xr:uid="{ABC799CF-08D2-4336-A7FD-9AF94EEC6FBD}"/>
    <cellStyle name="Normal 4 2 10 5" xfId="29379" xr:uid="{4BC221F8-9DE4-4B62-9981-20BB8F25F6F7}"/>
    <cellStyle name="Normal 4 2 10 5 2" xfId="29380" xr:uid="{DD89013C-A404-400A-841B-375BED7C8943}"/>
    <cellStyle name="Normal 4 2 10 6" xfId="29381" xr:uid="{CF22FB7F-7318-427B-976A-857A7064493A}"/>
    <cellStyle name="Normal 4 2 11" xfId="29382" xr:uid="{F036CE7A-07C8-440E-835C-67F454A93F3F}"/>
    <cellStyle name="Normal 4 2 11 2" xfId="29383" xr:uid="{F00A0B21-2370-43C1-9CF2-CAF29D59C851}"/>
    <cellStyle name="Normal 4 2 11 2 2" xfId="29384" xr:uid="{056A00B0-4D7A-41E8-8AAF-7E786502CC5B}"/>
    <cellStyle name="Normal 4 2 11 2 2 2" xfId="29385" xr:uid="{9E7F3768-AB85-4324-A342-D69A46435BFF}"/>
    <cellStyle name="Normal 4 2 11 2 2 2 2" xfId="29386" xr:uid="{6BD1F9E0-8498-4DCE-B1A9-6D9282EEF041}"/>
    <cellStyle name="Normal 4 2 11 2 2 3" xfId="29387" xr:uid="{69402CF1-7CC1-49ED-81C6-31C29365943F}"/>
    <cellStyle name="Normal 4 2 11 2 3" xfId="29388" xr:uid="{B6F3629E-B7DF-470A-BF7B-5E68594D2FFF}"/>
    <cellStyle name="Normal 4 2 11 2 3 2" xfId="29389" xr:uid="{88861CB4-7944-4131-A73A-BEA7FF3BD278}"/>
    <cellStyle name="Normal 4 2 11 2 3 2 2" xfId="29390" xr:uid="{5F916AF7-5F99-4EA5-A356-47630EBBF472}"/>
    <cellStyle name="Normal 4 2 11 2 3 3" xfId="29391" xr:uid="{D28BEBDC-4DA5-480C-BE76-CF66EC8BC65D}"/>
    <cellStyle name="Normal 4 2 11 2 4" xfId="29392" xr:uid="{0DC82AE7-3039-4180-B099-8AD92B801DC9}"/>
    <cellStyle name="Normal 4 2 11 2 4 2" xfId="29393" xr:uid="{77A0A370-DBD9-4511-8206-FE84EC6303AB}"/>
    <cellStyle name="Normal 4 2 11 2 5" xfId="29394" xr:uid="{9CD01640-7E6C-4B51-99B7-A23B841CC7F4}"/>
    <cellStyle name="Normal 4 2 11 3" xfId="29395" xr:uid="{1FE6D46C-51E5-46F1-9A64-BB94213A46EF}"/>
    <cellStyle name="Normal 4 2 11 3 2" xfId="29396" xr:uid="{207CB9BC-D1C6-471F-93FA-CEFA6445177D}"/>
    <cellStyle name="Normal 4 2 11 3 2 2" xfId="29397" xr:uid="{78932482-28CD-4A8A-99ED-4D3DFA9E3DBD}"/>
    <cellStyle name="Normal 4 2 11 3 3" xfId="29398" xr:uid="{28DFA3C4-A642-4453-B9F1-C9059CAA1DAC}"/>
    <cellStyle name="Normal 4 2 11 4" xfId="29399" xr:uid="{E20A7213-2087-4620-9FDC-02AFEB889AA1}"/>
    <cellStyle name="Normal 4 2 11 4 2" xfId="29400" xr:uid="{1A1A88BF-F728-40F7-A457-EE2CB6106D2C}"/>
    <cellStyle name="Normal 4 2 11 4 2 2" xfId="29401" xr:uid="{CAA4C9F0-814D-49E2-93F4-A470855BE7D2}"/>
    <cellStyle name="Normal 4 2 11 4 3" xfId="29402" xr:uid="{F800FD7A-27BD-4E61-B67A-2B58F21D0F09}"/>
    <cellStyle name="Normal 4 2 11 5" xfId="29403" xr:uid="{A21AA6D9-3068-4389-B0D0-81DFD507A991}"/>
    <cellStyle name="Normal 4 2 11 5 2" xfId="29404" xr:uid="{3FE5820C-BEFA-4DFD-B59B-AC1E8EEB96C2}"/>
    <cellStyle name="Normal 4 2 11 6" xfId="29405" xr:uid="{889EB0C8-D41A-49D6-AFFC-D23D9209142D}"/>
    <cellStyle name="Normal 4 2 12" xfId="29406" xr:uid="{2AABE13B-B031-4703-A72C-E267DCBDDB01}"/>
    <cellStyle name="Normal 4 2 12 2" xfId="29407" xr:uid="{25EB2FD9-66CC-45C3-A348-50068BB886E2}"/>
    <cellStyle name="Normal 4 2 12 2 2" xfId="29408" xr:uid="{07D41F3E-79B4-447B-8728-F55FFC56D4D3}"/>
    <cellStyle name="Normal 4 2 12 2 2 2" xfId="29409" xr:uid="{640A4F2D-83A5-4807-BB76-FB09B860FBB6}"/>
    <cellStyle name="Normal 4 2 12 2 3" xfId="29410" xr:uid="{C7215CEB-3E6C-4F63-9328-2EE8AB43D331}"/>
    <cellStyle name="Normal 4 2 12 3" xfId="29411" xr:uid="{96CA6F11-1D2D-470E-8E5B-E8C9184A2CA1}"/>
    <cellStyle name="Normal 4 2 12 3 2" xfId="29412" xr:uid="{96E73C02-6400-4AC4-B882-1ECDC93C3CB4}"/>
    <cellStyle name="Normal 4 2 12 3 2 2" xfId="29413" xr:uid="{1F164653-E73A-4DC7-8ED0-45E89D40C240}"/>
    <cellStyle name="Normal 4 2 12 3 3" xfId="29414" xr:uid="{59BD6AC6-45D3-4D64-9923-6A2858F428E7}"/>
    <cellStyle name="Normal 4 2 12 4" xfId="29415" xr:uid="{3DE19D84-972D-436B-A9D1-55227E37ED80}"/>
    <cellStyle name="Normal 4 2 12 4 2" xfId="29416" xr:uid="{EB00D599-46A1-47D1-849B-B8BD476C3F8C}"/>
    <cellStyle name="Normal 4 2 12 5" xfId="29417" xr:uid="{7C70B931-996E-4004-8FC4-BC3F379A12B9}"/>
    <cellStyle name="Normal 4 2 13" xfId="29418" xr:uid="{FCE3A368-4971-4A30-9F56-36A4B41A201B}"/>
    <cellStyle name="Normal 4 2 13 2" xfId="29419" xr:uid="{737044CF-2AC4-404D-ACA1-8066197BDC20}"/>
    <cellStyle name="Normal 4 2 13 2 2" xfId="29420" xr:uid="{A3DAA529-8DC0-4556-B08E-D8DD5F06E97D}"/>
    <cellStyle name="Normal 4 2 13 3" xfId="29421" xr:uid="{BB450E99-DC0C-4B74-8DCE-A777A68132B3}"/>
    <cellStyle name="Normal 4 2 14" xfId="29422" xr:uid="{523619F2-B86B-4278-9397-3F7C4682B64E}"/>
    <cellStyle name="Normal 4 2 14 2" xfId="29423" xr:uid="{4A63960E-9873-42FE-877C-5E955A43CDAE}"/>
    <cellStyle name="Normal 4 2 14 2 2" xfId="29424" xr:uid="{4115B05C-2A89-4A2C-A7D7-373CF8B045FE}"/>
    <cellStyle name="Normal 4 2 14 3" xfId="29425" xr:uid="{A77A67ED-245E-4EAA-B3B7-95F997732081}"/>
    <cellStyle name="Normal 4 2 15" xfId="29426" xr:uid="{481C5011-6628-4D84-8CB2-32BB1A0ED833}"/>
    <cellStyle name="Normal 4 2 15 2" xfId="29427" xr:uid="{A8E1C234-DD79-4C87-A41D-8BDB692F306E}"/>
    <cellStyle name="Normal 4 2 16" xfId="29428" xr:uid="{0EC9E0F7-3B6B-4E26-B1B5-308B807BDFC8}"/>
    <cellStyle name="Normal 4 2 2" xfId="29429" xr:uid="{5F64CBD4-DF29-4573-9812-3A1068D15053}"/>
    <cellStyle name="Normal 4 2 2 2" xfId="29430" xr:uid="{C9EA5294-6DC7-46D5-A9E7-C168A71A1472}"/>
    <cellStyle name="Normal 4 2 2 2 2" xfId="29431" xr:uid="{1FD8BA83-E83E-4054-ABF9-AE85CF699CA4}"/>
    <cellStyle name="Normal 4 2 2 2 2 2" xfId="29432" xr:uid="{AC6B87BF-2200-49B9-8581-898F970DE722}"/>
    <cellStyle name="Normal 4 2 2 2 2 2 2" xfId="29433" xr:uid="{EB9F167F-E67E-474B-BF86-890C968B9BDD}"/>
    <cellStyle name="Normal 4 2 2 2 2 3" xfId="29434" xr:uid="{B0E81D38-2C91-404E-BD6E-7652D33AD9F6}"/>
    <cellStyle name="Normal 4 2 2 2 3" xfId="29435" xr:uid="{B7F46FD5-2EF3-4737-B507-7D84EABCC110}"/>
    <cellStyle name="Normal 4 2 2 2 3 2" xfId="29436" xr:uid="{95F1C048-5223-4D08-A8B5-DF310EF91651}"/>
    <cellStyle name="Normal 4 2 2 2 3 2 2" xfId="29437" xr:uid="{83B03263-1015-43BA-BF2B-3A37EEDA3F9C}"/>
    <cellStyle name="Normal 4 2 2 2 3 3" xfId="29438" xr:uid="{4E649BB9-46DF-4018-9968-38B4E076376C}"/>
    <cellStyle name="Normal 4 2 2 2 4" xfId="29439" xr:uid="{B475826B-6E1D-4AFF-9AFD-6A35FA978348}"/>
    <cellStyle name="Normal 4 2 2 2 4 2" xfId="29440" xr:uid="{1B0D43B3-EFEB-4748-AC0B-579B341C090A}"/>
    <cellStyle name="Normal 4 2 2 3" xfId="29441" xr:uid="{B83C8BC4-8104-4021-95B0-7AD773304DC1}"/>
    <cellStyle name="Normal 4 2 2 3 2" xfId="29442" xr:uid="{A2DBA2FD-9079-416E-946A-70E49355322A}"/>
    <cellStyle name="Normal 4 2 2 3 2 2" xfId="29443" xr:uid="{E3A33451-CF3D-48D7-AA1E-ECD321DB077A}"/>
    <cellStyle name="Normal 4 2 2 3 3" xfId="29444" xr:uid="{0C84DBEA-2642-4DB5-8C14-636AD4213206}"/>
    <cellStyle name="Normal 4 2 2 4" xfId="29445" xr:uid="{47463EBA-E378-499D-B5F7-E45976960287}"/>
    <cellStyle name="Normal 4 2 2 4 2" xfId="29446" xr:uid="{F21FFF47-AB00-4429-B6F6-EBCB18EE672F}"/>
    <cellStyle name="Normal 4 2 2 4 2 2" xfId="29447" xr:uid="{D863376A-1071-4482-9EA7-4771D7C3AB10}"/>
    <cellStyle name="Normal 4 2 2 4 3" xfId="29448" xr:uid="{34BAA39D-A8FD-4CB9-A803-E265A78687CE}"/>
    <cellStyle name="Normal 4 2 2 5" xfId="29449" xr:uid="{21AE3760-732D-4793-B662-1EFB28CC2704}"/>
    <cellStyle name="Normal 4 2 2 5 2" xfId="29450" xr:uid="{CE82884A-177B-4195-ACC1-9A9B87E8693E}"/>
    <cellStyle name="Normal 4 2 2 6" xfId="29451" xr:uid="{A75B736D-253B-4F3A-8683-E6C9FB633EAF}"/>
    <cellStyle name="Normal 4 2 3" xfId="29452" xr:uid="{D6FC6D1D-61B4-4320-86AB-617DC1143BAD}"/>
    <cellStyle name="Normal 4 2 3 2" xfId="29453" xr:uid="{D90D7983-261E-47F8-90DC-9D69A008AEC4}"/>
    <cellStyle name="Normal 4 2 3 2 2" xfId="29454" xr:uid="{D5C29A22-6676-4A4F-B435-53212B99B882}"/>
    <cellStyle name="Normal 4 2 3 2 2 2" xfId="29455" xr:uid="{7DAE7861-FB10-4A44-8654-F2E3B137FD59}"/>
    <cellStyle name="Normal 4 2 3 2 2 2 2" xfId="29456" xr:uid="{31774BE5-6280-4392-B5BC-842AD2C60484}"/>
    <cellStyle name="Normal 4 2 3 2 2 3" xfId="29457" xr:uid="{3B50B654-B18D-4A0B-8103-88AE30B06F4C}"/>
    <cellStyle name="Normal 4 2 3 2 3" xfId="29458" xr:uid="{62DBD348-5939-4DD0-A9EE-DF1C91A6BD72}"/>
    <cellStyle name="Normal 4 2 3 2 3 2" xfId="29459" xr:uid="{E5D6C576-74D4-4072-B66C-9129839D0E30}"/>
    <cellStyle name="Normal 4 2 3 2 3 2 2" xfId="29460" xr:uid="{194D0AEE-A5CE-40E3-ACD4-57E37D476A89}"/>
    <cellStyle name="Normal 4 2 3 2 3 3" xfId="29461" xr:uid="{B0890454-E0F6-4041-8ACD-768AF8880375}"/>
    <cellStyle name="Normal 4 2 3 2 4" xfId="29462" xr:uid="{40099FFB-1B42-44F8-B33C-F7B8BF730A5A}"/>
    <cellStyle name="Normal 4 2 3 2 4 2" xfId="29463" xr:uid="{FB177F5E-CFA9-4BF8-B9EC-C703F56273CF}"/>
    <cellStyle name="Normal 4 2 3 2 5" xfId="29464" xr:uid="{215947E2-6E25-4DB3-88C8-FE00DC432C60}"/>
    <cellStyle name="Normal 4 2 3 3" xfId="29465" xr:uid="{F29FB46B-FF2B-4863-9DB9-994A4063A95E}"/>
    <cellStyle name="Normal 4 2 3 3 2" xfId="29466" xr:uid="{D0EEDA24-4613-423B-8F1A-16D408547900}"/>
    <cellStyle name="Normal 4 2 3 3 2 2" xfId="29467" xr:uid="{F5783B4E-32F0-4E67-ABC8-40F7B4205C22}"/>
    <cellStyle name="Normal 4 2 3 3 3" xfId="29468" xr:uid="{A7606CAC-8E4E-4442-BDFE-4254014EAC41}"/>
    <cellStyle name="Normal 4 2 3 4" xfId="29469" xr:uid="{E858D7C5-CEF9-48E7-BFF5-087D9AE7B3A5}"/>
    <cellStyle name="Normal 4 2 3 4 2" xfId="29470" xr:uid="{76E406E5-A1AF-4D30-A644-7AEB475B7319}"/>
    <cellStyle name="Normal 4 2 3 4 2 2" xfId="29471" xr:uid="{B1530E32-1CD9-4DC1-ABDF-1D46899C2654}"/>
    <cellStyle name="Normal 4 2 3 4 3" xfId="29472" xr:uid="{A80D74E9-3783-40CB-A8E2-83AFC98C4A5F}"/>
    <cellStyle name="Normal 4 2 3 5" xfId="29473" xr:uid="{35C1DE72-983E-4C94-8CA9-DB9548C5DD77}"/>
    <cellStyle name="Normal 4 2 3 5 2" xfId="29474" xr:uid="{DE363861-A086-4760-91DE-7691EE01EB00}"/>
    <cellStyle name="Normal 4 2 3 6" xfId="29475" xr:uid="{3A6F8D3B-8AFC-4C7C-9D8E-F3E3CB0DE927}"/>
    <cellStyle name="Normal 4 2 4" xfId="29476" xr:uid="{7B01954C-B864-4E3D-A980-4426C01FACF9}"/>
    <cellStyle name="Normal 4 2 4 2" xfId="29477" xr:uid="{2607C5FF-7ADC-42F3-BC36-AECA8CEFE53C}"/>
    <cellStyle name="Normal 4 2 4 2 2" xfId="29478" xr:uid="{9283A2AF-BB7E-4D55-BC8E-3E74F6C1168D}"/>
    <cellStyle name="Normal 4 2 4 2 2 2" xfId="29479" xr:uid="{9D6F3AE8-324D-4D16-B27C-64F73AD2E9C6}"/>
    <cellStyle name="Normal 4 2 4 2 2 2 2" xfId="29480" xr:uid="{29B0379C-26A5-4EDB-A7FE-340BE368C91C}"/>
    <cellStyle name="Normal 4 2 4 2 2 3" xfId="29481" xr:uid="{617C801D-4F92-4A11-B591-1040CFBF9CE1}"/>
    <cellStyle name="Normal 4 2 4 2 3" xfId="29482" xr:uid="{03484B5A-172A-44A8-A110-CFD561AD0649}"/>
    <cellStyle name="Normal 4 2 4 2 3 2" xfId="29483" xr:uid="{1355E936-A460-458B-8DFF-408EC5765C20}"/>
    <cellStyle name="Normal 4 2 4 2 3 2 2" xfId="29484" xr:uid="{8CFAD291-7C75-4224-9A32-4AF4181B64FC}"/>
    <cellStyle name="Normal 4 2 4 2 3 3" xfId="29485" xr:uid="{753556A6-E413-4D31-B710-041DE6F8D163}"/>
    <cellStyle name="Normal 4 2 4 2 4" xfId="29486" xr:uid="{5CB53AD1-26A8-4DF2-8C89-E944553EBC91}"/>
    <cellStyle name="Normal 4 2 4 2 4 2" xfId="29487" xr:uid="{441AED4F-E9A3-45DB-AF3A-CF20C5FF47C6}"/>
    <cellStyle name="Normal 4 2 4 2 5" xfId="29488" xr:uid="{A29099D6-9343-4BBB-9D7B-14FD3DB1D1C9}"/>
    <cellStyle name="Normal 4 2 4 3" xfId="29489" xr:uid="{C21A934F-BB01-4D40-B0C6-BE13B0C13042}"/>
    <cellStyle name="Normal 4 2 4 3 2" xfId="29490" xr:uid="{CE0B73F7-F401-481C-8216-D64480D73E26}"/>
    <cellStyle name="Normal 4 2 4 3 2 2" xfId="29491" xr:uid="{9F38816B-76C9-490E-B1CB-16210BDC9273}"/>
    <cellStyle name="Normal 4 2 4 3 3" xfId="29492" xr:uid="{514A8890-7677-4D3F-83C6-BC7E12C92797}"/>
    <cellStyle name="Normal 4 2 4 4" xfId="29493" xr:uid="{C4785FBF-C3C3-44E5-BCE5-6DD3C9BBA660}"/>
    <cellStyle name="Normal 4 2 4 4 2" xfId="29494" xr:uid="{5E0B8C5C-F9C6-416C-991D-E400C4B0E834}"/>
    <cellStyle name="Normal 4 2 4 4 2 2" xfId="29495" xr:uid="{5A5249E4-00B6-47FD-8E15-2CB1668C612D}"/>
    <cellStyle name="Normal 4 2 4 4 3" xfId="29496" xr:uid="{3D7FA070-1780-4148-8EE1-6FA2F392E6C2}"/>
    <cellStyle name="Normal 4 2 4 5" xfId="29497" xr:uid="{025418D4-A69B-4AC9-8761-DA39EB70C512}"/>
    <cellStyle name="Normal 4 2 4 5 2" xfId="29498" xr:uid="{787DC067-D0EB-494D-B0FA-D7C183825CC9}"/>
    <cellStyle name="Normal 4 2 4 6" xfId="29499" xr:uid="{D27B4947-9614-4057-8D6B-7F33E8B6AAA3}"/>
    <cellStyle name="Normal 4 2 5" xfId="29500" xr:uid="{1B1577D5-B0DF-4FFD-AD72-8F71C72614BC}"/>
    <cellStyle name="Normal 4 2 5 2" xfId="29501" xr:uid="{1ED9B8E9-780D-45F5-8776-C2CD94FE3054}"/>
    <cellStyle name="Normal 4 2 5 2 2" xfId="29502" xr:uid="{789AFF62-6CE8-4BD3-829E-DAD4F0FD2EA6}"/>
    <cellStyle name="Normal 4 2 5 2 2 2" xfId="29503" xr:uid="{7EE29C90-4770-4135-9FF4-C62A3F68D5DE}"/>
    <cellStyle name="Normal 4 2 5 2 2 2 2" xfId="29504" xr:uid="{94E14C5D-26E7-4DCE-89D1-66677FDD52C6}"/>
    <cellStyle name="Normal 4 2 5 2 2 3" xfId="29505" xr:uid="{9B312E9E-9700-4B55-B90B-7E89B8D01DCF}"/>
    <cellStyle name="Normal 4 2 5 2 3" xfId="29506" xr:uid="{EFAF2341-2BF5-43F0-B524-DA71E96EE11A}"/>
    <cellStyle name="Normal 4 2 5 2 3 2" xfId="29507" xr:uid="{5A1EA169-753F-4B4A-98BD-046D0EF50890}"/>
    <cellStyle name="Normal 4 2 5 2 3 2 2" xfId="29508" xr:uid="{54958B12-541E-44E8-9A2D-A78E2799510A}"/>
    <cellStyle name="Normal 4 2 5 2 3 3" xfId="29509" xr:uid="{E014E2EC-834E-445F-A4E1-EFF510979178}"/>
    <cellStyle name="Normal 4 2 5 2 4" xfId="29510" xr:uid="{548287E4-1490-4921-8767-FD36DFAB50A6}"/>
    <cellStyle name="Normal 4 2 5 2 4 2" xfId="29511" xr:uid="{966B4926-4928-49D1-99BC-CF803E3F2BC1}"/>
    <cellStyle name="Normal 4 2 5 2 5" xfId="29512" xr:uid="{88D1BB84-6D93-4CEA-86A0-C0BEAC7CD1F8}"/>
    <cellStyle name="Normal 4 2 5 3" xfId="29513" xr:uid="{027197B2-DB9C-43B2-B5CA-7415872A1D2D}"/>
    <cellStyle name="Normal 4 2 5 3 2" xfId="29514" xr:uid="{F72676D8-FF4D-479F-B8FC-1390B49D0446}"/>
    <cellStyle name="Normal 4 2 5 3 2 2" xfId="29515" xr:uid="{BBF423AA-D39D-459A-B859-322F70F5E253}"/>
    <cellStyle name="Normal 4 2 5 3 3" xfId="29516" xr:uid="{337F2366-C18E-438C-B458-2194FDA81313}"/>
    <cellStyle name="Normal 4 2 5 4" xfId="29517" xr:uid="{46D8C9F4-EC01-4DC0-95AD-AB0CD91A2C0D}"/>
    <cellStyle name="Normal 4 2 5 4 2" xfId="29518" xr:uid="{C41363DD-0EB5-45FC-8614-1450717642DC}"/>
    <cellStyle name="Normal 4 2 5 4 2 2" xfId="29519" xr:uid="{B7203D29-BAFE-4C33-BC61-19FEDCFD36AF}"/>
    <cellStyle name="Normal 4 2 5 4 3" xfId="29520" xr:uid="{9F278DC5-2DD3-4F84-8252-A5E4DDDBE0DD}"/>
    <cellStyle name="Normal 4 2 5 5" xfId="29521" xr:uid="{FA232211-E0F6-40B1-B32A-97EADCBDF1A9}"/>
    <cellStyle name="Normal 4 2 5 5 2" xfId="29522" xr:uid="{15F037ED-5A33-4230-9BA9-7DEDF64F4A21}"/>
    <cellStyle name="Normal 4 2 5 6" xfId="29523" xr:uid="{033A350C-4A57-40BA-A126-7EDCCC6EC067}"/>
    <cellStyle name="Normal 4 2 6" xfId="29524" xr:uid="{73BA6A0D-706F-415B-B326-3E2F1998142D}"/>
    <cellStyle name="Normal 4 2 6 2" xfId="29525" xr:uid="{AAA294F4-0E9F-494D-9E5B-668F81D233F3}"/>
    <cellStyle name="Normal 4 2 6 2 2" xfId="29526" xr:uid="{BD605202-4160-4C3D-BFCF-5530796407C3}"/>
    <cellStyle name="Normal 4 2 6 2 2 2" xfId="29527" xr:uid="{16928AA5-323C-4033-AA1B-ADC9096B1FF8}"/>
    <cellStyle name="Normal 4 2 6 2 2 2 2" xfId="29528" xr:uid="{C8D2880F-2A51-4683-9EDF-52AE2F0FEEAC}"/>
    <cellStyle name="Normal 4 2 6 2 2 3" xfId="29529" xr:uid="{2F357D6F-635B-4C51-B05A-1DC5974591BA}"/>
    <cellStyle name="Normal 4 2 6 2 3" xfId="29530" xr:uid="{1ABB7392-D2E6-43C7-908D-13B855FC5AC8}"/>
    <cellStyle name="Normal 4 2 6 2 3 2" xfId="29531" xr:uid="{6FE7BC8E-59E0-4660-BD44-32417CBD1803}"/>
    <cellStyle name="Normal 4 2 6 2 3 2 2" xfId="29532" xr:uid="{267BF650-8EB9-46EA-A1D4-042D4956F892}"/>
    <cellStyle name="Normal 4 2 6 2 3 3" xfId="29533" xr:uid="{BA00086F-5D4E-4F62-86DE-D5AD0DCC8D6B}"/>
    <cellStyle name="Normal 4 2 6 2 4" xfId="29534" xr:uid="{936FC723-8857-4BAE-AE46-87AD5452962C}"/>
    <cellStyle name="Normal 4 2 6 2 4 2" xfId="29535" xr:uid="{08B8820D-3E46-4522-A88D-D4FB3C39DE17}"/>
    <cellStyle name="Normal 4 2 6 2 5" xfId="29536" xr:uid="{922967AE-F04F-45C0-B027-7C98DE70EFA2}"/>
    <cellStyle name="Normal 4 2 6 3" xfId="29537" xr:uid="{F5AC51DA-4234-4CB0-BBD0-21252C9B21C2}"/>
    <cellStyle name="Normal 4 2 6 3 2" xfId="29538" xr:uid="{313BF3A6-D772-42BF-BCAD-FCD1A63CCCFE}"/>
    <cellStyle name="Normal 4 2 6 3 2 2" xfId="29539" xr:uid="{0EFFCFC5-C82E-45EF-A3BE-37187069EEFF}"/>
    <cellStyle name="Normal 4 2 6 3 3" xfId="29540" xr:uid="{52DB9AD3-47D0-43CE-8483-80862429FB5C}"/>
    <cellStyle name="Normal 4 2 6 4" xfId="29541" xr:uid="{6A42AC6F-8E26-47EF-ABB6-1E2360B488D1}"/>
    <cellStyle name="Normal 4 2 6 4 2" xfId="29542" xr:uid="{D0342C83-FD05-4A92-A865-DD0B505F1143}"/>
    <cellStyle name="Normal 4 2 6 4 2 2" xfId="29543" xr:uid="{F21C31E6-A7FE-4924-949B-52C97C8046DA}"/>
    <cellStyle name="Normal 4 2 6 4 3" xfId="29544" xr:uid="{AE8654D6-8AC0-4DAE-BCB8-CF21C8D128CD}"/>
    <cellStyle name="Normal 4 2 6 5" xfId="29545" xr:uid="{8BA48CE5-F263-4DCF-B1B0-6609D7F44EE1}"/>
    <cellStyle name="Normal 4 2 6 5 2" xfId="29546" xr:uid="{4116EC69-7479-47F7-8975-2023174EAAB2}"/>
    <cellStyle name="Normal 4 2 6 6" xfId="29547" xr:uid="{4C2C50AC-520B-4C83-993D-0F921E7599F6}"/>
    <cellStyle name="Normal 4 2 7" xfId="29548" xr:uid="{7FF51929-9591-4052-8852-DA54E5F5355D}"/>
    <cellStyle name="Normal 4 2 7 2" xfId="29549" xr:uid="{7772E045-6A33-4949-88D1-D5BA607C0603}"/>
    <cellStyle name="Normal 4 2 7 2 2" xfId="29550" xr:uid="{03677D22-8933-4F42-B64B-D628C19854D5}"/>
    <cellStyle name="Normal 4 2 7 2 2 2" xfId="29551" xr:uid="{BF7345BD-5305-4113-AE97-6112CEA16A32}"/>
    <cellStyle name="Normal 4 2 7 2 2 2 2" xfId="29552" xr:uid="{1DF0E888-08EB-4EC5-810C-E5F5D60C84BC}"/>
    <cellStyle name="Normal 4 2 7 2 2 3" xfId="29553" xr:uid="{B2B0D76A-D4AF-4A76-AFDF-126924747317}"/>
    <cellStyle name="Normal 4 2 7 2 3" xfId="29554" xr:uid="{90A766F2-1107-45D7-9082-260BD5449F93}"/>
    <cellStyle name="Normal 4 2 7 2 3 2" xfId="29555" xr:uid="{E34BEF3B-90BD-4470-B8E7-8BB7F35D4C2B}"/>
    <cellStyle name="Normal 4 2 7 2 3 2 2" xfId="29556" xr:uid="{A4AA07A7-1377-4451-BB3F-CDFBD19136F1}"/>
    <cellStyle name="Normal 4 2 7 2 3 3" xfId="29557" xr:uid="{FB373C42-0A9E-4A1D-AF81-734C3BB5B00E}"/>
    <cellStyle name="Normal 4 2 7 2 4" xfId="29558" xr:uid="{8841CD66-8CF7-464F-B12D-0DAE13BBE962}"/>
    <cellStyle name="Normal 4 2 7 2 4 2" xfId="29559" xr:uid="{5BC82576-242A-4C98-9E0B-EA073D3E2E40}"/>
    <cellStyle name="Normal 4 2 7 2 5" xfId="29560" xr:uid="{DCB0E12E-B6C0-4DDA-B156-3D30F4929186}"/>
    <cellStyle name="Normal 4 2 7 3" xfId="29561" xr:uid="{38711870-251D-433A-8FD9-3A8F92C2F64C}"/>
    <cellStyle name="Normal 4 2 7 3 2" xfId="29562" xr:uid="{1FFCCAC9-A251-4653-BAAB-A5E2CEE6F0E0}"/>
    <cellStyle name="Normal 4 2 7 3 2 2" xfId="29563" xr:uid="{C39625A7-DC75-46DF-A3A1-1FE87C0FC243}"/>
    <cellStyle name="Normal 4 2 7 3 3" xfId="29564" xr:uid="{B6DD7F80-C3FF-4ED4-87FB-7F75C1C775EF}"/>
    <cellStyle name="Normal 4 2 7 4" xfId="29565" xr:uid="{C61038B8-C8B5-4873-A3A1-382A640EB483}"/>
    <cellStyle name="Normal 4 2 7 4 2" xfId="29566" xr:uid="{AF727CE5-DE71-4A7A-B780-C7B2FFD468A5}"/>
    <cellStyle name="Normal 4 2 7 4 2 2" xfId="29567" xr:uid="{8BE03FCC-920E-4379-AD09-53EB6B25D397}"/>
    <cellStyle name="Normal 4 2 7 4 3" xfId="29568" xr:uid="{AA6F5ADC-8118-4D20-AFAA-D8D019AF3371}"/>
    <cellStyle name="Normal 4 2 7 5" xfId="29569" xr:uid="{E3705559-DC9E-490D-A14F-A74942CE5A6F}"/>
    <cellStyle name="Normal 4 2 7 5 2" xfId="29570" xr:uid="{4D9DD9D7-994A-422C-9E4A-5F28EEC77B3B}"/>
    <cellStyle name="Normal 4 2 7 6" xfId="29571" xr:uid="{E4626FA5-EF53-4522-B959-E5FB9F73194A}"/>
    <cellStyle name="Normal 4 2 8" xfId="29572" xr:uid="{FBC7BAE1-288C-4AAA-9290-D84763DD7200}"/>
    <cellStyle name="Normal 4 2 8 2" xfId="29573" xr:uid="{32B8AB79-A8AF-4662-B30B-BEB4E6820DCF}"/>
    <cellStyle name="Normal 4 2 8 2 2" xfId="29574" xr:uid="{4BA07B4D-5353-4903-A8CC-3E5BFFF9ECC3}"/>
    <cellStyle name="Normal 4 2 8 2 2 2" xfId="29575" xr:uid="{98AB82C3-9443-435C-AF58-4719F5B14FAF}"/>
    <cellStyle name="Normal 4 2 8 2 2 2 2" xfId="29576" xr:uid="{10B9B8DD-BDAB-463D-BC7A-6652C956446C}"/>
    <cellStyle name="Normal 4 2 8 2 2 3" xfId="29577" xr:uid="{40049924-F4D6-40F2-B31B-2E89F372F987}"/>
    <cellStyle name="Normal 4 2 8 2 3" xfId="29578" xr:uid="{3872F1BE-4303-4BDE-A979-117C89AB51DF}"/>
    <cellStyle name="Normal 4 2 8 2 3 2" xfId="29579" xr:uid="{3264A4EF-528A-4DF9-A3EA-C99AEA2BAFAB}"/>
    <cellStyle name="Normal 4 2 8 2 3 2 2" xfId="29580" xr:uid="{585A58BF-C5CE-4CE5-95D0-2FE2A0F6AFF7}"/>
    <cellStyle name="Normal 4 2 8 2 3 3" xfId="29581" xr:uid="{262262E0-9019-43CA-8793-F7DAA8231044}"/>
    <cellStyle name="Normal 4 2 8 2 4" xfId="29582" xr:uid="{A49A90F9-0C14-4520-9398-007249267922}"/>
    <cellStyle name="Normal 4 2 8 2 4 2" xfId="29583" xr:uid="{C7A320B9-270A-42F0-AB86-EE40C38AE67C}"/>
    <cellStyle name="Normal 4 2 8 2 5" xfId="29584" xr:uid="{AB26DB43-1C17-49A5-9003-C3466C8C8467}"/>
    <cellStyle name="Normal 4 2 8 3" xfId="29585" xr:uid="{21F31631-8641-424D-B2B1-8C320382929D}"/>
    <cellStyle name="Normal 4 2 8 3 2" xfId="29586" xr:uid="{0A907018-6B2C-42C2-BBCE-26E59FE6E7F5}"/>
    <cellStyle name="Normal 4 2 8 3 2 2" xfId="29587" xr:uid="{205B9BCA-3F28-45CF-9D39-4EE99DCFBFE3}"/>
    <cellStyle name="Normal 4 2 8 3 3" xfId="29588" xr:uid="{4BD9F758-2000-49A3-A1E0-1D231D0E85C8}"/>
    <cellStyle name="Normal 4 2 8 4" xfId="29589" xr:uid="{8DEB63F6-FA6B-4163-BA51-18C1F05E8BF4}"/>
    <cellStyle name="Normal 4 2 8 4 2" xfId="29590" xr:uid="{AD73C75A-9AF9-46B3-9AAE-A631C1A1975E}"/>
    <cellStyle name="Normal 4 2 8 4 2 2" xfId="29591" xr:uid="{6CDCEF35-675D-4259-9AFF-D18B959889D8}"/>
    <cellStyle name="Normal 4 2 8 4 3" xfId="29592" xr:uid="{DD8D70BA-B4EA-45D9-8132-89347D7AD174}"/>
    <cellStyle name="Normal 4 2 8 5" xfId="29593" xr:uid="{C761E35F-B278-4FBA-983F-2B0C87FED318}"/>
    <cellStyle name="Normal 4 2 8 5 2" xfId="29594" xr:uid="{BB69DB03-9409-437C-94FF-D15C9011157D}"/>
    <cellStyle name="Normal 4 2 8 6" xfId="29595" xr:uid="{77A7CCBF-87DB-4E6A-A932-8E417E24B2BA}"/>
    <cellStyle name="Normal 4 2 9" xfId="29596" xr:uid="{E00B14A0-47DC-4BFB-B95F-C95401BE037E}"/>
    <cellStyle name="Normal 4 2 9 2" xfId="29597" xr:uid="{164203BA-B967-4A53-B2FE-C307B47319F4}"/>
    <cellStyle name="Normal 4 2 9 2 2" xfId="29598" xr:uid="{3EC205F9-4358-42FE-8E40-3B270F6A090E}"/>
    <cellStyle name="Normal 4 2 9 2 2 2" xfId="29599" xr:uid="{EA32BCF1-76A8-47AA-A55C-BAF900147A9A}"/>
    <cellStyle name="Normal 4 2 9 2 2 2 2" xfId="29600" xr:uid="{E616A0C8-D4B9-4DD3-8F16-1399C0D19E2F}"/>
    <cellStyle name="Normal 4 2 9 2 2 3" xfId="29601" xr:uid="{AC9DF8C2-45EA-43F3-BBBB-2ABA6688BB17}"/>
    <cellStyle name="Normal 4 2 9 2 3" xfId="29602" xr:uid="{2FE37C70-85AC-422C-B3C8-9B558FAC08E3}"/>
    <cellStyle name="Normal 4 2 9 2 3 2" xfId="29603" xr:uid="{3F98FB22-54B9-473F-B9AB-DABD9B38B664}"/>
    <cellStyle name="Normal 4 2 9 2 3 2 2" xfId="29604" xr:uid="{496B83EC-2AB8-4CF7-AFF1-93EDD06EB546}"/>
    <cellStyle name="Normal 4 2 9 2 3 3" xfId="29605" xr:uid="{8DAB53DD-B27A-49AB-BD80-58BC65E84BB7}"/>
    <cellStyle name="Normal 4 2 9 2 4" xfId="29606" xr:uid="{9A9733F1-00A4-449B-A49C-48FB18635CDD}"/>
    <cellStyle name="Normal 4 2 9 2 4 2" xfId="29607" xr:uid="{B587EF86-7F57-4931-AC20-C3FEF4602AEA}"/>
    <cellStyle name="Normal 4 2 9 2 5" xfId="29608" xr:uid="{E5205FC1-480E-4422-BA93-7E676115397A}"/>
    <cellStyle name="Normal 4 2 9 3" xfId="29609" xr:uid="{454F5C1E-411B-4664-8384-D3DB8C78E3D8}"/>
    <cellStyle name="Normal 4 2 9 3 2" xfId="29610" xr:uid="{3362D0E4-0764-4D43-A3D4-4F0A57A91137}"/>
    <cellStyle name="Normal 4 2 9 3 2 2" xfId="29611" xr:uid="{BA73E8DB-98D7-4929-9EBB-93C54A5DD242}"/>
    <cellStyle name="Normal 4 2 9 3 3" xfId="29612" xr:uid="{FA894747-EA3D-49D3-B893-180E04742361}"/>
    <cellStyle name="Normal 4 2 9 4" xfId="29613" xr:uid="{29BA3C0A-ABA5-404B-B185-136C5815580C}"/>
    <cellStyle name="Normal 4 2 9 4 2" xfId="29614" xr:uid="{59F6FFE1-30BB-49A4-9F9D-7E049F14BEBC}"/>
    <cellStyle name="Normal 4 2 9 4 2 2" xfId="29615" xr:uid="{DFAF6300-8CA2-41CE-A22E-A940DB7A2594}"/>
    <cellStyle name="Normal 4 2 9 4 3" xfId="29616" xr:uid="{1076081A-2D04-4062-A01E-384AE3D5A571}"/>
    <cellStyle name="Normal 4 2 9 5" xfId="29617" xr:uid="{7B313D1E-A3F5-4CEB-B692-D370DB60CA8A}"/>
    <cellStyle name="Normal 4 2 9 5 2" xfId="29618" xr:uid="{6E55DC1E-2434-4692-B27E-715CC333A524}"/>
    <cellStyle name="Normal 4 2 9 6" xfId="29619" xr:uid="{76445481-5408-4707-A99A-CA5DD12B83F7}"/>
    <cellStyle name="Normal 4 3" xfId="29620" xr:uid="{B67BBD3C-3C2F-4263-821E-B43A437737A7}"/>
    <cellStyle name="Normal 4 3 2" xfId="29621" xr:uid="{823BA557-972D-4709-8365-4C2CDAF34EA8}"/>
    <cellStyle name="Normal 4 3 2 2" xfId="29622" xr:uid="{4C1A0F0B-3C5F-4688-83EB-40F45C99C4DA}"/>
    <cellStyle name="Normal 4 3 2 2 2" xfId="29623" xr:uid="{ADB5E702-DE8C-4B03-8185-DDEAEA32B126}"/>
    <cellStyle name="Normal 4 3 2 2 2 2" xfId="39106" xr:uid="{4996178D-F057-4446-AB53-D4D026FD21DB}"/>
    <cellStyle name="Normal 4 3 2 2 3" xfId="39107" xr:uid="{FD5C99C4-52FB-46F0-96CF-7FC737490EAA}"/>
    <cellStyle name="Normal 4 3 2 3" xfId="29624" xr:uid="{82B89503-AE84-460B-9148-7F5FAF218A46}"/>
    <cellStyle name="Normal 4 3 2 3 2" xfId="39108" xr:uid="{5F3B4224-A5F0-4315-86A0-357BD9FFA709}"/>
    <cellStyle name="Normal 4 3 2 4" xfId="39109" xr:uid="{6FA92D7C-02D0-4E56-AF48-39CB7493727B}"/>
    <cellStyle name="Normal 4 3 3" xfId="29625" xr:uid="{78D573AB-A788-48B0-BFBD-2F91CA4EB0B4}"/>
    <cellStyle name="Normal 4 3 3 2" xfId="29626" xr:uid="{F2CBDEF3-860D-4867-BA1F-2CEE84C567B4}"/>
    <cellStyle name="Normal 4 3 3 2 2" xfId="29627" xr:uid="{1F47834D-4AC7-4970-9914-76ED165EAE2F}"/>
    <cellStyle name="Normal 4 3 3 3" xfId="29628" xr:uid="{18EA9EC6-08F8-4A2C-A59F-BFAC1C83791A}"/>
    <cellStyle name="Normal 4 3 4" xfId="29629" xr:uid="{833231D0-ECD6-4C94-921F-9F398770EBF4}"/>
    <cellStyle name="Normal 4 3 4 2" xfId="29630" xr:uid="{123FA7C6-5A09-4F8A-8A29-320A1D728700}"/>
    <cellStyle name="Normal 4 3 5" xfId="29631" xr:uid="{84A1E4DD-F8AE-480D-BA83-C80B35D2E288}"/>
    <cellStyle name="Normal 4 3 6" xfId="39110" xr:uid="{96D09974-A01B-43C3-A3AC-E1FFDC5869E8}"/>
    <cellStyle name="Normal 4 4" xfId="29632" xr:uid="{94722BF2-C409-4B23-83AF-39CAF0BDC16E}"/>
    <cellStyle name="Normal 4 4 2" xfId="29633" xr:uid="{3BB20202-FBF5-4B9F-A853-9D57C0ABDA8E}"/>
    <cellStyle name="Normal 4 4 3" xfId="39111" xr:uid="{0E1BC316-2367-4662-9F17-7D069F1069E9}"/>
    <cellStyle name="Normal 4 4 4" xfId="39112" xr:uid="{AC67147F-6A5D-495C-B6E5-110BB89CD25A}"/>
    <cellStyle name="Normal 4 5" xfId="29634" xr:uid="{7FAB0EAF-9502-4904-A5D0-F116EE8354ED}"/>
    <cellStyle name="Normal 4 5 2" xfId="29635" xr:uid="{1E047785-74C8-42DC-ADCC-E0D6A5EBEAA4}"/>
    <cellStyle name="Normal 4 5 2 2" xfId="29636" xr:uid="{0468B41A-4AC4-4E1E-94B7-F13C1D20007B}"/>
    <cellStyle name="Normal 4 5 2 3" xfId="39113" xr:uid="{56BB2362-0346-481C-99CB-58614FAC9FE0}"/>
    <cellStyle name="Normal 4 5 3" xfId="29637" xr:uid="{AFB9426D-4915-4333-B239-67E8ACD4D30A}"/>
    <cellStyle name="Normal 4 5 4" xfId="39114" xr:uid="{21DCBA17-00CC-4F7F-85B3-A07A05F3244F}"/>
    <cellStyle name="Normal 4 6" xfId="29638" xr:uid="{4EA342D1-1B39-4E20-AC6D-2E17A9F09CF5}"/>
    <cellStyle name="Normal 4 6 2" xfId="29639" xr:uid="{1A599CDB-FE9A-4E8B-8612-8C11BE847982}"/>
    <cellStyle name="Normal 4 7" xfId="29640" xr:uid="{CF881F57-023E-4249-B8A2-B6DFFA869B13}"/>
    <cellStyle name="Normal 4 8" xfId="39115" xr:uid="{95668833-EC78-4F2F-B4C4-41EF2BC3C8DE}"/>
    <cellStyle name="Normal 4 9" xfId="39116" xr:uid="{90A81A04-FA5D-456B-BE93-3AAD258236A2}"/>
    <cellStyle name="Normal 4_Jun 11 details" xfId="29641" xr:uid="{EF6F2008-F9EF-4E47-A2EA-BB08470163D8}"/>
    <cellStyle name="Normal 40" xfId="29642" xr:uid="{D8EA498C-A7DC-4845-8DB6-B95A698163C5}"/>
    <cellStyle name="Normal 40 2" xfId="29643" xr:uid="{EC199458-C9B0-40A4-970F-1EA65BC782B7}"/>
    <cellStyle name="Normal 40 2 2" xfId="29644" xr:uid="{D0578587-C7C7-4847-ABE5-04635E6D380F}"/>
    <cellStyle name="Normal 40 2 2 2" xfId="29645" xr:uid="{DC2D85F7-3C27-486E-9D0C-B17053B88E4E}"/>
    <cellStyle name="Normal 40 2 2 2 2" xfId="29646" xr:uid="{C8A9341A-CCD7-46EA-BFD4-0DBFBED7A234}"/>
    <cellStyle name="Normal 40 2 2 3" xfId="29647" xr:uid="{BD45938C-A61E-4BCC-81D5-04AFE2B1FE9F}"/>
    <cellStyle name="Normal 40 2 3" xfId="29648" xr:uid="{7AD25656-8141-4B14-9451-078BA5EFF43F}"/>
    <cellStyle name="Normal 40 2 3 2" xfId="29649" xr:uid="{ADA76973-4000-4564-8BDC-50B78AD918C7}"/>
    <cellStyle name="Normal 40 2 3 2 2" xfId="29650" xr:uid="{9D04015C-7EB2-4CAC-A66A-F6450002DBF0}"/>
    <cellStyle name="Normal 40 2 3 3" xfId="29651" xr:uid="{88E2A771-096F-4521-B2A2-284F2D78719E}"/>
    <cellStyle name="Normal 40 2 4" xfId="29652" xr:uid="{89DF0072-EE36-44E7-8917-1E3A1BE739CC}"/>
    <cellStyle name="Normal 40 2 4 2" xfId="29653" xr:uid="{EC6620E0-FD06-4DFC-BF0F-6A0336D18563}"/>
    <cellStyle name="Normal 40 2 5" xfId="29654" xr:uid="{2B78CE71-A97C-4EA6-98AF-94A0613701E8}"/>
    <cellStyle name="Normal 40 2 6" xfId="39117" xr:uid="{2979939C-86D9-4D83-81AD-43CC09D8C532}"/>
    <cellStyle name="Normal 40 3" xfId="29655" xr:uid="{C604DD90-2526-4693-BD86-D5DE0A93C236}"/>
    <cellStyle name="Normal 40 3 2" xfId="29656" xr:uid="{C83C42B6-7456-441C-93D5-1D1FDA9B050F}"/>
    <cellStyle name="Normal 40 3 2 2" xfId="29657" xr:uid="{AE639CDA-561A-48B6-A881-2D123FC743C3}"/>
    <cellStyle name="Normal 40 3 3" xfId="29658" xr:uid="{004AB9FD-7A1F-4B16-844A-5B0A51F77BA2}"/>
    <cellStyle name="Normal 40 4" xfId="29659" xr:uid="{385AABA7-C5D0-4FCC-BF72-E0BF0E2B51B5}"/>
    <cellStyle name="Normal 40 4 2" xfId="29660" xr:uid="{523B7968-C6B9-4EC6-AB54-DBB3CD5EFF96}"/>
    <cellStyle name="Normal 40 4 2 2" xfId="29661" xr:uid="{953087AA-8F2F-4EF2-8B74-F4DFBB191552}"/>
    <cellStyle name="Normal 40 5" xfId="29662" xr:uid="{95E069A4-766D-4B45-A751-1AF66B61269D}"/>
    <cellStyle name="Normal 40 5 2" xfId="29663" xr:uid="{3D7E3E9B-2DB5-4D08-9BF0-B6D3E1118A63}"/>
    <cellStyle name="Normal 40 6" xfId="39118" xr:uid="{8AF6E9EE-2211-4B1F-8EB0-875DE5106E53}"/>
    <cellStyle name="Normal 41" xfId="29664" xr:uid="{C065FE20-E42C-4FE8-B0ED-05615A725668}"/>
    <cellStyle name="Normal 41 2" xfId="29665" xr:uid="{307F9926-A730-463A-97F8-464651781FD9}"/>
    <cellStyle name="Normal 41 2 2" xfId="29666" xr:uid="{12C66714-DAFA-4604-9CB7-9BB4CE70C703}"/>
    <cellStyle name="Normal 41 2 2 2" xfId="29667" xr:uid="{EACD7C96-9C9B-4FC0-9BD8-DF044C12694A}"/>
    <cellStyle name="Normal 41 2 2 2 2" xfId="29668" xr:uid="{F25512B4-8BE7-42E6-A5B9-CFA5E696AB5D}"/>
    <cellStyle name="Normal 41 2 2 3" xfId="29669" xr:uid="{11DF1EA9-473C-41F5-B834-009AA16E7D51}"/>
    <cellStyle name="Normal 41 2 3" xfId="29670" xr:uid="{C1AB47DD-9CCD-44B6-9E88-515B51D1C740}"/>
    <cellStyle name="Normal 41 2 3 2" xfId="29671" xr:uid="{150A5302-2628-4CB4-9AEB-6BD8E4234CBA}"/>
    <cellStyle name="Normal 41 2 3 2 2" xfId="29672" xr:uid="{C8637950-7BCE-4CA0-B22C-481DFACDCD34}"/>
    <cellStyle name="Normal 41 2 3 3" xfId="29673" xr:uid="{87FB1A77-0A89-45EA-A818-705D6283D594}"/>
    <cellStyle name="Normal 41 2 4" xfId="29674" xr:uid="{07C0E4D3-5490-47B6-B206-08DF60441DB3}"/>
    <cellStyle name="Normal 41 2 4 2" xfId="29675" xr:uid="{95AAA3B0-8B73-4C23-8C3D-2023167F55C5}"/>
    <cellStyle name="Normal 41 2 5" xfId="29676" xr:uid="{11239DA2-19AB-4CAE-992D-19717BD9E919}"/>
    <cellStyle name="Normal 41 2 6" xfId="39119" xr:uid="{14C3CCF6-805C-46DE-B453-8CCF0F0880C0}"/>
    <cellStyle name="Normal 41 3" xfId="29677" xr:uid="{932ED752-9042-44FB-8D37-D3D7AEADC546}"/>
    <cellStyle name="Normal 41 3 2" xfId="29678" xr:uid="{EDF9EBDA-DC76-4D65-BAC4-78F5294B050A}"/>
    <cellStyle name="Normal 41 3 2 2" xfId="29679" xr:uid="{9635FBAE-5440-4EE9-BF3D-53613C118BE4}"/>
    <cellStyle name="Normal 41 3 3" xfId="29680" xr:uid="{A210B1A2-43C4-40A0-AB56-A923C3ECF55B}"/>
    <cellStyle name="Normal 41 4" xfId="29681" xr:uid="{767EC0AF-F589-4766-821B-2D47BAC686C3}"/>
    <cellStyle name="Normal 41 4 2" xfId="29682" xr:uid="{289984E8-5858-4B48-88E3-89882F64ED6B}"/>
    <cellStyle name="Normal 41 4 2 2" xfId="29683" xr:uid="{583EE2A7-E10C-4ADB-9FD1-A1C6FF103FA0}"/>
    <cellStyle name="Normal 41 4 3" xfId="29684" xr:uid="{9AEE9A4B-B4D2-43FB-BA00-909E3F81447A}"/>
    <cellStyle name="Normal 41 5" xfId="29685" xr:uid="{64CA1F41-3E88-491E-BD7C-D00749D347CB}"/>
    <cellStyle name="Normal 41 5 2" xfId="29686" xr:uid="{422AA6D1-86A8-4861-9058-3921F068FC64}"/>
    <cellStyle name="Normal 41 6" xfId="29687" xr:uid="{92CEEB81-8222-4B7C-A6B1-A81FFD743600}"/>
    <cellStyle name="Normal 41 7" xfId="39120" xr:uid="{D613F5FC-6125-4A3C-8163-4605E83218A1}"/>
    <cellStyle name="Normal 42" xfId="29688" xr:uid="{5E591525-5705-41C2-8865-D70EE53E4CA3}"/>
    <cellStyle name="Normal 42 2" xfId="29689" xr:uid="{F75B7139-3C6E-41AD-A735-83990072D202}"/>
    <cellStyle name="Normal 42 2 2" xfId="29690" xr:uid="{6B42BF40-038B-4F77-BB87-F8BD067E0B7D}"/>
    <cellStyle name="Normal 42 2 2 2" xfId="29691" xr:uid="{38E9FC7C-DB6F-4FAF-A6B4-D99E46C867A1}"/>
    <cellStyle name="Normal 42 2 2 2 2" xfId="29692" xr:uid="{E503160F-33D5-47BD-A73A-A8F6ED2A0DDC}"/>
    <cellStyle name="Normal 42 2 2 3" xfId="29693" xr:uid="{7838A6B3-2D62-43B3-9F65-E6B87D6EC99C}"/>
    <cellStyle name="Normal 42 2 3" xfId="29694" xr:uid="{1198462B-6AC5-4FDA-99F5-460C51C4A490}"/>
    <cellStyle name="Normal 42 2 3 2" xfId="29695" xr:uid="{403E4E8B-7E69-4BEE-BC18-EADF6CB66F9F}"/>
    <cellStyle name="Normal 42 2 3 2 2" xfId="29696" xr:uid="{6A7D2F0F-A39F-4521-A9FB-9E6D746DDF4F}"/>
    <cellStyle name="Normal 42 2 3 3" xfId="29697" xr:uid="{F3B355E7-92B6-4A68-A708-7A7896F5E9EB}"/>
    <cellStyle name="Normal 42 2 4" xfId="29698" xr:uid="{DA3330F6-F63B-48B1-870E-65182D679832}"/>
    <cellStyle name="Normal 42 2 4 2" xfId="29699" xr:uid="{C8D6C8D5-B429-4F40-8D1E-2E1CAAB595D1}"/>
    <cellStyle name="Normal 42 2 5" xfId="29700" xr:uid="{24B23BB9-E3BF-443E-AAF6-4459BC5C64AD}"/>
    <cellStyle name="Normal 42 2 6" xfId="39121" xr:uid="{6B4D681E-67D7-4C5D-971C-8EF6339C8646}"/>
    <cellStyle name="Normal 42 3" xfId="29701" xr:uid="{41154FE4-E9E2-4436-A1C0-9D311ABB8A7A}"/>
    <cellStyle name="Normal 42 3 2" xfId="29702" xr:uid="{917C3D6C-4083-4B07-8A8C-A61386EFBCB9}"/>
    <cellStyle name="Normal 42 3 2 2" xfId="29703" xr:uid="{5962E9EF-C390-454F-9703-D11C1B649E6D}"/>
    <cellStyle name="Normal 42 3 3" xfId="29704" xr:uid="{A4C3A3E8-D7C5-452E-AF5D-1C4254DF8C0A}"/>
    <cellStyle name="Normal 42 3 3 2" xfId="29705" xr:uid="{EACB7621-8D93-4187-A7B8-DF6CC14A4699}"/>
    <cellStyle name="Normal 42 3 4" xfId="29706" xr:uid="{304EBCA5-A80A-4AF2-9C9A-7D970C56C7AA}"/>
    <cellStyle name="Normal 42 3 5" xfId="39122" xr:uid="{DB623788-382A-40E4-BF35-FB13FB89EC38}"/>
    <cellStyle name="Normal 42 4" xfId="29707" xr:uid="{70FE7F6B-ACE5-4989-AB22-73448F778286}"/>
    <cellStyle name="Normal 42 4 2" xfId="29708" xr:uid="{79CDCC5E-2C4E-49AF-A188-36C34342CDD3}"/>
    <cellStyle name="Normal 42 4 2 2" xfId="29709" xr:uid="{99E82162-954F-42B0-BD7F-2A64D1323429}"/>
    <cellStyle name="Normal 42 4 3" xfId="29710" xr:uid="{12B04FA9-BDD1-40DE-9CE7-07A55A02BDA2}"/>
    <cellStyle name="Normal 42 4 4" xfId="39123" xr:uid="{6A569CC7-61BB-458E-928C-3F91F33C2B18}"/>
    <cellStyle name="Normal 42 5" xfId="29711" xr:uid="{599B41EC-3584-45C1-BE2D-28B4A733A69B}"/>
    <cellStyle name="Normal 42 5 2" xfId="29712" xr:uid="{A08E915B-6D04-411D-8B0F-C83644445A8A}"/>
    <cellStyle name="Normal 42 5 2 2" xfId="29713" xr:uid="{3B196130-1A5D-4BA6-94CC-608949F3EAE6}"/>
    <cellStyle name="Normal 42 5 3" xfId="29714" xr:uid="{554CCD3B-E218-471C-8BB3-4EFEC38E8F66}"/>
    <cellStyle name="Normal 42 5 4" xfId="39124" xr:uid="{A051C5FE-09FA-45A2-8C0C-549DB27FCFD1}"/>
    <cellStyle name="Normal 42 6" xfId="29715" xr:uid="{829ACEAA-19AA-4B66-A350-B0EE3E5A5091}"/>
    <cellStyle name="Normal 42 6 2" xfId="29716" xr:uid="{D42B84D5-0C34-45F0-9E80-4519D6F58BF0}"/>
    <cellStyle name="Normal 42 6 2 2" xfId="29717" xr:uid="{05D60845-BC4F-4490-80F1-7090B3058F37}"/>
    <cellStyle name="Normal 42 6 3" xfId="29718" xr:uid="{4E5C4903-0ED4-4F42-8826-FA6A172E4E8E}"/>
    <cellStyle name="Normal 42 6 4" xfId="39125" xr:uid="{0C0CD1FA-9D0B-4B21-B5BF-4682B8511728}"/>
    <cellStyle name="Normal 42 7" xfId="29719" xr:uid="{F0AB2261-F595-4EB6-87A7-B89878B98D8A}"/>
    <cellStyle name="Normal 42 7 2" xfId="29720" xr:uid="{CB72EA5D-5E05-423B-B93B-F05BFF791D96}"/>
    <cellStyle name="Normal 42 8" xfId="29721" xr:uid="{DBBF150E-5A62-411D-B22C-93F4922A4A0E}"/>
    <cellStyle name="Normal 42 9" xfId="29722" xr:uid="{1C52B91C-8731-44DD-A67C-ED5BA8092B47}"/>
    <cellStyle name="Normal 43" xfId="29723" xr:uid="{D36CA295-E626-4671-817B-0BB818FFCB51}"/>
    <cellStyle name="Normal 43 2" xfId="29724" xr:uid="{47E25388-3AF3-416D-A025-5F16CC00048A}"/>
    <cellStyle name="Normal 43 2 2" xfId="29725" xr:uid="{E9CA46EE-FA8A-4266-B58D-5B3A2F518591}"/>
    <cellStyle name="Normal 43 2 2 2" xfId="29726" xr:uid="{193133EC-A660-4280-B795-F99A7ADB71CC}"/>
    <cellStyle name="Normal 43 2 2 2 2" xfId="29727" xr:uid="{3DE0FF95-2C82-41DC-9E11-4D1AE5B4C4BB}"/>
    <cellStyle name="Normal 43 2 2 3" xfId="29728" xr:uid="{2438A0A3-D58E-4C49-B7E8-C551382C1F3E}"/>
    <cellStyle name="Normal 43 2 3" xfId="29729" xr:uid="{9C9335ED-FF4C-40BB-A1B0-4C567B1E7EC9}"/>
    <cellStyle name="Normal 43 2 3 2" xfId="29730" xr:uid="{90E70B7F-FFD1-41EB-A188-F4C85F4959E3}"/>
    <cellStyle name="Normal 43 2 3 2 2" xfId="29731" xr:uid="{F066774C-A918-4674-AE2D-E5C27DB2141A}"/>
    <cellStyle name="Normal 43 2 3 3" xfId="29732" xr:uid="{B5F359E0-F862-4AE6-B602-DFA62DA949F8}"/>
    <cellStyle name="Normal 43 2 4" xfId="29733" xr:uid="{8785FF5B-1849-48C9-B1F2-8811C710B601}"/>
    <cellStyle name="Normal 43 2 4 2" xfId="29734" xr:uid="{6FC025A1-5D42-4E7D-B2E3-475E7736958F}"/>
    <cellStyle name="Normal 43 2 5" xfId="29735" xr:uid="{D219697B-BD3E-4FA4-9C8B-38DDC1745E4B}"/>
    <cellStyle name="Normal 43 2 6" xfId="39126" xr:uid="{88DDD14B-D9D6-4936-A5EB-D380ABBAD3F0}"/>
    <cellStyle name="Normal 43 3" xfId="29736" xr:uid="{29D2130A-32BA-4632-B0A9-001FDE0E2217}"/>
    <cellStyle name="Normal 43 3 2" xfId="29737" xr:uid="{31BED852-56C6-4B70-B7C0-498F51F2341A}"/>
    <cellStyle name="Normal 43 3 2 2" xfId="29738" xr:uid="{095AD2C3-E93F-4A6A-8242-B783C97ECD97}"/>
    <cellStyle name="Normal 43 3 3" xfId="29739" xr:uid="{EDFB4F08-E76F-42FF-B6BD-3606B9B25622}"/>
    <cellStyle name="Normal 43 4" xfId="29740" xr:uid="{A56A9F7C-379A-4002-8A9D-475278A04F4C}"/>
    <cellStyle name="Normal 43 4 2" xfId="29741" xr:uid="{F7DB142C-D35A-4CDC-BF73-FA9D296152EE}"/>
    <cellStyle name="Normal 43 4 2 2" xfId="29742" xr:uid="{0A59B23C-4F67-43CA-9630-CE4F6C9030D3}"/>
    <cellStyle name="Normal 43 4 3" xfId="29743" xr:uid="{0E583AFA-E6BD-46DD-A58F-8FF0B603683F}"/>
    <cellStyle name="Normal 43 5" xfId="29744" xr:uid="{DECD36BC-8093-4A6E-AD2F-28B37874EF9B}"/>
    <cellStyle name="Normal 43 5 2" xfId="29745" xr:uid="{1C402A72-1AAD-490C-B1D5-852C11934F4A}"/>
    <cellStyle name="Normal 43 6" xfId="29746" xr:uid="{A88AB34F-EDCC-455A-A1A9-F13F20BFBEC1}"/>
    <cellStyle name="Normal 43 7" xfId="39127" xr:uid="{60851F95-9126-4586-AB69-561C3337F574}"/>
    <cellStyle name="Normal 44" xfId="29747" xr:uid="{F8902D9F-ED31-4056-9763-C668A7C5C808}"/>
    <cellStyle name="Normal 44 2" xfId="29748" xr:uid="{605FB74C-0B84-492A-8A72-A39EBD833F3D}"/>
    <cellStyle name="Normal 44 2 2" xfId="29749" xr:uid="{12482B52-4AFA-4A3B-897F-5846576BA3D5}"/>
    <cellStyle name="Normal 44 2 2 2" xfId="29750" xr:uid="{3D3A50E4-4A24-411E-9532-375EE0BC1CA6}"/>
    <cellStyle name="Normal 44 2 2 2 2" xfId="29751" xr:uid="{CFD317FF-51CB-45C8-BD7D-C43A0AD37E20}"/>
    <cellStyle name="Normal 44 2 2 3" xfId="29752" xr:uid="{10F3F29F-46B8-4E11-9373-4868835AD427}"/>
    <cellStyle name="Normal 44 2 3" xfId="29753" xr:uid="{9B4F0189-686A-4937-BC6D-E8A754589C1F}"/>
    <cellStyle name="Normal 44 2 3 2" xfId="29754" xr:uid="{F8BDA77C-ABFA-4351-A1A1-EE53306DCC0A}"/>
    <cellStyle name="Normal 44 2 3 2 2" xfId="29755" xr:uid="{7E0CA327-90A4-4063-A0D7-420D1987C622}"/>
    <cellStyle name="Normal 44 2 3 3" xfId="29756" xr:uid="{63DC33F9-E62C-4D30-899E-2BD1C16278AA}"/>
    <cellStyle name="Normal 44 2 4" xfId="29757" xr:uid="{FE96C548-919B-4086-A8CF-4D75EE627522}"/>
    <cellStyle name="Normal 44 2 4 2" xfId="29758" xr:uid="{18FF8603-B429-4B09-AC72-477D8DDDA5EB}"/>
    <cellStyle name="Normal 44 2 5" xfId="29759" xr:uid="{61532A60-6BD4-46AD-AF5C-BC133F3047F7}"/>
    <cellStyle name="Normal 44 2 6" xfId="39128" xr:uid="{8425D2AF-ECEE-44BF-B09D-E8EBE8ECA4EA}"/>
    <cellStyle name="Normal 44 3" xfId="29760" xr:uid="{31CC28BF-2408-4CF3-8F20-9AE2E4605EE0}"/>
    <cellStyle name="Normal 44 3 2" xfId="29761" xr:uid="{F9D239E4-AF53-46D6-8A10-B4D3EC63DE9B}"/>
    <cellStyle name="Normal 44 3 2 2" xfId="29762" xr:uid="{09C16280-0655-4784-B76B-9FBA1C1150B9}"/>
    <cellStyle name="Normal 44 3 3" xfId="29763" xr:uid="{F121455C-58E1-4359-AFF9-ECD5C76BFF0F}"/>
    <cellStyle name="Normal 44 4" xfId="29764" xr:uid="{6C2F5DD4-626E-4F3A-8D32-1C5807251C52}"/>
    <cellStyle name="Normal 44 4 2" xfId="29765" xr:uid="{D1F3347C-89BB-4DBD-B798-49870313BC8D}"/>
    <cellStyle name="Normal 44 4 2 2" xfId="29766" xr:uid="{CACA552B-DFB4-4DB3-9519-2B73515216AE}"/>
    <cellStyle name="Normal 44 4 3" xfId="29767" xr:uid="{CE133F2A-484D-4A5E-A1C7-306E3AC8B5F6}"/>
    <cellStyle name="Normal 44 5" xfId="29768" xr:uid="{DF035449-AED9-4923-A7AF-BB5DC30FD09B}"/>
    <cellStyle name="Normal 44 5 2" xfId="29769" xr:uid="{40D4556C-4AFF-4F6E-9927-FCD97F73DC23}"/>
    <cellStyle name="Normal 44 6" xfId="29770" xr:uid="{4AC20CBD-A187-478E-808B-435EA87C36B3}"/>
    <cellStyle name="Normal 44 7" xfId="39129" xr:uid="{B7D2C024-CF36-468E-B793-8A1B1178F12E}"/>
    <cellStyle name="Normal 45" xfId="29771" xr:uid="{E03282AB-FAC8-4073-961F-A1F2248FE205}"/>
    <cellStyle name="Normal 45 2" xfId="29772" xr:uid="{EF290E16-9C2E-4891-B0DE-936782557F68}"/>
    <cellStyle name="Normal 45 2 2" xfId="29773" xr:uid="{6A0DFEA2-EF4F-4FC9-A5D8-4E302E86ECBF}"/>
    <cellStyle name="Normal 45 2 2 2" xfId="29774" xr:uid="{BF076566-2C21-454B-9807-D40E3A0546E3}"/>
    <cellStyle name="Normal 45 2 2 2 2" xfId="29775" xr:uid="{2200CA56-02FB-4200-9F30-EE18AF28F1DD}"/>
    <cellStyle name="Normal 45 2 2 3" xfId="29776" xr:uid="{9801F09B-DAAC-4BAD-9A59-23CA786B6BDE}"/>
    <cellStyle name="Normal 45 2 3" xfId="29777" xr:uid="{B574AA9E-53C1-4A5B-94C9-3483FE76797A}"/>
    <cellStyle name="Normal 45 2 3 2" xfId="29778" xr:uid="{74C5D207-279D-416C-8C42-7F6925A61281}"/>
    <cellStyle name="Normal 45 2 3 2 2" xfId="29779" xr:uid="{D5A63A5F-6070-4B7E-912C-CD48614AB861}"/>
    <cellStyle name="Normal 45 2 3 3" xfId="29780" xr:uid="{2E776A90-634D-4E74-9D3C-A4600B8399FB}"/>
    <cellStyle name="Normal 45 2 4" xfId="29781" xr:uid="{7D6F624C-8A91-4D9B-9EF5-4D1C995D106D}"/>
    <cellStyle name="Normal 45 2 4 2" xfId="29782" xr:uid="{60EBA2B9-26A3-4514-9BAE-0A522D8700A7}"/>
    <cellStyle name="Normal 45 2 5" xfId="29783" xr:uid="{C0B7215F-7026-436E-B417-C5655A7D363D}"/>
    <cellStyle name="Normal 45 2 6" xfId="39130" xr:uid="{B7B88E29-5121-4E12-9106-5386B1486CFD}"/>
    <cellStyle name="Normal 45 3" xfId="29784" xr:uid="{C07A1C55-3254-4575-9687-DA6DBAEEC444}"/>
    <cellStyle name="Normal 45 3 2" xfId="29785" xr:uid="{31BC6B28-6060-49AB-8AEB-B7EA6F474925}"/>
    <cellStyle name="Normal 45 3 2 2" xfId="29786" xr:uid="{856A949E-1DD6-4F61-97E1-EAC7B5C7A59C}"/>
    <cellStyle name="Normal 45 3 3" xfId="29787" xr:uid="{3E00A459-2E4B-4E05-ACA7-932383C8E46F}"/>
    <cellStyle name="Normal 45 4" xfId="29788" xr:uid="{5BE55358-BE0F-4F2C-B149-774246BF61B1}"/>
    <cellStyle name="Normal 45 4 2" xfId="29789" xr:uid="{6C9E46A9-747C-4AA5-8A19-AAFEFCAAA769}"/>
    <cellStyle name="Normal 45 4 2 2" xfId="29790" xr:uid="{31989C50-9C79-4F43-94C1-4AF2381D94AD}"/>
    <cellStyle name="Normal 45 4 3" xfId="29791" xr:uid="{01261599-8285-46E5-A184-0D2AF9DB5E8E}"/>
    <cellStyle name="Normal 45 5" xfId="29792" xr:uid="{A4C32E9F-FE22-4003-9136-0C93C96A93B2}"/>
    <cellStyle name="Normal 45 5 2" xfId="29793" xr:uid="{ECCEE4E7-9FD5-4CF1-9525-879D69AFA0AA}"/>
    <cellStyle name="Normal 45 6" xfId="39131" xr:uid="{F4C650E1-E468-437E-8393-F271357D3546}"/>
    <cellStyle name="Normal 46" xfId="29794" xr:uid="{709655D7-16F5-47D6-B6E9-CE70342E1CF9}"/>
    <cellStyle name="Normal 46 2" xfId="29795" xr:uid="{5A1735D0-6041-4066-908F-C6B5D270B06F}"/>
    <cellStyle name="Normal 46 2 2" xfId="29796" xr:uid="{55D6E416-E81A-4FD3-8777-55C3D5D7837D}"/>
    <cellStyle name="Normal 46 2 2 2" xfId="29797" xr:uid="{23E34FE6-158C-48F4-B6E1-B3665B4739B3}"/>
    <cellStyle name="Normal 46 2 2 2 2" xfId="29798" xr:uid="{F1D7016C-A59F-48BF-8E7D-8E69A0B37CE5}"/>
    <cellStyle name="Normal 46 2 2 3" xfId="29799" xr:uid="{99F93A00-0E42-430F-82DA-F8953CD1F999}"/>
    <cellStyle name="Normal 46 2 3" xfId="29800" xr:uid="{208079CC-316B-439A-AB84-D273D0925EDA}"/>
    <cellStyle name="Normal 46 2 3 2" xfId="29801" xr:uid="{96DFB7B1-7403-4652-858F-29C041A13921}"/>
    <cellStyle name="Normal 46 2 3 2 2" xfId="29802" xr:uid="{E2AF551B-F730-4717-9312-3BAB0066A0AA}"/>
    <cellStyle name="Normal 46 2 3 3" xfId="29803" xr:uid="{4514363D-DC0D-4813-A0A7-BD8FA25FE9A2}"/>
    <cellStyle name="Normal 46 2 4" xfId="29804" xr:uid="{E6B6FED7-0ECB-47C0-8020-7962A2145632}"/>
    <cellStyle name="Normal 46 2 4 2" xfId="29805" xr:uid="{F0D3E91C-E3C8-406F-90B6-AE5E5D6F6736}"/>
    <cellStyle name="Normal 46 2 5" xfId="29806" xr:uid="{43FEC998-5D19-4D7E-82AE-68906E60290A}"/>
    <cellStyle name="Normal 46 2 6" xfId="39132" xr:uid="{3E2B2D32-7996-40EB-85F0-E4BF08F048B8}"/>
    <cellStyle name="Normal 46 3" xfId="29807" xr:uid="{08A544E2-A9D4-45B1-9823-DB1B99809A01}"/>
    <cellStyle name="Normal 46 3 2" xfId="29808" xr:uid="{1D44770D-1D8C-4B00-AA73-20AEDD8F79D9}"/>
    <cellStyle name="Normal 46 3 2 2" xfId="29809" xr:uid="{F9EB4D10-83CB-4663-8A1A-494A57B11331}"/>
    <cellStyle name="Normal 46 3 3" xfId="29810" xr:uid="{C8EBCCE5-7744-4D89-B829-1C4CA8E85848}"/>
    <cellStyle name="Normal 46 3 4" xfId="39133" xr:uid="{A3D31E93-6FE1-4F64-99EC-FF296D7F0BD7}"/>
    <cellStyle name="Normal 46 4" xfId="29811" xr:uid="{3639539D-6629-4F11-957E-ED4C061AEDD1}"/>
    <cellStyle name="Normal 46 4 2" xfId="29812" xr:uid="{3F0A2DBC-3C7E-4A31-9971-B80094E0BDA2}"/>
    <cellStyle name="Normal 46 4 2 2" xfId="29813" xr:uid="{547F8E30-55EE-428E-87C8-7961A9E8F75F}"/>
    <cellStyle name="Normal 46 4 3" xfId="29814" xr:uid="{7917B6A9-C719-4257-B80D-A83107182EEB}"/>
    <cellStyle name="Normal 46 4 4" xfId="39134" xr:uid="{008976EE-5CB0-428C-A637-03ADA656377D}"/>
    <cellStyle name="Normal 46 5" xfId="29815" xr:uid="{831E410E-59E6-43E2-B4C8-220D2EB5FC41}"/>
    <cellStyle name="Normal 46 5 2" xfId="29816" xr:uid="{538E401D-E80C-4D0C-A46B-D556569FF35D}"/>
    <cellStyle name="Normal 46 5 3" xfId="39135" xr:uid="{4E50127B-5AAC-4D0C-AA40-EF43C832DEB5}"/>
    <cellStyle name="Normal 46 6" xfId="39136" xr:uid="{BC8DA23A-AAD6-4741-ABE1-F647EFD2B130}"/>
    <cellStyle name="Normal 47" xfId="29817" xr:uid="{254CF4AA-1959-42A2-9F0B-03F3550FE347}"/>
    <cellStyle name="Normal 47 2" xfId="29818" xr:uid="{18C309A6-CFC6-459C-89EA-B8A2B1734DEF}"/>
    <cellStyle name="Normal 47 2 2" xfId="29819" xr:uid="{427AC1D3-21CA-4F8F-9A69-5FE40A2E8BD1}"/>
    <cellStyle name="Normal 47 2 2 2" xfId="29820" xr:uid="{8B991223-F6BD-4166-A172-1E14F425951A}"/>
    <cellStyle name="Normal 47 2 2 2 2" xfId="29821" xr:uid="{C67F3B35-BAD6-4254-A93C-FCFBBAA2821B}"/>
    <cellStyle name="Normal 47 2 2 2 2 2" xfId="29822" xr:uid="{D48002A5-BB20-4D2B-ADE7-CE74588B2B2D}"/>
    <cellStyle name="Normal 47 2 2 2 3" xfId="29823" xr:uid="{97D2AD15-BBAD-4F65-B7BE-F2E4B9AF9B49}"/>
    <cellStyle name="Normal 47 2 2 3" xfId="29824" xr:uid="{453FD9E6-CB28-4594-9DF1-07873181868C}"/>
    <cellStyle name="Normal 47 2 2 3 2" xfId="29825" xr:uid="{77F5B3B1-9817-4CF6-A3C5-D5F53CB50161}"/>
    <cellStyle name="Normal 47 2 2 3 2 2" xfId="29826" xr:uid="{480B2F01-EA89-4E6D-A877-71990F613D70}"/>
    <cellStyle name="Normal 47 2 2 3 3" xfId="29827" xr:uid="{8538F125-25E4-4B72-8E0B-5F539E879443}"/>
    <cellStyle name="Normal 47 2 2 4" xfId="29828" xr:uid="{FA55CE2A-9CEE-4AC8-945B-BCF12C52CFC2}"/>
    <cellStyle name="Normal 47 2 2 4 2" xfId="29829" xr:uid="{543EF991-E049-42F5-BEB5-AF1AB9DDFBEB}"/>
    <cellStyle name="Normal 47 2 2 5" xfId="29830" xr:uid="{8739B563-23C6-4036-A5EF-1BC1C2E808E8}"/>
    <cellStyle name="Normal 47 2 3" xfId="29831" xr:uid="{2BAFD650-4BEA-4387-8855-602515BE4F65}"/>
    <cellStyle name="Normal 47 2 3 2" xfId="29832" xr:uid="{92C7452D-8FB0-4782-851B-071193704C29}"/>
    <cellStyle name="Normal 47 2 3 2 2" xfId="29833" xr:uid="{FC07AB9D-E56B-47E8-AB81-B8382F684916}"/>
    <cellStyle name="Normal 47 2 3 3" xfId="29834" xr:uid="{A4B02D75-AF27-4673-B302-1F99D9D860DD}"/>
    <cellStyle name="Normal 47 2 4" xfId="29835" xr:uid="{BA280542-BCE1-4B8E-87EB-4839D9E005C6}"/>
    <cellStyle name="Normal 47 2 4 2" xfId="29836" xr:uid="{43617664-A510-4233-83E4-02DECE885844}"/>
    <cellStyle name="Normal 47 2 4 2 2" xfId="29837" xr:uid="{E77F6AC8-DDBE-4D15-BFDE-EC76C09B246F}"/>
    <cellStyle name="Normal 47 2 4 3" xfId="29838" xr:uid="{DC89D99D-1EA9-4C9E-B1AC-7475BD54C2A5}"/>
    <cellStyle name="Normal 47 2 5" xfId="29839" xr:uid="{0585A7D2-4DB2-4B22-9FBC-E3DD8CE181BE}"/>
    <cellStyle name="Normal 47 2 5 2" xfId="29840" xr:uid="{09B16AA2-8EC7-4807-B416-2314C5DFB20F}"/>
    <cellStyle name="Normal 47 2 6" xfId="29841" xr:uid="{475CF4AD-98F6-4369-92EE-8E867B6731AA}"/>
    <cellStyle name="Normal 47 2 7" xfId="39137" xr:uid="{43097A4B-D1A2-4C7E-A5A0-207F34FB5927}"/>
    <cellStyle name="Normal 47 3" xfId="29842" xr:uid="{CA4CC619-2634-4D4E-A18D-2ADE19970931}"/>
    <cellStyle name="Normal 47 3 2" xfId="29843" xr:uid="{4B7065E1-017B-4441-B7A8-70D8B5201561}"/>
    <cellStyle name="Normal 47 3 2 2" xfId="29844" xr:uid="{E10BD493-F252-49A5-BB42-E53DDE49AA0F}"/>
    <cellStyle name="Normal 47 3 2 2 2" xfId="29845" xr:uid="{F518DB63-DD8B-4FCA-BD22-1354A3D0A086}"/>
    <cellStyle name="Normal 47 3 2 3" xfId="29846" xr:uid="{CAE1D851-2EAD-41A1-BD9E-4CC6AE2AC640}"/>
    <cellStyle name="Normal 47 3 3" xfId="29847" xr:uid="{F0B77098-2706-48A1-9F55-29841A69FDE5}"/>
    <cellStyle name="Normal 47 3 3 2" xfId="29848" xr:uid="{7B6C16E5-BA0A-453C-B55C-4C1048E5B701}"/>
    <cellStyle name="Normal 47 3 3 2 2" xfId="29849" xr:uid="{78A045D2-F746-4251-AA66-1D96976C5703}"/>
    <cellStyle name="Normal 47 3 3 3" xfId="29850" xr:uid="{A2F5B32D-F4D2-45A1-BB11-DA297ADC3DCD}"/>
    <cellStyle name="Normal 47 3 4" xfId="29851" xr:uid="{0FD33DAB-3640-4BFA-9232-70681888A3F3}"/>
    <cellStyle name="Normal 47 3 4 2" xfId="29852" xr:uid="{FA099500-CF7E-4655-92E9-930AE31A1CF6}"/>
    <cellStyle name="Normal 47 3 5" xfId="29853" xr:uid="{25D53B7B-A677-41F1-92C9-A6F4B8E68EF1}"/>
    <cellStyle name="Normal 47 4" xfId="29854" xr:uid="{3CF080B5-1694-4D2B-A38E-858A888F26A7}"/>
    <cellStyle name="Normal 47 4 2" xfId="29855" xr:uid="{DA8EA6D7-3378-46C3-9988-0EFB925F0184}"/>
    <cellStyle name="Normal 47 4 2 2" xfId="29856" xr:uid="{016EE6A5-66E4-452B-86BC-DF51A45E9BD9}"/>
    <cellStyle name="Normal 47 4 3" xfId="29857" xr:uid="{AF973AE8-3DA6-482D-9B3A-CF443AA42540}"/>
    <cellStyle name="Normal 47 5" xfId="29858" xr:uid="{2CF7A4C6-B5F7-432E-BCFD-825EC5F8C306}"/>
    <cellStyle name="Normal 47 5 2" xfId="29859" xr:uid="{9CFB4CA1-C8AE-4812-9F51-BCD480EF013E}"/>
    <cellStyle name="Normal 47 5 2 2" xfId="29860" xr:uid="{335AECC0-9BF4-4EC5-92F7-F0A6F58059B8}"/>
    <cellStyle name="Normal 47 5 3" xfId="29861" xr:uid="{3BB30C38-562F-4921-A332-C8E5836F849A}"/>
    <cellStyle name="Normal 47 6" xfId="29862" xr:uid="{8D3404A9-DBA2-44F2-BEA5-C4F00BB8FD76}"/>
    <cellStyle name="Normal 47 6 2" xfId="29863" xr:uid="{42CC5389-DCE2-4254-9272-5F79A5F00EC8}"/>
    <cellStyle name="Normal 47 7" xfId="29864" xr:uid="{AEAD7FB8-8FD2-413B-8704-433BA3A238C4}"/>
    <cellStyle name="Normal 48" xfId="29865" xr:uid="{258636DD-C339-46DC-B9E1-3B7CA638CF9D}"/>
    <cellStyle name="Normal 48 2" xfId="29866" xr:uid="{E5D7D5A9-F75D-48AB-AE73-88AC2456F23C}"/>
    <cellStyle name="Normal 48 2 2" xfId="29867" xr:uid="{51BF7139-40B8-406A-8F99-7D14E22E79B6}"/>
    <cellStyle name="Normal 48 2 2 2" xfId="29868" xr:uid="{747131F7-3106-49E3-AB11-46496D336D2E}"/>
    <cellStyle name="Normal 48 2 2 2 2" xfId="29869" xr:uid="{674A2F0C-D314-412E-9BC7-377A1B056088}"/>
    <cellStyle name="Normal 48 2 2 3" xfId="29870" xr:uid="{566E4074-A1B9-40BA-883F-DD9382852784}"/>
    <cellStyle name="Normal 48 2 3" xfId="29871" xr:uid="{35B903D3-12F3-4143-AB17-470CA4DA3B44}"/>
    <cellStyle name="Normal 48 2 3 2" xfId="29872" xr:uid="{647C793E-6E99-4885-850A-68039CC5A6FD}"/>
    <cellStyle name="Normal 48 2 3 2 2" xfId="29873" xr:uid="{146A8D76-BED3-4F19-8B36-666801A9E820}"/>
    <cellStyle name="Normal 48 2 3 3" xfId="29874" xr:uid="{A95C9867-3CF0-487A-8A79-C0565D7EB79F}"/>
    <cellStyle name="Normal 48 2 4" xfId="29875" xr:uid="{C1507C29-74DC-4CBF-9BC2-B41A90DF48C0}"/>
    <cellStyle name="Normal 48 2 4 2" xfId="29876" xr:uid="{21A96B0C-0EB3-4062-86A7-1D52F3A0CC12}"/>
    <cellStyle name="Normal 48 2 5" xfId="29877" xr:uid="{1325A2BF-46B4-47F9-90AB-83BCCD5B2F67}"/>
    <cellStyle name="Normal 48 2 6" xfId="39138" xr:uid="{77EF1352-3CAC-47D3-BB85-79DAEF8540A7}"/>
    <cellStyle name="Normal 48 3" xfId="29878" xr:uid="{3957524A-4D6D-4D70-9117-FD3B3D2086A7}"/>
    <cellStyle name="Normal 48 3 2" xfId="29879" xr:uid="{3683B26A-E638-4C17-8111-F71811BD5264}"/>
    <cellStyle name="Normal 48 3 2 2" xfId="29880" xr:uid="{F26903C1-F4FC-4BAE-BC2C-7AC8CA69B38D}"/>
    <cellStyle name="Normal 48 3 3" xfId="29881" xr:uid="{EE2A3E88-4E8F-4995-B484-26F2C71C7C9F}"/>
    <cellStyle name="Normal 48 4" xfId="29882" xr:uid="{1867938D-C62A-4C07-9EA2-71D86452785C}"/>
    <cellStyle name="Normal 48 4 2" xfId="29883" xr:uid="{22BA5307-56D1-472C-896D-1BD6F8F56D1C}"/>
    <cellStyle name="Normal 48 4 2 2" xfId="29884" xr:uid="{BD42C75F-C1FD-4524-B5A8-791A600F930B}"/>
    <cellStyle name="Normal 48 4 3" xfId="29885" xr:uid="{392E7FCF-BD82-4613-96D4-52BFECFE8056}"/>
    <cellStyle name="Normal 48 5" xfId="29886" xr:uid="{E7C69004-6B84-42F7-85FD-88736EE4E49E}"/>
    <cellStyle name="Normal 48 5 2" xfId="29887" xr:uid="{76343159-7463-475C-A6EC-C7026717F607}"/>
    <cellStyle name="Normal 49" xfId="29888" xr:uid="{F0EB6433-6B62-41A2-A188-A0D860B7D4D8}"/>
    <cellStyle name="Normal 49 2" xfId="29889" xr:uid="{FDFAF88D-2CA6-4D18-A1E1-56022D1C97BB}"/>
    <cellStyle name="Normal 49 2 2" xfId="29890" xr:uid="{ED9BDFC6-50BD-48C4-96FE-89C8BD9C8620}"/>
    <cellStyle name="Normal 49 2 2 2" xfId="29891" xr:uid="{9F7EBCCC-28B1-426D-926B-5EA6B050D056}"/>
    <cellStyle name="Normal 49 2 2 2 2" xfId="29892" xr:uid="{4C961EDB-BF50-4FB3-BD9D-B7B2383CECAF}"/>
    <cellStyle name="Normal 49 2 2 3" xfId="29893" xr:uid="{E4424BDA-3332-40C0-9C6F-9F169A6600EE}"/>
    <cellStyle name="Normal 49 2 3" xfId="29894" xr:uid="{4B196B0A-09C1-4A05-A44B-312A6AA861BD}"/>
    <cellStyle name="Normal 49 2 3 2" xfId="29895" xr:uid="{13BEDA6E-BC89-443D-B064-83DFE2553DA0}"/>
    <cellStyle name="Normal 49 2 3 2 2" xfId="29896" xr:uid="{8A9B54C8-D99E-4674-B1B0-8AE993C1C0EC}"/>
    <cellStyle name="Normal 49 2 3 3" xfId="29897" xr:uid="{253C87A4-FA6F-4A95-8521-18BFE460A7A8}"/>
    <cellStyle name="Normal 49 2 4" xfId="29898" xr:uid="{71B7899D-C2EC-4649-8EBE-854882AF34F9}"/>
    <cellStyle name="Normal 49 2 4 2" xfId="29899" xr:uid="{1289853F-FC84-429E-8D99-2D2A997121F3}"/>
    <cellStyle name="Normal 49 2 5" xfId="29900" xr:uid="{F9B533BD-A844-4017-904A-22B5684C3A19}"/>
    <cellStyle name="Normal 49 3" xfId="29901" xr:uid="{18E7408C-B71A-4A7E-AA76-55819D99D64C}"/>
    <cellStyle name="Normal 49 3 2" xfId="29902" xr:uid="{B9B988AD-3E90-43E1-85D4-46D08D53D1EF}"/>
    <cellStyle name="Normal 49 3 2 2" xfId="29903" xr:uid="{1C19AAB8-40FC-4653-B16A-5735CA14B359}"/>
    <cellStyle name="Normal 49 3 3" xfId="29904" xr:uid="{A3F5582E-4401-4046-98DF-35EE369BA52E}"/>
    <cellStyle name="Normal 49 3 4" xfId="39139" xr:uid="{C91F7777-5484-4B33-A436-EF9C4CEA8172}"/>
    <cellStyle name="Normal 49 4" xfId="29905" xr:uid="{40B7B6D7-01B7-4E49-ABCE-680E04AFE8E4}"/>
    <cellStyle name="Normal 49 4 2" xfId="29906" xr:uid="{23B4EBF6-FB88-447E-A3CD-91A5CF87AF27}"/>
    <cellStyle name="Normal 49 4 2 2" xfId="29907" xr:uid="{FBDB1BB0-1140-4956-BB92-2C42024984BA}"/>
    <cellStyle name="Normal 49 4 3" xfId="29908" xr:uid="{36640472-1881-4479-9391-E567F5832F79}"/>
    <cellStyle name="Normal 49 5" xfId="29909" xr:uid="{FB9956F3-E4A1-4B2B-8369-8A0B4517E496}"/>
    <cellStyle name="Normal 49 5 2" xfId="29910" xr:uid="{B0B8ABD8-A7B9-44F6-B5D5-9AA94B71A50D}"/>
    <cellStyle name="Normal 49 5 3" xfId="39140" xr:uid="{10298061-A73B-4019-BB43-272FC2762AF2}"/>
    <cellStyle name="Normal 5" xfId="82" xr:uid="{2B4EEA81-D050-4B06-A086-1A6AB6C111D8}"/>
    <cellStyle name="Normal 5 10" xfId="149" xr:uid="{0A84CD50-49A6-4407-96C7-24455D803EC8}"/>
    <cellStyle name="Normal 5 2" xfId="156" xr:uid="{D63E32C4-5BBA-4AFD-818D-71363827A806}"/>
    <cellStyle name="Normal 5 2 2" xfId="29913" xr:uid="{EB8C1EF1-B7FE-4DF9-869E-720A0E38BB71}"/>
    <cellStyle name="Normal 5 2 2 2" xfId="29914" xr:uid="{49108331-5A95-457A-93A4-57856A4D7F4B}"/>
    <cellStyle name="Normal 5 2 2 2 2" xfId="39141" xr:uid="{37D85DE6-1210-413D-BF81-9B091C3C72C6}"/>
    <cellStyle name="Normal 5 2 2 2 3" xfId="39142" xr:uid="{F359C895-162A-4700-9C6E-AEE664D56D64}"/>
    <cellStyle name="Normal 5 2 2 3" xfId="39143" xr:uid="{F463C111-64D8-497B-BEEE-19E40183A2B2}"/>
    <cellStyle name="Normal 5 2 2 4" xfId="39144" xr:uid="{E7EC871C-3C19-44BB-AA65-EC1AF24D6457}"/>
    <cellStyle name="Normal 5 2 3" xfId="29915" xr:uid="{96CCF6C2-41AF-42F6-8084-19FCC35CD3CC}"/>
    <cellStyle name="Normal 5 2 3 2" xfId="39145" xr:uid="{45DFAD9D-FCAC-47FE-8DCB-600CAAECBD29}"/>
    <cellStyle name="Normal 5 2 3 3" xfId="39146" xr:uid="{4F1C14AA-1416-4C38-ADF3-B0247E4E2559}"/>
    <cellStyle name="Normal 5 2 4" xfId="39147" xr:uid="{A5299EF2-CF94-4AEF-9F56-6FAFA3EF6682}"/>
    <cellStyle name="Normal 5 2 5" xfId="39148" xr:uid="{97B1F7DF-0DD1-4304-BB94-94A8C3BE3B78}"/>
    <cellStyle name="Normal 5 2 6" xfId="29912" xr:uid="{71AE2967-3248-4618-989E-04A4D25A45B8}"/>
    <cellStyle name="Normal 5 3" xfId="29916" xr:uid="{2A46DE56-BB61-43C3-BBDC-5367E4F90F2A}"/>
    <cellStyle name="Normal 5 3 2" xfId="29917" xr:uid="{770F0BF1-0AC8-45ED-A556-B146D0BD3CA4}"/>
    <cellStyle name="Normal 5 3 2 2" xfId="29918" xr:uid="{7E3C1827-4DEC-49B7-9025-821B29972E40}"/>
    <cellStyle name="Normal 5 3 2 2 2" xfId="29919" xr:uid="{3DF7151A-073D-4B4D-9345-EF50FCAD3E78}"/>
    <cellStyle name="Normal 5 3 2 3" xfId="29920" xr:uid="{2EBD8F7D-2D3D-4065-9C57-46EF57BF4335}"/>
    <cellStyle name="Normal 5 3 3" xfId="29921" xr:uid="{E67C5AFC-F012-4603-ADE0-21E9B5C210F3}"/>
    <cellStyle name="Normal 5 3 3 2" xfId="29922" xr:uid="{C16344D3-D05D-474A-ABB3-9E190F62A9DE}"/>
    <cellStyle name="Normal 5 3 3 2 2" xfId="29923" xr:uid="{F65C5C68-D3BB-491E-B6B7-E675D5388131}"/>
    <cellStyle name="Normal 5 3 3 3" xfId="29924" xr:uid="{3EBD658D-1E21-40E8-B6A8-FA846D9C2849}"/>
    <cellStyle name="Normal 5 3 4" xfId="29925" xr:uid="{F437F8B0-7FC4-458A-BDAB-0E6A4DF39692}"/>
    <cellStyle name="Normal 5 3 4 2" xfId="29926" xr:uid="{C2CA5B8F-37C1-4D2E-98DC-8AB5A454757C}"/>
    <cellStyle name="Normal 5 3 4 3" xfId="39149" xr:uid="{93E0A075-57EF-4901-A50C-AAAAC0E6A76D}"/>
    <cellStyle name="Normal 5 3 5" xfId="29927" xr:uid="{76C2C0B9-C41E-4C3E-BA62-95D00CC4412A}"/>
    <cellStyle name="Normal 5 4" xfId="29928" xr:uid="{434D894E-6DC7-4E1C-824F-4755C0F8217A}"/>
    <cellStyle name="Normal 5 4 2" xfId="29929" xr:uid="{F9316BFA-FA2E-44E3-966C-D4DDE96F358B}"/>
    <cellStyle name="Normal 5 4 2 2" xfId="29930" xr:uid="{3D449E8D-AB83-4021-8A42-F58647449205}"/>
    <cellStyle name="Normal 5 4 3" xfId="39150" xr:uid="{3AEB86F4-581A-47BB-848D-B3F088AFF6EA}"/>
    <cellStyle name="Normal 5 5" xfId="29931" xr:uid="{35CEFB51-6BC2-4C86-8CAF-00142623294E}"/>
    <cellStyle name="Normal 5 5 2" xfId="29932" xr:uid="{9DC7127D-0B9C-4DD6-9E89-CFFE93019796}"/>
    <cellStyle name="Normal 5 5 2 2" xfId="29933" xr:uid="{A19C842F-FA52-4492-A1E5-2245625C09C3}"/>
    <cellStyle name="Normal 5 5 3" xfId="29934" xr:uid="{A3048E78-A526-495A-91F2-9D4FDF2F79A3}"/>
    <cellStyle name="Normal 5 6" xfId="29935" xr:uid="{F1040EB6-A27B-43F4-A26B-DA7528D07AED}"/>
    <cellStyle name="Normal 5 6 2" xfId="29936" xr:uid="{EEABC104-3A18-4A25-BE68-1526F938906F}"/>
    <cellStyle name="Normal 5 7" xfId="39151" xr:uid="{F15A54E6-9936-4FEA-8B31-4BA4C469EBDD}"/>
    <cellStyle name="Normal 5 8" xfId="39152" xr:uid="{BF62E2DB-D228-47A6-B324-8951FE3C3AA0}"/>
    <cellStyle name="Normal 5 9" xfId="29911" xr:uid="{A6AB304C-D867-4478-82A3-0878ED38E12A}"/>
    <cellStyle name="Normal 5_Jun 11 details" xfId="29937" xr:uid="{D9B30C37-0E5B-493C-B3BA-0FF3F390D7C4}"/>
    <cellStyle name="Normal 50" xfId="29938" xr:uid="{9E9267C9-3D56-4B85-B512-0AA439039442}"/>
    <cellStyle name="Normal 50 2" xfId="29939" xr:uid="{417D3051-883C-4352-850A-3E0EE8C60B6A}"/>
    <cellStyle name="Normal 50 2 2" xfId="29940" xr:uid="{3659C43E-2A51-440A-8D42-04E7DE02891D}"/>
    <cellStyle name="Normal 50 2 2 2" xfId="29941" xr:uid="{45F108BE-38AB-490D-8B0F-069DCB5A1B00}"/>
    <cellStyle name="Normal 50 2 2 2 2" xfId="29942" xr:uid="{B7E89F8F-1FC0-480B-99B5-78B528A758F0}"/>
    <cellStyle name="Normal 50 2 2 3" xfId="29943" xr:uid="{935AA0C3-77C5-48F4-B2BE-C2195B0A5DE2}"/>
    <cellStyle name="Normal 50 2 3" xfId="29944" xr:uid="{A882780C-3793-4DC6-A548-70FA731E122E}"/>
    <cellStyle name="Normal 50 2 3 2" xfId="29945" xr:uid="{5DDE8692-0CE3-4C96-91B2-9DE3B2EC21E5}"/>
    <cellStyle name="Normal 50 2 3 2 2" xfId="29946" xr:uid="{C9FE235B-BD96-4753-AF05-D44C7E1FD3DE}"/>
    <cellStyle name="Normal 50 2 3 3" xfId="29947" xr:uid="{A80248BC-8D83-4EBA-B6B5-481C6C343409}"/>
    <cellStyle name="Normal 50 2 4" xfId="29948" xr:uid="{33E71E24-6453-4879-A3AB-8DD03D2A03EA}"/>
    <cellStyle name="Normal 50 2 4 2" xfId="29949" xr:uid="{C0DC58A9-2B3F-423E-BCAB-03073AD1EF7F}"/>
    <cellStyle name="Normal 50 2 5" xfId="29950" xr:uid="{DF1E66C2-F8AA-4CD6-A496-D53DE303CC0C}"/>
    <cellStyle name="Normal 50 2 6" xfId="39153" xr:uid="{A7FD1C3B-2164-4F53-A56B-BEEFCD56A390}"/>
    <cellStyle name="Normal 50 3" xfId="29951" xr:uid="{3BD8BBC5-FD9A-4193-89F0-66ED87B91BC2}"/>
    <cellStyle name="Normal 50 3 2" xfId="29952" xr:uid="{9B6E9F2C-33E7-497A-AB40-FF2E778B88A7}"/>
    <cellStyle name="Normal 50 3 2 2" xfId="29953" xr:uid="{431D8251-643F-4F83-9A7F-67EE2CA836AB}"/>
    <cellStyle name="Normal 50 3 3" xfId="29954" xr:uid="{08318AFE-AE92-43A3-B9D9-4C28739819E8}"/>
    <cellStyle name="Normal 50 4" xfId="29955" xr:uid="{C4E9321A-669E-4F2C-88A5-0A23308A2F15}"/>
    <cellStyle name="Normal 50 4 2" xfId="29956" xr:uid="{2C1BF907-7EA9-4B59-BC9B-F280D4ABDEAD}"/>
    <cellStyle name="Normal 50 4 2 2" xfId="29957" xr:uid="{D9CC1EEC-73DD-4072-ADAD-5AC3A9F0E218}"/>
    <cellStyle name="Normal 50 4 3" xfId="29958" xr:uid="{455EAC64-41BB-4360-83D2-83A69E2CD130}"/>
    <cellStyle name="Normal 50 5" xfId="29959" xr:uid="{6227F2B3-CDB8-48D1-B5FA-41D0F8371622}"/>
    <cellStyle name="Normal 50 5 2" xfId="29960" xr:uid="{EA0C2076-36C6-4FFB-BD7D-8936F7DCE00D}"/>
    <cellStyle name="Normal 50 6" xfId="39154" xr:uid="{8543E524-6F00-4B3C-8D58-8D5B197E8CFB}"/>
    <cellStyle name="Normal 51" xfId="29961" xr:uid="{4B2B8229-066C-4A74-B5C5-E94D4CB4DB6F}"/>
    <cellStyle name="Normal 51 2" xfId="29962" xr:uid="{BB80FC2C-D905-4BBF-88E7-910BD4827A6A}"/>
    <cellStyle name="Normal 51 2 2" xfId="29963" xr:uid="{0D7D4475-B87B-49EF-82A7-C7E90EA099DD}"/>
    <cellStyle name="Normal 51 2 2 2" xfId="29964" xr:uid="{499F2FF9-FEEB-42A5-B84C-F95F4873B145}"/>
    <cellStyle name="Normal 51 2 2 2 2" xfId="29965" xr:uid="{83E0C4A3-3AF6-4236-962F-56292C3DEE58}"/>
    <cellStyle name="Normal 51 2 2 3" xfId="29966" xr:uid="{38E75DC2-8BAD-4A02-99D5-BB379544903B}"/>
    <cellStyle name="Normal 51 2 3" xfId="29967" xr:uid="{1F8329CD-98DF-4B5C-8C16-8992732BA362}"/>
    <cellStyle name="Normal 51 2 3 2" xfId="29968" xr:uid="{A6A3E17F-8804-4ECB-936D-BC687153A880}"/>
    <cellStyle name="Normal 51 2 3 2 2" xfId="29969" xr:uid="{79D9C1BA-55BC-4707-A8BF-021F29E003FD}"/>
    <cellStyle name="Normal 51 2 3 3" xfId="29970" xr:uid="{68B6583A-77C3-4743-ABB8-527853E1F62C}"/>
    <cellStyle name="Normal 51 2 4" xfId="29971" xr:uid="{3416B84A-0080-4F7B-A67B-F1A41945AD43}"/>
    <cellStyle name="Normal 51 2 4 2" xfId="29972" xr:uid="{8C6BCA8C-FB84-4174-B8AF-BD568F3F2D05}"/>
    <cellStyle name="Normal 51 2 5" xfId="29973" xr:uid="{9D034EDE-3CEB-464E-8ACE-C4651C54E767}"/>
    <cellStyle name="Normal 51 2 6" xfId="39155" xr:uid="{A81C2AA1-4D2F-4321-AB09-D9835D1072E5}"/>
    <cellStyle name="Normal 51 3" xfId="29974" xr:uid="{EA005BF0-F184-44BF-B516-144E24522BB7}"/>
    <cellStyle name="Normal 51 3 2" xfId="29975" xr:uid="{4F7411C4-2D4E-425D-8A9C-228513F485B0}"/>
    <cellStyle name="Normal 51 3 2 2" xfId="29976" xr:uid="{0067770A-D65C-4CCC-8381-8E5EAD888EC9}"/>
    <cellStyle name="Normal 51 3 3" xfId="29977" xr:uid="{F3A05E3F-8B18-425B-B82C-2EDD16C2BC8D}"/>
    <cellStyle name="Normal 51 4" xfId="29978" xr:uid="{5944C3E2-C8F9-45B1-8C63-4EC4142CA3C5}"/>
    <cellStyle name="Normal 51 4 2" xfId="29979" xr:uid="{B4DFCF35-0160-4640-8ECE-53E1B9C788DD}"/>
    <cellStyle name="Normal 51 4 2 2" xfId="29980" xr:uid="{0E43FBF3-1EDE-4E4F-847B-EBDA6825B108}"/>
    <cellStyle name="Normal 51 4 3" xfId="29981" xr:uid="{C0F07B31-250B-4B19-A3B1-907580FACBB2}"/>
    <cellStyle name="Normal 51 5" xfId="29982" xr:uid="{9C8639B7-927F-425E-8071-7FC5FAC81EF7}"/>
    <cellStyle name="Normal 51 5 2" xfId="29983" xr:uid="{5473E8F8-6DA9-4A0A-9429-4DD256D7A2C2}"/>
    <cellStyle name="Normal 52" xfId="29984" xr:uid="{1CE39EC4-89FC-4330-BD9B-CB2AA5718436}"/>
    <cellStyle name="Normal 52 2" xfId="29985" xr:uid="{D60A66AF-583D-4434-8074-FDAC4B91C378}"/>
    <cellStyle name="Normal 52 3" xfId="29986" xr:uid="{3B42529B-BEC1-4F09-8B53-4359AF52E361}"/>
    <cellStyle name="Normal 53" xfId="29987" xr:uid="{CDBD61B1-A831-47C2-860D-AB04A9E5A7E8}"/>
    <cellStyle name="Normal 53 2" xfId="29988" xr:uid="{D8A47A27-FDC8-4EC7-8452-C48C95314D4B}"/>
    <cellStyle name="Normal 53 2 2" xfId="39156" xr:uid="{20796148-4900-430F-B134-ED1B0A4FDE23}"/>
    <cellStyle name="Normal 53 3" xfId="39157" xr:uid="{4F866C88-3FD9-4B66-8A1D-3EADDC5D2730}"/>
    <cellStyle name="Normal 54" xfId="29989" xr:uid="{16884B57-1F07-418D-B19A-65B1872425B1}"/>
    <cellStyle name="Normal 54 2" xfId="29990" xr:uid="{259E41A6-D9F9-467D-A0B6-8157EE589C27}"/>
    <cellStyle name="Normal 54 2 2" xfId="39158" xr:uid="{95BBDDAB-5BD4-4E42-8134-64DDA049FFDD}"/>
    <cellStyle name="Normal 55" xfId="29991" xr:uid="{209A32EB-129A-45C1-B73E-B1122B87B498}"/>
    <cellStyle name="Normal 55 2" xfId="29992" xr:uid="{4AEAE6E5-4592-4441-9229-733CCC5FEA02}"/>
    <cellStyle name="Normal 55 2 2" xfId="39159" xr:uid="{10BB133C-8734-4F40-9E86-93697979628A}"/>
    <cellStyle name="Normal 56" xfId="29993" xr:uid="{A70C04A2-4D6C-45D1-AE62-BAA2683B8638}"/>
    <cellStyle name="Normal 56 2" xfId="29994" xr:uid="{86F3E63A-8CB8-4AA3-9174-66D8ABCB2555}"/>
    <cellStyle name="Normal 56 2 2" xfId="39160" xr:uid="{31889A86-1C5A-4B75-BAEA-206E0BBFC087}"/>
    <cellStyle name="Normal 57" xfId="29995" xr:uid="{7514DFD3-43F8-4CF6-BDB5-5B068FA01458}"/>
    <cellStyle name="Normal 57 2" xfId="169" xr:uid="{D1D9DB9F-C64B-4E72-9F45-EBF9ACED87ED}"/>
    <cellStyle name="Normal 57 2 2" xfId="39161" xr:uid="{49FCD001-6C39-4CC3-A8AB-B511A62D10D2}"/>
    <cellStyle name="Normal 57 3" xfId="39162" xr:uid="{034EE03A-A419-4C55-BAD9-D4F677ECA736}"/>
    <cellStyle name="Normal 58" xfId="29996" xr:uid="{E807FE81-1EAD-4174-A233-6ED7838C84D9}"/>
    <cellStyle name="Normal 58 2" xfId="29997" xr:uid="{1A2868A7-3F73-44F0-B247-FE3D976317E2}"/>
    <cellStyle name="Normal 58 2 2" xfId="39163" xr:uid="{2DFC14B5-0B4A-4DA1-98BD-A22D1A472DB8}"/>
    <cellStyle name="Normal 59" xfId="29998" xr:uid="{C8FAB899-3B5D-4A34-A64E-CDDB681D0117}"/>
    <cellStyle name="Normal 59 2" xfId="29999" xr:uid="{57ECCE1A-F240-46F1-9E1E-E6F002B33FB0}"/>
    <cellStyle name="Normal 59 3" xfId="39164" xr:uid="{4E14528C-965B-4E14-BEA2-18821C0785FB}"/>
    <cellStyle name="Normal 6" xfId="83" xr:uid="{0F1C3FEE-A018-445F-AE73-74FE47A678FD}"/>
    <cellStyle name="Normal 6 10" xfId="30001" xr:uid="{B0E9B381-587B-4687-8305-A948B275BD45}"/>
    <cellStyle name="Normal 6 11" xfId="30002" xr:uid="{0AB51E3D-7A9B-4D4C-B21A-D910A575F233}"/>
    <cellStyle name="Normal 6 12" xfId="30000" xr:uid="{46A6952C-0EBD-4315-8E94-677086FF1AE6}"/>
    <cellStyle name="Normal 6 2" xfId="30003" xr:uid="{E7427F7C-4481-4A87-A9D6-16CF3EAE50EB}"/>
    <cellStyle name="Normal 6 2 2" xfId="30004" xr:uid="{23C3A820-2CC0-4A26-AE06-B6F0CD4A94B4}"/>
    <cellStyle name="Normal 6 2 2 2" xfId="30005" xr:uid="{7FAE2EB7-18BF-4550-B3D1-4D09BBDA8306}"/>
    <cellStyle name="Normal 6 2 2 2 2" xfId="39165" xr:uid="{6FD6C11C-CC3B-4BA8-B5CC-CB47F467FB10}"/>
    <cellStyle name="Normal 6 2 2 3" xfId="39166" xr:uid="{DFAA39B0-078E-403E-8B9C-4F515836C239}"/>
    <cellStyle name="Normal 6 2 3" xfId="30006" xr:uid="{736F51EA-47B8-4FDB-A111-B9327038B431}"/>
    <cellStyle name="Normal 6 2 3 2" xfId="39167" xr:uid="{EEB21CD4-EEE0-467E-8023-EB58DEDF8F92}"/>
    <cellStyle name="Normal 6 2 4" xfId="39168" xr:uid="{65AFFDE8-725E-4E34-8178-C8A52E393097}"/>
    <cellStyle name="Normal 6 2 5" xfId="39169" xr:uid="{D08EBA19-F420-4DE9-A7CA-3739CB0D5946}"/>
    <cellStyle name="Normal 6 3" xfId="30007" xr:uid="{82C2709A-FF23-4A66-B088-4D8734F3BD4D}"/>
    <cellStyle name="Normal 6 3 2" xfId="30008" xr:uid="{7CD10600-5961-44F2-B881-5B49923E50D2}"/>
    <cellStyle name="Normal 6 3 2 2" xfId="39170" xr:uid="{7523D9A8-C05B-46D8-A079-9C0449FC2816}"/>
    <cellStyle name="Normal 6 3 3" xfId="39171" xr:uid="{B478BAC0-55C3-4E2F-BC5C-7944B7E9A25D}"/>
    <cellStyle name="Normal 6 3 4" xfId="39172" xr:uid="{21C58BE0-A889-4ACE-A71C-4BD01D299474}"/>
    <cellStyle name="Normal 6 4" xfId="30009" xr:uid="{A9E3C571-FBA6-428C-BCA1-DF0A2FD93264}"/>
    <cellStyle name="Normal 6 4 2" xfId="39173" xr:uid="{817307C4-089E-408C-963F-C6647944327E}"/>
    <cellStyle name="Normal 6 4 3" xfId="39174" xr:uid="{9A29E895-6020-4801-A052-1283B330FEBE}"/>
    <cellStyle name="Normal 6 5" xfId="30010" xr:uid="{37D16F28-DFF6-4A4D-BF4D-35540C0E424E}"/>
    <cellStyle name="Normal 6 5 2" xfId="39175" xr:uid="{4816F878-F454-412F-9A0C-DB50D1F6E19F}"/>
    <cellStyle name="Normal 6 6" xfId="30011" xr:uid="{3120969F-D573-4134-9C0C-1652C7AFDCE7}"/>
    <cellStyle name="Normal 6 7" xfId="30012" xr:uid="{9A9A4FFC-C452-4992-BDB0-0A3BF330BE69}"/>
    <cellStyle name="Normal 6 8" xfId="30013" xr:uid="{AA86FC6E-F0F6-4544-9A7A-3C71DCBF97AF}"/>
    <cellStyle name="Normal 6 9" xfId="30014" xr:uid="{43E13AAA-53E1-4529-AFCC-287D753C3853}"/>
    <cellStyle name="Normal 60" xfId="30015" xr:uid="{F7834E87-1A9B-4988-B31F-9FBD35CB22CB}"/>
    <cellStyle name="Normal 60 2" xfId="30016" xr:uid="{2001BD3E-713C-48D7-9E97-0017BE1E85CD}"/>
    <cellStyle name="Normal 60 2 2" xfId="30017" xr:uid="{3F627EAB-A8D8-4E0F-8CA9-C57329C19250}"/>
    <cellStyle name="Normal 60 3" xfId="30018" xr:uid="{72F1539F-F868-4DA7-B714-BC42D4A9CA0E}"/>
    <cellStyle name="Normal 60 3 2" xfId="30019" xr:uid="{877EB92F-4321-4E54-864E-7FC5F70F02F0}"/>
    <cellStyle name="Normal 60 3 2 2" xfId="30020" xr:uid="{4C403BB0-27CB-408D-AEDF-35955BC6BFE1}"/>
    <cellStyle name="Normal 60 3 3" xfId="30021" xr:uid="{B2D7B4ED-7C50-4E31-8973-E1E315C63BFE}"/>
    <cellStyle name="Normal 60 4" xfId="30022" xr:uid="{0B63772D-87DF-46A1-839F-3578CA20CDDA}"/>
    <cellStyle name="Normal 60 4 2" xfId="30023" xr:uid="{76B5B228-79C3-4417-8A18-7C9437D5DA1D}"/>
    <cellStyle name="Normal 60 4 2 2" xfId="30024" xr:uid="{293A4137-896B-46CC-A072-FF568A19F7C2}"/>
    <cellStyle name="Normal 60 4 3" xfId="30025" xr:uid="{9E865003-6397-4A69-BA1D-A59EE0D1BB60}"/>
    <cellStyle name="Normal 60 5" xfId="30026" xr:uid="{560373AD-77C1-4017-B2AD-44C5D8F628FA}"/>
    <cellStyle name="Normal 60 6" xfId="39176" xr:uid="{D3F64B51-1AF0-4199-A8E4-77B347F574A0}"/>
    <cellStyle name="Normal 61" xfId="30027" xr:uid="{D9225953-2925-4391-A644-5E3BDEA96758}"/>
    <cellStyle name="Normal 61 2" xfId="30028" xr:uid="{6BDEB627-ED01-4F96-854A-01E6B87DB605}"/>
    <cellStyle name="Normal 61 2 2" xfId="30029" xr:uid="{07C5A6D4-B8EB-459C-B58F-2FB10ED6E732}"/>
    <cellStyle name="Normal 61 2 2 2" xfId="30030" xr:uid="{BB19FBB1-63F2-4AA9-B13C-7B11730A24B7}"/>
    <cellStyle name="Normal 61 2 2 2 2" xfId="30031" xr:uid="{6DC2F541-FAF3-4CB8-BAF5-ABB8FB24E0F6}"/>
    <cellStyle name="Normal 61 2 2 3" xfId="30032" xr:uid="{E907AEAA-77F1-4C80-A12C-F8850833BF14}"/>
    <cellStyle name="Normal 61 2 3" xfId="30033" xr:uid="{B13A4060-47B7-4B7D-8309-69E8C8228808}"/>
    <cellStyle name="Normal 61 2 3 2" xfId="30034" xr:uid="{397F5364-E4AE-4A73-829B-360B5B2165DE}"/>
    <cellStyle name="Normal 61 2 3 2 2" xfId="30035" xr:uid="{F1EB422B-3DF6-4822-9580-FDAEE45801BC}"/>
    <cellStyle name="Normal 61 2 3 3" xfId="30036" xr:uid="{EAFF5CF6-1718-46A3-960D-9CAC78E8A04D}"/>
    <cellStyle name="Normal 61 2 4" xfId="30037" xr:uid="{F3DA75C9-6037-4CC6-818B-CF4E1BE71028}"/>
    <cellStyle name="Normal 61 2 4 2" xfId="30038" xr:uid="{577904FC-5EEE-459D-B7F6-21433F5CCECB}"/>
    <cellStyle name="Normal 61 2 5" xfId="30039" xr:uid="{D8701712-CCA6-426B-A26D-66E6133F3EC6}"/>
    <cellStyle name="Normal 61 3" xfId="30040" xr:uid="{6C8D99FD-5BAD-42E9-9042-57A8EFACE9C3}"/>
    <cellStyle name="Normal 61 3 2" xfId="30041" xr:uid="{21C5DBE7-A95E-4F09-A54C-F0BB5885D74B}"/>
    <cellStyle name="Normal 61 3 2 2" xfId="30042" xr:uid="{48F35ECD-D714-452F-974D-B4905661AB26}"/>
    <cellStyle name="Normal 61 3 3" xfId="30043" xr:uid="{2E482BD7-8B0E-494F-8247-DBA0C5C47BAE}"/>
    <cellStyle name="Normal 61 4" xfId="30044" xr:uid="{7083E9E9-5EE3-4DDC-88CC-AE82605DA240}"/>
    <cellStyle name="Normal 61 4 2" xfId="30045" xr:uid="{2BCF0C2E-8690-45EB-880A-2ECA2B6414AD}"/>
    <cellStyle name="Normal 61 4 2 2" xfId="30046" xr:uid="{70E976F4-03C5-489F-A800-4B92B6E01A4E}"/>
    <cellStyle name="Normal 61 4 3" xfId="30047" xr:uid="{B4F2E9D4-DACA-454A-9414-A6582FBEA9B9}"/>
    <cellStyle name="Normal 61 5" xfId="30048" xr:uid="{7172C062-E66F-47CB-9672-3A10174FBA6C}"/>
    <cellStyle name="Normal 61 5 2" xfId="30049" xr:uid="{A8B6809D-B3F2-4304-8D44-CF8DF8B9A30D}"/>
    <cellStyle name="Normal 61 6" xfId="30050" xr:uid="{579F43AF-C6C3-40DB-985C-2C0EC038D0A1}"/>
    <cellStyle name="Normal 61 7" xfId="39177" xr:uid="{F13A5E97-954A-48E8-9513-A0A4A21E91DF}"/>
    <cellStyle name="Normal 62" xfId="30051" xr:uid="{B6C6C188-AA44-46D6-8197-EAD0B358791E}"/>
    <cellStyle name="Normal 62 2" xfId="30052" xr:uid="{30FECB0B-78EE-477A-B9F5-4D48AE922E83}"/>
    <cellStyle name="Normal 62 2 2" xfId="30053" xr:uid="{07E222E4-0D1D-409A-945B-7E1693FEC57F}"/>
    <cellStyle name="Normal 62 2 2 2" xfId="30054" xr:uid="{5094D349-D173-4524-A2BA-C791CC0D5A7D}"/>
    <cellStyle name="Normal 62 2 2 2 2" xfId="30055" xr:uid="{36FEDE83-F938-453F-8351-B25163E0C87B}"/>
    <cellStyle name="Normal 62 2 2 3" xfId="30056" xr:uid="{7F7D60C4-C780-44DB-8B17-C72C8137619C}"/>
    <cellStyle name="Normal 62 2 3" xfId="30057" xr:uid="{A699A4EE-40F9-4107-BE35-47E673E2F221}"/>
    <cellStyle name="Normal 62 2 3 2" xfId="30058" xr:uid="{95C60695-DEE6-493B-BB72-28017EC93C37}"/>
    <cellStyle name="Normal 62 2 3 2 2" xfId="30059" xr:uid="{F05C7936-2F7D-42D4-B541-4D993C419495}"/>
    <cellStyle name="Normal 62 2 3 3" xfId="30060" xr:uid="{F8C3C3F6-2E37-4DEF-B9BF-92339761E47C}"/>
    <cellStyle name="Normal 62 2 4" xfId="30061" xr:uid="{6B935585-586C-407A-8461-C37126C5FD93}"/>
    <cellStyle name="Normal 62 2 4 2" xfId="30062" xr:uid="{BF945485-BC49-45D8-87E9-2B28B663183E}"/>
    <cellStyle name="Normal 62 2 5" xfId="30063" xr:uid="{612A34E1-4E9B-4E9C-9299-DE435A0BF2BC}"/>
    <cellStyle name="Normal 62 3" xfId="30064" xr:uid="{9EE8DE38-BCD9-4CED-91AE-D2054DCA2F4B}"/>
    <cellStyle name="Normal 62 3 2" xfId="30065" xr:uid="{21CBF5B1-B322-405E-8F01-DCF78EFC5321}"/>
    <cellStyle name="Normal 62 3 2 2" xfId="30066" xr:uid="{65879E53-033B-47A4-B547-BD1EDDAB5E3C}"/>
    <cellStyle name="Normal 62 3 3" xfId="30067" xr:uid="{35443C7A-DDC9-4F93-A2A9-3532F866F1B6}"/>
    <cellStyle name="Normal 62 4" xfId="30068" xr:uid="{79E3B01E-A153-433F-B19A-76D4D5D8BE53}"/>
    <cellStyle name="Normal 62 4 2" xfId="30069" xr:uid="{8966BC01-F094-44AD-A6BD-72B1B22D189F}"/>
    <cellStyle name="Normal 62 4 2 2" xfId="30070" xr:uid="{C768F74F-020F-4ED9-B30D-FE3E2EF2333B}"/>
    <cellStyle name="Normal 62 4 3" xfId="30071" xr:uid="{D2837F7B-3EC6-49E0-9836-D4EE027152E4}"/>
    <cellStyle name="Normal 62 5" xfId="30072" xr:uid="{28E000B9-8CE2-41DB-870A-F4A580E1CB62}"/>
    <cellStyle name="Normal 62 5 2" xfId="30073" xr:uid="{2357EE73-E15A-4A56-A1BF-EBF79153B99F}"/>
    <cellStyle name="Normal 62 6" xfId="30074" xr:uid="{A4447F70-9ADA-4130-A097-D151075B7734}"/>
    <cellStyle name="Normal 62 7" xfId="39178" xr:uid="{B811953E-1670-41CE-A501-F2313674931A}"/>
    <cellStyle name="Normal 63" xfId="30075" xr:uid="{6EFF683D-F403-4F8A-81C6-568E9C266D91}"/>
    <cellStyle name="Normal 63 2" xfId="30076" xr:uid="{6C04EDB8-DEC5-49EB-BD8F-9A8EFDA20BFA}"/>
    <cellStyle name="Normal 63 2 2" xfId="30077" xr:uid="{BB4D4DE9-84C7-4D03-AA8F-0E3843A7CD0B}"/>
    <cellStyle name="Normal 63 2 2 2" xfId="30078" xr:uid="{9F43FC3F-21CC-4EF5-B677-7FE3C5CF091C}"/>
    <cellStyle name="Normal 63 2 2 2 2" xfId="30079" xr:uid="{10F25B67-2199-4165-A82E-27B9CB083DB9}"/>
    <cellStyle name="Normal 63 2 2 3" xfId="30080" xr:uid="{DA71BE2F-CE81-4DBA-9AE3-9EE774635FA8}"/>
    <cellStyle name="Normal 63 2 3" xfId="30081" xr:uid="{FCFE5368-01F6-4D9D-ADD8-AC4405B479FC}"/>
    <cellStyle name="Normal 63 2 3 2" xfId="30082" xr:uid="{A6401C3E-27C9-435C-ADE0-1659ED9973AB}"/>
    <cellStyle name="Normal 63 2 3 2 2" xfId="30083" xr:uid="{7FE03753-15B4-422C-BF68-AABB827D51AF}"/>
    <cellStyle name="Normal 63 2 3 3" xfId="30084" xr:uid="{A29CEC63-8FDB-40AB-BFFA-331F64656CBF}"/>
    <cellStyle name="Normal 63 2 4" xfId="30085" xr:uid="{238D8F17-016E-4474-A09D-E28BA7F4B4BC}"/>
    <cellStyle name="Normal 63 2 4 2" xfId="30086" xr:uid="{A77E9BC7-96BB-492A-BE4B-F53103F9CA45}"/>
    <cellStyle name="Normal 63 2 5" xfId="30087" xr:uid="{0EA6D64F-49FF-4F52-861D-637E48C841C8}"/>
    <cellStyle name="Normal 63 3" xfId="30088" xr:uid="{F8763335-973C-4F21-A507-1B7B76D8F507}"/>
    <cellStyle name="Normal 63 3 2" xfId="30089" xr:uid="{B6FD02F8-0B6E-404C-9753-32324661DEBC}"/>
    <cellStyle name="Normal 63 3 2 2" xfId="30090" xr:uid="{ED820607-016E-44C4-BF59-0E08C2D39E86}"/>
    <cellStyle name="Normal 63 3 3" xfId="30091" xr:uid="{748028A2-9813-4024-835F-3C1271FF9520}"/>
    <cellStyle name="Normal 63 4" xfId="30092" xr:uid="{7B0B6743-8211-41F3-8AB8-A8E4EEEB108D}"/>
    <cellStyle name="Normal 63 4 2" xfId="30093" xr:uid="{75A88A9C-0E68-4514-9BA0-A94806DC4FFE}"/>
    <cellStyle name="Normal 63 4 2 2" xfId="30094" xr:uid="{6EADF381-4FB5-415F-9AC9-900D6DC7F737}"/>
    <cellStyle name="Normal 63 4 3" xfId="30095" xr:uid="{56DA8AD4-6ED6-4115-8EF7-F8F74A8B6180}"/>
    <cellStyle name="Normal 63 5" xfId="30096" xr:uid="{9FA33CB6-032D-49B5-B255-1E41116B51DF}"/>
    <cellStyle name="Normal 63 5 2" xfId="30097" xr:uid="{4977BC2A-F912-44F1-A703-0F0955346681}"/>
    <cellStyle name="Normal 63 6" xfId="30098" xr:uid="{018A6870-44AF-4AFD-8A4C-BAA3FCF76E58}"/>
    <cellStyle name="Normal 63 7" xfId="39179" xr:uid="{20026F32-4699-4354-959E-E3CC8A48262D}"/>
    <cellStyle name="Normal 64" xfId="30099" xr:uid="{68E5EC68-6062-40F2-80BB-FB53646A6136}"/>
    <cellStyle name="Normal 64 2" xfId="30100" xr:uid="{15CD2287-FE88-4DA5-86AD-2D9B7D5837EA}"/>
    <cellStyle name="Normal 64 2 2" xfId="30101" xr:uid="{239F6BDF-804F-45C6-9AE4-99D418FD6B0D}"/>
    <cellStyle name="Normal 64 2 2 2" xfId="30102" xr:uid="{B2B41A35-9E97-4DAD-9790-D3F6E5DF97FE}"/>
    <cellStyle name="Normal 64 2 2 2 2" xfId="30103" xr:uid="{0624181A-1940-4442-8956-358275665D37}"/>
    <cellStyle name="Normal 64 2 2 3" xfId="30104" xr:uid="{1C95842F-645B-4A09-B15E-A0DDA3674D53}"/>
    <cellStyle name="Normal 64 2 3" xfId="30105" xr:uid="{86007E15-C7FE-4C5E-A4BF-1C5B2350F16E}"/>
    <cellStyle name="Normal 64 2 3 2" xfId="30106" xr:uid="{4A58A606-A307-47DB-9DD7-7FDD54757FF7}"/>
    <cellStyle name="Normal 64 2 3 2 2" xfId="30107" xr:uid="{1D9D4375-575B-487C-AA1C-84C50FA8B37C}"/>
    <cellStyle name="Normal 64 2 3 3" xfId="30108" xr:uid="{0B05E7DA-1878-41D7-BD8A-7151D55DA594}"/>
    <cellStyle name="Normal 64 2 4" xfId="30109" xr:uid="{3D4B0426-DC51-4D7C-8B65-0242D558D111}"/>
    <cellStyle name="Normal 64 2 4 2" xfId="30110" xr:uid="{61D3EBBA-0520-4985-91D6-02976F1D1760}"/>
    <cellStyle name="Normal 64 2 5" xfId="30111" xr:uid="{091B53D9-3C2E-45ED-B8D9-F8815D76553F}"/>
    <cellStyle name="Normal 64 3" xfId="30112" xr:uid="{03C6F3EE-E1CA-4207-BFC4-CA82A35E2432}"/>
    <cellStyle name="Normal 64 3 2" xfId="30113" xr:uid="{2D86CC6E-6883-45BB-9934-859D8AF86CF6}"/>
    <cellStyle name="Normal 64 3 2 2" xfId="30114" xr:uid="{AFE0F052-AB8C-4447-BE4F-21831ADDCE1C}"/>
    <cellStyle name="Normal 64 3 3" xfId="30115" xr:uid="{2981B9D1-0D88-4E1D-BCB1-BBACF38B804B}"/>
    <cellStyle name="Normal 64 4" xfId="30116" xr:uid="{F49DA947-3EB9-49C2-BABE-E0E99F894B87}"/>
    <cellStyle name="Normal 64 4 2" xfId="30117" xr:uid="{42B351AE-D5B1-406C-86CB-FDF4EB438F36}"/>
    <cellStyle name="Normal 64 4 2 2" xfId="30118" xr:uid="{5BEA6C63-8996-41EF-821B-999C542ED61E}"/>
    <cellStyle name="Normal 64 4 3" xfId="30119" xr:uid="{E126B84B-DA76-49A6-A7DC-664B6BFFC444}"/>
    <cellStyle name="Normal 64 5" xfId="30120" xr:uid="{4A03AECC-4816-4C4E-B32E-E77E72741949}"/>
    <cellStyle name="Normal 64 5 2" xfId="30121" xr:uid="{377D171A-7404-4A40-87D6-93EDFC1ECB2E}"/>
    <cellStyle name="Normal 64 6" xfId="30122" xr:uid="{58DCAFC9-8266-426F-ADD2-4AD3883FAB02}"/>
    <cellStyle name="Normal 64 7" xfId="39180" xr:uid="{ABC2A109-2C0F-4BB1-BCD4-2B65F830F21C}"/>
    <cellStyle name="Normal 65" xfId="30123" xr:uid="{487BA453-01BB-4E57-BCF4-E9FE1D2E0EED}"/>
    <cellStyle name="Normal 65 2" xfId="30124" xr:uid="{A14DE17D-38EA-4F72-8A68-DF28FF22844A}"/>
    <cellStyle name="Normal 65 2 2" xfId="30125" xr:uid="{32053F82-F4EE-4286-BA8B-B46CADB3E75B}"/>
    <cellStyle name="Normal 65 2 2 2" xfId="30126" xr:uid="{51D6C035-FE82-4A6C-ABAC-0F1FE79058B2}"/>
    <cellStyle name="Normal 65 2 2 2 2" xfId="30127" xr:uid="{07518274-67AC-4840-BFAE-F68502351C30}"/>
    <cellStyle name="Normal 65 2 2 3" xfId="30128" xr:uid="{F0126833-F9A2-41BA-ACD4-B9C5B27729F3}"/>
    <cellStyle name="Normal 65 2 3" xfId="30129" xr:uid="{CF5D1B0A-621A-4649-B574-1229374CAD47}"/>
    <cellStyle name="Normal 65 2 3 2" xfId="30130" xr:uid="{4F95BF70-9BAB-4B31-9C57-4C89CE01F15B}"/>
    <cellStyle name="Normal 65 2 3 2 2" xfId="30131" xr:uid="{1D677EE6-3AA4-4AE0-9140-DE9EC2EC54F7}"/>
    <cellStyle name="Normal 65 2 3 3" xfId="30132" xr:uid="{51FC9B1B-DB95-4A5D-8216-0E7F113F67E8}"/>
    <cellStyle name="Normal 65 2 4" xfId="30133" xr:uid="{1552A6B5-622B-4AA0-B6DA-F01AB145F1DA}"/>
    <cellStyle name="Normal 65 2 4 2" xfId="30134" xr:uid="{67C6E63F-E802-408B-8E47-A69A12B72DB2}"/>
    <cellStyle name="Normal 65 2 5" xfId="30135" xr:uid="{30E480BE-05CD-416D-9F4C-6A726C0D79A1}"/>
    <cellStyle name="Normal 65 3" xfId="30136" xr:uid="{40912DE0-E009-4298-91F2-85904CD03AAE}"/>
    <cellStyle name="Normal 65 3 2" xfId="30137" xr:uid="{0F0501EF-6438-488A-8900-82B318991F5F}"/>
    <cellStyle name="Normal 65 3 2 2" xfId="30138" xr:uid="{EE63E949-637C-466A-A09B-FCEBE2E1BABB}"/>
    <cellStyle name="Normal 65 3 3" xfId="30139" xr:uid="{BDBDBB2A-B37A-44B3-8A61-C88F6D44CC19}"/>
    <cellStyle name="Normal 65 4" xfId="30140" xr:uid="{F27B210F-4162-484F-A0BF-09D3364C0E28}"/>
    <cellStyle name="Normal 65 4 2" xfId="30141" xr:uid="{87D9CA6A-0B7C-44EB-A7C8-D0FBB91376D6}"/>
    <cellStyle name="Normal 65 4 2 2" xfId="30142" xr:uid="{5A1D9FC0-F9FB-472D-B7C4-58F1DCFF63B7}"/>
    <cellStyle name="Normal 65 4 3" xfId="30143" xr:uid="{A2AE3DF7-E2B8-4EF2-8572-7B9272D30F46}"/>
    <cellStyle name="Normal 65 5" xfId="30144" xr:uid="{96995A81-7D0E-47CF-ACE7-95407578AC3A}"/>
    <cellStyle name="Normal 65 5 2" xfId="30145" xr:uid="{4D4FDC42-14F1-41FB-BEFC-67C88FE02CF1}"/>
    <cellStyle name="Normal 65 6" xfId="30146" xr:uid="{7B120B8A-74CD-403F-89DD-1AEFA959D03E}"/>
    <cellStyle name="Normal 65 7" xfId="39181" xr:uid="{E0CD312B-0233-4C95-879D-0787FE0760E6}"/>
    <cellStyle name="Normal 66" xfId="30147" xr:uid="{4C2D0D5A-01D2-4686-92BA-A2CE65FA60EC}"/>
    <cellStyle name="Normal 66 10" xfId="39182" xr:uid="{CE7F5055-82ED-42C5-AFBC-4C92F23D3C22}"/>
    <cellStyle name="Normal 66 2" xfId="30148" xr:uid="{60AD7E08-806F-4740-884C-AFFB8F09FBB9}"/>
    <cellStyle name="Normal 66 2 2" xfId="30149" xr:uid="{6894D480-CFBC-4E5A-9180-C71EE71DE41E}"/>
    <cellStyle name="Normal 66 2 2 2" xfId="30150" xr:uid="{9E9B8885-0E6C-4FCB-BB04-A12948DD9493}"/>
    <cellStyle name="Normal 66 2 2 2 2" xfId="30151" xr:uid="{03CF0F87-E126-4934-908A-FFB7FCB11618}"/>
    <cellStyle name="Normal 66 2 2 2 2 2" xfId="30152" xr:uid="{FF8FD3DA-D906-4498-95A5-4BD7A5F1898F}"/>
    <cellStyle name="Normal 66 2 2 2 3" xfId="30153" xr:uid="{182BE74D-A6B4-4821-92E2-8DB60EA98E50}"/>
    <cellStyle name="Normal 66 2 2 3" xfId="30154" xr:uid="{4F480D99-18A3-4E08-9793-AF2D93DD45FA}"/>
    <cellStyle name="Normal 66 2 2 3 2" xfId="30155" xr:uid="{BCC307EB-2C57-48BF-B14F-6CCED113EBD8}"/>
    <cellStyle name="Normal 66 2 2 3 2 2" xfId="30156" xr:uid="{D48B4F81-5725-4261-9E7D-B861BB544761}"/>
    <cellStyle name="Normal 66 2 2 3 3" xfId="30157" xr:uid="{59793920-621B-41B5-88F2-C80FA4D967D1}"/>
    <cellStyle name="Normal 66 2 2 4" xfId="30158" xr:uid="{9392F91B-781E-4C25-9FB9-53AD5420FDDF}"/>
    <cellStyle name="Normal 66 2 2 4 2" xfId="30159" xr:uid="{55740F78-C1AE-4EF3-8767-837080C7CA8D}"/>
    <cellStyle name="Normal 66 2 2 5" xfId="30160" xr:uid="{FB2062C0-68A4-4397-A1CE-D3402E25A02F}"/>
    <cellStyle name="Normal 66 2 3" xfId="30161" xr:uid="{FFDEE456-4AFB-4C72-97CF-57CC2A3D8642}"/>
    <cellStyle name="Normal 66 2 3 2" xfId="30162" xr:uid="{86D6A333-26A9-4709-ADCC-A3B365FACB57}"/>
    <cellStyle name="Normal 66 2 3 2 2" xfId="30163" xr:uid="{AA00EB8A-F7A5-4481-8321-212F20B3A45E}"/>
    <cellStyle name="Normal 66 2 3 2 2 2" xfId="30164" xr:uid="{3C0AF4CE-A59E-4160-BBAA-2B0497B45961}"/>
    <cellStyle name="Normal 66 2 3 2 3" xfId="30165" xr:uid="{8E847B8F-E09D-44F6-8CA0-E7352C7FA041}"/>
    <cellStyle name="Normal 66 2 3 3" xfId="30166" xr:uid="{B7DF0ABE-4087-42C8-88DF-85C713B1E3B2}"/>
    <cellStyle name="Normal 66 2 3 3 2" xfId="30167" xr:uid="{1EC23774-EE3D-413F-9C4E-FB8C5AE6B27C}"/>
    <cellStyle name="Normal 66 2 3 3 2 2" xfId="30168" xr:uid="{B5791B8E-7DC1-4473-BC3F-69B26955CA79}"/>
    <cellStyle name="Normal 66 2 3 3 3" xfId="30169" xr:uid="{080F5BE3-CD8E-4D42-906E-3DA0FB3DF760}"/>
    <cellStyle name="Normal 66 2 3 4" xfId="30170" xr:uid="{0650827D-B42A-4356-8387-2145BF975B8F}"/>
    <cellStyle name="Normal 66 2 3 4 2" xfId="30171" xr:uid="{16AC7029-B8DA-4622-A2CA-C207D796B3E6}"/>
    <cellStyle name="Normal 66 2 3 5" xfId="30172" xr:uid="{4CCF2E8A-1BE9-4F78-8DF7-F169EE301678}"/>
    <cellStyle name="Normal 66 2 4" xfId="30173" xr:uid="{4010B770-6379-4F28-AC26-1F181C1339BF}"/>
    <cellStyle name="Normal 66 2 4 2" xfId="30174" xr:uid="{7552DC61-CFE4-4009-9C42-BA410D14DDFB}"/>
    <cellStyle name="Normal 66 2 4 2 2" xfId="30175" xr:uid="{708A38AC-5C70-41AE-82E4-798108A3F248}"/>
    <cellStyle name="Normal 66 2 4 3" xfId="30176" xr:uid="{11DF4CA3-D0FA-4973-9DB2-EDD4CAAC3262}"/>
    <cellStyle name="Normal 66 2 5" xfId="30177" xr:uid="{396C4F61-4B90-4188-9057-7ACF0411296C}"/>
    <cellStyle name="Normal 66 2 5 2" xfId="30178" xr:uid="{789E96EE-5836-41A5-988A-6BF44C3F292D}"/>
    <cellStyle name="Normal 66 2 5 2 2" xfId="30179" xr:uid="{A8C927EE-D593-4377-A46B-53AC207322E2}"/>
    <cellStyle name="Normal 66 2 5 3" xfId="30180" xr:uid="{DC7CC670-41E2-4C66-8075-09321DFA49D1}"/>
    <cellStyle name="Normal 66 2 6" xfId="30181" xr:uid="{EBC5A79D-3361-49B3-810D-EA8635C8A09F}"/>
    <cellStyle name="Normal 66 2 6 2" xfId="30182" xr:uid="{7488C53C-4B81-4744-94BB-DAFC68A8CD19}"/>
    <cellStyle name="Normal 66 2 7" xfId="30183" xr:uid="{398091A3-02E4-4C43-97D0-EA2D4CFFA692}"/>
    <cellStyle name="Normal 66 3" xfId="30184" xr:uid="{57A76EAB-9691-4902-88D4-E6FEA2852267}"/>
    <cellStyle name="Normal 66 3 2" xfId="30185" xr:uid="{249818AD-A831-4C92-82BE-6C1072E5BA68}"/>
    <cellStyle name="Normal 66 3 2 2" xfId="30186" xr:uid="{5B303C90-76CF-4195-AD07-B5CE90744CAB}"/>
    <cellStyle name="Normal 66 3 2 2 2" xfId="30187" xr:uid="{6349603C-B1E7-4BC9-8ADC-37211C4F253B}"/>
    <cellStyle name="Normal 66 3 2 3" xfId="30188" xr:uid="{50A68E3F-2026-48F3-AC17-D3B839566885}"/>
    <cellStyle name="Normal 66 3 3" xfId="30189" xr:uid="{E5D2398E-5CF3-4867-8928-AE9B55753494}"/>
    <cellStyle name="Normal 66 3 3 2" xfId="30190" xr:uid="{5B726CF0-E13A-4B1A-82BA-F4F5A969815D}"/>
    <cellStyle name="Normal 66 3 3 2 2" xfId="30191" xr:uid="{A83D22BA-6837-4F11-A49E-9B177ADB696A}"/>
    <cellStyle name="Normal 66 3 3 3" xfId="30192" xr:uid="{D3A2A6A1-6B19-4762-B3CB-C1251090868E}"/>
    <cellStyle name="Normal 66 3 4" xfId="30193" xr:uid="{79DFF2BA-5876-490E-9B76-FC7281DFF939}"/>
    <cellStyle name="Normal 66 3 4 2" xfId="30194" xr:uid="{91BB445C-560D-4B13-89ED-E11DF890B8EA}"/>
    <cellStyle name="Normal 66 3 5" xfId="30195" xr:uid="{65C8F2EC-2C15-4977-86D8-1BF12ECFD751}"/>
    <cellStyle name="Normal 66 4" xfId="30196" xr:uid="{B8513256-6979-49EB-8EE3-3F9A17AF30E3}"/>
    <cellStyle name="Normal 66 4 2" xfId="30197" xr:uid="{31E3F64E-E469-4BA8-9C0B-D737E09CC2CF}"/>
    <cellStyle name="Normal 66 4 2 2" xfId="30198" xr:uid="{3024F29D-D68E-446F-A86D-4337794D7944}"/>
    <cellStyle name="Normal 66 4 2 2 2" xfId="30199" xr:uid="{6CBFECE3-7789-44C7-B055-585597B8F21D}"/>
    <cellStyle name="Normal 66 4 2 3" xfId="30200" xr:uid="{1667A3D3-475F-406E-9F9C-BF466D84134F}"/>
    <cellStyle name="Normal 66 4 3" xfId="30201" xr:uid="{3A2603C2-C055-46AA-AE1C-BAA6B4F34FA5}"/>
    <cellStyle name="Normal 66 4 3 2" xfId="30202" xr:uid="{ABDAD4FF-FF94-4862-A224-DDCBD1CE231B}"/>
    <cellStyle name="Normal 66 4 3 2 2" xfId="30203" xr:uid="{5247E5A0-507E-422F-B6C7-9670B5BB9805}"/>
    <cellStyle name="Normal 66 4 3 3" xfId="30204" xr:uid="{1E9E7F07-4C98-42D1-A7C3-F48D905E19C7}"/>
    <cellStyle name="Normal 66 4 4" xfId="30205" xr:uid="{9A1D73FE-77A0-4A52-AE75-25E9A98E84F6}"/>
    <cellStyle name="Normal 66 4 4 2" xfId="30206" xr:uid="{6885A112-BBE2-49CF-8541-EA0C750FA198}"/>
    <cellStyle name="Normal 66 4 5" xfId="30207" xr:uid="{2D00FEBB-9FEA-4529-BAE3-7AF35C23A482}"/>
    <cellStyle name="Normal 66 5" xfId="30208" xr:uid="{00319C59-92C5-4B83-BF2C-5A442E5FBBD9}"/>
    <cellStyle name="Normal 66 5 2" xfId="30209" xr:uid="{189B99D0-21E4-4D8B-AE38-DDF601EA707A}"/>
    <cellStyle name="Normal 66 5 2 2" xfId="30210" xr:uid="{FA59FFBA-F5B3-423A-9E84-23696901CA85}"/>
    <cellStyle name="Normal 66 5 2 2 2" xfId="30211" xr:uid="{0E2630FC-4479-430F-9B77-DDBA81782FBF}"/>
    <cellStyle name="Normal 66 5 2 3" xfId="30212" xr:uid="{288687F2-E404-4F25-A209-9DF6C8BAC6AA}"/>
    <cellStyle name="Normal 66 5 3" xfId="30213" xr:uid="{A2171868-EFB5-489E-90A5-847EBACA6697}"/>
    <cellStyle name="Normal 66 5 3 2" xfId="30214" xr:uid="{BD1980CF-3974-45AF-B441-84779B65DBDA}"/>
    <cellStyle name="Normal 66 5 3 2 2" xfId="30215" xr:uid="{8F0C7CD8-A651-4F8F-B2F3-ADA0D8DC4590}"/>
    <cellStyle name="Normal 66 5 3 3" xfId="30216" xr:uid="{DEF33868-7D01-4A15-B606-DD1D01F89F3F}"/>
    <cellStyle name="Normal 66 5 4" xfId="30217" xr:uid="{D7D293FF-BF5B-48F5-A511-494B440954E5}"/>
    <cellStyle name="Normal 66 5 4 2" xfId="30218" xr:uid="{B1874CA5-C86A-4260-818E-2A7B09E0A948}"/>
    <cellStyle name="Normal 66 5 5" xfId="30219" xr:uid="{321C0884-4FB4-4696-9C1B-6A3C4B5C19CD}"/>
    <cellStyle name="Normal 66 6" xfId="30220" xr:uid="{EB4672B1-14C0-4919-88B9-709AB54F513C}"/>
    <cellStyle name="Normal 66 6 2" xfId="30221" xr:uid="{57A7EC9C-05B7-47BB-9926-10C2FCFEA492}"/>
    <cellStyle name="Normal 66 6 2 2" xfId="30222" xr:uid="{CFB6327C-BC83-4FEF-A5D9-DD20135C128D}"/>
    <cellStyle name="Normal 66 6 3" xfId="30223" xr:uid="{596F5A0B-7A49-473C-8106-73CEFF9822C9}"/>
    <cellStyle name="Normal 66 7" xfId="30224" xr:uid="{8E9B26D7-AD21-422F-8B6C-99BC0BC67C6B}"/>
    <cellStyle name="Normal 66 7 2" xfId="30225" xr:uid="{09F7611D-DC68-4BDE-B9FC-FCDA21331763}"/>
    <cellStyle name="Normal 66 7 2 2" xfId="30226" xr:uid="{6ADEB13F-4FB6-4E70-A59E-07FCE7A767AD}"/>
    <cellStyle name="Normal 66 7 3" xfId="30227" xr:uid="{35F3E32C-0ABC-4E12-9AE2-80DA04B6E353}"/>
    <cellStyle name="Normal 66 8" xfId="30228" xr:uid="{B5FA9FF9-DAEB-4DE8-BF9C-FB13C34D0B7C}"/>
    <cellStyle name="Normal 66 8 2" xfId="30229" xr:uid="{D3024C09-0217-4D67-8898-9E85B9D64A1F}"/>
    <cellStyle name="Normal 66 9" xfId="30230" xr:uid="{4D48116E-04FC-4699-8B11-D4B7DA9CF030}"/>
    <cellStyle name="Normal 67" xfId="30231" xr:uid="{09F68226-3E5B-49C2-8B3F-A3D9991DE756}"/>
    <cellStyle name="Normal 67 2" xfId="30232" xr:uid="{5657116F-7551-4005-9E6C-654728185815}"/>
    <cellStyle name="Normal 67 2 2" xfId="30233" xr:uid="{68454A43-B986-4480-9EDE-869DEA53ED4E}"/>
    <cellStyle name="Normal 67 2 2 2" xfId="30234" xr:uid="{5BA1F6C9-8A78-456A-8C2B-C96348F2B83C}"/>
    <cellStyle name="Normal 67 2 3" xfId="30235" xr:uid="{489A78D4-3203-49FB-B326-68196F025C93}"/>
    <cellStyle name="Normal 67 3" xfId="30236" xr:uid="{CCE65694-10E5-4763-B7DC-7CEB961DECF8}"/>
    <cellStyle name="Normal 67 3 2" xfId="30237" xr:uid="{664BC8A4-6B61-4A02-9C8E-63CC051F6F7B}"/>
    <cellStyle name="Normal 67 3 2 2" xfId="30238" xr:uid="{2861BCB4-D67A-4CE2-9B46-225B307A365A}"/>
    <cellStyle name="Normal 67 3 3" xfId="30239" xr:uid="{50E8B8FD-89AE-4BC4-B7C4-A3D02A1DC2ED}"/>
    <cellStyle name="Normal 67 4" xfId="30240" xr:uid="{CB9411A2-5FE1-4A79-B2A0-76C79B7D36AB}"/>
    <cellStyle name="Normal 67 4 2" xfId="30241" xr:uid="{DC951AEF-0314-49F8-B6FA-746E9F017F8D}"/>
    <cellStyle name="Normal 67 5" xfId="30242" xr:uid="{3B7B8848-307B-496A-97C2-D32349573074}"/>
    <cellStyle name="Normal 67 6" xfId="39183" xr:uid="{7BDB68F7-76BC-42C1-B223-F7E39961D154}"/>
    <cellStyle name="Normal 68" xfId="30243" xr:uid="{849215DF-1CAE-47F3-8F71-982B5A2EBFB8}"/>
    <cellStyle name="Normal 68 2" xfId="30244" xr:uid="{461AD8D6-1B95-47BD-965B-F0C33C7EDE04}"/>
    <cellStyle name="Normal 68 3" xfId="39184" xr:uid="{55C5B96D-5C93-4D7C-9D0A-E903003E04BB}"/>
    <cellStyle name="Normal 69" xfId="30245" xr:uid="{95699227-AA3A-4EA8-B3C0-5D6B2E63A44A}"/>
    <cellStyle name="Normal 69 2" xfId="30246" xr:uid="{FA3CCBA0-7B13-4DA2-A529-ADBA19975560}"/>
    <cellStyle name="Normal 69 2 2" xfId="30247" xr:uid="{1371357A-7C6C-469C-AEE3-9CB9CF88C2DA}"/>
    <cellStyle name="Normal 69 2 2 2" xfId="30248" xr:uid="{D34B9BD0-DA5C-495D-A6DC-43622A23416D}"/>
    <cellStyle name="Normal 69 2 2 2 2" xfId="30249" xr:uid="{9C159611-E139-4BF5-813C-E37EA39629A0}"/>
    <cellStyle name="Normal 69 2 2 3" xfId="30250" xr:uid="{DAE9D44E-B5D2-4155-AED6-28917E2193BF}"/>
    <cellStyle name="Normal 69 2 3" xfId="30251" xr:uid="{20B67DA7-5A89-40ED-8ACB-C69B26EDFAED}"/>
    <cellStyle name="Normal 69 2 3 2" xfId="30252" xr:uid="{4C1B6BEE-67B2-4090-B7C3-08B85ABB07A4}"/>
    <cellStyle name="Normal 69 2 3 2 2" xfId="30253" xr:uid="{C7A05F19-F6CA-40C1-8D2F-76B5CDBE4C73}"/>
    <cellStyle name="Normal 69 2 3 3" xfId="30254" xr:uid="{0A92F77D-E827-49F6-AD88-6027771EAC9C}"/>
    <cellStyle name="Normal 69 2 4" xfId="30255" xr:uid="{EE33798D-6375-4B97-ADF0-E6CFF8E05085}"/>
    <cellStyle name="Normal 69 2 4 2" xfId="30256" xr:uid="{B3F188EA-9D90-47E0-A470-912BC3591C37}"/>
    <cellStyle name="Normal 69 2 5" xfId="30257" xr:uid="{3A81A0EA-47CC-4276-93F8-A1E949857B4C}"/>
    <cellStyle name="Normal 69 3" xfId="30258" xr:uid="{11813BEB-0575-4BC0-8BC9-AD37C3B83402}"/>
    <cellStyle name="Normal 69 3 2" xfId="30259" xr:uid="{4C5F6B58-C223-47C8-AFF2-BCA8491C5A7D}"/>
    <cellStyle name="Normal 69 3 2 2" xfId="30260" xr:uid="{DCB6E00A-286C-4F6A-BE7E-86FBE42D036B}"/>
    <cellStyle name="Normal 69 3 2 2 2" xfId="30261" xr:uid="{976203FD-78F5-4A57-956A-17AC03F554D4}"/>
    <cellStyle name="Normal 69 3 2 3" xfId="30262" xr:uid="{AB1C5B8E-E027-421D-B117-BF1FC0F477AB}"/>
    <cellStyle name="Normal 69 3 3" xfId="30263" xr:uid="{6158A7A8-AC0B-4ED0-AC4D-79715621611C}"/>
    <cellStyle name="Normal 69 3 3 2" xfId="30264" xr:uid="{01B5A9E1-3AA6-40B6-9241-39243D14A544}"/>
    <cellStyle name="Normal 69 3 3 2 2" xfId="30265" xr:uid="{A05B83D3-C9AF-4C86-9BF3-C79B55039201}"/>
    <cellStyle name="Normal 69 3 3 3" xfId="30266" xr:uid="{8AFF1886-9E08-400D-9D8A-65222B5204CA}"/>
    <cellStyle name="Normal 69 3 4" xfId="30267" xr:uid="{1F42A839-70CB-4B49-AB43-FA7676FBAB34}"/>
    <cellStyle name="Normal 69 3 4 2" xfId="30268" xr:uid="{07392F4F-78C9-4991-990F-181C83199CF1}"/>
    <cellStyle name="Normal 69 3 5" xfId="30269" xr:uid="{6CDD5DC6-CA8B-4677-AD6B-F141C071FF79}"/>
    <cellStyle name="Normal 69 4" xfId="30270" xr:uid="{5EC5468D-5775-43FA-AE4F-105CB64429A9}"/>
    <cellStyle name="Normal 69 4 2" xfId="30271" xr:uid="{B0183C7E-F1FF-46A2-AD0E-C8C87833805A}"/>
    <cellStyle name="Normal 69 4 2 2" xfId="30272" xr:uid="{5C2D5DAE-5E5D-405E-B4C0-63F3F6F255B6}"/>
    <cellStyle name="Normal 69 4 2 2 2" xfId="30273" xr:uid="{BB5AF62A-BE5C-46DC-8D81-D948286CC339}"/>
    <cellStyle name="Normal 69 4 2 3" xfId="30274" xr:uid="{65F566CF-EC49-48BE-BF97-1F759BFEBCC5}"/>
    <cellStyle name="Normal 69 4 3" xfId="30275" xr:uid="{D5243DCE-AA9C-4446-9B07-51916AE4F029}"/>
    <cellStyle name="Normal 69 4 3 2" xfId="30276" xr:uid="{C0CEEDD6-3477-40F1-8527-64439298F9B9}"/>
    <cellStyle name="Normal 69 4 3 2 2" xfId="30277" xr:uid="{59809254-443C-402A-BFCB-848C0073122C}"/>
    <cellStyle name="Normal 69 4 3 3" xfId="30278" xr:uid="{5CEB357C-FB45-44FA-9A15-ED494467A059}"/>
    <cellStyle name="Normal 69 4 4" xfId="30279" xr:uid="{A2EFE442-FDC8-4DA6-ACA6-0B63485DA4AC}"/>
    <cellStyle name="Normal 69 4 4 2" xfId="30280" xr:uid="{199BDC7C-CB35-41C7-84D2-CD67AE39383F}"/>
    <cellStyle name="Normal 69 4 5" xfId="30281" xr:uid="{65B1C597-DBBD-4F66-82AE-A7A7350F3CBE}"/>
    <cellStyle name="Normal 69 5" xfId="30282" xr:uid="{DA5AAD2C-F0D0-4FC3-96AE-EF55BBA611FB}"/>
    <cellStyle name="Normal 69 5 2" xfId="30283" xr:uid="{1247091E-6338-40B7-A337-5D4BE132C37E}"/>
    <cellStyle name="Normal 69 5 2 2" xfId="30284" xr:uid="{10D08FF1-C192-4FE0-81AC-E1AF8BD73D48}"/>
    <cellStyle name="Normal 69 5 3" xfId="30285" xr:uid="{9C1FC1F6-60FC-4197-B25A-C01DA9F1980C}"/>
    <cellStyle name="Normal 69 6" xfId="30286" xr:uid="{94F939BB-393C-4284-A165-F4700273DA9F}"/>
    <cellStyle name="Normal 69 6 2" xfId="30287" xr:uid="{345B8937-4112-4626-8D0F-C239BB9E8AF4}"/>
    <cellStyle name="Normal 69 6 2 2" xfId="30288" xr:uid="{DAE8C686-8CA0-4260-AEB8-8A5D07674EFD}"/>
    <cellStyle name="Normal 69 6 3" xfId="30289" xr:uid="{077BF8A5-F30E-4392-8DCE-6B43CE3DB70C}"/>
    <cellStyle name="Normal 69 7" xfId="30290" xr:uid="{AE36694C-CA1B-4294-A089-2642A6069F9B}"/>
    <cellStyle name="Normal 69 7 2" xfId="30291" xr:uid="{D58713BB-2B9E-4815-92F6-E508A3AAC187}"/>
    <cellStyle name="Normal 69 8" xfId="30292" xr:uid="{56A145EA-31BA-4F67-A610-33313A91126B}"/>
    <cellStyle name="Normal 69 9" xfId="39185" xr:uid="{741F4840-A8F0-4BF4-9F95-9FF0915BB417}"/>
    <cellStyle name="Normal 7" xfId="85" xr:uid="{D2F3A0FF-24F8-43A2-8118-5F0A3AA4280D}"/>
    <cellStyle name="Normal 7 2" xfId="30294" xr:uid="{3225B094-A17A-453F-91B9-576DC58AA944}"/>
    <cellStyle name="Normal 7 2 2" xfId="30295" xr:uid="{378EF619-9A26-4316-9211-DE74F04D91B2}"/>
    <cellStyle name="Normal 7 2 2 2" xfId="30296" xr:uid="{521C7A1C-382E-415F-AAAD-3870ED02AFBD}"/>
    <cellStyle name="Normal 7 2 3" xfId="30297" xr:uid="{E6FBFE89-FF64-4DF9-A037-B547129E6AFC}"/>
    <cellStyle name="Normal 7 2 3 2" xfId="39186" xr:uid="{25B60596-1D46-4ECF-8BFC-BDEA7451D7D4}"/>
    <cellStyle name="Normal 7 2 4" xfId="39187" xr:uid="{A8328B9C-A626-4D41-9C96-236ABAA7DF3F}"/>
    <cellStyle name="Normal 7 2 5" xfId="39188" xr:uid="{02BF4B34-77B9-4C05-B01C-CF8A7B366D09}"/>
    <cellStyle name="Normal 7 3" xfId="30298" xr:uid="{47E55D59-7000-4C76-BF81-84D8E262018B}"/>
    <cellStyle name="Normal 7 3 2" xfId="39189" xr:uid="{6C4CC87E-3368-46A9-A764-EB60420E480A}"/>
    <cellStyle name="Normal 7 3 3" xfId="39190" xr:uid="{2F211EB1-07B6-49AF-97DB-80936875830D}"/>
    <cellStyle name="Normal 7 4" xfId="30299" xr:uid="{1148D608-AFE7-4F60-8C69-7EACFF325F48}"/>
    <cellStyle name="Normal 7 4 2" xfId="39191" xr:uid="{9137202B-13F7-4653-9601-5217820B2A56}"/>
    <cellStyle name="Normal 7 5" xfId="39192" xr:uid="{5D49C24F-AE54-4B6F-92B8-4CCC28818F47}"/>
    <cellStyle name="Normal 7 6" xfId="39193" xr:uid="{E5CA51D7-0289-4526-9FF6-029A3887B7AF}"/>
    <cellStyle name="Normal 7 7" xfId="30293" xr:uid="{BBB1B5BE-7E9A-427E-870E-BC504FF81D24}"/>
    <cellStyle name="Normal 7_Jun 11 details" xfId="30300" xr:uid="{BDB1BA04-E103-4731-BE0B-7BBB6F24473E}"/>
    <cellStyle name="Normal 70" xfId="30301" xr:uid="{728E50E7-4663-4F6E-9AC2-D960DD3BB9ED}"/>
    <cellStyle name="Normal 70 2" xfId="30302" xr:uid="{3C734074-AD57-4DC3-9D4D-4F6AF884D831}"/>
    <cellStyle name="Normal 70 3" xfId="39194" xr:uid="{B29991DF-1878-4839-A729-DEBBE08C81DE}"/>
    <cellStyle name="Normal 71" xfId="30303" xr:uid="{AD6479F2-F52C-4539-A86A-BDF4988E6B62}"/>
    <cellStyle name="Normal 71 2" xfId="30304" xr:uid="{72F2F261-C079-4543-BBC0-2C07C0B056BD}"/>
    <cellStyle name="Normal 71 2 2" xfId="30305" xr:uid="{7ADFB9E8-947E-48FD-B005-BC61A23DFC93}"/>
    <cellStyle name="Normal 71 2 2 2" xfId="30306" xr:uid="{042FAF66-F58E-4110-8C1C-77C436A85CDD}"/>
    <cellStyle name="Normal 71 2 3" xfId="30307" xr:uid="{79EA1589-3122-4A64-802D-3A864E8FE3C7}"/>
    <cellStyle name="Normal 71 2 4" xfId="39195" xr:uid="{72453632-C67C-4189-BA79-E9BB55A88C81}"/>
    <cellStyle name="Normal 71 3" xfId="30308" xr:uid="{869122BB-863B-433E-A369-ECF919018BC2}"/>
    <cellStyle name="Normal 71 3 2" xfId="30309" xr:uid="{9D7F2B7A-D051-4A2B-A69B-2258D625E18B}"/>
    <cellStyle name="Normal 71 3 2 2" xfId="30310" xr:uid="{4A429D95-010A-4B46-BB54-7A6366E42346}"/>
    <cellStyle name="Normal 71 3 3" xfId="30311" xr:uid="{14D2846C-37C2-49EB-BC25-77A8AB1A3AAB}"/>
    <cellStyle name="Normal 71 3 4" xfId="39196" xr:uid="{5D7B8886-36BF-42A1-AE56-B5140FE644A2}"/>
    <cellStyle name="Normal 71 4" xfId="30312" xr:uid="{5D44D27F-5A7F-42D1-8055-BC53EDC6A732}"/>
    <cellStyle name="Normal 71 4 2" xfId="30313" xr:uid="{F2EAA60B-F178-4050-8154-79BE28FB831F}"/>
    <cellStyle name="Normal 71 5" xfId="30314" xr:uid="{299772B9-EC69-4B15-B9F0-55B497A9C651}"/>
    <cellStyle name="Normal 71 6" xfId="39197" xr:uid="{3E6AB15A-516C-47D6-B217-786D7CDE61A2}"/>
    <cellStyle name="Normal 72" xfId="30315" xr:uid="{E3E21D27-6951-496A-8200-18346DA8D5B8}"/>
    <cellStyle name="Normal 72 2" xfId="30316" xr:uid="{D6731550-B0A2-43A0-97EE-459ECA66535D}"/>
    <cellStyle name="Normal 72 2 2" xfId="30317" xr:uid="{39A4F0C4-C45E-4799-ABD8-555AB3F35D39}"/>
    <cellStyle name="Normal 72 2 2 2" xfId="30318" xr:uid="{34DB2658-ECDB-4B56-8F10-53AF0AF0627F}"/>
    <cellStyle name="Normal 72 2 3" xfId="30319" xr:uid="{F2CE3DAE-2A7B-43B0-A41A-6031A2AD8B3F}"/>
    <cellStyle name="Normal 72 3" xfId="30320" xr:uid="{1EDC35C1-2C8D-4E28-B8B4-83ABA38B5434}"/>
    <cellStyle name="Normal 72 3 2" xfId="30321" xr:uid="{A057D6CE-7C83-400A-BC9E-2CD0F994A53A}"/>
    <cellStyle name="Normal 72 3 2 2" xfId="30322" xr:uid="{FD098D49-0730-42C0-9ECD-594840082B07}"/>
    <cellStyle name="Normal 72 3 3" xfId="30323" xr:uid="{CD2B2225-0712-42C6-8EB2-266BDABD8D15}"/>
    <cellStyle name="Normal 72 4" xfId="30324" xr:uid="{427DFACE-F4CE-45BD-B1A5-0D84D4424A7E}"/>
    <cellStyle name="Normal 72 4 2" xfId="30325" xr:uid="{DDD05358-B777-40D9-B3BF-954169D49780}"/>
    <cellStyle name="Normal 72 5" xfId="30326" xr:uid="{19E9999C-54B0-462A-A2BE-D8CE659D3EC8}"/>
    <cellStyle name="Normal 72 6" xfId="39198" xr:uid="{B8B75C75-5B21-4F56-976E-41513630F116}"/>
    <cellStyle name="Normal 73" xfId="30327" xr:uid="{8C0836C9-DA0D-4574-B10B-4F94B144810F}"/>
    <cellStyle name="Normal 73 2" xfId="30328" xr:uid="{858F80E8-648D-488C-871F-179E7356F116}"/>
    <cellStyle name="Normal 73 2 2" xfId="30329" xr:uid="{DD114E97-EF65-4AE9-8108-C9F21595F0BB}"/>
    <cellStyle name="Normal 73 2 2 2" xfId="30330" xr:uid="{E6CECFDA-D507-44CA-97C3-4C7A0082FE8A}"/>
    <cellStyle name="Normal 73 2 3" xfId="30331" xr:uid="{B41E9CA3-985E-4BBC-8754-6F956F8FF7A6}"/>
    <cellStyle name="Normal 73 3" xfId="30332" xr:uid="{81A199CB-CC29-4191-ACA1-7AC9291318D8}"/>
    <cellStyle name="Normal 73 3 2" xfId="30333" xr:uid="{DEB08804-2E18-4DB3-AB73-856ABA62C32E}"/>
    <cellStyle name="Normal 73 3 2 2" xfId="30334" xr:uid="{EF4D35EC-BB18-4D29-9574-8E722D539FFD}"/>
    <cellStyle name="Normal 73 3 3" xfId="30335" xr:uid="{BC97B0CA-1145-4A89-8260-6917894D00A7}"/>
    <cellStyle name="Normal 73 4" xfId="30336" xr:uid="{D99507A2-AF08-4F1E-B92E-C950EBAE7494}"/>
    <cellStyle name="Normal 73 4 2" xfId="30337" xr:uid="{F737E66B-B2EE-445C-8824-22829A2DA5FE}"/>
    <cellStyle name="Normal 73 5" xfId="30338" xr:uid="{6A14A7EC-BB19-4B7B-85DF-AC0AB28FC36E}"/>
    <cellStyle name="Normal 73 6" xfId="39199" xr:uid="{8B0BC39E-393A-4982-A89E-6033D939302C}"/>
    <cellStyle name="Normal 74" xfId="30339" xr:uid="{BD149647-A76E-4DD5-8B45-49EBA5124921}"/>
    <cellStyle name="Normal 74 2" xfId="30340" xr:uid="{4A37E59C-5DD7-4617-A2CA-235E73F4DE7F}"/>
    <cellStyle name="Normal 74 2 2" xfId="30341" xr:uid="{03D1B5F7-0B8E-43B8-8BB6-D2B0D7382449}"/>
    <cellStyle name="Normal 74 2 2 2" xfId="30342" xr:uid="{78CE09A0-B2A7-465C-A83D-54F0D3DABD28}"/>
    <cellStyle name="Normal 74 2 2 2 2" xfId="30343" xr:uid="{04D0E18D-CA4D-469D-9F97-4375700A609A}"/>
    <cellStyle name="Normal 74 2 2 3" xfId="30344" xr:uid="{23512E7C-4BC1-4FA4-9189-12A1471F61DB}"/>
    <cellStyle name="Normal 74 2 3" xfId="30345" xr:uid="{F7C8906D-ABB3-44F6-9C22-B38B60160132}"/>
    <cellStyle name="Normal 74 2 3 2" xfId="30346" xr:uid="{242D920A-6956-4C65-B522-96F2F90414C7}"/>
    <cellStyle name="Normal 74 2 3 2 2" xfId="30347" xr:uid="{6BF46C2E-B08D-4421-B9C8-0E8059925229}"/>
    <cellStyle name="Normal 74 2 3 3" xfId="30348" xr:uid="{04E8D1FD-FE03-4070-B8EA-22F3238C11FD}"/>
    <cellStyle name="Normal 74 2 4" xfId="30349" xr:uid="{6ECBA0AB-1488-4D52-9E23-A87B6F16A77E}"/>
    <cellStyle name="Normal 74 2 4 2" xfId="30350" xr:uid="{A348C6E9-AEFE-4F0D-B9F1-4A52ECE7E7D1}"/>
    <cellStyle name="Normal 74 2 5" xfId="30351" xr:uid="{8B766178-9195-4F7C-8E9E-E3B856B21AC6}"/>
    <cellStyle name="Normal 74 3" xfId="30352" xr:uid="{654F744E-0F1E-40DD-A0BE-4782451787B6}"/>
    <cellStyle name="Normal 74 3 2" xfId="30353" xr:uid="{F2A6AFB4-C7CB-4E2B-8FF1-8E14659FC7FE}"/>
    <cellStyle name="Normal 74 3 2 2" xfId="30354" xr:uid="{AF8EB399-C28E-4AE6-A96C-7F76C61886B6}"/>
    <cellStyle name="Normal 74 3 2 2 2" xfId="30355" xr:uid="{4B656274-F433-4193-8CAB-C25858C943E0}"/>
    <cellStyle name="Normal 74 3 2 3" xfId="30356" xr:uid="{CA2DF845-39FD-40B2-842E-C30CF04255C9}"/>
    <cellStyle name="Normal 74 3 3" xfId="30357" xr:uid="{1EF8809C-BD76-40B4-86CD-E04030480299}"/>
    <cellStyle name="Normal 74 3 3 2" xfId="30358" xr:uid="{190A75A9-6F27-42E8-961F-3816D252D636}"/>
    <cellStyle name="Normal 74 3 3 2 2" xfId="30359" xr:uid="{FCA64899-9F0F-41D2-9284-1EF8DD410651}"/>
    <cellStyle name="Normal 74 3 3 3" xfId="30360" xr:uid="{90B62A00-6D97-4CF8-8F33-75BBBB8A7325}"/>
    <cellStyle name="Normal 74 3 4" xfId="30361" xr:uid="{F17F9E85-F06A-44A1-AD95-AD66223F4AD6}"/>
    <cellStyle name="Normal 74 3 4 2" xfId="30362" xr:uid="{F374A63D-46D8-4A73-BB06-4DBB4DC255ED}"/>
    <cellStyle name="Normal 74 3 5" xfId="30363" xr:uid="{6ABF7E80-4EB8-4F0C-BB3F-D2816EDE02E8}"/>
    <cellStyle name="Normal 74 4" xfId="30364" xr:uid="{08C96907-92FD-41CC-B7EE-85DB8B239A18}"/>
    <cellStyle name="Normal 74 4 2" xfId="30365" xr:uid="{92A9F1D4-4894-46B7-A832-BA8B58E7FDF5}"/>
    <cellStyle name="Normal 74 5" xfId="30366" xr:uid="{5BF266E9-550E-4C42-BFA8-E7D3A7160E71}"/>
    <cellStyle name="Normal 74 5 2" xfId="30367" xr:uid="{2EDECBC5-5611-4809-9842-403398EB2903}"/>
    <cellStyle name="Normal 74 6" xfId="30368" xr:uid="{F130BDDA-3841-47AE-A8DB-577854B0D8B6}"/>
    <cellStyle name="Normal 74 7" xfId="39200" xr:uid="{91558F3E-D4B6-42DE-9B7B-20142BFB8D73}"/>
    <cellStyle name="Normal 75" xfId="30369" xr:uid="{3E1D6985-4456-4B88-9257-278BA6EA931E}"/>
    <cellStyle name="Normal 75 2" xfId="30370" xr:uid="{57CEA96F-2F0B-4901-96A3-38B37D6532FF}"/>
    <cellStyle name="Normal 75 2 2" xfId="30371" xr:uid="{1B6C0EC5-D62C-4D81-9CBC-94F75E900997}"/>
    <cellStyle name="Normal 75 2 2 2" xfId="30372" xr:uid="{390EE3B3-11DB-418E-83CC-E79935D481C9}"/>
    <cellStyle name="Normal 75 2 3" xfId="30373" xr:uid="{27EC4F80-B31D-4D4B-809B-FDE166109F8D}"/>
    <cellStyle name="Normal 75 2 3 2" xfId="30374" xr:uid="{7BF419E5-068F-428A-BAD3-08622C88E993}"/>
    <cellStyle name="Normal 75 2 4" xfId="30375" xr:uid="{AC36B765-164E-4315-9691-ED1599EBB8AF}"/>
    <cellStyle name="Normal 75 3" xfId="30376" xr:uid="{D2A41E12-AE5A-4E19-9DE2-8DE912DB4C3E}"/>
    <cellStyle name="Normal 75 3 2" xfId="30377" xr:uid="{79649E3C-6399-4495-A96E-C94FF541743B}"/>
    <cellStyle name="Normal 75 3 2 2" xfId="30378" xr:uid="{E44E1E6E-0667-47A8-AB05-0BF465D757D9}"/>
    <cellStyle name="Normal 75 3 3" xfId="30379" xr:uid="{A42966D4-0F9B-416E-A281-6823094071E2}"/>
    <cellStyle name="Normal 75 4" xfId="30380" xr:uid="{9AA50ACB-F169-4EE0-818C-2AA853AF6A04}"/>
    <cellStyle name="Normal 75 4 2" xfId="30381" xr:uid="{42737712-766D-4D27-874A-C96A8420F6A3}"/>
    <cellStyle name="Normal 75 4 2 2" xfId="30382" xr:uid="{D034396F-D508-433F-A9E2-8DD794C7C73D}"/>
    <cellStyle name="Normal 75 4 3" xfId="30383" xr:uid="{2FF07F2A-E222-4A32-897F-529DA9981F01}"/>
    <cellStyle name="Normal 75 5" xfId="30384" xr:uid="{CDA9D4C9-2C5B-4FC4-9394-7DA14CB5F69B}"/>
    <cellStyle name="Normal 75 5 2" xfId="30385" xr:uid="{6D119EAE-D303-44CD-A986-84AF0C51FD83}"/>
    <cellStyle name="Normal 75 6" xfId="30386" xr:uid="{6EDA8A21-668B-467D-852F-96DF9182B4BF}"/>
    <cellStyle name="Normal 75 7" xfId="39201" xr:uid="{72A408CF-FAB3-441C-91EE-4A51A1A57234}"/>
    <cellStyle name="Normal 76" xfId="30387" xr:uid="{DE32BF63-7007-42EE-BD2B-9F5E3FA39102}"/>
    <cellStyle name="Normal 76 2" xfId="30388" xr:uid="{FB2D4BA9-8262-41A9-BF45-C009C7FCA63C}"/>
    <cellStyle name="Normal 76 2 2" xfId="30389" xr:uid="{1404D4F7-01EF-4188-BEA9-283DBAE4F334}"/>
    <cellStyle name="Normal 76 2 2 2" xfId="30390" xr:uid="{561C2B34-49CF-41F4-BCA8-910FEBFF9C01}"/>
    <cellStyle name="Normal 76 2 3" xfId="30391" xr:uid="{C197D912-D2B8-4E72-86FD-154AEC2D2F7C}"/>
    <cellStyle name="Normal 76 3" xfId="30392" xr:uid="{D8E52B58-CE16-4FDB-AFEE-72601F9EADA0}"/>
    <cellStyle name="Normal 76 3 2" xfId="30393" xr:uid="{DECE30FA-E154-4CCC-B98B-AB9D63C153B1}"/>
    <cellStyle name="Normal 76 3 2 2" xfId="30394" xr:uid="{E000457C-F4A0-436E-8E83-DFCC94B90737}"/>
    <cellStyle name="Normal 76 3 3" xfId="30395" xr:uid="{0C9D6952-DC82-41F3-BB4B-8CA5D1D61E00}"/>
    <cellStyle name="Normal 76 4" xfId="30396" xr:uid="{23FF3B16-21FA-49D0-A379-1322607DEC50}"/>
    <cellStyle name="Normal 76 4 2" xfId="30397" xr:uid="{A76D0E82-AF62-4D5E-8E4E-FDB1E91DF3A5}"/>
    <cellStyle name="Normal 76 4 2 2" xfId="30398" xr:uid="{34BEEA87-61B5-45BE-9DC8-F97145BDA0E6}"/>
    <cellStyle name="Normal 76 4 3" xfId="30399" xr:uid="{E9E7AEAE-81FD-4EC4-B54C-9895D6FCBB50}"/>
    <cellStyle name="Normal 76 5" xfId="30400" xr:uid="{7F84DE44-12E4-4611-9DA5-8971AFA8BC56}"/>
    <cellStyle name="Normal 76 5 2" xfId="30401" xr:uid="{DF2AFFBD-886E-44D0-971B-7F9DD6EA34AA}"/>
    <cellStyle name="Normal 76 6" xfId="30402" xr:uid="{8042794C-211A-4F6C-8207-353036EE998F}"/>
    <cellStyle name="Normal 76 7" xfId="39202" xr:uid="{780F23CC-2A05-429F-9A09-10EA58031D78}"/>
    <cellStyle name="Normal 77" xfId="30403" xr:uid="{8DACD080-7736-447B-BD4D-65566EA6E6A4}"/>
    <cellStyle name="Normal 77 2" xfId="30404" xr:uid="{6DB033AD-6B41-45CB-A499-4BBE4D37DD5A}"/>
    <cellStyle name="Normal 77 2 2" xfId="30405" xr:uid="{DD25B53D-4051-47B2-AFA5-FC308D06DF24}"/>
    <cellStyle name="Normal 77 2 2 2" xfId="30406" xr:uid="{404E2515-8A0A-4C89-91C2-7E04642BCC87}"/>
    <cellStyle name="Normal 77 2 3" xfId="30407" xr:uid="{D17F0C3E-9776-4378-B9CA-DF3B68295BA1}"/>
    <cellStyle name="Normal 77 3" xfId="30408" xr:uid="{3F4AFEBA-AF70-4DEB-B2D7-6BB5A9F138D4}"/>
    <cellStyle name="Normal 77 3 2" xfId="30409" xr:uid="{D6E3E99B-2972-421E-ACEE-3E6F3122EB17}"/>
    <cellStyle name="Normal 77 3 2 2" xfId="30410" xr:uid="{079E85D0-FDF9-498D-818D-A73C887F3018}"/>
    <cellStyle name="Normal 77 3 3" xfId="30411" xr:uid="{132E698A-E143-4541-9B03-AA3E8C38846B}"/>
    <cellStyle name="Normal 77 4" xfId="30412" xr:uid="{4C01004B-C078-4C4E-9C19-16ECAC262FE6}"/>
    <cellStyle name="Normal 77 4 2" xfId="30413" xr:uid="{D632E554-983A-4294-836F-F0CEAA13D958}"/>
    <cellStyle name="Normal 77 5" xfId="30414" xr:uid="{4A4FD15C-EC03-4F7D-83AF-0EAA5726884A}"/>
    <cellStyle name="Normal 77 6" xfId="39203" xr:uid="{5DB6D55D-8717-496B-802A-486D31512132}"/>
    <cellStyle name="Normal 78" xfId="30415" xr:uid="{71C2016E-EEC8-48C4-AB4C-81C40FEE5BDD}"/>
    <cellStyle name="Normal 78 2" xfId="30416" xr:uid="{CABA4BA2-E1D6-4DC3-9B01-4B0E3F5B1DDE}"/>
    <cellStyle name="Normal 78 2 2" xfId="30417" xr:uid="{5780DC5D-382A-43A9-9551-A81EC4CC5B95}"/>
    <cellStyle name="Normal 78 2 2 2" xfId="30418" xr:uid="{4AC76816-D157-4117-8741-9522E17B4BD2}"/>
    <cellStyle name="Normal 78 2 3" xfId="30419" xr:uid="{9B3648C1-4C9E-40AD-A76D-E8F2A983C848}"/>
    <cellStyle name="Normal 78 3" xfId="30420" xr:uid="{D457FCBE-5C50-4DC9-8044-A8070A270946}"/>
    <cellStyle name="Normal 78 3 2" xfId="30421" xr:uid="{FA167C14-0984-4A28-B2D6-49D180567257}"/>
    <cellStyle name="Normal 78 3 2 2" xfId="30422" xr:uid="{A4728058-9D7E-480E-853D-BE66DD5DEDF6}"/>
    <cellStyle name="Normal 78 3 3" xfId="30423" xr:uid="{792AF184-D85A-4621-BE6A-FF9BC0958003}"/>
    <cellStyle name="Normal 78 4" xfId="30424" xr:uid="{1A7A1EF7-187A-4650-A574-6537D6AC4B03}"/>
    <cellStyle name="Normal 78 4 2" xfId="30425" xr:uid="{BEF462EC-6973-40C8-BD41-137B661A962E}"/>
    <cellStyle name="Normal 78 5" xfId="30426" xr:uid="{15F1D0A3-F351-4B54-98C8-4AAFB048D234}"/>
    <cellStyle name="Normal 78 6" xfId="39204" xr:uid="{72378F0F-7BFD-40A2-9BBE-EA0D7218BE56}"/>
    <cellStyle name="Normal 79" xfId="30427" xr:uid="{BEDED174-2310-4BFB-9A07-3C2087B92D1D}"/>
    <cellStyle name="Normal 79 2" xfId="30428" xr:uid="{EC673AA1-83F7-4E40-B8B7-7C37D67B9201}"/>
    <cellStyle name="Normal 79 2 2" xfId="30429" xr:uid="{A831E15D-4F32-46F2-A9AB-C34C24DCAE30}"/>
    <cellStyle name="Normal 79 2 2 2" xfId="30430" xr:uid="{74BB0659-65E3-4EF5-A6EE-FD2A80B9CBFB}"/>
    <cellStyle name="Normal 79 2 3" xfId="30431" xr:uid="{278F2B3D-4462-469C-93B1-8D10E030EB2B}"/>
    <cellStyle name="Normal 79 3" xfId="30432" xr:uid="{DDF1CA8A-8F80-4F0C-B8A6-36FEA20DD941}"/>
    <cellStyle name="Normal 79 3 2" xfId="30433" xr:uid="{73423593-DDD2-434B-89C7-2F9A6AC52AE3}"/>
    <cellStyle name="Normal 79 3 2 2" xfId="30434" xr:uid="{172862D1-0A66-43D4-B1C0-E517013FB296}"/>
    <cellStyle name="Normal 79 3 3" xfId="30435" xr:uid="{0926F017-8C3D-4110-BACD-7FCF1F5717DF}"/>
    <cellStyle name="Normal 79 4" xfId="30436" xr:uid="{AAE5B628-5FC9-4582-A9D5-537ACDC40FDB}"/>
    <cellStyle name="Normal 79 4 2" xfId="30437" xr:uid="{BD55BF8B-48D1-4746-8FD8-818DDEC2F346}"/>
    <cellStyle name="Normal 79 5" xfId="30438" xr:uid="{63B077A4-02D0-4366-ACCA-5436E4F9FC83}"/>
    <cellStyle name="Normal 8" xfId="30439" xr:uid="{CBA4D965-8ACD-4581-B066-3718FD723054}"/>
    <cellStyle name="Normal 8 2" xfId="30440" xr:uid="{7ADDE341-C79A-491C-9963-1FDF0B29DBA8}"/>
    <cellStyle name="Normal 8 2 2" xfId="30441" xr:uid="{642D5B49-F8B8-4825-98F7-A042BF3D5D18}"/>
    <cellStyle name="Normal 8 2 2 2" xfId="39205" xr:uid="{7D8A4686-B295-46C7-A6B0-3191ACFB4E66}"/>
    <cellStyle name="Normal 8 2 3" xfId="30442" xr:uid="{D885C32F-6988-4D81-8CF9-058BC5FF514B}"/>
    <cellStyle name="Normal 8 2 4" xfId="39206" xr:uid="{18577D74-D448-41FF-A156-8A20CC505484}"/>
    <cellStyle name="Normal 8 3" xfId="172" xr:uid="{40D32C7C-E655-49D7-A790-90D525A332C9}"/>
    <cellStyle name="Normal 8 3 2" xfId="30443" xr:uid="{FDFC70CC-FE34-4795-BC95-1CBBD13BF398}"/>
    <cellStyle name="Normal 8 3 2 2" xfId="30444" xr:uid="{79D17F66-166E-4BDD-B2E5-F5E3A886A247}"/>
    <cellStyle name="Normal 8 3 2 2 2" xfId="30445" xr:uid="{8BC29C85-5BEA-479A-85B6-E90D8B54E32F}"/>
    <cellStyle name="Normal 8 3 2 3" xfId="30446" xr:uid="{4CF9472C-82A6-42F1-A1C3-5D176718519B}"/>
    <cellStyle name="Normal 8 3 3" xfId="30447" xr:uid="{89DEF61C-27DE-4E4C-8A32-A5F1783E6907}"/>
    <cellStyle name="Normal 8 3 3 2" xfId="30448" xr:uid="{66BEEF1F-E0BD-4F22-91C1-322C40BB7A05}"/>
    <cellStyle name="Normal 8 3 3 2 2" xfId="30449" xr:uid="{DC2A32DE-B6E3-4A81-8C2B-5C7879A2F76C}"/>
    <cellStyle name="Normal 8 3 3 3" xfId="30450" xr:uid="{46FEC694-56EE-4DBE-B2A7-82166C2F6EB7}"/>
    <cellStyle name="Normal 8 3 3 4" xfId="39207" xr:uid="{3862AC92-C3CA-4193-B35E-623975A2C548}"/>
    <cellStyle name="Normal 8 3 4" xfId="30451" xr:uid="{6BDC2280-9935-4CEE-9F91-8168CFE4A76E}"/>
    <cellStyle name="Normal 8 3 4 2" xfId="30452" xr:uid="{8852BBA5-C144-4014-8FA1-1603AF867CDC}"/>
    <cellStyle name="Normal 8 3 5" xfId="30453" xr:uid="{4EE01CEA-3120-4B0B-9B21-424F479DD5F6}"/>
    <cellStyle name="Normal 8 4" xfId="30454" xr:uid="{867902BA-CAB4-40B1-8339-7F4439F9AFEB}"/>
    <cellStyle name="Normal 8 4 2" xfId="30455" xr:uid="{72A2666B-A170-4860-9D15-790D9DD71E1F}"/>
    <cellStyle name="Normal 8 4 2 2" xfId="30456" xr:uid="{DACDD836-95A6-4999-ADFE-F21773997B61}"/>
    <cellStyle name="Normal 8 4 3" xfId="30457" xr:uid="{2EA373E5-E9B2-4C68-B476-CC0D0DB05A81}"/>
    <cellStyle name="Normal 8 5" xfId="30458" xr:uid="{374253AC-68DD-43C4-A5D4-6F2F075F2ADB}"/>
    <cellStyle name="Normal 8 5 2" xfId="30459" xr:uid="{2A4C7E05-FE48-4449-9870-DD02B7C0635A}"/>
    <cellStyle name="Normal 8 6" xfId="30460" xr:uid="{A5F000A4-45F7-4884-8D02-1F5A2D656186}"/>
    <cellStyle name="Normal 8 6 2" xfId="30461" xr:uid="{A972DDAA-4403-4FFC-8F0A-D1329DC3E3C3}"/>
    <cellStyle name="Normal 8 7" xfId="30462" xr:uid="{A8A4E023-F94B-407A-BF13-EEBF9C200FF3}"/>
    <cellStyle name="Normal 8 8" xfId="39208" xr:uid="{C083E539-E5FF-4A65-B847-73E3B2FDB72A}"/>
    <cellStyle name="Normal 8 9" xfId="39209" xr:uid="{12FFD9EB-48E8-45D2-8B68-9F29DB23E362}"/>
    <cellStyle name="Normal 8_Jun 11 details" xfId="30463" xr:uid="{70E8F211-F88B-4ACA-B236-0FCFDF60E462}"/>
    <cellStyle name="Normal 80" xfId="30464" xr:uid="{F0FAB995-FC6F-4F9D-A2D1-9C1CFD062368}"/>
    <cellStyle name="Normal 80 2" xfId="30465" xr:uid="{6A999615-8F1B-4E3B-A1CA-11F05311EA0F}"/>
    <cellStyle name="Normal 80 2 2" xfId="30466" xr:uid="{2F10E2CA-D834-447B-9A00-C587045EBC6B}"/>
    <cellStyle name="Normal 80 2 2 2" xfId="30467" xr:uid="{DD9E3BF9-7D63-4EAE-A95D-64E7F9E02941}"/>
    <cellStyle name="Normal 80 2 3" xfId="30468" xr:uid="{12628F93-26DD-4AEE-B16A-40759EFD4423}"/>
    <cellStyle name="Normal 80 3" xfId="30469" xr:uid="{17FB8388-0032-4EC6-800D-00933B9B606E}"/>
    <cellStyle name="Normal 80 3 2" xfId="30470" xr:uid="{D1B67AF5-8E7D-47EA-BE47-CCC75181A4D3}"/>
    <cellStyle name="Normal 80 3 2 2" xfId="30471" xr:uid="{A921013D-7D45-4714-96A6-F994AAF2EC50}"/>
    <cellStyle name="Normal 80 3 3" xfId="30472" xr:uid="{5CAB5B49-BE70-4BD6-BBA7-EACB1EBD9E0F}"/>
    <cellStyle name="Normal 80 4" xfId="30473" xr:uid="{FF2DDCDF-1ACB-4872-B7B0-C3AD28A929B4}"/>
    <cellStyle name="Normal 80 4 2" xfId="30474" xr:uid="{EBCE629A-6DA6-42C6-AC28-C53A10510420}"/>
    <cellStyle name="Normal 80 5" xfId="30475" xr:uid="{CAF2151F-E651-4FF3-BC7D-79D4B88ECB6C}"/>
    <cellStyle name="Normal 80 6" xfId="39210" xr:uid="{5DBAD286-7816-48B5-91EC-B19EAFE54F26}"/>
    <cellStyle name="Normal 81" xfId="30476" xr:uid="{22B65AB5-F096-4ED1-9E87-5E3C1FC49B76}"/>
    <cellStyle name="Normal 81 2" xfId="30477" xr:uid="{267A0E00-2AD0-4FDE-9175-D4208F54195D}"/>
    <cellStyle name="Normal 81 2 2" xfId="30478" xr:uid="{48DE15BE-E5BB-457C-8C9A-6D7B1A158177}"/>
    <cellStyle name="Normal 81 2 2 2" xfId="30479" xr:uid="{CE26C735-867C-497B-B1B5-2280AE0B3624}"/>
    <cellStyle name="Normal 81 2 3" xfId="30480" xr:uid="{B9936C87-AD04-456A-8D1C-979C7092EE35}"/>
    <cellStyle name="Normal 81 3" xfId="30481" xr:uid="{0A904CF8-55C6-4AEF-BB6F-DFA6351731B8}"/>
    <cellStyle name="Normal 81 3 2" xfId="30482" xr:uid="{BE639FF7-1970-445C-A2E2-1F085AC82204}"/>
    <cellStyle name="Normal 81 3 2 2" xfId="30483" xr:uid="{A4824269-DE26-4A2D-B43F-D92779949B2B}"/>
    <cellStyle name="Normal 81 3 3" xfId="30484" xr:uid="{1B3500EA-15A9-4FB4-AF38-5A450ECC63C5}"/>
    <cellStyle name="Normal 81 4" xfId="30485" xr:uid="{C5AD867A-ED9F-4699-9DB2-99EB2E2F4E0F}"/>
    <cellStyle name="Normal 81 4 2" xfId="30486" xr:uid="{3B7E29A4-8CAA-49E5-8F77-942A34B68F37}"/>
    <cellStyle name="Normal 81 5" xfId="30487" xr:uid="{ECEF5050-C4B4-4C1F-A87D-B7819D5338D1}"/>
    <cellStyle name="Normal 81 6" xfId="39211" xr:uid="{8AC11320-8549-4FCB-82CB-3EE690EE327E}"/>
    <cellStyle name="Normal 82" xfId="30488" xr:uid="{464CC270-98E9-4E64-A632-21E06D6AE21A}"/>
    <cellStyle name="Normal 82 2" xfId="30489" xr:uid="{BCD1B70E-B074-4437-AFE1-2A598B9B6F32}"/>
    <cellStyle name="Normal 82 2 2" xfId="30490" xr:uid="{5A8BC76C-04C2-467B-82AD-5E61BDDD6713}"/>
    <cellStyle name="Normal 82 2 2 2" xfId="30491" xr:uid="{F458D3B6-9D30-42AA-B814-D937B720AAB0}"/>
    <cellStyle name="Normal 82 2 3" xfId="30492" xr:uid="{A46D9830-A1B7-444D-8D68-FC3803699221}"/>
    <cellStyle name="Normal 82 3" xfId="30493" xr:uid="{B257936C-83CF-4BD6-8F52-8B55D929A3F5}"/>
    <cellStyle name="Normal 82 3 2" xfId="30494" xr:uid="{42CD9F9A-79DA-429B-BA6A-1984ED924B77}"/>
    <cellStyle name="Normal 82 3 2 2" xfId="30495" xr:uid="{82195113-DA0D-4773-A7F1-E76C357ABF2C}"/>
    <cellStyle name="Normal 82 3 3" xfId="30496" xr:uid="{87F7A8C7-1AE6-4AAA-B8BF-E80CF23AFB34}"/>
    <cellStyle name="Normal 82 4" xfId="30497" xr:uid="{4A1E1F8D-47D8-42F5-A54A-74D65F29B67A}"/>
    <cellStyle name="Normal 82 4 2" xfId="30498" xr:uid="{1E5A7CD5-D976-4CF3-8D0D-ED770041D48E}"/>
    <cellStyle name="Normal 82 5" xfId="30499" xr:uid="{9F61CD42-7A49-461A-9AD2-64584715261A}"/>
    <cellStyle name="Normal 82 6" xfId="39212" xr:uid="{7980507B-D69E-46A0-9BD8-E388AB6E782A}"/>
    <cellStyle name="Normal 83" xfId="30500" xr:uid="{9B4E8A22-3185-41EF-91B1-9BC508AD54FC}"/>
    <cellStyle name="Normal 83 2" xfId="30501" xr:uid="{3FBF0C69-AB65-40B8-A539-1993EA514888}"/>
    <cellStyle name="Normal 83 2 2" xfId="30502" xr:uid="{D9C8A3BC-AE84-45D4-9890-0871CC82AC06}"/>
    <cellStyle name="Normal 83 2 2 2" xfId="30503" xr:uid="{1F589319-B594-4817-B3BD-4DF5ACD2AE85}"/>
    <cellStyle name="Normal 83 2 3" xfId="30504" xr:uid="{32D87413-9B1B-4B51-81B4-672FBE55AFFD}"/>
    <cellStyle name="Normal 83 3" xfId="30505" xr:uid="{A654EA52-2B09-437D-9950-E09FA6F2D5AB}"/>
    <cellStyle name="Normal 83 3 2" xfId="30506" xr:uid="{C19C630F-83B6-4F19-975F-781C9978E526}"/>
    <cellStyle name="Normal 83 3 2 2" xfId="30507" xr:uid="{090D6EF4-2392-4AA7-9F50-72A0FF2A9CA9}"/>
    <cellStyle name="Normal 83 3 3" xfId="30508" xr:uid="{AB92F23E-9BE2-4E30-A9AE-6BB34146B6F7}"/>
    <cellStyle name="Normal 83 4" xfId="30509" xr:uid="{4CC72D2E-2D4C-4869-B311-77A55421F284}"/>
    <cellStyle name="Normal 83 4 2" xfId="30510" xr:uid="{871350AD-8298-47B9-AF5A-14D3CF6813D5}"/>
    <cellStyle name="Normal 83 5" xfId="30511" xr:uid="{2BA0E8E3-F97C-4846-AC9D-84A6B277A0E0}"/>
    <cellStyle name="Normal 83 6" xfId="39213" xr:uid="{7F4DC2FD-C951-4D8F-A8E0-4DDD5B352A2C}"/>
    <cellStyle name="Normal 84" xfId="30512" xr:uid="{DB1CA4B5-C114-48A0-B07E-9E13C6AC5A64}"/>
    <cellStyle name="Normal 84 2" xfId="30513" xr:uid="{6B52B0E2-1597-4153-9CD6-E0083C750C86}"/>
    <cellStyle name="Normal 84 2 2" xfId="30514" xr:uid="{6FA2E48E-89EC-4E76-81E3-66095A12993C}"/>
    <cellStyle name="Normal 84 2 2 2" xfId="30515" xr:uid="{7B4516EF-7DB2-4CA3-9314-0DE119BD0A35}"/>
    <cellStyle name="Normal 84 2 3" xfId="30516" xr:uid="{B6643219-1E30-4775-B4F2-79FDEBACF3D6}"/>
    <cellStyle name="Normal 84 3" xfId="30517" xr:uid="{239C7A24-C7EF-4D89-A311-BAC8E797FCB2}"/>
    <cellStyle name="Normal 84 3 2" xfId="30518" xr:uid="{AE648B32-C358-4DAE-9734-E3143037E6B8}"/>
    <cellStyle name="Normal 84 3 2 2" xfId="30519" xr:uid="{FB456FF0-BB88-4D13-92F9-8DB4E6E3C23B}"/>
    <cellStyle name="Normal 84 3 3" xfId="30520" xr:uid="{47CC19F2-E0DD-4CE8-A837-D5F0A1FF3FF6}"/>
    <cellStyle name="Normal 84 4" xfId="30521" xr:uid="{FB487AAF-B258-4B2A-BFA6-0A40D98B1482}"/>
    <cellStyle name="Normal 84 4 2" xfId="30522" xr:uid="{471C8148-571E-4624-9EFE-509DE44BEE88}"/>
    <cellStyle name="Normal 84 5" xfId="30523" xr:uid="{F3147636-9CC8-4480-81C7-A2C566487D6D}"/>
    <cellStyle name="Normal 84 6" xfId="39214" xr:uid="{C95ECAB6-78D1-44C8-A853-06C469C7483C}"/>
    <cellStyle name="Normal 85" xfId="30524" xr:uid="{706A1193-8EB7-44C4-9BF5-9ACF8EAE5352}"/>
    <cellStyle name="Normal 85 2" xfId="30525" xr:uid="{27CF6FC7-2457-484C-987F-115461D580E0}"/>
    <cellStyle name="Normal 85 2 2" xfId="30526" xr:uid="{8E867CBD-B6EA-4A50-B8DB-C851A3D00309}"/>
    <cellStyle name="Normal 85 2 2 2" xfId="30527" xr:uid="{8D208172-DC0B-4323-9BB5-6F2A04F28975}"/>
    <cellStyle name="Normal 85 2 3" xfId="30528" xr:uid="{5890D7A6-5A93-4713-A7B2-2B975672E18A}"/>
    <cellStyle name="Normal 85 3" xfId="30529" xr:uid="{D2542413-E00C-45C8-B243-445A4CB7AE8F}"/>
    <cellStyle name="Normal 85 3 2" xfId="30530" xr:uid="{81F5E08A-4365-4339-9D74-39FE7BAFD5A2}"/>
    <cellStyle name="Normal 85 3 2 2" xfId="30531" xr:uid="{3C278D51-29AD-42A2-9CA1-FBCD30598B65}"/>
    <cellStyle name="Normal 85 3 3" xfId="30532" xr:uid="{47C9B544-3378-462D-907D-7FFBECC3FC71}"/>
    <cellStyle name="Normal 85 4" xfId="30533" xr:uid="{47FD75AE-BFF7-44CC-B624-0190999CCBA0}"/>
    <cellStyle name="Normal 85 4 2" xfId="30534" xr:uid="{5E76BDD5-8232-4049-822A-D2D182E17B1E}"/>
    <cellStyle name="Normal 85 5" xfId="30535" xr:uid="{F77EE7F8-B081-4860-8666-7569677F6908}"/>
    <cellStyle name="Normal 85 6" xfId="39215" xr:uid="{B79F8798-C7CE-42BE-AAF3-8A4704BC2CC9}"/>
    <cellStyle name="Normal 86" xfId="30536" xr:uid="{20B626DC-B56D-4AB5-98E1-540AB42C5FC9}"/>
    <cellStyle name="Normal 86 2" xfId="30537" xr:uid="{7F332751-39E8-4C32-B010-B34A9CB4E454}"/>
    <cellStyle name="Normal 86 2 2" xfId="30538" xr:uid="{6AEF36AB-1A6C-4639-B3EB-EEC881A1B5CA}"/>
    <cellStyle name="Normal 86 2 2 2" xfId="30539" xr:uid="{A98CB6DB-F699-4552-8117-2FBC9C44F86E}"/>
    <cellStyle name="Normal 86 2 3" xfId="30540" xr:uid="{B50DF792-0933-40B7-B9F1-AE29E73CF37A}"/>
    <cellStyle name="Normal 86 3" xfId="30541" xr:uid="{26D2370A-B8B6-4987-B00C-A9C1AC9906F4}"/>
    <cellStyle name="Normal 86 3 2" xfId="30542" xr:uid="{A1CB135C-D650-45DC-B928-D5F63A890A97}"/>
    <cellStyle name="Normal 86 3 2 2" xfId="30543" xr:uid="{CB1F567D-0705-48AE-9D71-8DE277242CA8}"/>
    <cellStyle name="Normal 86 3 3" xfId="30544" xr:uid="{E255E16A-5178-4316-8D39-180F020EFE4F}"/>
    <cellStyle name="Normal 86 4" xfId="30545" xr:uid="{C6AF6CD2-B022-45CC-95F3-E107ECD21342}"/>
    <cellStyle name="Normal 86 4 2" xfId="30546" xr:uid="{70DA3933-059D-41A2-ABFB-1B97B8C8A378}"/>
    <cellStyle name="Normal 86 5" xfId="30547" xr:uid="{25ADF12B-D9E0-46E5-AE7E-B4F205B23402}"/>
    <cellStyle name="Normal 86 6" xfId="39216" xr:uid="{4564F73A-AEF3-4C2B-986F-47819E0619BD}"/>
    <cellStyle name="Normal 87" xfId="30548" xr:uid="{E7E23145-863A-4CC6-B4F7-4888C9534419}"/>
    <cellStyle name="Normal 87 2" xfId="30549" xr:uid="{9D5A5246-C6AB-44B4-B7E0-D155BFA50A87}"/>
    <cellStyle name="Normal 87 2 2" xfId="30550" xr:uid="{076DE349-B32E-40B0-9FA0-CA0025F26332}"/>
    <cellStyle name="Normal 87 2 2 2" xfId="30551" xr:uid="{D5262ECF-B164-4C23-99F5-12A732C45787}"/>
    <cellStyle name="Normal 87 2 3" xfId="30552" xr:uid="{8DB2C227-5761-4D93-8CCA-17209E8D77F8}"/>
    <cellStyle name="Normal 87 3" xfId="30553" xr:uid="{BA34CD3D-2FF5-494F-BE3A-72620F4E10B0}"/>
    <cellStyle name="Normal 87 3 2" xfId="30554" xr:uid="{548E5423-190B-4771-B62B-9526FA0E7382}"/>
    <cellStyle name="Normal 87 3 2 2" xfId="30555" xr:uid="{DAA5B9FE-9382-4874-971C-F323463D4262}"/>
    <cellStyle name="Normal 87 3 3" xfId="30556" xr:uid="{345CED1B-4A84-4370-9598-29075C072E78}"/>
    <cellStyle name="Normal 87 4" xfId="30557" xr:uid="{ECC469A6-30AB-42A1-8100-FB3BBD6138D2}"/>
    <cellStyle name="Normal 87 4 2" xfId="30558" xr:uid="{96687E2E-4D91-4EFB-B6FE-C7AF60B4D93A}"/>
    <cellStyle name="Normal 87 5" xfId="30559" xr:uid="{CED3E5E8-3C51-4C9E-9B22-30ECD9D8F5AB}"/>
    <cellStyle name="Normal 87 6" xfId="39217" xr:uid="{3904BDB7-B2D4-4D58-A58A-88FF6C2640F1}"/>
    <cellStyle name="Normal 88" xfId="30560" xr:uid="{24583CE2-4FED-4F97-91C7-9FF3E1EA2622}"/>
    <cellStyle name="Normal 88 2" xfId="30561" xr:uid="{560E5C48-BADF-49EC-A73E-A226AAF5DE69}"/>
    <cellStyle name="Normal 88 2 2" xfId="30562" xr:uid="{93C0F55D-5CCA-4052-B6D9-DB70EEA6E731}"/>
    <cellStyle name="Normal 88 2 2 2" xfId="30563" xr:uid="{C1CD270C-14B4-416D-A375-B8900EFD9B6B}"/>
    <cellStyle name="Normal 88 2 3" xfId="30564" xr:uid="{9BE85D37-6E1F-430B-8DE4-2EBED7161D59}"/>
    <cellStyle name="Normal 88 3" xfId="30565" xr:uid="{36E45B2D-EFB1-451B-B1A8-940027553E5C}"/>
    <cellStyle name="Normal 88 3 2" xfId="30566" xr:uid="{2F1D48AE-81BA-44CF-B0F0-929520CCBCD8}"/>
    <cellStyle name="Normal 88 3 2 2" xfId="30567" xr:uid="{0E9CEC36-121F-4EF5-90A8-2F2D359BFFEE}"/>
    <cellStyle name="Normal 88 3 3" xfId="30568" xr:uid="{0D534C39-D627-45A9-B428-0F47645428DD}"/>
    <cellStyle name="Normal 88 4" xfId="30569" xr:uid="{8488588D-DEF8-4E02-8145-4BB44356D68B}"/>
    <cellStyle name="Normal 88 4 2" xfId="30570" xr:uid="{F86595F1-55A1-48F0-B050-4DC9DACEF84B}"/>
    <cellStyle name="Normal 88 5" xfId="30571" xr:uid="{FF410BFD-68A0-4E76-885F-B42CD8871608}"/>
    <cellStyle name="Normal 88 6" xfId="39218" xr:uid="{03235862-BEA5-4CBC-963E-1CE2B1AB7F3C}"/>
    <cellStyle name="Normal 89" xfId="30572" xr:uid="{36BFA765-7D34-4CF6-867C-F133D4B62204}"/>
    <cellStyle name="Normal 89 2" xfId="30573" xr:uid="{41D5DB67-A1B8-4EA9-919D-579D60A24C5C}"/>
    <cellStyle name="Normal 89 2 2" xfId="30574" xr:uid="{EBC2CCD8-4E3A-4AE9-A556-169AF0D20307}"/>
    <cellStyle name="Normal 89 2 2 2" xfId="30575" xr:uid="{71FEBD36-BE9B-499D-9119-3538D23868E2}"/>
    <cellStyle name="Normal 89 2 3" xfId="30576" xr:uid="{B78E1C42-D989-409A-AC40-743569D850DD}"/>
    <cellStyle name="Normal 89 3" xfId="30577" xr:uid="{7A488260-F7B4-4A9A-9255-FA8FEDE1D57C}"/>
    <cellStyle name="Normal 89 3 2" xfId="30578" xr:uid="{D37981D4-F841-4D09-8F78-D86845D7B1E3}"/>
    <cellStyle name="Normal 89 3 2 2" xfId="30579" xr:uid="{7E7A8714-64B1-4BA4-AEF6-4FF23A89A10E}"/>
    <cellStyle name="Normal 89 3 3" xfId="30580" xr:uid="{ED3F9284-2FC0-4AD5-AE46-356259EF3DA9}"/>
    <cellStyle name="Normal 89 4" xfId="30581" xr:uid="{A16B8AFE-8382-4C84-853E-8B1C4FA4B367}"/>
    <cellStyle name="Normal 89 4 2" xfId="30582" xr:uid="{1B95931A-6E6C-4DFA-A69A-B93A9B02833C}"/>
    <cellStyle name="Normal 89 5" xfId="30583" xr:uid="{80E993AA-CD09-4741-BB32-EAF61C0FD089}"/>
    <cellStyle name="Normal 89 6" xfId="39219" xr:uid="{08C6D9D1-259D-4705-82DE-0EDFE12EE7DD}"/>
    <cellStyle name="Normal 9" xfId="175" xr:uid="{AE0CCC09-0BBC-47FB-8F49-883ECB054B4C}"/>
    <cellStyle name="Normal 9 2" xfId="30584" xr:uid="{79EA1D90-B540-409C-9C24-CB7C7A48E345}"/>
    <cellStyle name="Normal 9 2 2" xfId="30585" xr:uid="{4A8DA667-2E7A-4679-B477-ACB01A6D7B2A}"/>
    <cellStyle name="Normal 9 2 3" xfId="39220" xr:uid="{74D4D000-CEF1-4DAA-BEEB-0D15F1455F2B}"/>
    <cellStyle name="Normal 9 3" xfId="30586" xr:uid="{040856F2-FD1F-4282-A81D-32D9BB4DB496}"/>
    <cellStyle name="Normal 9 3 2" xfId="30587" xr:uid="{00834F00-20D5-48E8-B95C-3F85B200C389}"/>
    <cellStyle name="Normal 9 3 2 2" xfId="39221" xr:uid="{11E32F9B-3CB5-4F28-BA2B-1AB25EA359C2}"/>
    <cellStyle name="Normal 9 3 3" xfId="39222" xr:uid="{1A7EFFAF-2C39-4DD1-9D59-A18B6CCEF7C2}"/>
    <cellStyle name="Normal 9 4" xfId="30588" xr:uid="{9585FE6B-BF77-4249-B4BB-C025DB8F6FA3}"/>
    <cellStyle name="Normal 9 5" xfId="30589" xr:uid="{337DF86F-AD01-4ED7-8532-63FE4D8A3289}"/>
    <cellStyle name="Normal 9 6" xfId="30590" xr:uid="{40BDD69E-8A00-4F83-BF67-8C2098D9DC9C}"/>
    <cellStyle name="Normal 9 7" xfId="30591" xr:uid="{C8D8FAAC-6BFB-4549-9491-50CDB8CF902B}"/>
    <cellStyle name="Normal 9 8" xfId="39223" xr:uid="{817751AF-77B9-4D41-AF63-6AAB116B639D}"/>
    <cellStyle name="Normal 9 9" xfId="39224" xr:uid="{CE389A4B-9F1D-4D71-B80C-B156BCAE32CE}"/>
    <cellStyle name="Normal 90" xfId="30592" xr:uid="{AD4C1983-7060-44B9-BCB1-18EB87102465}"/>
    <cellStyle name="Normal 90 2" xfId="30593" xr:uid="{5AEF5FA1-E988-4B41-9F68-13022624C3AE}"/>
    <cellStyle name="Normal 90 2 2" xfId="30594" xr:uid="{AA746E4F-4108-4E36-9193-17BA02F4BA2C}"/>
    <cellStyle name="Normal 90 2 2 2" xfId="30595" xr:uid="{0CC5522D-841E-4361-B944-AE2A33A6CB0E}"/>
    <cellStyle name="Normal 90 2 3" xfId="30596" xr:uid="{409907C6-7955-4F19-BBFE-42EC2E7F9FD3}"/>
    <cellStyle name="Normal 90 3" xfId="30597" xr:uid="{780FB345-D3EA-4DFF-809C-27C7AF13C6F3}"/>
    <cellStyle name="Normal 90 3 2" xfId="30598" xr:uid="{94D71410-37D6-4CC5-94C4-76AC624C0372}"/>
    <cellStyle name="Normal 90 3 2 2" xfId="30599" xr:uid="{CA6C6457-C91B-4293-ADAB-8C68B6E47A90}"/>
    <cellStyle name="Normal 90 3 3" xfId="30600" xr:uid="{4E760888-37C4-457B-9861-55B8CC6FC07B}"/>
    <cellStyle name="Normal 90 4" xfId="30601" xr:uid="{7F97BB7E-52F6-4540-A5B8-CA7706FF3E2D}"/>
    <cellStyle name="Normal 90 4 2" xfId="30602" xr:uid="{D796E307-1368-4979-9718-2D6ED95B54F1}"/>
    <cellStyle name="Normal 90 5" xfId="30603" xr:uid="{6F0B3AB6-2B86-4B7F-A031-30E26AD440F5}"/>
    <cellStyle name="Normal 90 6" xfId="39225" xr:uid="{76D700AF-7320-4E18-8D95-4B03CC26ED06}"/>
    <cellStyle name="Normal 91" xfId="30604" xr:uid="{A3DA9E4E-5FD8-48B4-9177-4F06B7FD6401}"/>
    <cellStyle name="Normal 91 2" xfId="30605" xr:uid="{54CB952F-585E-4384-A39C-DF08C8141F4B}"/>
    <cellStyle name="Normal 91 2 2" xfId="30606" xr:uid="{337BC7CC-A29A-4E7F-BAA9-33DA433D713A}"/>
    <cellStyle name="Normal 91 2 2 2" xfId="30607" xr:uid="{D33E8CC4-2ADF-46E8-9368-798DC8B61320}"/>
    <cellStyle name="Normal 91 2 3" xfId="30608" xr:uid="{E4527E2C-66DC-4D67-8EED-420F2425632E}"/>
    <cellStyle name="Normal 91 3" xfId="30609" xr:uid="{EE5278DE-BD41-4C77-AE75-09AFE185478B}"/>
    <cellStyle name="Normal 91 3 2" xfId="30610" xr:uid="{192F574E-7419-4560-9D9F-58F4F0D5B1A0}"/>
    <cellStyle name="Normal 91 3 2 2" xfId="30611" xr:uid="{A96C5C83-CDBA-4A35-A94F-0108E2E4BA2E}"/>
    <cellStyle name="Normal 91 3 3" xfId="30612" xr:uid="{D1790F70-FCC7-4FF2-846A-7EDAA70B2E2B}"/>
    <cellStyle name="Normal 91 4" xfId="30613" xr:uid="{3C4BE526-018B-401F-BAC6-8DC676C9142D}"/>
    <cellStyle name="Normal 91 4 2" xfId="30614" xr:uid="{3965D10F-2C4E-469A-8ED3-4688CE4FB742}"/>
    <cellStyle name="Normal 91 5" xfId="30615" xr:uid="{3F41B132-AD71-4D0F-8B23-62AB5E6550D1}"/>
    <cellStyle name="Normal 91 6" xfId="39226" xr:uid="{295E3E5C-B51D-4385-A619-AE22AE036A41}"/>
    <cellStyle name="Normal 92" xfId="30616" xr:uid="{B2FC5476-DDC3-4AA7-8C2C-B2909DF5492A}"/>
    <cellStyle name="Normal 92 2" xfId="30617" xr:uid="{30BC6C18-C11F-438D-9D19-9205DF00A623}"/>
    <cellStyle name="Normal 92 2 2" xfId="30618" xr:uid="{72825EEB-0C3D-438C-8215-2654A70183ED}"/>
    <cellStyle name="Normal 92 2 2 2" xfId="30619" xr:uid="{D93C314A-F65D-416C-BCD2-7DE7D5C9E1AA}"/>
    <cellStyle name="Normal 92 2 3" xfId="30620" xr:uid="{D9D817C6-328B-4F70-879D-DC3F0609ECE0}"/>
    <cellStyle name="Normal 92 3" xfId="30621" xr:uid="{4E4D4378-7505-4FAC-991A-0AF5271612CE}"/>
    <cellStyle name="Normal 92 3 2" xfId="30622" xr:uid="{DA1BBBAE-C6DC-4694-945A-CF5CFC01237B}"/>
    <cellStyle name="Normal 92 3 2 2" xfId="30623" xr:uid="{AD4135E8-1559-48AD-8461-27817DA37BC7}"/>
    <cellStyle name="Normal 92 3 3" xfId="30624" xr:uid="{8E7FD6DC-FEBA-42D3-B09C-AE64D710B66F}"/>
    <cellStyle name="Normal 92 4" xfId="30625" xr:uid="{D660B271-2083-495A-985C-30F70E242AEC}"/>
    <cellStyle name="Normal 92 4 2" xfId="30626" xr:uid="{12996EBC-5A50-4F75-95D1-A8859D7C62BD}"/>
    <cellStyle name="Normal 92 5" xfId="30627" xr:uid="{03B17B0A-0F19-409A-BEB0-1EE45D0DD7C7}"/>
    <cellStyle name="Normal 92 6" xfId="39227" xr:uid="{80ABC36F-22C0-444E-8BEC-6A8963DFA74A}"/>
    <cellStyle name="Normal 93" xfId="30628" xr:uid="{BFE006A7-3D6E-45DC-B1D6-AE33F5518063}"/>
    <cellStyle name="Normal 93 10" xfId="30629" xr:uid="{BF92ED76-AAED-4FAC-84C2-384812BEE2DC}"/>
    <cellStyle name="Normal 93 10 2" xfId="30630" xr:uid="{0F3E4E2A-685E-4A78-96DB-3F1EA0D46F76}"/>
    <cellStyle name="Normal 93 11" xfId="30631" xr:uid="{00D61352-4C04-4A79-BBE6-74D3F2C3353A}"/>
    <cellStyle name="Normal 93 12" xfId="39228" xr:uid="{15DDCCF7-02DE-45A0-A989-EB87BEF456AB}"/>
    <cellStyle name="Normal 93 2" xfId="30632" xr:uid="{F989A172-9258-4157-90A4-3C1308D61ED8}"/>
    <cellStyle name="Normal 93 2 2" xfId="30633" xr:uid="{6DCE15DB-AF56-4A7E-A2F9-6411F8BFBB55}"/>
    <cellStyle name="Normal 93 2 2 2" xfId="30634" xr:uid="{B164695E-0960-4006-B1D9-655EA63924FA}"/>
    <cellStyle name="Normal 93 2 3" xfId="30635" xr:uid="{CF178ABC-AF2E-4D37-BE39-9B7AFA5A82D3}"/>
    <cellStyle name="Normal 93 2 3 2" xfId="30636" xr:uid="{7E6D56A7-A855-4077-8FDE-AB0E2F9DFBDB}"/>
    <cellStyle name="Normal 93 2 4" xfId="30637" xr:uid="{009C4833-61D7-46E0-87DE-DED67388BB3B}"/>
    <cellStyle name="Normal 93 3" xfId="30638" xr:uid="{FF20ED94-314B-4A9D-82FF-4E423E852A3B}"/>
    <cellStyle name="Normal 93 3 2" xfId="30639" xr:uid="{AF81DFDA-9379-406A-9ED6-44EDA31239BD}"/>
    <cellStyle name="Normal 93 3 2 2" xfId="30640" xr:uid="{4CFAF2A3-142A-4F21-889F-9C924979BDCB}"/>
    <cellStyle name="Normal 93 3 3" xfId="30641" xr:uid="{55E4DAD8-E8A1-4BF6-9067-4AE48BC925ED}"/>
    <cellStyle name="Normal 93 3 3 2" xfId="30642" xr:uid="{BD2C8178-F61A-4C77-8E7C-3D94364B11E1}"/>
    <cellStyle name="Normal 93 3 4" xfId="30643" xr:uid="{9D638330-940A-492E-9902-FE4DA725A586}"/>
    <cellStyle name="Normal 93 4" xfId="30644" xr:uid="{CB23C7E5-DF3A-4BFB-8814-4374460C3AE0}"/>
    <cellStyle name="Normal 93 4 2" xfId="30645" xr:uid="{9ECB525B-B762-496F-99C1-C8C0F04A9212}"/>
    <cellStyle name="Normal 93 4 2 2" xfId="30646" xr:uid="{935DDBC5-6CF1-4E61-88AF-F24B8A157F16}"/>
    <cellStyle name="Normal 93 4 3" xfId="30647" xr:uid="{34758A1E-7FAA-4F16-B1D4-CFFB0FE323BB}"/>
    <cellStyle name="Normal 93 4 3 2" xfId="30648" xr:uid="{3237070E-62C6-4790-9397-66799A104A8C}"/>
    <cellStyle name="Normal 93 4 4" xfId="30649" xr:uid="{A782C45C-6BBF-415D-99C8-8813EE93E12D}"/>
    <cellStyle name="Normal 93 5" xfId="30650" xr:uid="{180247B2-67A6-4999-B256-D43C23297868}"/>
    <cellStyle name="Normal 93 5 2" xfId="30651" xr:uid="{A10E835D-D18B-48C0-A9CC-CAC1767DB3C4}"/>
    <cellStyle name="Normal 93 5 2 2" xfId="30652" xr:uid="{81857552-4B68-4D29-B736-8137E3EC8EBC}"/>
    <cellStyle name="Normal 93 5 3" xfId="30653" xr:uid="{A49F7F5F-EFF9-4DDB-808C-1D6E6E0987B2}"/>
    <cellStyle name="Normal 93 5 3 2" xfId="30654" xr:uid="{BF4DECF4-6D51-4FDC-97EC-78D3F442FF91}"/>
    <cellStyle name="Normal 93 5 4" xfId="30655" xr:uid="{5C7DA752-0CAB-462E-A340-D89A40570FA4}"/>
    <cellStyle name="Normal 93 6" xfId="30656" xr:uid="{1C62904C-52EA-4DD1-9946-F32C7AF3CBCF}"/>
    <cellStyle name="Normal 93 6 2" xfId="30657" xr:uid="{7007F424-8984-4EB9-9E21-D3B84E30DDCB}"/>
    <cellStyle name="Normal 93 6 2 2" xfId="30658" xr:uid="{1D8DA761-3EA7-47A3-B4C1-201244F207CD}"/>
    <cellStyle name="Normal 93 6 3" xfId="30659" xr:uid="{B16B3531-B5EE-4E2E-B3B2-6B2F09825F0D}"/>
    <cellStyle name="Normal 93 6 3 2" xfId="30660" xr:uid="{AE0F6CC2-C3E2-4608-9D4A-2835E77C9EA5}"/>
    <cellStyle name="Normal 93 6 4" xfId="30661" xr:uid="{5A779356-C04C-48B6-8115-8C3007BFC43E}"/>
    <cellStyle name="Normal 93 7" xfId="30662" xr:uid="{63BCBC9A-4A2B-48A2-BB29-6DCBCBF741D5}"/>
    <cellStyle name="Normal 93 7 2" xfId="30663" xr:uid="{40ECAEE5-5F80-4770-BD63-2FB2727F2518}"/>
    <cellStyle name="Normal 93 7 2 2" xfId="30664" xr:uid="{3780A743-8C03-4457-81E0-E2A9A0A41517}"/>
    <cellStyle name="Normal 93 7 3" xfId="30665" xr:uid="{12025FAB-40E2-4B2F-885B-ED9866A1A5E3}"/>
    <cellStyle name="Normal 93 7 3 2" xfId="30666" xr:uid="{55CD293D-4521-421C-A274-E4F77B8A0165}"/>
    <cellStyle name="Normal 93 7 4" xfId="30667" xr:uid="{EEFEE89B-2808-47E5-A2D8-A616DCCE7850}"/>
    <cellStyle name="Normal 93 8" xfId="30668" xr:uid="{D526ABF1-308B-4230-A8DF-A9247394C828}"/>
    <cellStyle name="Normal 93 8 2" xfId="30669" xr:uid="{D0430FE9-3FD5-41B9-A64B-006B63F07F18}"/>
    <cellStyle name="Normal 93 8 2 2" xfId="30670" xr:uid="{DDCB4F8B-A1BC-4C55-A05D-D2135DF7A315}"/>
    <cellStyle name="Normal 93 8 3" xfId="30671" xr:uid="{1EA1110E-3C08-4AF1-9518-441D1C3D53AF}"/>
    <cellStyle name="Normal 93 9" xfId="30672" xr:uid="{9EEFEF2C-CA53-494D-9812-229AC0C684C0}"/>
    <cellStyle name="Normal 93 9 2" xfId="30673" xr:uid="{23DA23A2-0887-434E-80E5-2C29F02E36E2}"/>
    <cellStyle name="Normal 93 9 2 2" xfId="30674" xr:uid="{7E6B6FB8-9FB9-4B76-B614-738638F3F291}"/>
    <cellStyle name="Normal 93 9 3" xfId="30675" xr:uid="{5ED411F6-2CF6-4640-88A0-17974B935CA1}"/>
    <cellStyle name="Normal 94" xfId="30676" xr:uid="{02E5A543-1FA0-4DCB-9AF5-A7CAF35D9EF2}"/>
    <cellStyle name="Normal 94 2" xfId="30677" xr:uid="{05C655D1-05FF-47C1-9F01-B0C1B2487D66}"/>
    <cellStyle name="Normal 94 2 2" xfId="30678" xr:uid="{5F7ACD27-C0A0-485D-8F17-D7110EC7ECAD}"/>
    <cellStyle name="Normal 94 2 2 2" xfId="30679" xr:uid="{2371E091-0A30-44F4-95A6-F858543B89AF}"/>
    <cellStyle name="Normal 94 2 3" xfId="30680" xr:uid="{5812325A-A45E-4245-9D1C-60433C5ECE1A}"/>
    <cellStyle name="Normal 94 3" xfId="30681" xr:uid="{B6C43A19-C0AD-4BA7-8820-081D71449EC2}"/>
    <cellStyle name="Normal 94 3 2" xfId="30682" xr:uid="{559A16D4-960E-4CC4-9E59-D67362A6F2BD}"/>
    <cellStyle name="Normal 94 3 2 2" xfId="30683" xr:uid="{6C643378-EEEF-45F9-99F1-410BE358AB24}"/>
    <cellStyle name="Normal 94 3 3" xfId="30684" xr:uid="{B4BF77C8-1983-41B2-BA1F-07F6185FB22D}"/>
    <cellStyle name="Normal 94 4" xfId="30685" xr:uid="{3A2C20FF-669A-4C39-A570-9DF96DBEE863}"/>
    <cellStyle name="Normal 94 5" xfId="39229" xr:uid="{A3C476A2-F470-4343-889B-AE9DA2A88B61}"/>
    <cellStyle name="Normal 95" xfId="30686" xr:uid="{724D1AF7-15FD-44F9-9605-5B7FEF261D97}"/>
    <cellStyle name="Normal 95 2" xfId="30687" xr:uid="{E07DCE82-696C-4ECA-BCDC-7DBE4D156337}"/>
    <cellStyle name="Normal 95 2 2" xfId="30688" xr:uid="{D7FAFA01-BD9A-49EB-BF17-5B23B9153134}"/>
    <cellStyle name="Normal 95 2 2 2" xfId="30689" xr:uid="{782533A1-A334-41AF-A98D-403EECE17259}"/>
    <cellStyle name="Normal 95 2 3" xfId="30690" xr:uid="{428D4450-9753-4D3F-8B39-2419FFFAAA87}"/>
    <cellStyle name="Normal 95 3" xfId="30691" xr:uid="{B5B68A4E-ADBC-40E6-9767-624D91993722}"/>
    <cellStyle name="Normal 95 3 2" xfId="30692" xr:uid="{F71959CC-ED0D-41FA-B05F-EFFDE62C8917}"/>
    <cellStyle name="Normal 95 3 2 2" xfId="30693" xr:uid="{EFA4442D-909F-4BD5-8ABC-D0EBE3544EF1}"/>
    <cellStyle name="Normal 95 3 3" xfId="30694" xr:uid="{A0B800DF-4B9A-47F3-AFDC-152891852CE1}"/>
    <cellStyle name="Normal 95 4" xfId="30695" xr:uid="{6034040C-F493-47CA-8FFB-ECD89B5620F8}"/>
    <cellStyle name="Normal 95 4 2" xfId="30696" xr:uid="{7F37F9B2-90CB-4632-A037-10FF30B14C57}"/>
    <cellStyle name="Normal 95 5" xfId="30697" xr:uid="{31CD5DBA-6A3C-4732-9C84-202CA264A0C7}"/>
    <cellStyle name="Normal 95 6" xfId="39230" xr:uid="{1BC54881-5CED-4E58-A0A8-E15AD92E96C8}"/>
    <cellStyle name="Normal 96" xfId="30698" xr:uid="{B1569647-6E19-45CB-945F-A1BBD2BD69F6}"/>
    <cellStyle name="Normal 96 10" xfId="30699" xr:uid="{B316B293-A713-4CCC-8D6C-A61B681AB9D0}"/>
    <cellStyle name="Normal 96 10 2" xfId="30700" xr:uid="{6183E809-73F0-4830-894C-16A935D072CC}"/>
    <cellStyle name="Normal 96 10 2 2" xfId="30701" xr:uid="{EFDCE705-2152-42A7-9650-915B08AE4E8D}"/>
    <cellStyle name="Normal 96 10 3" xfId="30702" xr:uid="{6892EEBA-2780-47ED-9A4C-D5A60F8E68F6}"/>
    <cellStyle name="Normal 96 10 3 2" xfId="30703" xr:uid="{3575BCCA-4F77-44FD-90AE-6999C2044F8F}"/>
    <cellStyle name="Normal 96 10 4" xfId="30704" xr:uid="{F6A815B0-F455-4582-ACE6-0B70F61CA579}"/>
    <cellStyle name="Normal 96 11" xfId="30705" xr:uid="{A3A52149-2E87-4BD2-84DA-4A269E219286}"/>
    <cellStyle name="Normal 96 11 2" xfId="30706" xr:uid="{F6D8B2E3-DAFF-41D7-B750-D74154FB6850}"/>
    <cellStyle name="Normal 96 11 2 2" xfId="30707" xr:uid="{7811DEAF-29BB-49FF-A018-E921F32D9811}"/>
    <cellStyle name="Normal 96 11 3" xfId="30708" xr:uid="{2A4DB234-7F88-4788-A7EB-1B41C88BD0BC}"/>
    <cellStyle name="Normal 96 11 3 2" xfId="30709" xr:uid="{E7B16F56-8F10-43CD-997B-C948E71AA4D2}"/>
    <cellStyle name="Normal 96 11 4" xfId="30710" xr:uid="{5C5A30C3-591A-4092-80FC-9089845A124A}"/>
    <cellStyle name="Normal 96 12" xfId="30711" xr:uid="{F9EFEC70-6EB0-4BB1-BEDD-6E560A40487A}"/>
    <cellStyle name="Normal 96 12 2" xfId="30712" xr:uid="{D1DF0F3B-71D7-4DB4-9DD5-B1F001BCF4A2}"/>
    <cellStyle name="Normal 96 12 2 2" xfId="30713" xr:uid="{91610BE4-C605-4105-B9F5-F66471B073F8}"/>
    <cellStyle name="Normal 96 12 3" xfId="30714" xr:uid="{78E5CF66-13DE-497A-AF8A-FE1668EA7636}"/>
    <cellStyle name="Normal 96 12 3 2" xfId="30715" xr:uid="{B36EC0DE-C3BC-41ED-AB54-DBCC8C75FB10}"/>
    <cellStyle name="Normal 96 12 4" xfId="30716" xr:uid="{8074B097-4C46-42CA-8EDD-8909DD9EB372}"/>
    <cellStyle name="Normal 96 13" xfId="30717" xr:uid="{0B8D8BDE-88A9-42BE-9C06-BEB3C6DB75CB}"/>
    <cellStyle name="Normal 96 13 2" xfId="30718" xr:uid="{92F2C290-3C63-41B1-96BB-99D4C83974FE}"/>
    <cellStyle name="Normal 96 13 2 2" xfId="30719" xr:uid="{E0FFB316-2547-4F03-841D-AF48C44ED4AD}"/>
    <cellStyle name="Normal 96 13 3" xfId="30720" xr:uid="{50EE7F10-5BA6-4A47-95C7-118AD28BA673}"/>
    <cellStyle name="Normal 96 14" xfId="30721" xr:uid="{13CD7F19-1713-4AC8-A26E-01B080444B3C}"/>
    <cellStyle name="Normal 96 14 2" xfId="30722" xr:uid="{567A34CE-41F4-4CD5-9A23-7445F1FEEC58}"/>
    <cellStyle name="Normal 96 15" xfId="30723" xr:uid="{30E5842E-6CB7-49A5-876A-0AB766CBACC8}"/>
    <cellStyle name="Normal 96 16" xfId="39231" xr:uid="{0D31159B-F9D5-4252-87B6-C39D3232231A}"/>
    <cellStyle name="Normal 96 2" xfId="30724" xr:uid="{A87D0E6A-6723-402E-8377-C0CE8B564160}"/>
    <cellStyle name="Normal 96 2 2" xfId="30725" xr:uid="{BA2F5903-5580-4C1F-80E2-64B39D55D935}"/>
    <cellStyle name="Normal 96 2 2 2" xfId="30726" xr:uid="{F92B93DF-7383-47E8-AB05-461A9F3498AA}"/>
    <cellStyle name="Normal 96 2 3" xfId="30727" xr:uid="{50425430-ED07-453E-91D4-9917FC605CF6}"/>
    <cellStyle name="Normal 96 2 3 2" xfId="30728" xr:uid="{48C2090D-B86D-4558-8BCF-D093045625CA}"/>
    <cellStyle name="Normal 96 2 4" xfId="30729" xr:uid="{8E0FBEF8-AB9D-479E-A1F6-0AD1C0913705}"/>
    <cellStyle name="Normal 96 3" xfId="30730" xr:uid="{C1ED090B-B141-401B-9B6C-64C62F69A242}"/>
    <cellStyle name="Normal 96 3 2" xfId="30731" xr:uid="{A24D64B8-2EFC-4AE2-A883-F9EF214B73FF}"/>
    <cellStyle name="Normal 96 3 2 2" xfId="30732" xr:uid="{71D6A92F-358E-4F53-8BA7-074C8A110A50}"/>
    <cellStyle name="Normal 96 3 3" xfId="30733" xr:uid="{8649C7E4-3CE6-4B44-BF44-5431A065353E}"/>
    <cellStyle name="Normal 96 3 3 2" xfId="30734" xr:uid="{0FD507BF-745D-4CE5-BF07-C06182ABAB73}"/>
    <cellStyle name="Normal 96 3 4" xfId="30735" xr:uid="{07BC3CE8-651B-48BB-9BF6-68DBA9138BE6}"/>
    <cellStyle name="Normal 96 4" xfId="30736" xr:uid="{C4AFAF84-5ED6-4545-BC7D-5A295B5C5F01}"/>
    <cellStyle name="Normal 96 4 2" xfId="30737" xr:uid="{6CBBEC83-76F6-493F-B91E-490D2748BFB5}"/>
    <cellStyle name="Normal 96 4 2 2" xfId="30738" xr:uid="{4FE95487-D075-4585-92D1-A2038300FC3E}"/>
    <cellStyle name="Normal 96 4 3" xfId="30739" xr:uid="{3AB04C30-C47E-4FB1-80FA-4F83AD6D0372}"/>
    <cellStyle name="Normal 96 4 3 2" xfId="30740" xr:uid="{77F528B3-7147-424D-8087-71BE3417C294}"/>
    <cellStyle name="Normal 96 4 4" xfId="30741" xr:uid="{14680F2B-992C-4B0C-8C97-3F4E6435F5D9}"/>
    <cellStyle name="Normal 96 5" xfId="30742" xr:uid="{AA5C2E53-122F-493F-B0CB-4BD487F495B4}"/>
    <cellStyle name="Normal 96 5 2" xfId="30743" xr:uid="{9979E90C-0596-4E43-8732-5511FB6F088B}"/>
    <cellStyle name="Normal 96 5 2 2" xfId="30744" xr:uid="{96626F5C-BA31-438F-BEB6-41713A993D59}"/>
    <cellStyle name="Normal 96 5 3" xfId="30745" xr:uid="{21706F54-DD55-4A5D-A374-49F48EF02F90}"/>
    <cellStyle name="Normal 96 5 3 2" xfId="30746" xr:uid="{C8B80824-C1F5-407A-A467-20DF1B40AD3E}"/>
    <cellStyle name="Normal 96 5 4" xfId="30747" xr:uid="{33AAC4CB-D551-4F12-BD4B-02D7EE3E5D48}"/>
    <cellStyle name="Normal 96 6" xfId="30748" xr:uid="{C15C5487-0C77-488B-A8B7-B796984E319E}"/>
    <cellStyle name="Normal 96 6 2" xfId="30749" xr:uid="{25737080-35B8-426A-B056-2B031994BD05}"/>
    <cellStyle name="Normal 96 6 2 2" xfId="30750" xr:uid="{4BB5B075-3A82-4BC3-9A7D-53C2ECD258A3}"/>
    <cellStyle name="Normal 96 6 3" xfId="30751" xr:uid="{4125E812-AB7B-4CC3-98A8-8FE069F8481D}"/>
    <cellStyle name="Normal 96 6 3 2" xfId="30752" xr:uid="{2D216044-FA29-4C67-9092-7940BC2ED177}"/>
    <cellStyle name="Normal 96 6 4" xfId="30753" xr:uid="{0C597A38-E169-4206-B564-B26430BCFAD8}"/>
    <cellStyle name="Normal 96 7" xfId="30754" xr:uid="{B4BE0C51-2189-42B8-830D-FD07131CEEBC}"/>
    <cellStyle name="Normal 96 7 2" xfId="30755" xr:uid="{9E82A1D0-2033-4092-8D70-86F86816A03F}"/>
    <cellStyle name="Normal 96 7 2 2" xfId="30756" xr:uid="{FC7DC65F-C49A-4AC6-8BF4-76EC7032F279}"/>
    <cellStyle name="Normal 96 7 3" xfId="30757" xr:uid="{F632BA3D-001F-4E7C-AE57-B66297F0B772}"/>
    <cellStyle name="Normal 96 7 3 2" xfId="30758" xr:uid="{A5FA0782-1E09-42C4-BFB4-892D6867853D}"/>
    <cellStyle name="Normal 96 7 4" xfId="30759" xr:uid="{EABA352F-65AC-4503-9633-C6D9E2EC08DC}"/>
    <cellStyle name="Normal 96 8" xfId="30760" xr:uid="{DACDFC8C-6619-4C99-9F29-4D09855EB643}"/>
    <cellStyle name="Normal 96 8 2" xfId="30761" xr:uid="{1A56201A-D390-45C5-9501-E77FBC9D7AA4}"/>
    <cellStyle name="Normal 96 8 2 2" xfId="30762" xr:uid="{6413EB30-EED8-4936-B832-747D717D21F3}"/>
    <cellStyle name="Normal 96 8 3" xfId="30763" xr:uid="{05033EE7-C77A-411C-A8FD-4E93FAA6321D}"/>
    <cellStyle name="Normal 96 8 3 2" xfId="30764" xr:uid="{705DDEFC-FBC7-4433-A597-7EB8352EACFD}"/>
    <cellStyle name="Normal 96 8 4" xfId="30765" xr:uid="{30FBDA57-04B0-47D8-B754-9DA28DAE1E44}"/>
    <cellStyle name="Normal 96 9" xfId="30766" xr:uid="{B61222B7-40FF-40A2-9ECE-6E23BAB0F9D0}"/>
    <cellStyle name="Normal 96 9 2" xfId="30767" xr:uid="{33A0ECC4-B405-4D2F-89AC-D15194E66449}"/>
    <cellStyle name="Normal 96 9 2 2" xfId="30768" xr:uid="{9D9A8C33-DB2F-4847-8A5A-D619E3E6B727}"/>
    <cellStyle name="Normal 96 9 3" xfId="30769" xr:uid="{54197983-E459-405A-A275-E94B51C3FE83}"/>
    <cellStyle name="Normal 96 9 3 2" xfId="30770" xr:uid="{3338B12A-FDA6-44CE-AFAD-5E4321DB3A5C}"/>
    <cellStyle name="Normal 96 9 4" xfId="30771" xr:uid="{5FFC0DD4-DE6F-4FEA-9442-911BC2603553}"/>
    <cellStyle name="Normal 97" xfId="30772" xr:uid="{2533C20B-05CF-4F59-AFE5-B99E7A57B2F8}"/>
    <cellStyle name="Normal 97 2" xfId="30773" xr:uid="{FC5CDEA7-3E29-4289-AC46-CDACC90DB39D}"/>
    <cellStyle name="Normal 97 2 2" xfId="30774" xr:uid="{692C59A9-A990-4694-B833-55B07AEB46C1}"/>
    <cellStyle name="Normal 97 3" xfId="30775" xr:uid="{84C5D76F-8423-44B9-AD3B-BEB03308CACE}"/>
    <cellStyle name="Normal 97 3 2" xfId="30776" xr:uid="{1B0F9325-701C-4C80-802F-7807D66A9FF5}"/>
    <cellStyle name="Normal 97 4" xfId="30777" xr:uid="{5E0E4BD3-D935-467B-8F79-6D8C5259D84C}"/>
    <cellStyle name="Normal 97 5" xfId="39232" xr:uid="{6B58EE76-5DEE-41F1-9E7C-2334DFE1290F}"/>
    <cellStyle name="Normal 98" xfId="30778" xr:uid="{90B4D5BA-1B8B-4495-8E5A-71D2D0C44D02}"/>
    <cellStyle name="Normal 98 2" xfId="30779" xr:uid="{B705C7BC-C4B3-494D-9D18-E60B6F7672CC}"/>
    <cellStyle name="Normal 98 2 2" xfId="30780" xr:uid="{468759F5-9BC0-4F2A-886A-EC6704F5FFE7}"/>
    <cellStyle name="Normal 98 2 2 2" xfId="30781" xr:uid="{EC726DF1-CFA6-41E4-8985-72DB3DF91565}"/>
    <cellStyle name="Normal 98 2 3" xfId="30782" xr:uid="{C8D3410C-993A-4829-8027-46E424001460}"/>
    <cellStyle name="Normal 98 3" xfId="30783" xr:uid="{58492D9A-AFC4-4CF4-9598-D2C765FF60D4}"/>
    <cellStyle name="Normal 98 3 2" xfId="30784" xr:uid="{7AB82205-0943-4CFE-834C-108109A48C34}"/>
    <cellStyle name="Normal 98 3 2 2" xfId="30785" xr:uid="{424A481B-E536-40AE-B409-5DBA3E110575}"/>
    <cellStyle name="Normal 98 3 3" xfId="30786" xr:uid="{EE092CD4-ABCC-4352-96B6-DCF3F79C3705}"/>
    <cellStyle name="Normal 98 4" xfId="30787" xr:uid="{521C2EB7-364B-403C-96A8-804AAEE1BAA4}"/>
    <cellStyle name="Normal 98 4 2" xfId="30788" xr:uid="{3B788123-F374-43AB-B915-EB2339BF8214}"/>
    <cellStyle name="Normal 98 5" xfId="30789" xr:uid="{2E19CCEE-DF80-45AE-9295-A2EC1D2FDFB7}"/>
    <cellStyle name="Normal 98 6" xfId="39233" xr:uid="{8DA65AE9-8AFF-48FC-93C9-BDCC132B2CCE}"/>
    <cellStyle name="Normal 99" xfId="30790" xr:uid="{7D140C55-4EAE-4C20-A01E-BAF40C28D8D9}"/>
    <cellStyle name="Normal 99 2" xfId="30791" xr:uid="{BAF86E3F-272D-4B09-AD8C-EBBC45B22948}"/>
    <cellStyle name="Normal 99 2 2" xfId="30792" xr:uid="{41EAFB88-498A-43C5-9E06-D22A098BF32D}"/>
    <cellStyle name="Normal 99 3" xfId="30793" xr:uid="{E9462451-AB38-4493-8740-DDB3360C41DF}"/>
    <cellStyle name="Normal 99 3 2" xfId="30794" xr:uid="{50D34F81-5298-4C7A-AE0B-F49F8B6C7E98}"/>
    <cellStyle name="Normal 99 3 2 2" xfId="30795" xr:uid="{95832197-1F70-471A-A216-6E98F9C1C1DA}"/>
    <cellStyle name="Normal 99 3 3" xfId="30796" xr:uid="{8A51BD79-887C-4D8E-AD92-F997CAC34D64}"/>
    <cellStyle name="Normal 99 4" xfId="30797" xr:uid="{05EF5879-33B3-4AF9-A74D-6C1CB0CC55C6}"/>
    <cellStyle name="Normal 99 4 2" xfId="30798" xr:uid="{175B7437-DE1E-4523-8BD3-F1F85B96523F}"/>
    <cellStyle name="Normal 99 4 2 2" xfId="30799" xr:uid="{6C637D3C-E3A6-4017-A39B-7C1B12216B2D}"/>
    <cellStyle name="Normal 99 4 3" xfId="30800" xr:uid="{7C30F436-7485-46F1-B3DB-E5E16BCF7436}"/>
    <cellStyle name="Normal 99 5" xfId="30801" xr:uid="{991019F7-3732-4561-BF30-4D007D4F7E07}"/>
    <cellStyle name="Normal 99 5 2" xfId="30802" xr:uid="{BC0229D4-3285-4F6D-9CFD-A30F33D80B89}"/>
    <cellStyle name="Normal 99 6" xfId="30803" xr:uid="{1AD2105A-EAD4-4E0F-8921-183592F66692}"/>
    <cellStyle name="Normal 99 7" xfId="39234" xr:uid="{C7FB000D-2346-4E35-A8C4-8B1B8BEDF598}"/>
    <cellStyle name="Normale_A" xfId="30804" xr:uid="{EB1607BF-AE9F-4C93-861B-CA470DE155EA}"/>
    <cellStyle name="normální_BSAnalByPeriod" xfId="30805" xr:uid="{CDF4444A-0BD9-4040-B378-603F5F735B86}"/>
    <cellStyle name="Normalny_Arkusz1" xfId="30806" xr:uid="{F35DB44C-50A5-4DAB-910D-B25C6782BE0B}"/>
    <cellStyle name="Nota" xfId="30807" xr:uid="{50A0F246-EDDD-4E30-A0C4-D558FD768144}"/>
    <cellStyle name="Note" xfId="59" builtinId="10" hidden="1"/>
    <cellStyle name="Note" xfId="101" builtinId="10" customBuiltin="1"/>
    <cellStyle name="Note 10" xfId="30808" xr:uid="{80EA2BDA-199A-422D-9CD8-29DDD673F7DF}"/>
    <cellStyle name="Note 10 2" xfId="30809" xr:uid="{0CD6FF6E-BEDE-4B03-B5F7-B395B410AB83}"/>
    <cellStyle name="Note 10 2 2" xfId="30810" xr:uid="{B2E660D9-0020-4AB4-AC5B-79CAB6050894}"/>
    <cellStyle name="Note 10 2 2 2" xfId="39235" xr:uid="{C74D37CD-43CA-4E01-92FE-7FE1A76E14D2}"/>
    <cellStyle name="Note 10 2 3" xfId="39236" xr:uid="{5A8DA001-52B6-4F8F-8351-0112B64B75E2}"/>
    <cellStyle name="Note 10 2 4" xfId="39237" xr:uid="{17571379-60C8-4B8F-9350-5440120A96C0}"/>
    <cellStyle name="Note 10 3" xfId="30811" xr:uid="{CE26BB60-0DBC-4B1C-B9DE-F77BB245EF05}"/>
    <cellStyle name="Note 10 3 2" xfId="39238" xr:uid="{95EF03A7-2F50-4DCA-9245-0103FDD58BD9}"/>
    <cellStyle name="Note 10 4" xfId="39239" xr:uid="{2766691E-A3FD-4E51-9D91-643AD91F006B}"/>
    <cellStyle name="Note 10 5" xfId="39240" xr:uid="{BFCDD9DE-486E-45F4-985D-68E94EC3A69E}"/>
    <cellStyle name="Note 10 6" xfId="39241" xr:uid="{D4EF0F2D-13CA-4373-9D5D-462471441487}"/>
    <cellStyle name="Note 100" xfId="30812" xr:uid="{2CAC6828-5ABF-4E07-96DC-9726D9FE7E2C}"/>
    <cellStyle name="Note 101" xfId="30813" xr:uid="{A11B7E1E-CDAE-4FAD-8E19-13019DA3278E}"/>
    <cellStyle name="Note 102" xfId="30814" xr:uid="{B00011D2-A977-41A5-AE18-C7F62421ECF1}"/>
    <cellStyle name="Note 103" xfId="30815" xr:uid="{EBFACA47-4962-4DC8-865C-11D78ACDBBA3}"/>
    <cellStyle name="Note 104" xfId="30816" xr:uid="{71B3922B-A537-4943-9B62-3EADA46F9996}"/>
    <cellStyle name="Note 105" xfId="30817" xr:uid="{59ABC6E0-5016-4E65-AD21-A1B82C380663}"/>
    <cellStyle name="Note 106" xfId="30818" xr:uid="{7DF6FBAE-8D2A-43B8-874D-17095B5FD8A0}"/>
    <cellStyle name="Note 107" xfId="30819" xr:uid="{7D5220BF-6C4F-41D4-B7DA-0E2F64B41BF5}"/>
    <cellStyle name="Note 108" xfId="30820" xr:uid="{3204B87F-4468-401C-89CB-7955226FA672}"/>
    <cellStyle name="Note 109" xfId="30821" xr:uid="{770C7C2B-1C2E-46FB-976F-B2C60FA1E038}"/>
    <cellStyle name="Note 11" xfId="30822" xr:uid="{4F9385F3-46A3-4A67-A1F1-B230940DEBDB}"/>
    <cellStyle name="Note 11 2" xfId="30823" xr:uid="{BD2DF730-ABB7-4303-90E3-BEE392B96E3F}"/>
    <cellStyle name="Note 11 2 2" xfId="30824" xr:uid="{07C3B972-9B92-4EF4-860B-B0CC424A5643}"/>
    <cellStyle name="Note 11 2 2 2" xfId="39242" xr:uid="{2804CD6A-0199-48E1-9010-33480AC48616}"/>
    <cellStyle name="Note 11 2 3" xfId="39243" xr:uid="{01932A20-B164-4958-A108-40C5C7F6200D}"/>
    <cellStyle name="Note 11 2 4" xfId="39244" xr:uid="{8190C714-D183-4BF1-BC37-0006FF6EFDBF}"/>
    <cellStyle name="Note 11 3" xfId="30825" xr:uid="{C5F57201-9C7E-440A-8D0E-856C45DCAA2F}"/>
    <cellStyle name="Note 11 3 2" xfId="39245" xr:uid="{6B00BCAA-FF2B-4568-8747-E72D3E39396C}"/>
    <cellStyle name="Note 11 4" xfId="39246" xr:uid="{65E67FFD-410E-4D99-BEA0-24ED5ECE5A4E}"/>
    <cellStyle name="Note 11 5" xfId="39247" xr:uid="{6C1452AD-76B8-4EEC-8950-83AAF7EEB765}"/>
    <cellStyle name="Note 11 6" xfId="39248" xr:uid="{454D6715-41F1-42C7-87F8-51BDFA9E3F10}"/>
    <cellStyle name="Note 110" xfId="30826" xr:uid="{3AE2BC1C-5E08-4288-A81E-E89E2A2298CB}"/>
    <cellStyle name="Note 111" xfId="30827" xr:uid="{D0A5B69F-EA7E-4B71-8817-6FF91E23A7DF}"/>
    <cellStyle name="Note 112" xfId="30828" xr:uid="{602D4A34-83C8-49E8-AFC1-E3F9F519A4FC}"/>
    <cellStyle name="Note 113" xfId="30829" xr:uid="{AE17D685-3488-4336-8FC7-EC8134C00AA4}"/>
    <cellStyle name="Note 114" xfId="30830" xr:uid="{745153F4-80DA-448B-8163-B585FCF61AE1}"/>
    <cellStyle name="Note 115" xfId="30831" xr:uid="{9A7AA21A-0948-43BC-9C00-8AC796181F5B}"/>
    <cellStyle name="Note 116" xfId="30832" xr:uid="{2D9A80CE-EB80-4292-82A2-5001CF2BB501}"/>
    <cellStyle name="Note 117" xfId="30833" xr:uid="{50441B54-FBB6-4016-B4E1-C5AEDC2F4241}"/>
    <cellStyle name="Note 118" xfId="30834" xr:uid="{4E7D88E2-4995-4D82-B3F0-6AA5F67E6C7F}"/>
    <cellStyle name="Note 119" xfId="30835" xr:uid="{4A34AA23-C4D4-4115-8058-114F4D0DFF9D}"/>
    <cellStyle name="Note 12" xfId="30836" xr:uid="{F44D6FBF-CCD7-432E-80E9-AE63FD29DA99}"/>
    <cellStyle name="Note 12 2" xfId="30837" xr:uid="{F5E6AAE5-2F73-49C7-A7CA-3E608CE8E6EB}"/>
    <cellStyle name="Note 12 2 2" xfId="30838" xr:uid="{1D2FAE10-A341-4BBA-951E-F67211F305D3}"/>
    <cellStyle name="Note 12 2 2 2" xfId="39249" xr:uid="{24D86E21-BF4B-4C7F-9629-054257185FC8}"/>
    <cellStyle name="Note 12 2 3" xfId="39250" xr:uid="{43614870-50B6-42D2-9616-C49D9BA5028A}"/>
    <cellStyle name="Note 12 2 4" xfId="39251" xr:uid="{A8B8A368-2903-4BD3-A4AE-8C1DC842FECD}"/>
    <cellStyle name="Note 12 3" xfId="30839" xr:uid="{F783AB32-06E3-4099-A042-810050F69A5C}"/>
    <cellStyle name="Note 12 3 2" xfId="39252" xr:uid="{BF1C7AE6-0583-4119-9C66-250CF95A2D1E}"/>
    <cellStyle name="Note 12 4" xfId="39253" xr:uid="{DECBBB48-9E42-4C26-9C72-DA8832CD028B}"/>
    <cellStyle name="Note 12 5" xfId="39254" xr:uid="{387167AD-8084-4D6A-9037-434B86B37EBC}"/>
    <cellStyle name="Note 12 6" xfId="39255" xr:uid="{FE0FE5D0-B665-4467-875E-65299EB5B0B5}"/>
    <cellStyle name="Note 120" xfId="30840" xr:uid="{157D0EE4-7E89-4DE5-ADAB-27C6E00003B6}"/>
    <cellStyle name="Note 121" xfId="30841" xr:uid="{DEC00638-DC08-42D2-801D-C1FC2545F7DE}"/>
    <cellStyle name="Note 122" xfId="30842" xr:uid="{2E31E284-0AEA-4594-811B-C346694D4D3C}"/>
    <cellStyle name="Note 123" xfId="30843" xr:uid="{C18C39C2-B1A5-4FA9-9E4E-58D82A3D4B47}"/>
    <cellStyle name="Note 124" xfId="30844" xr:uid="{CDC7494D-675C-42B3-A164-F7D4EFF6BA43}"/>
    <cellStyle name="Note 125" xfId="30845" xr:uid="{B07D6F5A-303E-4FDF-AE02-6C1948AD8CC9}"/>
    <cellStyle name="Note 126" xfId="30846" xr:uid="{0271BC70-CA23-4EB3-BE68-40EFD9FA1FCF}"/>
    <cellStyle name="Note 127" xfId="30847" xr:uid="{C7C73D00-D0AE-45ED-8CB8-7C0D7E708EBC}"/>
    <cellStyle name="Note 128" xfId="30848" xr:uid="{8E128102-9E6B-4D96-9546-5F17C62B756E}"/>
    <cellStyle name="Note 129" xfId="30849" xr:uid="{A5C7FF23-83CF-4370-AFF3-F46CF7EA131B}"/>
    <cellStyle name="Note 13" xfId="30850" xr:uid="{38470011-F017-4814-89BA-A6DDC923F98F}"/>
    <cellStyle name="Note 13 2" xfId="30851" xr:uid="{C445D758-5852-43B8-9AF4-87C8C79F5323}"/>
    <cellStyle name="Note 13 2 2" xfId="30852" xr:uid="{CE73438D-65F5-48FB-A77A-D42C8D44E6CE}"/>
    <cellStyle name="Note 13 2 2 2" xfId="39256" xr:uid="{8BA8B361-5DD1-48D5-B722-06F9ED4AFE48}"/>
    <cellStyle name="Note 13 2 3" xfId="39257" xr:uid="{513E5F9A-0518-4DBC-BD4E-0162D9863B53}"/>
    <cellStyle name="Note 13 2 4" xfId="39258" xr:uid="{8181F974-6485-464C-9098-8787242C6AE0}"/>
    <cellStyle name="Note 13 3" xfId="30853" xr:uid="{E2AE6D41-9BC7-4E5D-A326-5D77070FABCE}"/>
    <cellStyle name="Note 13 3 2" xfId="39259" xr:uid="{C21ADCC8-1733-429C-A4B0-186EC56CF7E1}"/>
    <cellStyle name="Note 13 4" xfId="39260" xr:uid="{5CFA6251-63D6-4C05-A9AC-1AF102341176}"/>
    <cellStyle name="Note 13 5" xfId="39261" xr:uid="{3F1D4A81-288B-4027-8C68-E1D471984FB9}"/>
    <cellStyle name="Note 13 6" xfId="39262" xr:uid="{E483B8CC-6887-42DD-BA21-5FCC3430B11F}"/>
    <cellStyle name="Note 130" xfId="30854" xr:uid="{16EEB116-F439-42A1-AB88-DBD36EBB1176}"/>
    <cellStyle name="Note 131" xfId="30855" xr:uid="{D99817D6-C37A-458D-8051-89216A992A8E}"/>
    <cellStyle name="Note 132" xfId="30856" xr:uid="{F6BE4D01-5BAD-4D16-ABE1-81738D57FAEC}"/>
    <cellStyle name="Note 133" xfId="30857" xr:uid="{5A98214E-4D07-4D9F-B1B7-31C24B4E7033}"/>
    <cellStyle name="Note 134" xfId="30858" xr:uid="{5C4B0E8B-97F4-4D77-B9E9-E087B5DD0167}"/>
    <cellStyle name="Note 135" xfId="30859" xr:uid="{AE53777F-E8CE-4085-BB70-8C0888AE1E48}"/>
    <cellStyle name="Note 136" xfId="30860" xr:uid="{CDBEB65B-0440-42DD-8743-B775D4AA85F2}"/>
    <cellStyle name="Note 137" xfId="30861" xr:uid="{13D553BD-DBB7-450A-81B6-1D6BE9855816}"/>
    <cellStyle name="Note 138" xfId="30862" xr:uid="{EC43B286-B28B-44A5-B888-AF82A2CF2963}"/>
    <cellStyle name="Note 139" xfId="30863" xr:uid="{4D50634D-F92E-49DF-B0C7-26988A818464}"/>
    <cellStyle name="Note 14" xfId="30864" xr:uid="{51EB4E66-3E62-4CD7-8566-E4C4A3D0923E}"/>
    <cellStyle name="Note 14 2" xfId="30865" xr:uid="{9EEB140B-BE06-4241-BA26-A3A76F933B78}"/>
    <cellStyle name="Note 14 2 2" xfId="30866" xr:uid="{D3BBE551-0F94-4909-A7A0-7B0FD8C50CD1}"/>
    <cellStyle name="Note 14 2 2 2" xfId="39263" xr:uid="{94BA1CF5-9CBD-49DD-9600-364D59F46176}"/>
    <cellStyle name="Note 14 2 3" xfId="39264" xr:uid="{6C77727C-523D-464E-A7CC-27EE85837BBB}"/>
    <cellStyle name="Note 14 2 4" xfId="39265" xr:uid="{90200055-E4B5-4623-86D5-7A709AEA8334}"/>
    <cellStyle name="Note 14 3" xfId="30867" xr:uid="{CB1709EF-F3BC-4986-B3AA-C66F7D760671}"/>
    <cellStyle name="Note 14 3 2" xfId="39266" xr:uid="{5B5A8BFF-3835-47F8-9ECC-67A5D41644F6}"/>
    <cellStyle name="Note 14 4" xfId="39267" xr:uid="{213E4E08-C6D4-476D-AFDF-B6141E7965B6}"/>
    <cellStyle name="Note 14 5" xfId="39268" xr:uid="{8CA0E185-B210-41A4-86B3-6CEF30F7F9E1}"/>
    <cellStyle name="Note 14 6" xfId="39269" xr:uid="{D100F217-7FEF-49D4-A4C5-132D3242D919}"/>
    <cellStyle name="Note 140" xfId="30868" xr:uid="{039A4D83-1753-4AE4-8A62-7FC34CC315E7}"/>
    <cellStyle name="Note 141" xfId="30869" xr:uid="{79479BD0-8304-41FD-A4D4-F9AC4EAABE4A}"/>
    <cellStyle name="Note 142" xfId="30870" xr:uid="{713D4832-DD1F-483B-B2AC-161ECFC2F075}"/>
    <cellStyle name="Note 143" xfId="30871" xr:uid="{152F5645-E178-4637-8F68-67B8930EB016}"/>
    <cellStyle name="Note 144" xfId="30872" xr:uid="{F5116956-DD43-488E-9E3C-11B4B1FB5DA0}"/>
    <cellStyle name="Note 145" xfId="30873" xr:uid="{15295949-9776-4F07-BE3A-79251F917E9B}"/>
    <cellStyle name="Note 146" xfId="30874" xr:uid="{05E1F59D-1244-434C-92E8-71CA6EA5EC2B}"/>
    <cellStyle name="Note 147" xfId="30875" xr:uid="{2C5E0FB5-E66D-473E-95B4-2846A77357AA}"/>
    <cellStyle name="Note 148" xfId="30876" xr:uid="{DE9D9E5B-B2E3-423D-8270-637DEA321426}"/>
    <cellStyle name="Note 149" xfId="30877" xr:uid="{62B0680D-A729-4D83-B94F-87D574415961}"/>
    <cellStyle name="Note 15" xfId="30878" xr:uid="{EAEC4243-E6D3-4BBB-9426-27C6C0131CD1}"/>
    <cellStyle name="Note 15 2" xfId="30879" xr:uid="{BDF14E94-8B17-4F73-BE6A-723AAAAF1178}"/>
    <cellStyle name="Note 15 2 2" xfId="30880" xr:uid="{F450D048-77BA-441F-A9E7-10333C343EF1}"/>
    <cellStyle name="Note 15 2 2 2" xfId="39270" xr:uid="{939EFEA2-D941-45F1-8596-9458BC4D75E2}"/>
    <cellStyle name="Note 15 2 3" xfId="39271" xr:uid="{FB5D14BA-E4F9-4878-A16F-243BEE69BD2F}"/>
    <cellStyle name="Note 15 2 4" xfId="39272" xr:uid="{936A4011-A6CB-4E36-AA68-DA54C654E792}"/>
    <cellStyle name="Note 15 3" xfId="30881" xr:uid="{699AFE2E-FF33-444D-B722-F6D9BDB559F7}"/>
    <cellStyle name="Note 15 3 2" xfId="39273" xr:uid="{B01BD21A-5E87-4AF0-B9F7-898189C1ECAB}"/>
    <cellStyle name="Note 15 4" xfId="39274" xr:uid="{E87AD1AD-AEE3-46F1-8936-99C23FA121AD}"/>
    <cellStyle name="Note 15 5" xfId="39275" xr:uid="{919BAAA8-8AD0-4144-9441-64675672F751}"/>
    <cellStyle name="Note 15 6" xfId="39276" xr:uid="{52AB5F14-21B3-49E5-B020-98EA3F5A9983}"/>
    <cellStyle name="Note 150" xfId="30882" xr:uid="{99B5C6F0-259B-4D8C-B454-35B7BACC3404}"/>
    <cellStyle name="Note 151" xfId="30883" xr:uid="{D96D347A-A33D-42AB-BB87-7C18CD10A3AD}"/>
    <cellStyle name="Note 152" xfId="30884" xr:uid="{2D59C472-5AD1-4E80-8FE0-D1792F24CB15}"/>
    <cellStyle name="Note 153" xfId="30885" xr:uid="{ECFACF7B-65CC-4CF1-8526-BB4FA32C1125}"/>
    <cellStyle name="Note 154" xfId="30886" xr:uid="{6BA40FAD-AA6B-44A8-B591-FB745C93DD3C}"/>
    <cellStyle name="Note 155" xfId="30887" xr:uid="{186E0664-7718-4E06-BDF4-3F4867D9C2A1}"/>
    <cellStyle name="Note 156" xfId="30888" xr:uid="{3FF2F967-83E1-4252-B954-77582CE9EE1E}"/>
    <cellStyle name="Note 157" xfId="30889" xr:uid="{D62D4B82-AD89-4577-B469-7AFAD2A38F31}"/>
    <cellStyle name="Note 158" xfId="30890" xr:uid="{BDD9B5D0-7818-401A-BF2E-B65FC1E8DED5}"/>
    <cellStyle name="Note 159" xfId="30891" xr:uid="{35C66710-2F2B-49C8-908A-6EA0B3C19A51}"/>
    <cellStyle name="Note 16" xfId="30892" xr:uid="{BD4B8E6F-338B-466C-8D23-4F7AC46110E3}"/>
    <cellStyle name="Note 16 2" xfId="30893" xr:uid="{EA5A5A23-C1CD-424C-A032-7157896F3A63}"/>
    <cellStyle name="Note 16 2 2" xfId="30894" xr:uid="{F525901B-7E60-423E-824B-11F6550682D5}"/>
    <cellStyle name="Note 16 2 2 2" xfId="39277" xr:uid="{BC1E711B-B7C9-4B4D-95FB-FA67F0248365}"/>
    <cellStyle name="Note 16 2 3" xfId="39278" xr:uid="{71F79379-8A7D-496C-B13D-4CA74258C537}"/>
    <cellStyle name="Note 16 2 4" xfId="39279" xr:uid="{4D0BBD4E-66C8-46BA-AF67-3C98D571FB53}"/>
    <cellStyle name="Note 16 3" xfId="30895" xr:uid="{78B586C8-9D32-4104-8D55-9316FD0D6698}"/>
    <cellStyle name="Note 16 3 2" xfId="39280" xr:uid="{3B7712A6-2491-47FC-8768-DB2D0B9C2680}"/>
    <cellStyle name="Note 16 4" xfId="39281" xr:uid="{7955A121-069C-4111-8305-63394F4BA9B0}"/>
    <cellStyle name="Note 16 5" xfId="39282" xr:uid="{B95E2A30-F221-4C57-9B6A-F020012375B8}"/>
    <cellStyle name="Note 16 6" xfId="39283" xr:uid="{2AF2F60B-ADA9-4771-9499-1FBDED2F093F}"/>
    <cellStyle name="Note 160" xfId="30896" xr:uid="{A1D709BD-52EA-451C-A328-0CF8B9695A87}"/>
    <cellStyle name="Note 17" xfId="30897" xr:uid="{2709FEDA-DBBC-41D4-99D9-1D7CE78C4CBD}"/>
    <cellStyle name="Note 17 2" xfId="30898" xr:uid="{5ED08943-C67A-4B32-A7DD-D0F6FB7BC258}"/>
    <cellStyle name="Note 17 2 2" xfId="30899" xr:uid="{DF497B44-E297-468C-9826-5DFE824696DF}"/>
    <cellStyle name="Note 17 2 2 2" xfId="39284" xr:uid="{1FA3B8A9-A1FB-4B21-B8F8-23B9F53B9638}"/>
    <cellStyle name="Note 17 2 3" xfId="39285" xr:uid="{14E2E574-CD79-48BE-8560-0D3A49211141}"/>
    <cellStyle name="Note 17 2 4" xfId="39286" xr:uid="{92A000A5-98E7-4DBB-B6EE-93B938C86D97}"/>
    <cellStyle name="Note 17 3" xfId="30900" xr:uid="{329FE9D7-7B21-48CB-BDCF-9C7CFAF49AF5}"/>
    <cellStyle name="Note 17 3 2" xfId="39287" xr:uid="{9CD2739A-B7BC-48C0-9D0A-5E87CF29B3BA}"/>
    <cellStyle name="Note 17 4" xfId="39288" xr:uid="{F34E8274-C2CB-4509-962F-E8063AE3F9F7}"/>
    <cellStyle name="Note 17 5" xfId="39289" xr:uid="{C6C4E295-60E1-4DE1-AA51-6A5DF23860FA}"/>
    <cellStyle name="Note 17 6" xfId="39290" xr:uid="{2E8591EB-57E1-4C3B-B4E2-EED96F1F0A1A}"/>
    <cellStyle name="Note 18" xfId="30901" xr:uid="{AF00C9F2-340F-4E94-A0F3-5B0AFE545368}"/>
    <cellStyle name="Note 18 2" xfId="30902" xr:uid="{A6B8CE64-788E-4B52-9C72-8BC310AF2F7B}"/>
    <cellStyle name="Note 18 2 2" xfId="30903" xr:uid="{D0BB1D91-1809-4FEB-B364-C5BA32C4863B}"/>
    <cellStyle name="Note 18 2 2 2" xfId="39291" xr:uid="{45A58B1C-CFF6-4F46-805A-9BF135A5BDAD}"/>
    <cellStyle name="Note 18 2 3" xfId="39292" xr:uid="{9F49749A-0D87-435F-8E91-CE9FAB33491F}"/>
    <cellStyle name="Note 18 2 4" xfId="39293" xr:uid="{1FBEB887-D729-448A-8BEE-62178D273023}"/>
    <cellStyle name="Note 18 3" xfId="30904" xr:uid="{B0FFC0B2-2898-43A4-BD75-8F48B9E11EA6}"/>
    <cellStyle name="Note 18 3 2" xfId="39294" xr:uid="{F8285970-5AC5-4E4A-8EB6-FB5156273048}"/>
    <cellStyle name="Note 18 4" xfId="39295" xr:uid="{66BC64FF-DB41-4680-B783-1D9148A921EB}"/>
    <cellStyle name="Note 18 5" xfId="39296" xr:uid="{8BC97FA3-79E3-42F2-84B7-27151FF42DF3}"/>
    <cellStyle name="Note 18 6" xfId="39297" xr:uid="{751250E8-A554-440A-8A89-47D52C06119F}"/>
    <cellStyle name="Note 19" xfId="30905" xr:uid="{368CEAB2-7403-4BFF-BC46-7D3115CB152E}"/>
    <cellStyle name="Note 19 2" xfId="30906" xr:uid="{2FD7FCEB-4BFA-4FAC-87C2-DD02C4C4C8E7}"/>
    <cellStyle name="Note 19 2 2" xfId="39298" xr:uid="{E1D097A8-EB4A-478E-8842-A284A6A6B4F1}"/>
    <cellStyle name="Note 19 3" xfId="39299" xr:uid="{2BDBBC7D-09F2-48A9-9A95-531FDA82CE26}"/>
    <cellStyle name="Note 19 4" xfId="39300" xr:uid="{9DDAC1FD-929E-4D6E-8DAB-55985926712D}"/>
    <cellStyle name="Note 2" xfId="30907" xr:uid="{4080EF1A-D3F9-49AA-B887-9AD88339D82D}"/>
    <cellStyle name="Note 2 10" xfId="30908" xr:uid="{497E0F2B-F35A-48A7-B862-CB135EBD64C8}"/>
    <cellStyle name="Note 2 10 2" xfId="30909" xr:uid="{25934E54-9484-4520-8F92-A16E15A04767}"/>
    <cellStyle name="Note 2 10 2 2" xfId="30910" xr:uid="{3A2E0917-08DD-43A3-AB02-A7B2CB166126}"/>
    <cellStyle name="Note 2 10 2 2 2" xfId="30911" xr:uid="{1CF8A744-3788-4CCA-8835-602FB979D322}"/>
    <cellStyle name="Note 2 10 2 2 2 2" xfId="30912" xr:uid="{E0578F96-A23D-4E7C-BD8D-B02E5460BE1F}"/>
    <cellStyle name="Note 2 10 2 2 3" xfId="30913" xr:uid="{3709BB71-E92F-472E-B78C-024C7B92C141}"/>
    <cellStyle name="Note 2 10 2 3" xfId="30914" xr:uid="{072D891B-20D4-48F2-AE6A-4CFDFD0F06BC}"/>
    <cellStyle name="Note 2 10 2 3 2" xfId="30915" xr:uid="{339B48BD-371C-417B-AA01-B3A9FDE7CA80}"/>
    <cellStyle name="Note 2 10 2 3 2 2" xfId="30916" xr:uid="{9C5B601E-C1BE-4A23-8B7E-3DAD90883CBD}"/>
    <cellStyle name="Note 2 10 2 3 3" xfId="30917" xr:uid="{24C6B8F4-D01A-4DF7-9130-231F91729E9A}"/>
    <cellStyle name="Note 2 10 2 4" xfId="30918" xr:uid="{3A1E39BA-358D-47FE-9C84-CB563F59CA96}"/>
    <cellStyle name="Note 2 10 2 4 2" xfId="30919" xr:uid="{A6269B91-A6EF-4140-BECB-5B79561008F2}"/>
    <cellStyle name="Note 2 10 2 5" xfId="30920" xr:uid="{13411668-C16D-41B2-9ECA-4A8B8CBDF318}"/>
    <cellStyle name="Note 2 10 3" xfId="30921" xr:uid="{45550C54-20E6-4EEC-A205-7A65574309BB}"/>
    <cellStyle name="Note 2 10 3 2" xfId="30922" xr:uid="{7BD56348-3DED-4766-AE7B-CC9BE809B5F0}"/>
    <cellStyle name="Note 2 10 3 2 2" xfId="30923" xr:uid="{CB76A3AC-E02F-4238-89CC-7C576D0C16F0}"/>
    <cellStyle name="Note 2 10 3 3" xfId="30924" xr:uid="{49B8F402-5C1D-446A-99F0-A002AB761482}"/>
    <cellStyle name="Note 2 10 4" xfId="30925" xr:uid="{F7A924BE-8F47-47A4-B2DA-8A368DD39FBD}"/>
    <cellStyle name="Note 2 10 4 2" xfId="30926" xr:uid="{7F98BDDD-2774-4FC4-9F25-9D7DFC75E057}"/>
    <cellStyle name="Note 2 10 4 2 2" xfId="30927" xr:uid="{1B2382B2-B870-4725-A9B4-863814D3B9D3}"/>
    <cellStyle name="Note 2 10 4 3" xfId="30928" xr:uid="{5A601817-4B50-4995-8BA9-CDD8BB7063D2}"/>
    <cellStyle name="Note 2 10 5" xfId="30929" xr:uid="{C3835A2F-57BE-4C7F-908B-AF874D042972}"/>
    <cellStyle name="Note 2 10 5 2" xfId="30930" xr:uid="{5F01BD90-A820-44CF-8AAC-2F723E93011A}"/>
    <cellStyle name="Note 2 10 6" xfId="30931" xr:uid="{319A1652-CC5B-4567-AC76-5F0689C4E469}"/>
    <cellStyle name="Note 2 11" xfId="30932" xr:uid="{C107B1B0-0BAC-49FF-8FA2-51F11C89CC60}"/>
    <cellStyle name="Note 2 11 2" xfId="30933" xr:uid="{92654112-6E0A-498C-A902-75B73D59E71B}"/>
    <cellStyle name="Note 2 11 2 2" xfId="30934" xr:uid="{EC78C9CC-3890-4227-96D1-46AFB81E3C75}"/>
    <cellStyle name="Note 2 11 2 2 2" xfId="30935" xr:uid="{EBF231C6-5E86-43AE-B597-75911A41D3F6}"/>
    <cellStyle name="Note 2 11 2 3" xfId="30936" xr:uid="{87BCC180-2F57-4375-8A3F-FA2BBF66F183}"/>
    <cellStyle name="Note 2 11 3" xfId="30937" xr:uid="{43E97E44-DDAE-4562-9593-BC38399F63FC}"/>
    <cellStyle name="Note 2 11 3 2" xfId="30938" xr:uid="{92708EEE-6F61-4036-A959-24411ED072F8}"/>
    <cellStyle name="Note 2 11 3 2 2" xfId="30939" xr:uid="{22BDB9BB-5EC6-4335-827C-497C3953CCA8}"/>
    <cellStyle name="Note 2 11 3 3" xfId="30940" xr:uid="{FCA8EE1C-D67A-40C2-B8A7-15A1F4313765}"/>
    <cellStyle name="Note 2 11 4" xfId="30941" xr:uid="{A885EE14-E6B1-4A7E-BB75-13069AE63894}"/>
    <cellStyle name="Note 2 11 4 2" xfId="30942" xr:uid="{52E8438D-154A-45A6-BE8A-627A36C9AD80}"/>
    <cellStyle name="Note 2 11 5" xfId="30943" xr:uid="{2CC77D83-115A-4DAA-8333-AA4BD4CCCFAF}"/>
    <cellStyle name="Note 2 12" xfId="30944" xr:uid="{C71CE2D8-6774-40DF-8099-E761FCD7D30E}"/>
    <cellStyle name="Note 2 12 2" xfId="30945" xr:uid="{B7B6A5C7-C2C1-4290-91D1-4A27062C18A1}"/>
    <cellStyle name="Note 2 12 2 2" xfId="30946" xr:uid="{AF77D40E-8576-4EEB-9C95-02F9057B0FAF}"/>
    <cellStyle name="Note 2 12 3" xfId="30947" xr:uid="{93AB740A-B6C5-469A-BCBE-9ABDBFF00C78}"/>
    <cellStyle name="Note 2 13" xfId="30948" xr:uid="{EFD5A06B-58A0-4335-B97C-0B851DA827B1}"/>
    <cellStyle name="Note 2 13 2" xfId="30949" xr:uid="{9425EE30-FA43-4DC6-BFCA-5CD65A84F2B3}"/>
    <cellStyle name="Note 2 13 2 2" xfId="30950" xr:uid="{5F75CD46-BF94-4F3E-B357-C70F0C08789E}"/>
    <cellStyle name="Note 2 13 3" xfId="30951" xr:uid="{9081C9C0-4766-448B-B609-E45360E21393}"/>
    <cellStyle name="Note 2 14" xfId="30952" xr:uid="{DD613823-4C44-4867-AF77-C36EEDE060DF}"/>
    <cellStyle name="Note 2 14 2" xfId="30953" xr:uid="{E2D557A9-75A7-4DB6-8836-7CB8A280953D}"/>
    <cellStyle name="Note 2 15" xfId="30954" xr:uid="{11D792E4-FF10-45C9-92CF-D8FC4F0C83CF}"/>
    <cellStyle name="Note 2 16" xfId="39301" xr:uid="{30CDFAB8-9DDA-4F69-A04E-2BCA0561D3BB}"/>
    <cellStyle name="Note 2 17" xfId="39302" xr:uid="{F33B24A1-2A2E-4DAB-92CF-FDF3EC6F001E}"/>
    <cellStyle name="Note 2 2" xfId="30955" xr:uid="{B86E0BC4-23AE-4A31-8B8C-ADBB2DA618B8}"/>
    <cellStyle name="Note 2 2 2" xfId="30956" xr:uid="{4DF82C07-BC1F-49C2-8FF3-1B92FFECF935}"/>
    <cellStyle name="Note 2 2 2 2" xfId="30957" xr:uid="{6FAAF120-B6C7-4775-947F-4A977367B9D2}"/>
    <cellStyle name="Note 2 2 2 2 2" xfId="30958" xr:uid="{9B813890-B045-41E8-A67F-AEB707654CC8}"/>
    <cellStyle name="Note 2 2 2 2 2 2" xfId="30959" xr:uid="{B445A044-C4D4-49E1-90C9-8AEAA867895F}"/>
    <cellStyle name="Note 2 2 2 2 3" xfId="30960" xr:uid="{3F350A14-CCC1-47A3-A021-866713F8EC2A}"/>
    <cellStyle name="Note 2 2 2 3" xfId="30961" xr:uid="{ADB0412C-1300-49B8-9B4B-FCBEDD589815}"/>
    <cellStyle name="Note 2 2 2 3 2" xfId="30962" xr:uid="{6713C1EB-7ED8-4E77-97DB-73ADD750F268}"/>
    <cellStyle name="Note 2 2 2 3 2 2" xfId="30963" xr:uid="{BA3A8F3D-77E2-4F80-9239-7AD302A52953}"/>
    <cellStyle name="Note 2 2 2 3 3" xfId="30964" xr:uid="{DFC3277A-9729-4E75-ACBA-74B28EDB99B4}"/>
    <cellStyle name="Note 2 2 2 4" xfId="30965" xr:uid="{2E89F865-7E6D-4A2E-8251-57F22AB1C836}"/>
    <cellStyle name="Note 2 2 2 4 2" xfId="30966" xr:uid="{A0C0A80B-B01B-4803-8E6D-964F9933410D}"/>
    <cellStyle name="Note 2 2 2 5" xfId="30967" xr:uid="{F0529EE7-45E4-4FCF-BBA6-3062BE4B77B0}"/>
    <cellStyle name="Note 2 2 3" xfId="30968" xr:uid="{DB62A815-362A-4E7A-BFAF-D3DC2B667D9D}"/>
    <cellStyle name="Note 2 2 3 2" xfId="30969" xr:uid="{DD7DF1D4-2906-41C1-847C-4206B8984D53}"/>
    <cellStyle name="Note 2 2 3 2 2" xfId="30970" xr:uid="{6373D324-2FC4-4B5A-831D-B86F8129B8A0}"/>
    <cellStyle name="Note 2 2 3 3" xfId="30971" xr:uid="{444C5EEE-BCF6-4797-B188-EB302ED2CACA}"/>
    <cellStyle name="Note 2 2 4" xfId="30972" xr:uid="{EB3ED5A9-D6F0-4146-978C-1D21F64A2709}"/>
    <cellStyle name="Note 2 2 4 2" xfId="30973" xr:uid="{6D284A6A-262C-465D-B6AB-D7A40B85D9B5}"/>
    <cellStyle name="Note 2 2 4 2 2" xfId="30974" xr:uid="{C1972C82-A331-46E6-B102-71CD44405F76}"/>
    <cellStyle name="Note 2 2 4 3" xfId="30975" xr:uid="{69CCE68D-D07A-4A24-B184-C4287A707CA1}"/>
    <cellStyle name="Note 2 2 4 4" xfId="39303" xr:uid="{2857FFE3-8732-48E8-9109-C0AA4B8DCC2F}"/>
    <cellStyle name="Note 2 2 5" xfId="30976" xr:uid="{A2048135-04D4-464B-81AA-F3463B265FDA}"/>
    <cellStyle name="Note 2 2 5 2" xfId="30977" xr:uid="{B022AD83-968D-41D0-BC86-6C19FC713E58}"/>
    <cellStyle name="Note 2 2 6" xfId="30978" xr:uid="{AA08A82C-A040-4BC2-8D9A-2822D527A26F}"/>
    <cellStyle name="Note 2 3" xfId="30979" xr:uid="{B81B6E59-8386-4836-847F-4A7A7CCDE1CA}"/>
    <cellStyle name="Note 2 3 2" xfId="30980" xr:uid="{4D2F0561-4A58-4E3F-9E20-3DDC7488F342}"/>
    <cellStyle name="Note 2 3 2 2" xfId="30981" xr:uid="{4ED1CBCE-931F-47C1-B2D7-5EEBF0694CE5}"/>
    <cellStyle name="Note 2 3 2 2 2" xfId="30982" xr:uid="{75C67299-C962-49D7-8148-EE262EF4063B}"/>
    <cellStyle name="Note 2 3 2 2 2 2" xfId="30983" xr:uid="{8DB709F6-D14F-4CD3-97BC-726A54149888}"/>
    <cellStyle name="Note 2 3 2 2 3" xfId="30984" xr:uid="{6565BB9B-0D0D-426B-85CB-C35370646F1F}"/>
    <cellStyle name="Note 2 3 2 3" xfId="30985" xr:uid="{586DE601-B8E2-4D65-AB93-C53934E35288}"/>
    <cellStyle name="Note 2 3 2 3 2" xfId="30986" xr:uid="{7F7DE46A-C0D7-4108-83FA-15D89947BD2F}"/>
    <cellStyle name="Note 2 3 2 3 2 2" xfId="30987" xr:uid="{241CEE70-E788-4227-A6BD-9EF0B3651DD6}"/>
    <cellStyle name="Note 2 3 2 3 3" xfId="30988" xr:uid="{0F26C234-3FF1-4BCE-A2B0-483232C9832C}"/>
    <cellStyle name="Note 2 3 2 4" xfId="30989" xr:uid="{73A62720-1541-4283-84DE-C86BD3C1ECE0}"/>
    <cellStyle name="Note 2 3 2 4 2" xfId="30990" xr:uid="{07D0A691-A468-4D93-B9F4-737B24194FBD}"/>
    <cellStyle name="Note 2 3 2 5" xfId="30991" xr:uid="{95F42F10-7CAB-4E05-A67D-7CB19F83B34A}"/>
    <cellStyle name="Note 2 3 3" xfId="30992" xr:uid="{B009B505-9144-4EB0-A4EE-99DD41050469}"/>
    <cellStyle name="Note 2 3 3 2" xfId="30993" xr:uid="{E40AFCC3-D301-4569-AE98-EE33DFABE7F4}"/>
    <cellStyle name="Note 2 3 3 2 2" xfId="30994" xr:uid="{FD494036-AE01-49A4-8A13-5DC9B1CBA333}"/>
    <cellStyle name="Note 2 3 3 3" xfId="30995" xr:uid="{7C359B0E-8D40-4B8B-83E4-B93DE6F6BDD6}"/>
    <cellStyle name="Note 2 3 3 4" xfId="39304" xr:uid="{6C56D4AB-7257-475B-8943-BB825884FC28}"/>
    <cellStyle name="Note 2 3 4" xfId="30996" xr:uid="{4B340A81-5D8F-4B08-8CA6-CC4EA2990AFB}"/>
    <cellStyle name="Note 2 3 4 2" xfId="30997" xr:uid="{1EACCC1F-CB18-4093-AFF3-B9C0AB94653E}"/>
    <cellStyle name="Note 2 3 4 2 2" xfId="30998" xr:uid="{F5E8F496-001A-40D7-8C07-DC1A8AAD821C}"/>
    <cellStyle name="Note 2 3 4 3" xfId="30999" xr:uid="{A3DCA06C-184B-4418-A79A-DD1A53C2D53D}"/>
    <cellStyle name="Note 2 3 5" xfId="31000" xr:uid="{BC13A308-FF3C-457A-A18C-C034B3B3359C}"/>
    <cellStyle name="Note 2 3 5 2" xfId="31001" xr:uid="{79483D49-478C-42D7-957B-CEBC1469D03D}"/>
    <cellStyle name="Note 2 4" xfId="31002" xr:uid="{E3E2228F-F792-48DE-A752-148F0691F71F}"/>
    <cellStyle name="Note 2 4 2" xfId="31003" xr:uid="{9E2729E6-F2AE-408A-9363-372EE8375717}"/>
    <cellStyle name="Note 2 4 2 2" xfId="31004" xr:uid="{5DDD849B-25F7-4AE3-968F-002806BAC663}"/>
    <cellStyle name="Note 2 4 2 2 2" xfId="31005" xr:uid="{F77C3468-F6EE-46B3-863B-E2ADB7BAAF28}"/>
    <cellStyle name="Note 2 4 2 2 2 2" xfId="31006" xr:uid="{DF9926AB-0F07-4C2D-A0B6-9FBD854736EA}"/>
    <cellStyle name="Note 2 4 2 2 3" xfId="31007" xr:uid="{98AE97CF-8900-4D01-921B-E102DB6EBB00}"/>
    <cellStyle name="Note 2 4 2 3" xfId="31008" xr:uid="{A2E8199B-3C6B-4B06-957D-2FE6A3CF6D18}"/>
    <cellStyle name="Note 2 4 2 3 2" xfId="31009" xr:uid="{32CE2126-25F1-4B07-B075-BA1670EB2D86}"/>
    <cellStyle name="Note 2 4 2 3 2 2" xfId="31010" xr:uid="{1F3CF6B4-CA93-414C-8ED5-55F852CC105B}"/>
    <cellStyle name="Note 2 4 2 3 3" xfId="31011" xr:uid="{14853C75-7B6B-49CF-959D-4927EBE30BF5}"/>
    <cellStyle name="Note 2 4 2 4" xfId="31012" xr:uid="{D151C8B2-333F-40AC-B633-73D965AE4C59}"/>
    <cellStyle name="Note 2 4 2 4 2" xfId="31013" xr:uid="{509975CD-68C3-4B2B-91CB-E29038299D76}"/>
    <cellStyle name="Note 2 4 2 5" xfId="31014" xr:uid="{16CA32A4-DEE2-4CD5-8684-EBA807497FD2}"/>
    <cellStyle name="Note 2 4 3" xfId="31015" xr:uid="{DA8EBB8F-C2EB-41EB-8FF5-A4DF54AA3A3C}"/>
    <cellStyle name="Note 2 4 3 2" xfId="31016" xr:uid="{1DC94ACA-BA4E-4AD8-9914-D757410F4173}"/>
    <cellStyle name="Note 2 4 3 2 2" xfId="31017" xr:uid="{FE74ACF8-4AB4-48BB-9E8C-F13EC228BB57}"/>
    <cellStyle name="Note 2 4 3 3" xfId="31018" xr:uid="{84071020-B5BF-4D66-86D5-5BB3B702FD8A}"/>
    <cellStyle name="Note 2 4 4" xfId="31019" xr:uid="{48C47B8D-C3EF-4A07-85AD-8368823307CA}"/>
    <cellStyle name="Note 2 4 4 2" xfId="31020" xr:uid="{F7835F01-577F-414A-9B0F-FBE2F2465FD6}"/>
    <cellStyle name="Note 2 4 4 2 2" xfId="31021" xr:uid="{D820C076-BA0C-439B-8167-FE9702AA884A}"/>
    <cellStyle name="Note 2 4 4 3" xfId="31022" xr:uid="{336CC1F2-FB0F-4267-9F99-1A560A459841}"/>
    <cellStyle name="Note 2 4 5" xfId="31023" xr:uid="{9D211443-2847-424F-A760-9D63CE755AA7}"/>
    <cellStyle name="Note 2 4 5 2" xfId="31024" xr:uid="{46343691-1629-48D3-842D-03A155DB7F09}"/>
    <cellStyle name="Note 2 5" xfId="31025" xr:uid="{C6573DAE-FAB6-4787-9EC2-8A1D1FCADC43}"/>
    <cellStyle name="Note 2 5 2" xfId="31026" xr:uid="{9D76E183-A754-499E-B044-C87CAA1417E4}"/>
    <cellStyle name="Note 2 5 2 2" xfId="31027" xr:uid="{1708AF51-BB18-4FB8-8B43-369F43446F04}"/>
    <cellStyle name="Note 2 5 2 2 2" xfId="31028" xr:uid="{52FD9D84-0B1C-47EE-9BF8-F30408A80A5A}"/>
    <cellStyle name="Note 2 5 2 2 2 2" xfId="31029" xr:uid="{218CF394-F7D9-4EE6-AF97-1F8D11814213}"/>
    <cellStyle name="Note 2 5 2 2 3" xfId="31030" xr:uid="{3F5E28C3-F830-4206-9957-8FB1E9E05095}"/>
    <cellStyle name="Note 2 5 2 3" xfId="31031" xr:uid="{9AD4C227-9D99-468F-A1B5-7C0FA7510FC4}"/>
    <cellStyle name="Note 2 5 2 3 2" xfId="31032" xr:uid="{90DFF087-2157-4B2D-9448-48F952D2511E}"/>
    <cellStyle name="Note 2 5 2 3 2 2" xfId="31033" xr:uid="{92215667-C4B2-4230-9999-0642B99F9BCA}"/>
    <cellStyle name="Note 2 5 2 3 3" xfId="31034" xr:uid="{2F831761-03C8-4054-886E-2CFB35475435}"/>
    <cellStyle name="Note 2 5 2 4" xfId="31035" xr:uid="{FD03681F-FB53-4DB3-B673-6D8E35745F90}"/>
    <cellStyle name="Note 2 5 2 4 2" xfId="31036" xr:uid="{17832E25-11F4-4B61-A25A-1A497728E7FD}"/>
    <cellStyle name="Note 2 5 2 5" xfId="31037" xr:uid="{2A550AA8-4820-4745-8981-5B4D1C381BC4}"/>
    <cellStyle name="Note 2 5 3" xfId="31038" xr:uid="{27441BB4-E472-49FD-9F1B-4DC81887C3F3}"/>
    <cellStyle name="Note 2 5 3 2" xfId="31039" xr:uid="{2BF9252D-7B5A-4B1E-B17F-58056F9301C1}"/>
    <cellStyle name="Note 2 5 3 2 2" xfId="31040" xr:uid="{65307DF0-38EA-4473-B6B3-C308437A3500}"/>
    <cellStyle name="Note 2 5 3 3" xfId="31041" xr:uid="{23996F59-E22B-4FD2-9CCB-2665392704E5}"/>
    <cellStyle name="Note 2 5 4" xfId="31042" xr:uid="{374EE4A4-AF43-4B3B-AF66-DE9744D39FF5}"/>
    <cellStyle name="Note 2 5 4 2" xfId="31043" xr:uid="{4D41EB43-9201-45D6-847A-C0A8CCB9477B}"/>
    <cellStyle name="Note 2 5 4 2 2" xfId="31044" xr:uid="{E3767B3D-6CD6-4D47-BE2F-5A7D087DE6DD}"/>
    <cellStyle name="Note 2 5 4 3" xfId="31045" xr:uid="{E8ED3CD4-B35B-4F56-AABB-D8EDCF985767}"/>
    <cellStyle name="Note 2 5 5" xfId="31046" xr:uid="{6DBD76FA-ABAE-4C3D-8AD1-A767BB5B52B0}"/>
    <cellStyle name="Note 2 5 5 2" xfId="31047" xr:uid="{04DAE7E8-37F5-4B0B-856A-6C9F4CF03681}"/>
    <cellStyle name="Note 2 5 6" xfId="31048" xr:uid="{7DC02918-4F4D-4041-9F57-483476D2649A}"/>
    <cellStyle name="Note 2 5 7" xfId="39305" xr:uid="{54CE8CFC-A2E4-4787-A7C1-3AB70263DDE5}"/>
    <cellStyle name="Note 2 6" xfId="31049" xr:uid="{C182686B-E319-4AAA-B146-5067019B1BFF}"/>
    <cellStyle name="Note 2 6 2" xfId="31050" xr:uid="{CA28B147-FF9D-4E9C-BCE1-913977CA2CD0}"/>
    <cellStyle name="Note 2 6 2 2" xfId="31051" xr:uid="{60FD3C73-6368-459A-82C5-A80388EECD58}"/>
    <cellStyle name="Note 2 6 2 2 2" xfId="31052" xr:uid="{1C075BEC-918D-431F-8828-4748326A406C}"/>
    <cellStyle name="Note 2 6 2 2 2 2" xfId="31053" xr:uid="{A15EB580-C028-4766-ACE4-7564F654A7FE}"/>
    <cellStyle name="Note 2 6 2 2 3" xfId="31054" xr:uid="{1A92AF27-75CD-4275-A281-2F82B8A3FEAF}"/>
    <cellStyle name="Note 2 6 2 3" xfId="31055" xr:uid="{F7A3E2EC-74E8-4C7A-9088-03D090B0CDB6}"/>
    <cellStyle name="Note 2 6 2 3 2" xfId="31056" xr:uid="{6E06FFC2-444E-4D26-AB7C-54A9C06387D2}"/>
    <cellStyle name="Note 2 6 2 3 2 2" xfId="31057" xr:uid="{53BE2FA1-36E0-400C-BA7D-872740979FCC}"/>
    <cellStyle name="Note 2 6 2 3 3" xfId="31058" xr:uid="{8F651572-E4D8-4167-926C-B90FB2D6C8E7}"/>
    <cellStyle name="Note 2 6 2 4" xfId="31059" xr:uid="{796EC8AE-32CD-4A88-BC7B-1C156740E849}"/>
    <cellStyle name="Note 2 6 2 4 2" xfId="31060" xr:uid="{FC9CCEE6-573E-4DA1-B304-5292BB601303}"/>
    <cellStyle name="Note 2 6 2 5" xfId="31061" xr:uid="{A1915B38-D6F5-4415-A821-24CBBE6FC694}"/>
    <cellStyle name="Note 2 6 3" xfId="31062" xr:uid="{9FCA2D1E-77AE-4166-A602-7CFA28C44E84}"/>
    <cellStyle name="Note 2 6 3 2" xfId="31063" xr:uid="{5F7EF180-E54A-4C02-BA30-6167FEA786A7}"/>
    <cellStyle name="Note 2 6 3 2 2" xfId="31064" xr:uid="{1EC3F1BA-88DA-46B4-A84C-5C3D729D206D}"/>
    <cellStyle name="Note 2 6 3 3" xfId="31065" xr:uid="{75B94AB2-F816-47A4-939D-D1897B4C18A0}"/>
    <cellStyle name="Note 2 6 4" xfId="31066" xr:uid="{91B6EC9E-F2BC-4C5E-BEF6-97C691A08170}"/>
    <cellStyle name="Note 2 6 4 2" xfId="31067" xr:uid="{0C4450E6-300F-4097-8BC5-40795089C027}"/>
    <cellStyle name="Note 2 6 4 2 2" xfId="31068" xr:uid="{6375EC95-2206-47F8-9BFC-F5D6A509C2FB}"/>
    <cellStyle name="Note 2 6 4 3" xfId="31069" xr:uid="{757455AC-325F-4866-A2AE-34C1C9A7D281}"/>
    <cellStyle name="Note 2 6 5" xfId="31070" xr:uid="{69DAA6D9-F20E-40D4-86BB-137E5E792D12}"/>
    <cellStyle name="Note 2 6 5 2" xfId="31071" xr:uid="{D013A44C-14FA-481D-8C8C-8362FE82EE63}"/>
    <cellStyle name="Note 2 6 6" xfId="31072" xr:uid="{AB452569-0386-4264-ABB3-D8D36DB29BB9}"/>
    <cellStyle name="Note 2 7" xfId="31073" xr:uid="{E1903C30-B6EB-4EE3-8E5F-E4186C694E71}"/>
    <cellStyle name="Note 2 7 2" xfId="31074" xr:uid="{9B79DEFA-FBA8-49A0-BC96-80E19726C8E5}"/>
    <cellStyle name="Note 2 7 2 2" xfId="31075" xr:uid="{CFE1DE8A-DAD9-4324-A11D-FE7CA8CA7B2C}"/>
    <cellStyle name="Note 2 7 2 2 2" xfId="31076" xr:uid="{7D3C14AD-99D7-4D78-911B-A05EFEBAE2C3}"/>
    <cellStyle name="Note 2 7 2 2 2 2" xfId="31077" xr:uid="{A6DCC9A8-0BA8-40EF-A366-1414977449CF}"/>
    <cellStyle name="Note 2 7 2 2 3" xfId="31078" xr:uid="{945347B3-0E09-4368-9033-CF67D020E2B0}"/>
    <cellStyle name="Note 2 7 2 3" xfId="31079" xr:uid="{E49615BF-4017-4186-BD0C-27EA785DEB7A}"/>
    <cellStyle name="Note 2 7 2 3 2" xfId="31080" xr:uid="{411BC376-D9B0-41E2-AC4F-30DFF7B5CCA2}"/>
    <cellStyle name="Note 2 7 2 3 2 2" xfId="31081" xr:uid="{704CF248-FC89-41E6-AD18-7D6F9F36DF41}"/>
    <cellStyle name="Note 2 7 2 3 3" xfId="31082" xr:uid="{A8262920-BF12-42A1-B119-1549BF6F8798}"/>
    <cellStyle name="Note 2 7 2 4" xfId="31083" xr:uid="{BBA9C1F7-9F90-4351-A01D-DD0D6B07DC9C}"/>
    <cellStyle name="Note 2 7 2 4 2" xfId="31084" xr:uid="{9B109899-CD66-4A7C-AA80-EB01F322FA2B}"/>
    <cellStyle name="Note 2 7 2 5" xfId="31085" xr:uid="{3FA9564A-BA2D-4F8A-AF75-1A1E3A116469}"/>
    <cellStyle name="Note 2 7 3" xfId="31086" xr:uid="{ABADB6FD-203F-4F64-9752-72D7B51FFAB8}"/>
    <cellStyle name="Note 2 7 3 2" xfId="31087" xr:uid="{73ABC29D-AC0F-40D2-9167-8E4B28313E3C}"/>
    <cellStyle name="Note 2 7 3 2 2" xfId="31088" xr:uid="{583868DC-4C3F-4D57-BACA-3D27AC9BBC49}"/>
    <cellStyle name="Note 2 7 3 3" xfId="31089" xr:uid="{E274867C-6775-4898-94CD-5878BD83C438}"/>
    <cellStyle name="Note 2 7 4" xfId="31090" xr:uid="{885FB7F1-2D7F-44D1-A705-3C8D240BD33A}"/>
    <cellStyle name="Note 2 7 4 2" xfId="31091" xr:uid="{C55EE71C-C8B6-4281-A2E5-4F02DDA4DE16}"/>
    <cellStyle name="Note 2 7 4 2 2" xfId="31092" xr:uid="{98C9FD78-42BD-4F3F-A994-B5ADC62DE741}"/>
    <cellStyle name="Note 2 7 4 3" xfId="31093" xr:uid="{6CF379F5-69D8-4CCB-B1F5-20033EF88A6D}"/>
    <cellStyle name="Note 2 7 5" xfId="31094" xr:uid="{4D82A213-2CD0-40D4-BD94-78E280C58115}"/>
    <cellStyle name="Note 2 7 5 2" xfId="31095" xr:uid="{E51848F5-6470-4651-BDC4-A03826625575}"/>
    <cellStyle name="Note 2 7 6" xfId="31096" xr:uid="{2B9125E5-DBD4-4777-B78F-66238C8CABF9}"/>
    <cellStyle name="Note 2 8" xfId="31097" xr:uid="{ACAAB154-248D-495F-9801-8F7894A8ADEC}"/>
    <cellStyle name="Note 2 8 2" xfId="31098" xr:uid="{E2E54E55-B15C-474F-B1F8-6B5EE2A25C7E}"/>
    <cellStyle name="Note 2 8 2 2" xfId="31099" xr:uid="{107DC18A-2AFA-4248-A545-F9B509456E7E}"/>
    <cellStyle name="Note 2 8 2 2 2" xfId="31100" xr:uid="{227C3CD5-FC00-4B68-B95C-417AF125A249}"/>
    <cellStyle name="Note 2 8 2 2 2 2" xfId="31101" xr:uid="{EDB8A6AC-FF9F-476F-BB7C-2187048631AB}"/>
    <cellStyle name="Note 2 8 2 2 3" xfId="31102" xr:uid="{D0C01074-97D6-4BBF-BC27-332275806BBD}"/>
    <cellStyle name="Note 2 8 2 3" xfId="31103" xr:uid="{188B5B3A-2093-4404-8428-89BB27774ED6}"/>
    <cellStyle name="Note 2 8 2 3 2" xfId="31104" xr:uid="{20AC1910-B327-4A61-915C-1F2DA5A41AB5}"/>
    <cellStyle name="Note 2 8 2 3 2 2" xfId="31105" xr:uid="{2990F7B9-5CB8-4527-9112-07FF7CBE6F00}"/>
    <cellStyle name="Note 2 8 2 3 3" xfId="31106" xr:uid="{90CA9B42-982E-463C-8AF6-BFB65FCB6231}"/>
    <cellStyle name="Note 2 8 2 4" xfId="31107" xr:uid="{F7ACCF59-2D54-42E7-9D55-5DB2776189D0}"/>
    <cellStyle name="Note 2 8 2 4 2" xfId="31108" xr:uid="{EAEFF6AE-4BC1-41F1-AD59-0DE538FCB5A4}"/>
    <cellStyle name="Note 2 8 2 5" xfId="31109" xr:uid="{CAB0E33B-B2F0-4B9E-8C9F-B8744CFFAED1}"/>
    <cellStyle name="Note 2 8 3" xfId="31110" xr:uid="{22727C4B-E28F-4088-B78B-0081BB6CA027}"/>
    <cellStyle name="Note 2 8 3 2" xfId="31111" xr:uid="{B4FCFD8F-C111-4A8A-9B77-9572892F4794}"/>
    <cellStyle name="Note 2 8 3 2 2" xfId="31112" xr:uid="{EC2DEF28-D7BE-43D0-BD98-32862EEB1B97}"/>
    <cellStyle name="Note 2 8 3 3" xfId="31113" xr:uid="{1E8AAE8A-DD47-4C8D-BA0E-B99C601DB8D4}"/>
    <cellStyle name="Note 2 8 4" xfId="31114" xr:uid="{7DF26458-3C6F-4747-88F4-BC954E9EA5F5}"/>
    <cellStyle name="Note 2 8 4 2" xfId="31115" xr:uid="{1AA64EFB-7D4B-46C4-AFDC-9F5090112A7D}"/>
    <cellStyle name="Note 2 8 4 2 2" xfId="31116" xr:uid="{AF03E3B7-5DE5-4CD9-9669-E44363230205}"/>
    <cellStyle name="Note 2 8 4 3" xfId="31117" xr:uid="{E9C90E59-A1D9-4B1B-B8E9-0315A802AEFC}"/>
    <cellStyle name="Note 2 8 5" xfId="31118" xr:uid="{5DF33557-435F-4946-B1C3-FE0CE5FFCFDB}"/>
    <cellStyle name="Note 2 8 5 2" xfId="31119" xr:uid="{CF74D6AE-37BF-4B9E-98BC-C38E999F2686}"/>
    <cellStyle name="Note 2 8 6" xfId="31120" xr:uid="{E3CAA38A-671C-4501-8EEF-4029AA91CDEA}"/>
    <cellStyle name="Note 2 9" xfId="31121" xr:uid="{1E182192-CE6D-49C2-8292-18435C2277F7}"/>
    <cellStyle name="Note 2 9 2" xfId="31122" xr:uid="{6D1253BD-E659-4258-BEF4-E0A66056BAB6}"/>
    <cellStyle name="Note 2 9 2 2" xfId="31123" xr:uid="{971B60A9-79B6-4518-BB27-BA12D63066E4}"/>
    <cellStyle name="Note 2 9 2 2 2" xfId="31124" xr:uid="{13516CA7-62D3-4AAA-B8C7-D3F23241BEFC}"/>
    <cellStyle name="Note 2 9 2 2 2 2" xfId="31125" xr:uid="{B56C301E-CF2B-4655-AAED-59890858049F}"/>
    <cellStyle name="Note 2 9 2 2 3" xfId="31126" xr:uid="{8DC1DB6F-7CB4-4E29-BD4D-22EAC2D5AB60}"/>
    <cellStyle name="Note 2 9 2 3" xfId="31127" xr:uid="{662599AC-5702-4A61-819D-4904A6D6C656}"/>
    <cellStyle name="Note 2 9 2 3 2" xfId="31128" xr:uid="{5F2C2995-E1F7-4AC4-93DF-762C0FA1263F}"/>
    <cellStyle name="Note 2 9 2 3 2 2" xfId="31129" xr:uid="{893EF637-56DC-4CD3-82DB-8D57A4A9E0F1}"/>
    <cellStyle name="Note 2 9 2 3 3" xfId="31130" xr:uid="{56E4D2D7-E693-42EF-B586-1D42E8A1CF02}"/>
    <cellStyle name="Note 2 9 2 4" xfId="31131" xr:uid="{AC8CA5B0-1E41-4E61-89F9-8A9D88A64D88}"/>
    <cellStyle name="Note 2 9 2 4 2" xfId="31132" xr:uid="{6F7712AB-08B3-4BFF-AE44-4C5227970432}"/>
    <cellStyle name="Note 2 9 2 5" xfId="31133" xr:uid="{AB9D50CC-B1A3-40DE-BCE0-AB9A15DC6FE1}"/>
    <cellStyle name="Note 2 9 3" xfId="31134" xr:uid="{D6611D72-21BA-47A5-98F1-430874C72926}"/>
    <cellStyle name="Note 2 9 3 2" xfId="31135" xr:uid="{62CB2E22-6F59-49DE-962E-7F6E7B43056F}"/>
    <cellStyle name="Note 2 9 3 2 2" xfId="31136" xr:uid="{81723D27-1D04-415D-965B-3D0731875603}"/>
    <cellStyle name="Note 2 9 3 3" xfId="31137" xr:uid="{B58AEDD6-F92D-4BFF-8394-6D11D96D8AA2}"/>
    <cellStyle name="Note 2 9 4" xfId="31138" xr:uid="{2A1EDC32-2065-40E0-B173-360074E9CEFE}"/>
    <cellStyle name="Note 2 9 4 2" xfId="31139" xr:uid="{46425255-1A3F-43B3-BFE5-B67A304D9C7C}"/>
    <cellStyle name="Note 2 9 4 2 2" xfId="31140" xr:uid="{765F736C-76C9-4A7D-90E2-0B2FDE884625}"/>
    <cellStyle name="Note 2 9 4 3" xfId="31141" xr:uid="{5BD19FD4-03FD-4903-B169-2A973FC1D33D}"/>
    <cellStyle name="Note 2 9 5" xfId="31142" xr:uid="{C4419DEC-2BC3-469A-AA19-14866AE56255}"/>
    <cellStyle name="Note 2 9 5 2" xfId="31143" xr:uid="{35A016DE-FC6F-47AC-9423-D6618FEE9547}"/>
    <cellStyle name="Note 2 9 6" xfId="31144" xr:uid="{6498B954-BA38-4858-8200-0230DF6477C3}"/>
    <cellStyle name="Note 20" xfId="31145" xr:uid="{0CE4952F-5882-4EE2-8BEE-CB5785ECBF05}"/>
    <cellStyle name="Note 20 2" xfId="31146" xr:uid="{5304B8E3-0E5D-4401-9D25-D513E9928C74}"/>
    <cellStyle name="Note 20 2 2" xfId="39306" xr:uid="{31D60E32-C2E8-4436-ABED-284C26936A99}"/>
    <cellStyle name="Note 20 3" xfId="39307" xr:uid="{7E1A7766-8CB9-4285-B130-6767C0095ACF}"/>
    <cellStyle name="Note 20 4" xfId="39308" xr:uid="{89B5D83E-556A-40DD-AEB4-1FED7A50B2D5}"/>
    <cellStyle name="Note 21" xfId="31147" xr:uid="{ED0B4144-9574-4BB8-A168-29FEDC3A895E}"/>
    <cellStyle name="Note 21 2" xfId="31148" xr:uid="{01825CBE-9C94-4656-AB21-A9A3094EBFE6}"/>
    <cellStyle name="Note 21 2 2" xfId="39309" xr:uid="{1A136E4D-94EC-4E17-8781-95C41C073EC3}"/>
    <cellStyle name="Note 21 3" xfId="39310" xr:uid="{971A9F9E-9761-4761-9247-3BB141CC77FC}"/>
    <cellStyle name="Note 21 4" xfId="39311" xr:uid="{D7E094E4-2D04-4649-A831-0519D14ECCF2}"/>
    <cellStyle name="Note 22" xfId="31149" xr:uid="{296442C7-3B50-4FB1-B5C2-9319420A0DF3}"/>
    <cellStyle name="Note 22 2" xfId="31150" xr:uid="{B90DF4AD-8732-4F14-904C-C3AE6E0AD343}"/>
    <cellStyle name="Note 22 2 2" xfId="39312" xr:uid="{88BDAE35-BE87-49AA-92EE-6B18D3839DDC}"/>
    <cellStyle name="Note 22 3" xfId="39313" xr:uid="{0C08E911-FA6E-4AE5-BF45-CDABCA1EE791}"/>
    <cellStyle name="Note 22 4" xfId="39314" xr:uid="{6274ACCC-67D8-4B25-9EFC-8791A898D747}"/>
    <cellStyle name="Note 23" xfId="31151" xr:uid="{F301F6C8-C6B6-4402-8BD4-A6C639DCD2B1}"/>
    <cellStyle name="Note 23 2" xfId="31152" xr:uid="{A9AC7879-4961-406E-834E-FD443D790283}"/>
    <cellStyle name="Note 23 2 2" xfId="39315" xr:uid="{28C98FF2-C39C-4CBF-A816-0923A46915B5}"/>
    <cellStyle name="Note 23 3" xfId="39316" xr:uid="{A5717B32-7FF9-497D-8A66-33929E48FDDA}"/>
    <cellStyle name="Note 23 4" xfId="39317" xr:uid="{481A1E4B-6731-412E-A6F2-6A097E3BD22B}"/>
    <cellStyle name="Note 24" xfId="31153" xr:uid="{F404D25C-4FC2-40AD-9C3A-4B10B085E190}"/>
    <cellStyle name="Note 24 2" xfId="31154" xr:uid="{612652AF-900F-4707-A2F7-18CD14C42780}"/>
    <cellStyle name="Note 24 2 2" xfId="39318" xr:uid="{2AF4CCD3-9546-4777-AFF6-BE63D3896EEA}"/>
    <cellStyle name="Note 24 3" xfId="39319" xr:uid="{79FD14F0-FC24-4F3D-A96E-3CCDD0C85C49}"/>
    <cellStyle name="Note 24 4" xfId="39320" xr:uid="{FDECCC12-D1C4-4552-80BE-30EEBE586F21}"/>
    <cellStyle name="Note 25" xfId="31155" xr:uid="{0B46DCF9-5117-4311-BC32-075DA2FA2441}"/>
    <cellStyle name="Note 25 2" xfId="31156" xr:uid="{3E949762-5FBE-438A-BDC1-28812FAF7CBA}"/>
    <cellStyle name="Note 25 2 2" xfId="39321" xr:uid="{58DAEBD2-7626-49ED-9D24-6225574B63F8}"/>
    <cellStyle name="Note 25 3" xfId="39322" xr:uid="{E822B198-5073-4D81-9D97-AA25731778F0}"/>
    <cellStyle name="Note 25 4" xfId="39323" xr:uid="{E2C032CA-F58D-42D2-B5EC-0CE2179B8DCA}"/>
    <cellStyle name="Note 26" xfId="31157" xr:uid="{2BE86C42-7E5F-476D-8508-309888D769EE}"/>
    <cellStyle name="Note 26 2" xfId="31158" xr:uid="{8C24279F-AF48-48F8-8F65-37F69D988E8E}"/>
    <cellStyle name="Note 26 2 2" xfId="39324" xr:uid="{C423CC12-F1F8-44DD-A139-7E2406084CA5}"/>
    <cellStyle name="Note 26 3" xfId="39325" xr:uid="{7EB809F2-26A0-4F76-B518-F2FE6DE739C6}"/>
    <cellStyle name="Note 26 4" xfId="39326" xr:uid="{9F579857-0400-4C82-A426-A327625E95D8}"/>
    <cellStyle name="Note 27" xfId="31159" xr:uid="{1DED8F8D-3277-47E5-BF56-8FF84992A578}"/>
    <cellStyle name="Note 27 2" xfId="31160" xr:uid="{F15E6392-F832-432C-8B68-D477D72B8DBF}"/>
    <cellStyle name="Note 27 2 2" xfId="39327" xr:uid="{FE27D53A-6AB8-4362-A04B-02415592879B}"/>
    <cellStyle name="Note 27 3" xfId="39328" xr:uid="{B49EF41E-DA79-4722-BA22-6EA1D60D4289}"/>
    <cellStyle name="Note 27 4" xfId="39329" xr:uid="{7A25BF60-5F8E-4D1E-BA0D-5B69EA8C2BF3}"/>
    <cellStyle name="Note 28" xfId="31161" xr:uid="{4E8F2C88-36A5-4F1F-B334-2B6C2B0294AF}"/>
    <cellStyle name="Note 28 2" xfId="31162" xr:uid="{9E7939B4-2C33-4B9B-AAB3-A48BCCEA62C0}"/>
    <cellStyle name="Note 28 2 2" xfId="39330" xr:uid="{608652B4-C345-4F98-9D85-62AA94139B88}"/>
    <cellStyle name="Note 28 3" xfId="39331" xr:uid="{BC5CAEB8-2AF0-40C2-98D5-08CB5D66A9F9}"/>
    <cellStyle name="Note 28 4" xfId="39332" xr:uid="{9B2BA4D7-2D1E-43E7-B81C-FD7E6F1E6D7E}"/>
    <cellStyle name="Note 29" xfId="31163" xr:uid="{A6A08C1E-220E-4EE1-B91D-4F351169699A}"/>
    <cellStyle name="Note 29 10" xfId="31164" xr:uid="{2ECC5BA1-9ADB-4C5C-BA2D-100F43E88290}"/>
    <cellStyle name="Note 29 10 2" xfId="31165" xr:uid="{7B7C437D-33F7-4689-AC0E-B4FF5BE84D89}"/>
    <cellStyle name="Note 29 10 2 2" xfId="31166" xr:uid="{1F2B35F1-9710-49A0-A671-CB259C13332B}"/>
    <cellStyle name="Note 29 10 2 2 2" xfId="31167" xr:uid="{87E569BA-8E3A-4213-8519-5D9196E668C6}"/>
    <cellStyle name="Note 29 10 2 2 2 2" xfId="31168" xr:uid="{00A9B858-7D66-45C5-ABCA-B773B8F25D8E}"/>
    <cellStyle name="Note 29 10 2 2 3" xfId="31169" xr:uid="{B4E05EBC-D6E8-455D-970D-5DD19FD58B0D}"/>
    <cellStyle name="Note 29 10 2 3" xfId="31170" xr:uid="{B9C021D3-E33C-44DF-95DB-7BF7ED5EAD86}"/>
    <cellStyle name="Note 29 10 2 3 2" xfId="31171" xr:uid="{7076EC86-3CE8-41DF-9B3A-5B9DCCDBE65F}"/>
    <cellStyle name="Note 29 10 2 3 2 2" xfId="31172" xr:uid="{10F76F00-FC42-4916-854D-4BA74A3FE018}"/>
    <cellStyle name="Note 29 10 2 3 3" xfId="31173" xr:uid="{2D907635-070A-4928-88C3-767F1FF425FB}"/>
    <cellStyle name="Note 29 10 2 4" xfId="31174" xr:uid="{D9658676-96CE-49E5-BF80-9B824A79C7AB}"/>
    <cellStyle name="Note 29 10 2 4 2" xfId="31175" xr:uid="{C89B5925-D67A-4AAF-8FBE-63A6769987D8}"/>
    <cellStyle name="Note 29 10 2 5" xfId="31176" xr:uid="{960B3231-672E-418B-A16E-F12654799672}"/>
    <cellStyle name="Note 29 10 3" xfId="31177" xr:uid="{8A1C5CC3-BF52-4A31-8471-D9D25A980A04}"/>
    <cellStyle name="Note 29 10 3 2" xfId="31178" xr:uid="{B75D057A-92B1-4F97-8210-E4C21E5944B2}"/>
    <cellStyle name="Note 29 10 3 2 2" xfId="31179" xr:uid="{CE8F1410-D21F-4265-9501-77EB8FF9D79C}"/>
    <cellStyle name="Note 29 10 3 3" xfId="31180" xr:uid="{B4E19138-5C4D-4313-8E64-99427026F9EA}"/>
    <cellStyle name="Note 29 10 4" xfId="31181" xr:uid="{180A69D4-EFCA-4EC2-B52D-C0E3E60DE8AE}"/>
    <cellStyle name="Note 29 10 4 2" xfId="31182" xr:uid="{BF86FD61-07B6-4512-97D4-4716F3FA6F6F}"/>
    <cellStyle name="Note 29 10 4 2 2" xfId="31183" xr:uid="{B6DAA491-D0F0-4EF3-B085-142F3C1B2A3A}"/>
    <cellStyle name="Note 29 10 4 3" xfId="31184" xr:uid="{CD32BD80-80B7-469F-B3C4-7FA41014EA76}"/>
    <cellStyle name="Note 29 10 5" xfId="31185" xr:uid="{07EA29CD-5D13-4313-88BB-95A0E63D02AA}"/>
    <cellStyle name="Note 29 10 5 2" xfId="31186" xr:uid="{38A5BDAF-00C1-40DA-A5CC-E75CF2C64DBA}"/>
    <cellStyle name="Note 29 10 6" xfId="31187" xr:uid="{BBE0AE97-9F1D-4570-B1CB-990FFDDD2F70}"/>
    <cellStyle name="Note 29 11" xfId="31188" xr:uid="{31CAC3AC-94CE-481B-A84A-3F49E9F74769}"/>
    <cellStyle name="Note 29 11 2" xfId="31189" xr:uid="{E730BB96-8AF5-4C51-BB1F-E353EB9A6A41}"/>
    <cellStyle name="Note 29 11 2 2" xfId="31190" xr:uid="{D57AC530-868F-4134-A30B-A93F88B3270A}"/>
    <cellStyle name="Note 29 11 2 2 2" xfId="31191" xr:uid="{81BD0AE0-7AE5-4698-8C1A-9198A754641F}"/>
    <cellStyle name="Note 29 11 2 3" xfId="31192" xr:uid="{58EAF252-0073-4F92-BA85-030A181BECDE}"/>
    <cellStyle name="Note 29 11 3" xfId="31193" xr:uid="{8A289D10-9C16-4A08-B104-58714DCFA519}"/>
    <cellStyle name="Note 29 11 3 2" xfId="31194" xr:uid="{4B2DF5F3-1B14-4C98-9779-CFBA5DD87170}"/>
    <cellStyle name="Note 29 11 3 2 2" xfId="31195" xr:uid="{DC1C688A-9926-4741-9378-CB084B7769F6}"/>
    <cellStyle name="Note 29 11 3 3" xfId="31196" xr:uid="{B068BCA6-6E67-4A4E-900C-143BB729E7AE}"/>
    <cellStyle name="Note 29 11 4" xfId="31197" xr:uid="{6F5BE7A0-2C2F-4C96-892D-86605F5129DA}"/>
    <cellStyle name="Note 29 11 4 2" xfId="31198" xr:uid="{37B0EBD7-29B9-43A1-9F8C-F6D67E0C8DB1}"/>
    <cellStyle name="Note 29 11 5" xfId="31199" xr:uid="{FEA12DD7-CFFA-4240-BBDD-961FE4A0703E}"/>
    <cellStyle name="Note 29 12" xfId="31200" xr:uid="{E7DAB541-7AF5-411F-8C59-271092701668}"/>
    <cellStyle name="Note 29 12 2" xfId="31201" xr:uid="{7C023381-3D4F-4C2F-88B9-D9E4E0BC24FC}"/>
    <cellStyle name="Note 29 12 2 2" xfId="31202" xr:uid="{3A569CAF-B6D1-4CCC-9115-213B6A2EC56A}"/>
    <cellStyle name="Note 29 12 3" xfId="31203" xr:uid="{C5A5610B-2D91-4515-982C-3715092BEDE5}"/>
    <cellStyle name="Note 29 13" xfId="31204" xr:uid="{36817C7B-DADD-4C44-8398-AE31D5CDF45D}"/>
    <cellStyle name="Note 29 13 2" xfId="31205" xr:uid="{A4666DCA-137E-46C5-BDB0-57E6DAB28CE4}"/>
    <cellStyle name="Note 29 13 2 2" xfId="31206" xr:uid="{D1BADAEE-6EA3-4093-A2C6-2214D9810FB2}"/>
    <cellStyle name="Note 29 13 3" xfId="31207" xr:uid="{52BDF4EC-78C3-4ADF-88D4-15E54C427A7B}"/>
    <cellStyle name="Note 29 14" xfId="31208" xr:uid="{2320AD36-83E8-4BB9-A291-B2FF74492D75}"/>
    <cellStyle name="Note 29 14 2" xfId="31209" xr:uid="{01BC6DC1-9950-4FC4-993D-C9ECB2EFB8A2}"/>
    <cellStyle name="Note 29 15" xfId="31210" xr:uid="{6E30D4A7-75E8-40F8-A9AB-131B5D6FD23C}"/>
    <cellStyle name="Note 29 2" xfId="31211" xr:uid="{BED8E0F5-1B4E-4761-AD92-52F1F13D1FE9}"/>
    <cellStyle name="Note 29 2 2" xfId="31212" xr:uid="{3A9F210A-F314-4827-B3FE-5D7DBF775FE6}"/>
    <cellStyle name="Note 29 2 2 2" xfId="31213" xr:uid="{F63F7BB4-41C0-4BDD-B118-6BC5D486FF66}"/>
    <cellStyle name="Note 29 2 2 2 2" xfId="31214" xr:uid="{069B4E7C-EBF0-4031-8273-B50289DE134D}"/>
    <cellStyle name="Note 29 2 2 2 2 2" xfId="31215" xr:uid="{C35655E6-4508-4BF6-8E4F-BFFAFC5D1F81}"/>
    <cellStyle name="Note 29 2 2 2 3" xfId="31216" xr:uid="{B1545302-1EBB-4A1C-8CBC-7749FFC32156}"/>
    <cellStyle name="Note 29 2 2 3" xfId="31217" xr:uid="{0C0569E4-AA6B-4327-B231-A57253A53D32}"/>
    <cellStyle name="Note 29 2 2 3 2" xfId="31218" xr:uid="{B5DB6E21-1A5B-47D8-AAA6-266CA5F21B56}"/>
    <cellStyle name="Note 29 2 2 3 2 2" xfId="31219" xr:uid="{02F453D7-7861-4E2B-9B55-886E660273BF}"/>
    <cellStyle name="Note 29 2 2 3 3" xfId="31220" xr:uid="{76AAD03D-D65D-4A4E-AA27-3FF791571F84}"/>
    <cellStyle name="Note 29 2 2 4" xfId="31221" xr:uid="{17C05159-753F-460E-A458-EA88837FC446}"/>
    <cellStyle name="Note 29 2 2 4 2" xfId="31222" xr:uid="{141C6F60-F384-4D74-A192-44A7BF88BB81}"/>
    <cellStyle name="Note 29 2 2 5" xfId="31223" xr:uid="{0E5F63BE-78D0-4656-B42D-016118D6A03A}"/>
    <cellStyle name="Note 29 2 3" xfId="31224" xr:uid="{027A28B1-4967-4705-B7CA-30EA85581B6B}"/>
    <cellStyle name="Note 29 2 3 2" xfId="31225" xr:uid="{842600DD-F737-4024-831C-3784BE5DBF02}"/>
    <cellStyle name="Note 29 2 3 2 2" xfId="31226" xr:uid="{973D9E34-B2AC-4674-B2D0-D3B8465D0054}"/>
    <cellStyle name="Note 29 2 3 3" xfId="31227" xr:uid="{2D6ADDC3-97E5-4510-A34C-A6620A7708BA}"/>
    <cellStyle name="Note 29 2 4" xfId="31228" xr:uid="{DC429856-EDDA-4A77-B406-303D8623C3C6}"/>
    <cellStyle name="Note 29 2 4 2" xfId="31229" xr:uid="{B0AD9FD2-D793-4798-9B3B-53E3AEC39233}"/>
    <cellStyle name="Note 29 2 4 2 2" xfId="31230" xr:uid="{1264AD75-E183-4D66-B530-609FF5CBA47A}"/>
    <cellStyle name="Note 29 2 4 3" xfId="31231" xr:uid="{41C718D4-ABFF-410B-8D87-0326A834441C}"/>
    <cellStyle name="Note 29 2 5" xfId="31232" xr:uid="{98FBBD61-B2BB-4ED0-BAE4-C9541CE0A09F}"/>
    <cellStyle name="Note 29 2 5 2" xfId="31233" xr:uid="{DA8F4CF8-FF56-42CF-8B2B-21F1AD378EF0}"/>
    <cellStyle name="Note 29 2 6" xfId="31234" xr:uid="{F9C7D4F5-4ADC-4D4F-A51F-EE2678309A24}"/>
    <cellStyle name="Note 29 2 7" xfId="39333" xr:uid="{3F759E0B-1AD7-45A7-9617-0EA2F48AE60E}"/>
    <cellStyle name="Note 29 3" xfId="31235" xr:uid="{7C4D524C-F8E3-4109-B908-495E9683FD13}"/>
    <cellStyle name="Note 29 3 2" xfId="31236" xr:uid="{64C71BB5-70F4-4A1B-A5CD-50224927E938}"/>
    <cellStyle name="Note 29 3 2 2" xfId="31237" xr:uid="{E06C5A06-739D-47D7-9C24-5BC663824A57}"/>
    <cellStyle name="Note 29 3 2 2 2" xfId="31238" xr:uid="{7BDE61BC-9128-493E-B900-797D1F2FEF78}"/>
    <cellStyle name="Note 29 3 2 2 2 2" xfId="31239" xr:uid="{81A30580-9963-4D7F-B9C5-E74A2ED9C78F}"/>
    <cellStyle name="Note 29 3 2 2 3" xfId="31240" xr:uid="{84A699FE-2F40-4CEC-8926-5C1E3392FF09}"/>
    <cellStyle name="Note 29 3 2 3" xfId="31241" xr:uid="{B540705B-7DAE-41B2-AF8E-3A0B5CC8A5C4}"/>
    <cellStyle name="Note 29 3 2 3 2" xfId="31242" xr:uid="{9A92C276-E587-4943-8903-8E819A597145}"/>
    <cellStyle name="Note 29 3 2 3 2 2" xfId="31243" xr:uid="{79A76797-7D1E-4A05-8222-81200A9D5C9E}"/>
    <cellStyle name="Note 29 3 2 3 3" xfId="31244" xr:uid="{6C6FD4A4-0F08-4C3F-AE7C-DB8ACFBF45E5}"/>
    <cellStyle name="Note 29 3 2 4" xfId="31245" xr:uid="{B4A4E62F-AC9E-45EE-AB5C-3B01A6DBB9FB}"/>
    <cellStyle name="Note 29 3 2 4 2" xfId="31246" xr:uid="{B13B0A2F-123E-4EAE-8DD6-867CC233FB70}"/>
    <cellStyle name="Note 29 3 2 5" xfId="31247" xr:uid="{C04AB669-5887-452F-86C8-6EDFCF984711}"/>
    <cellStyle name="Note 29 3 3" xfId="31248" xr:uid="{A8AA7248-EF07-44D9-BC4E-062AFC405457}"/>
    <cellStyle name="Note 29 3 3 2" xfId="31249" xr:uid="{CACBF2D2-C0EE-4734-8424-AA1DF0B82F0A}"/>
    <cellStyle name="Note 29 3 3 2 2" xfId="31250" xr:uid="{8361E889-242C-4EF4-9290-5D64B55866F4}"/>
    <cellStyle name="Note 29 3 3 3" xfId="31251" xr:uid="{EB5892B7-3703-4AA6-B7E7-708DB767DBC9}"/>
    <cellStyle name="Note 29 3 4" xfId="31252" xr:uid="{434C894F-B8AD-450C-A70A-86EF1BE69364}"/>
    <cellStyle name="Note 29 3 4 2" xfId="31253" xr:uid="{684F08F9-909C-4559-AC94-18F3427C0590}"/>
    <cellStyle name="Note 29 3 4 2 2" xfId="31254" xr:uid="{F9E88D49-6C5A-4149-86A4-007A74E03C58}"/>
    <cellStyle name="Note 29 3 4 3" xfId="31255" xr:uid="{7E31B9F8-90E4-4669-8591-16453127149C}"/>
    <cellStyle name="Note 29 3 5" xfId="31256" xr:uid="{6C1A166B-0ECF-426B-B752-5912C303F5CF}"/>
    <cellStyle name="Note 29 3 5 2" xfId="31257" xr:uid="{86397097-216E-4C93-9413-4EBDF39AC263}"/>
    <cellStyle name="Note 29 3 6" xfId="31258" xr:uid="{F5FDE66B-9937-498B-A4D0-B02C074306BF}"/>
    <cellStyle name="Note 29 4" xfId="31259" xr:uid="{67F187F9-2F70-46B0-8431-D81174A43066}"/>
    <cellStyle name="Note 29 4 2" xfId="31260" xr:uid="{EE44D9D9-5FC5-4BD4-9460-B9B712E0CF97}"/>
    <cellStyle name="Note 29 4 2 2" xfId="31261" xr:uid="{2C4229F3-016B-451E-904E-37A3BA595610}"/>
    <cellStyle name="Note 29 4 2 2 2" xfId="31262" xr:uid="{CFF0C1F1-24E6-47D1-BBF6-4F90EBB56629}"/>
    <cellStyle name="Note 29 4 2 2 2 2" xfId="31263" xr:uid="{0582EF1A-ED3B-4BAB-89B8-496FA5BA8D58}"/>
    <cellStyle name="Note 29 4 2 2 3" xfId="31264" xr:uid="{A9E4A6A7-A0C5-49CB-815C-1302204FEAB5}"/>
    <cellStyle name="Note 29 4 2 3" xfId="31265" xr:uid="{25F2D028-DF55-4C8A-83DE-5DA7CCB97603}"/>
    <cellStyle name="Note 29 4 2 3 2" xfId="31266" xr:uid="{5EF28D4A-245B-44B9-9E02-2737CEF882A3}"/>
    <cellStyle name="Note 29 4 2 3 2 2" xfId="31267" xr:uid="{F12A60B6-99EF-4475-9116-219576E7BFCF}"/>
    <cellStyle name="Note 29 4 2 3 3" xfId="31268" xr:uid="{FDD091C3-C12E-4494-A08C-FA14AC27ACE8}"/>
    <cellStyle name="Note 29 4 2 4" xfId="31269" xr:uid="{7AED5C4F-0515-4F9A-9E95-3A1C2648971E}"/>
    <cellStyle name="Note 29 4 2 4 2" xfId="31270" xr:uid="{FB21B59D-88E5-4BB9-B71E-494D659C8EF2}"/>
    <cellStyle name="Note 29 4 2 5" xfId="31271" xr:uid="{0B2CC2D1-075E-4683-8660-15B90524025C}"/>
    <cellStyle name="Note 29 4 3" xfId="31272" xr:uid="{2962DED3-4CC2-466C-853E-7ECE0DB2F6A7}"/>
    <cellStyle name="Note 29 4 3 2" xfId="31273" xr:uid="{933DA9A4-4E4D-4BBA-9A70-CF6B88AAFF0C}"/>
    <cellStyle name="Note 29 4 3 2 2" xfId="31274" xr:uid="{1416ABA2-178A-4D54-8623-C5557FAA2EF1}"/>
    <cellStyle name="Note 29 4 3 3" xfId="31275" xr:uid="{C1CB460F-7081-444B-A22F-59DEA9DB7F02}"/>
    <cellStyle name="Note 29 4 4" xfId="31276" xr:uid="{F4FBBBB2-B302-4A49-B336-1111C3BB9360}"/>
    <cellStyle name="Note 29 4 4 2" xfId="31277" xr:uid="{9D0CD6C4-027D-4956-903B-46739E979123}"/>
    <cellStyle name="Note 29 4 4 2 2" xfId="31278" xr:uid="{0BBF3932-AC78-4189-ABB9-9FD7109C3EC3}"/>
    <cellStyle name="Note 29 4 4 3" xfId="31279" xr:uid="{A7B2E04B-ECF8-432A-AAFD-5A8AF8CF0CB0}"/>
    <cellStyle name="Note 29 4 5" xfId="31280" xr:uid="{A3016283-92EF-43DB-BA85-E09E4831E028}"/>
    <cellStyle name="Note 29 4 5 2" xfId="31281" xr:uid="{886F54E4-1886-4BC0-A7C9-265427DBB4F7}"/>
    <cellStyle name="Note 29 4 6" xfId="31282" xr:uid="{F98B5839-E30F-4E83-AFD9-AB856F5ED32D}"/>
    <cellStyle name="Note 29 5" xfId="31283" xr:uid="{271DB31C-FBC1-4761-B801-020C2CC95918}"/>
    <cellStyle name="Note 29 5 2" xfId="31284" xr:uid="{4DD5EA5F-8B42-4C98-B05D-BE23F74F4BC0}"/>
    <cellStyle name="Note 29 5 2 2" xfId="31285" xr:uid="{C023E3B9-5D66-475F-A52A-8E31E32E0A8F}"/>
    <cellStyle name="Note 29 5 2 2 2" xfId="31286" xr:uid="{36F5C31B-4C2E-44B6-BFED-AD24D979D791}"/>
    <cellStyle name="Note 29 5 2 2 2 2" xfId="31287" xr:uid="{1B993B34-AAD1-48CB-8F1D-1DF414558F69}"/>
    <cellStyle name="Note 29 5 2 2 3" xfId="31288" xr:uid="{37C8C69B-1FFA-4F05-99C6-394729175061}"/>
    <cellStyle name="Note 29 5 2 3" xfId="31289" xr:uid="{EDBA4086-D012-4A60-B5FA-1B4C6DC43121}"/>
    <cellStyle name="Note 29 5 2 3 2" xfId="31290" xr:uid="{C4C44210-188B-4120-A0C8-EC997B7B01C5}"/>
    <cellStyle name="Note 29 5 2 3 2 2" xfId="31291" xr:uid="{79447952-D35D-4D85-B2D2-AFD02CD3A6C9}"/>
    <cellStyle name="Note 29 5 2 3 3" xfId="31292" xr:uid="{BEAC013E-29FD-4E3A-9B85-119CB05A537F}"/>
    <cellStyle name="Note 29 5 2 4" xfId="31293" xr:uid="{72E6F450-41C6-4A52-867A-5593E7DE8A6E}"/>
    <cellStyle name="Note 29 5 2 4 2" xfId="31294" xr:uid="{A56B56C6-33A0-4FEC-9CDC-17EE89A348AB}"/>
    <cellStyle name="Note 29 5 2 5" xfId="31295" xr:uid="{84EA903F-58FC-407A-989F-5AE7D0146811}"/>
    <cellStyle name="Note 29 5 3" xfId="31296" xr:uid="{6438879E-39EE-40C3-B0DA-7A3BE446B97C}"/>
    <cellStyle name="Note 29 5 3 2" xfId="31297" xr:uid="{BE7927FD-0F89-49AA-818F-C18C0F29F24E}"/>
    <cellStyle name="Note 29 5 3 2 2" xfId="31298" xr:uid="{A94F0346-10D5-496B-996D-133DB0E3D131}"/>
    <cellStyle name="Note 29 5 3 3" xfId="31299" xr:uid="{3379C002-C11C-4834-9F75-5C814AA40785}"/>
    <cellStyle name="Note 29 5 4" xfId="31300" xr:uid="{3D0C8701-F369-450A-8B6E-559FFD98D61A}"/>
    <cellStyle name="Note 29 5 4 2" xfId="31301" xr:uid="{DF4A191B-2A7C-46FF-9D10-982629A6F9FB}"/>
    <cellStyle name="Note 29 5 4 2 2" xfId="31302" xr:uid="{3835EB0F-E31A-49A8-8B67-F136EC582DB5}"/>
    <cellStyle name="Note 29 5 4 3" xfId="31303" xr:uid="{0DD0A979-FAE2-454D-9F8C-9C65DDCB6A2F}"/>
    <cellStyle name="Note 29 5 5" xfId="31304" xr:uid="{FE33193C-8E68-48D9-8EBB-2BEFD29BC567}"/>
    <cellStyle name="Note 29 5 5 2" xfId="31305" xr:uid="{965C758C-C4EB-4261-AB5B-30DECE7FA744}"/>
    <cellStyle name="Note 29 5 6" xfId="31306" xr:uid="{41AD07EB-AC3B-493F-9964-6B0E27BCA5E5}"/>
    <cellStyle name="Note 29 6" xfId="31307" xr:uid="{1ABBEC01-969B-428C-999E-DE81C331E030}"/>
    <cellStyle name="Note 29 6 2" xfId="31308" xr:uid="{0160451A-0635-486E-B4E0-E6B00E4D36C7}"/>
    <cellStyle name="Note 29 6 2 2" xfId="31309" xr:uid="{4E5D7869-96BE-4B13-88E4-5CA9C28013B3}"/>
    <cellStyle name="Note 29 6 2 2 2" xfId="31310" xr:uid="{9954D33F-7CA8-4353-A965-EE5AE61A250B}"/>
    <cellStyle name="Note 29 6 2 2 2 2" xfId="31311" xr:uid="{EA8C32ED-3DEE-4B74-9AB5-7B34C5FC7D63}"/>
    <cellStyle name="Note 29 6 2 2 3" xfId="31312" xr:uid="{1EA80D78-8F82-49DF-B746-1F3710EE2812}"/>
    <cellStyle name="Note 29 6 2 3" xfId="31313" xr:uid="{E6A6FDDB-3FFD-4039-8176-9E5DC643EC82}"/>
    <cellStyle name="Note 29 6 2 3 2" xfId="31314" xr:uid="{987AA399-6764-4100-8790-B51399E752A0}"/>
    <cellStyle name="Note 29 6 2 3 2 2" xfId="31315" xr:uid="{7A6B88AC-C8D1-466D-85D8-DEAB1CC875F1}"/>
    <cellStyle name="Note 29 6 2 3 3" xfId="31316" xr:uid="{43C0C7DD-4FFD-43C3-9F26-9F3505661720}"/>
    <cellStyle name="Note 29 6 2 4" xfId="31317" xr:uid="{17A2A4F7-5F17-4D13-B639-FBCDF59EC5D5}"/>
    <cellStyle name="Note 29 6 2 4 2" xfId="31318" xr:uid="{4E407093-C16F-479C-A668-1D3CAD01C4A9}"/>
    <cellStyle name="Note 29 6 2 5" xfId="31319" xr:uid="{4710AA45-2EEF-4AC1-83D5-27A7CF410D46}"/>
    <cellStyle name="Note 29 6 3" xfId="31320" xr:uid="{4D7228C2-26C5-4D0D-BC58-41CF260A816D}"/>
    <cellStyle name="Note 29 6 3 2" xfId="31321" xr:uid="{B7015693-F423-4B81-A09D-CDE76F944F74}"/>
    <cellStyle name="Note 29 6 3 2 2" xfId="31322" xr:uid="{1FA4CCAE-2E37-479D-98A2-67A2E0998319}"/>
    <cellStyle name="Note 29 6 3 3" xfId="31323" xr:uid="{52BC35B8-97AF-4C71-B05E-0BB5FE23BE80}"/>
    <cellStyle name="Note 29 6 4" xfId="31324" xr:uid="{765EA8D3-3069-46C6-9FF7-35F4DA31648D}"/>
    <cellStyle name="Note 29 6 4 2" xfId="31325" xr:uid="{D491B645-E3FA-41EB-98AC-92C02B96CBEB}"/>
    <cellStyle name="Note 29 6 4 2 2" xfId="31326" xr:uid="{A2C0A2B3-11D1-4117-8F9F-0F01F0468239}"/>
    <cellStyle name="Note 29 6 4 3" xfId="31327" xr:uid="{285FCB38-8863-4124-AAA9-CC8960310F3A}"/>
    <cellStyle name="Note 29 6 5" xfId="31328" xr:uid="{F1599D9E-E310-4FC8-B967-A7257CF3A6AC}"/>
    <cellStyle name="Note 29 6 5 2" xfId="31329" xr:uid="{ACEAAC9F-37A4-45D0-A9A6-2E6D6F45A474}"/>
    <cellStyle name="Note 29 6 6" xfId="31330" xr:uid="{40152CEB-E662-492A-A753-4407BEFCC9BE}"/>
    <cellStyle name="Note 29 7" xfId="31331" xr:uid="{19F23B11-4CC8-4489-B0D9-B60C2BE428A1}"/>
    <cellStyle name="Note 29 7 2" xfId="31332" xr:uid="{88BC0CD1-4662-4A6B-8696-17334DE24611}"/>
    <cellStyle name="Note 29 7 2 2" xfId="31333" xr:uid="{32E3C52D-CD2E-4461-A06D-C94DADD4C4EC}"/>
    <cellStyle name="Note 29 7 2 2 2" xfId="31334" xr:uid="{6F8828ED-4858-47DC-AC79-7DF4CBDBB67D}"/>
    <cellStyle name="Note 29 7 2 2 2 2" xfId="31335" xr:uid="{B39BA40D-3E21-4A8D-811D-94BA035DBB8F}"/>
    <cellStyle name="Note 29 7 2 2 3" xfId="31336" xr:uid="{4CEB6E01-6028-460B-A516-1C3097B562B0}"/>
    <cellStyle name="Note 29 7 2 3" xfId="31337" xr:uid="{91A173F1-30A6-4103-957B-224C5D43EA66}"/>
    <cellStyle name="Note 29 7 2 3 2" xfId="31338" xr:uid="{C2F65A91-3018-40D1-9444-3AAD984E8DB9}"/>
    <cellStyle name="Note 29 7 2 3 2 2" xfId="31339" xr:uid="{4E7D4442-BA36-402D-BF84-68E93DFC1B48}"/>
    <cellStyle name="Note 29 7 2 3 3" xfId="31340" xr:uid="{63A010D7-85B9-4205-999B-6947713D322E}"/>
    <cellStyle name="Note 29 7 2 4" xfId="31341" xr:uid="{194FF290-2224-4322-AF6B-1D0E18E69191}"/>
    <cellStyle name="Note 29 7 2 4 2" xfId="31342" xr:uid="{99270573-2CB8-44D6-8AD0-62F32798E6D8}"/>
    <cellStyle name="Note 29 7 2 5" xfId="31343" xr:uid="{56A8501E-E22F-4F95-9940-9F6E5A53460F}"/>
    <cellStyle name="Note 29 7 3" xfId="31344" xr:uid="{10E4F71B-E649-49FA-8B52-22AA4624E1A9}"/>
    <cellStyle name="Note 29 7 3 2" xfId="31345" xr:uid="{48FCEA43-777D-4AA2-A7F5-94DDF1636F82}"/>
    <cellStyle name="Note 29 7 3 2 2" xfId="31346" xr:uid="{A50521B3-8E46-41F3-AC78-830F400031F4}"/>
    <cellStyle name="Note 29 7 3 3" xfId="31347" xr:uid="{2478207A-CED3-4824-AD91-9FE3AF56D7D4}"/>
    <cellStyle name="Note 29 7 4" xfId="31348" xr:uid="{DA61C795-D6CA-4A48-838F-881D2E0C6B5D}"/>
    <cellStyle name="Note 29 7 4 2" xfId="31349" xr:uid="{58D6D676-FCC7-4B95-B6E6-0A09AFDE9B7C}"/>
    <cellStyle name="Note 29 7 4 2 2" xfId="31350" xr:uid="{16D4E48A-5682-4737-84EA-86FBB89F0BEA}"/>
    <cellStyle name="Note 29 7 4 3" xfId="31351" xr:uid="{24D2D443-D4D6-407F-AC5F-231836FD8086}"/>
    <cellStyle name="Note 29 7 5" xfId="31352" xr:uid="{56C2736A-5060-4C1A-8FA8-C0A9D09373DD}"/>
    <cellStyle name="Note 29 7 5 2" xfId="31353" xr:uid="{00316DD9-1F4A-403D-9A09-ED94EE884675}"/>
    <cellStyle name="Note 29 7 6" xfId="31354" xr:uid="{4ACAE9F3-CD6B-41D7-8992-4EC1491DF464}"/>
    <cellStyle name="Note 29 8" xfId="31355" xr:uid="{A8067CC3-0FD8-4170-A28A-4E7BD89D0A5A}"/>
    <cellStyle name="Note 29 8 2" xfId="31356" xr:uid="{D4052DA4-8117-42BF-B2AF-D10185435BE8}"/>
    <cellStyle name="Note 29 8 2 2" xfId="31357" xr:uid="{0CD89BDD-C48C-4123-9642-FF03216B8A24}"/>
    <cellStyle name="Note 29 8 2 2 2" xfId="31358" xr:uid="{E7C17E0C-94FD-45EF-B8B7-FC7005729DD7}"/>
    <cellStyle name="Note 29 8 2 2 2 2" xfId="31359" xr:uid="{1B6F3170-5172-45CD-AEB7-AB1D05D5D223}"/>
    <cellStyle name="Note 29 8 2 2 3" xfId="31360" xr:uid="{DEF49FEB-D7A8-4CA6-959D-E4A6743F29C3}"/>
    <cellStyle name="Note 29 8 2 3" xfId="31361" xr:uid="{0F748C35-611D-4561-907B-263CFB4AC549}"/>
    <cellStyle name="Note 29 8 2 3 2" xfId="31362" xr:uid="{C817643F-EA2B-45FE-8391-C033EB15F87F}"/>
    <cellStyle name="Note 29 8 2 3 2 2" xfId="31363" xr:uid="{3314CC29-3C1E-4870-B12B-1F31095DA6AE}"/>
    <cellStyle name="Note 29 8 2 3 3" xfId="31364" xr:uid="{4BDAFAC8-393D-453A-8989-51FE001113AA}"/>
    <cellStyle name="Note 29 8 2 4" xfId="31365" xr:uid="{E49F697F-7BEF-4023-BBC2-434C81FE5330}"/>
    <cellStyle name="Note 29 8 2 4 2" xfId="31366" xr:uid="{3562F924-4C12-4AFE-B39B-856E0EBFA48F}"/>
    <cellStyle name="Note 29 8 2 5" xfId="31367" xr:uid="{E40AE631-F68B-44B1-9D79-CE1DCC1BC75E}"/>
    <cellStyle name="Note 29 8 3" xfId="31368" xr:uid="{FFB97236-2910-4801-8A6E-852175BA1AE6}"/>
    <cellStyle name="Note 29 8 3 2" xfId="31369" xr:uid="{D78D33FC-D282-450B-8A1B-AF65190148B4}"/>
    <cellStyle name="Note 29 8 3 2 2" xfId="31370" xr:uid="{71064A51-7A97-4CB8-9D95-123E97D9BEA4}"/>
    <cellStyle name="Note 29 8 3 3" xfId="31371" xr:uid="{758E353A-898B-4AEF-86E0-B522E0C78F06}"/>
    <cellStyle name="Note 29 8 4" xfId="31372" xr:uid="{A0A14685-534A-4B6B-8E5D-33CFD6FF768C}"/>
    <cellStyle name="Note 29 8 4 2" xfId="31373" xr:uid="{DDCE532C-1C50-4F9A-BAC9-60AC7CC70780}"/>
    <cellStyle name="Note 29 8 4 2 2" xfId="31374" xr:uid="{4ABA0BA2-C7EF-41C8-9D19-A6FC945DC380}"/>
    <cellStyle name="Note 29 8 4 3" xfId="31375" xr:uid="{3DBA01C3-8C3A-4D28-A350-8EC50C7E4A3B}"/>
    <cellStyle name="Note 29 8 5" xfId="31376" xr:uid="{B69EFEDE-0BD8-4824-A59C-4878C0BD7910}"/>
    <cellStyle name="Note 29 8 5 2" xfId="31377" xr:uid="{87F8759C-BA5C-4057-9070-27AF77B623B9}"/>
    <cellStyle name="Note 29 8 6" xfId="31378" xr:uid="{784E5D32-150E-43CA-9EBA-9FBAB2A29505}"/>
    <cellStyle name="Note 29 9" xfId="31379" xr:uid="{55A08DDA-84A4-43AF-86AD-372E7020C432}"/>
    <cellStyle name="Note 29 9 2" xfId="31380" xr:uid="{E3A0D577-68FB-4BA4-BE43-E319479F28A4}"/>
    <cellStyle name="Note 29 9 2 2" xfId="31381" xr:uid="{72C301F2-DCBC-4B7B-9EA4-1F0A3769DD9C}"/>
    <cellStyle name="Note 29 9 2 2 2" xfId="31382" xr:uid="{4D72AB8A-E1D4-4359-824B-FB85B9AFF708}"/>
    <cellStyle name="Note 29 9 2 2 2 2" xfId="31383" xr:uid="{85147D02-9901-43C0-8E1C-C55D521A6640}"/>
    <cellStyle name="Note 29 9 2 2 3" xfId="31384" xr:uid="{840EA654-831C-46CD-BF84-E8CACB34D0A0}"/>
    <cellStyle name="Note 29 9 2 3" xfId="31385" xr:uid="{A80552EF-76A6-4EB2-946F-F49E2270583B}"/>
    <cellStyle name="Note 29 9 2 3 2" xfId="31386" xr:uid="{F47B8529-B93E-4608-9461-37F25D0A973E}"/>
    <cellStyle name="Note 29 9 2 3 2 2" xfId="31387" xr:uid="{246794E6-BEFB-4C17-BE18-1F172BC33FB9}"/>
    <cellStyle name="Note 29 9 2 3 3" xfId="31388" xr:uid="{27AEB49B-9329-4EBF-A2D7-2B874FB0AED5}"/>
    <cellStyle name="Note 29 9 2 4" xfId="31389" xr:uid="{04E50DF8-06C1-43A6-B05D-89423FD984A9}"/>
    <cellStyle name="Note 29 9 2 4 2" xfId="31390" xr:uid="{87887B36-9F28-43E5-AF39-9A8F84597F60}"/>
    <cellStyle name="Note 29 9 2 5" xfId="31391" xr:uid="{4C0CEED2-D218-46E8-8437-AA81DDB7A676}"/>
    <cellStyle name="Note 29 9 3" xfId="31392" xr:uid="{CDB34918-062A-45F3-9D61-D076F7A250D9}"/>
    <cellStyle name="Note 29 9 3 2" xfId="31393" xr:uid="{87CBAF93-C8B1-4E1F-A6A2-2C03ADB624BD}"/>
    <cellStyle name="Note 29 9 3 2 2" xfId="31394" xr:uid="{BC4B85D9-50CB-4A48-B1B4-D4E7B98322B2}"/>
    <cellStyle name="Note 29 9 3 3" xfId="31395" xr:uid="{6966F8D7-1BDF-4874-950C-7B38B5C15E8F}"/>
    <cellStyle name="Note 29 9 4" xfId="31396" xr:uid="{041D0F88-36CF-465F-89B8-DFC08752F879}"/>
    <cellStyle name="Note 29 9 4 2" xfId="31397" xr:uid="{E4622E19-DC01-43DB-8872-DFE86FC3907F}"/>
    <cellStyle name="Note 29 9 4 2 2" xfId="31398" xr:uid="{2742B48B-928E-44C5-B205-2C6D40BF810B}"/>
    <cellStyle name="Note 29 9 4 3" xfId="31399" xr:uid="{1FEFC713-E162-41B3-892F-B6F010DC1DDB}"/>
    <cellStyle name="Note 29 9 5" xfId="31400" xr:uid="{4E0DD079-511D-48C2-AEAF-5F470FBB061B}"/>
    <cellStyle name="Note 29 9 5 2" xfId="31401" xr:uid="{02F71772-E7F7-4273-947E-4B009C74870F}"/>
    <cellStyle name="Note 29 9 6" xfId="31402" xr:uid="{B6B03387-B9CB-450A-ABE8-63F91906FC6A}"/>
    <cellStyle name="Note 3" xfId="31403" xr:uid="{912EA481-CBE6-4668-BC2C-515C3C00A98B}"/>
    <cellStyle name="Note 3 10" xfId="31404" xr:uid="{570486B7-6718-4D36-9BCD-8722F51F5828}"/>
    <cellStyle name="Note 3 10 2" xfId="31405" xr:uid="{C3890BB1-6EEE-4894-AE9C-50C0CA88E7FF}"/>
    <cellStyle name="Note 3 10 2 2" xfId="31406" xr:uid="{0915A8A2-BB2F-4442-8BF9-9B50C9E88E75}"/>
    <cellStyle name="Note 3 10 2 2 2" xfId="31407" xr:uid="{F31DFFF9-6630-4DF9-ABD6-99DD8A2C0141}"/>
    <cellStyle name="Note 3 10 2 2 2 2" xfId="31408" xr:uid="{3D2781D0-8E44-4E19-9C87-86266C0F47E4}"/>
    <cellStyle name="Note 3 10 2 2 3" xfId="31409" xr:uid="{73B4E0A9-9261-46DA-85C2-62011661D660}"/>
    <cellStyle name="Note 3 10 2 3" xfId="31410" xr:uid="{4CC1F23A-562D-4952-8800-15F3A2024FFD}"/>
    <cellStyle name="Note 3 10 2 3 2" xfId="31411" xr:uid="{A1BA3123-6173-4E07-942E-49E9F1722E3C}"/>
    <cellStyle name="Note 3 10 2 3 2 2" xfId="31412" xr:uid="{D1767EFF-5562-4486-AC2D-18C0F45F5BAE}"/>
    <cellStyle name="Note 3 10 2 3 3" xfId="31413" xr:uid="{ACB0E6EE-97E2-4820-A918-AAEEC5F4B209}"/>
    <cellStyle name="Note 3 10 2 4" xfId="31414" xr:uid="{C6E78E0E-4FC4-4DF0-A129-8071DB0F7D8B}"/>
    <cellStyle name="Note 3 10 2 4 2" xfId="31415" xr:uid="{955E8347-0D3A-464E-A006-DAA40ECACCB7}"/>
    <cellStyle name="Note 3 10 2 5" xfId="31416" xr:uid="{CA7886B4-5979-4CEA-9715-9E4E2D1CB876}"/>
    <cellStyle name="Note 3 10 3" xfId="31417" xr:uid="{280A657E-9C07-4E2B-A78F-9F05952000FC}"/>
    <cellStyle name="Note 3 10 3 2" xfId="31418" xr:uid="{8377FED3-C15F-47FD-B162-0F9722E12DF6}"/>
    <cellStyle name="Note 3 10 3 2 2" xfId="31419" xr:uid="{24EEC123-649D-4EB3-976A-F7E90957501E}"/>
    <cellStyle name="Note 3 10 3 3" xfId="31420" xr:uid="{7D244533-7FAA-47BB-94C2-DAE44CBF29D0}"/>
    <cellStyle name="Note 3 10 4" xfId="31421" xr:uid="{8567DEEF-AC35-4699-933B-551137C09308}"/>
    <cellStyle name="Note 3 10 4 2" xfId="31422" xr:uid="{A63D242B-10F1-4015-9F78-0166CF413CF3}"/>
    <cellStyle name="Note 3 10 4 2 2" xfId="31423" xr:uid="{B16F1A4E-35E4-4F5D-AEA2-888F26E11B12}"/>
    <cellStyle name="Note 3 10 4 3" xfId="31424" xr:uid="{A0B68B54-9498-4AC8-92C1-2FEE27337252}"/>
    <cellStyle name="Note 3 10 5" xfId="31425" xr:uid="{9D0C4397-178E-4791-8BEE-DB93CE4DC72E}"/>
    <cellStyle name="Note 3 10 5 2" xfId="31426" xr:uid="{678A6692-C5AD-498E-8BBB-5CF876ACC516}"/>
    <cellStyle name="Note 3 10 6" xfId="31427" xr:uid="{F01E0EE9-F1BE-4B2A-A0E8-CDBC1A49B883}"/>
    <cellStyle name="Note 3 11" xfId="31428" xr:uid="{B1A35064-5B5E-4C09-BEFC-6F3F9F9C937A}"/>
    <cellStyle name="Note 3 11 2" xfId="31429" xr:uid="{833C4F3E-FB6E-419C-B312-8A313FF345B1}"/>
    <cellStyle name="Note 3 11 2 2" xfId="31430" xr:uid="{8F4EEA01-D189-4B36-AF1C-0D36C84D8BF6}"/>
    <cellStyle name="Note 3 11 2 2 2" xfId="31431" xr:uid="{5D4E1F09-DBBE-4E33-857E-E8C74C81BD8F}"/>
    <cellStyle name="Note 3 11 2 3" xfId="31432" xr:uid="{1CE2A2A0-6B4E-4728-B321-2B4DB9FAD7EC}"/>
    <cellStyle name="Note 3 11 3" xfId="31433" xr:uid="{E3A39B53-8368-4694-B9F5-5FE6A27E23F5}"/>
    <cellStyle name="Note 3 11 3 2" xfId="31434" xr:uid="{A783FA7E-EF2B-4174-A35E-0DD38984C222}"/>
    <cellStyle name="Note 3 11 3 2 2" xfId="31435" xr:uid="{3021BAD2-028D-4F2B-9302-AF67871416B4}"/>
    <cellStyle name="Note 3 11 3 3" xfId="31436" xr:uid="{9233A843-08B6-4FA7-AA60-D10A434C63C9}"/>
    <cellStyle name="Note 3 11 4" xfId="31437" xr:uid="{D844CBBD-C3B5-48EF-8D09-7995D04C720C}"/>
    <cellStyle name="Note 3 11 4 2" xfId="31438" xr:uid="{1A82560C-2038-4288-AA76-15FAEECA069E}"/>
    <cellStyle name="Note 3 11 5" xfId="31439" xr:uid="{DB11C098-4331-40FB-845A-154D1FD476A5}"/>
    <cellStyle name="Note 3 12" xfId="31440" xr:uid="{E2EAD96D-3F9A-4E35-96AD-E291A0F4A109}"/>
    <cellStyle name="Note 3 12 2" xfId="31441" xr:uid="{0B0E3E16-B863-44CB-8ACE-F7CD6E85DFC7}"/>
    <cellStyle name="Note 3 12 2 2" xfId="31442" xr:uid="{D07E6C45-7C86-4BF6-AE2B-D892FE094B08}"/>
    <cellStyle name="Note 3 12 3" xfId="31443" xr:uid="{5F0D6A6D-057D-4DD0-BEDB-794DBBAB4494}"/>
    <cellStyle name="Note 3 13" xfId="31444" xr:uid="{7FB63E12-7C92-4B9E-9487-3B9152242A46}"/>
    <cellStyle name="Note 3 13 2" xfId="31445" xr:uid="{93CDC724-45CC-475A-B62A-650E1A448977}"/>
    <cellStyle name="Note 3 13 2 2" xfId="31446" xr:uid="{3A689946-978D-4412-A7FB-FC3AE5C71314}"/>
    <cellStyle name="Note 3 13 3" xfId="31447" xr:uid="{DC8DC969-6549-463B-B669-7D895F0C8672}"/>
    <cellStyle name="Note 3 14" xfId="31448" xr:uid="{6C522985-F2B4-46A8-908D-09A30C6C0C70}"/>
    <cellStyle name="Note 3 14 2" xfId="31449" xr:uid="{B09DDC99-7694-48A2-89C1-D8F89788FFCF}"/>
    <cellStyle name="Note 3 15" xfId="39334" xr:uid="{DCE7D077-DFF3-433E-A286-FC1EBBCC26D4}"/>
    <cellStyle name="Note 3 2" xfId="31450" xr:uid="{A3625E2C-E64B-4FF5-BBB6-810E66D4683A}"/>
    <cellStyle name="Note 3 2 2" xfId="31451" xr:uid="{D4AB59F1-973A-47C6-B0EB-71F1B1E9DA5B}"/>
    <cellStyle name="Note 3 2 2 2" xfId="31452" xr:uid="{767B0C21-4B16-462C-9945-862C899D983C}"/>
    <cellStyle name="Note 3 2 2 2 2" xfId="31453" xr:uid="{0AEA3A80-7873-4348-AB38-AEEA15A9DD1A}"/>
    <cellStyle name="Note 3 2 2 2 2 2" xfId="31454" xr:uid="{D07651D7-44C9-4B0F-A627-77652567C27F}"/>
    <cellStyle name="Note 3 2 2 2 3" xfId="31455" xr:uid="{2E923643-1D35-4F3D-B3C1-69E4B0746C39}"/>
    <cellStyle name="Note 3 2 2 3" xfId="31456" xr:uid="{EF42B732-B5D8-44BD-937D-ED9EE72CE441}"/>
    <cellStyle name="Note 3 2 2 3 2" xfId="31457" xr:uid="{A3D5A574-538A-4118-A9E6-E0EE1B115F3B}"/>
    <cellStyle name="Note 3 2 2 3 2 2" xfId="31458" xr:uid="{FB0C5304-EA67-4B4D-AAFC-DF02EDFAA054}"/>
    <cellStyle name="Note 3 2 2 3 3" xfId="31459" xr:uid="{0ED96423-E213-4C8A-B4BB-6B9237BF7593}"/>
    <cellStyle name="Note 3 2 2 4" xfId="31460" xr:uid="{4E7D7F64-9236-4EBF-9B10-79C0C0F909F7}"/>
    <cellStyle name="Note 3 2 2 4 2" xfId="31461" xr:uid="{86416CC6-2CB8-4162-B8E0-04463F418145}"/>
    <cellStyle name="Note 3 2 2 5" xfId="31462" xr:uid="{8F9CE5B6-E4D9-4006-8909-19DDDE6208CD}"/>
    <cellStyle name="Note 3 2 3" xfId="31463" xr:uid="{B1957F64-3572-42CA-93AE-FC23C4E6C593}"/>
    <cellStyle name="Note 3 2 3 2" xfId="31464" xr:uid="{A6174B43-3EC4-4A7C-931C-CCE47118B932}"/>
    <cellStyle name="Note 3 2 3 2 2" xfId="31465" xr:uid="{A9753381-CF08-4B7B-94FB-F397C14B93C6}"/>
    <cellStyle name="Note 3 2 3 3" xfId="31466" xr:uid="{B4FA35AB-26DC-444D-9175-E0A392ABC39A}"/>
    <cellStyle name="Note 3 2 4" xfId="31467" xr:uid="{82F87995-880D-423A-858B-1075E0259DBE}"/>
    <cellStyle name="Note 3 2 4 2" xfId="31468" xr:uid="{64817C70-CDC3-4B2C-B977-C4B2A7929751}"/>
    <cellStyle name="Note 3 2 4 2 2" xfId="31469" xr:uid="{B7E57564-3103-4497-A140-2CD9915CC1C1}"/>
    <cellStyle name="Note 3 2 4 3" xfId="31470" xr:uid="{530DBE26-C18C-4C2C-86BC-68E9FFC0B071}"/>
    <cellStyle name="Note 3 2 4 4" xfId="39335" xr:uid="{1F54E477-68FF-4972-8D1B-CEA9D6EBCCCC}"/>
    <cellStyle name="Note 3 2 5" xfId="31471" xr:uid="{064ADD93-F9D8-4D83-A5DE-D52F8FDFB8CC}"/>
    <cellStyle name="Note 3 2 5 2" xfId="31472" xr:uid="{AC245E6C-4C23-42E2-A8E9-87398FB90142}"/>
    <cellStyle name="Note 3 2 6" xfId="31473" xr:uid="{6781A76E-BD9F-4BA1-BC2D-29012DFDDFF0}"/>
    <cellStyle name="Note 3 3" xfId="31474" xr:uid="{297EB71E-E400-453C-90BE-C14634837697}"/>
    <cellStyle name="Note 3 3 2" xfId="31475" xr:uid="{184666CE-7F0F-4ED7-900D-A9E170E994C3}"/>
    <cellStyle name="Note 3 3 2 2" xfId="31476" xr:uid="{576B8F0A-179A-48BD-82F5-502686C18CA6}"/>
    <cellStyle name="Note 3 3 2 2 2" xfId="31477" xr:uid="{17B45038-A407-4AA2-A180-6556356DE8E8}"/>
    <cellStyle name="Note 3 3 2 2 2 2" xfId="31478" xr:uid="{1E9F2FD1-D23B-4E34-A570-A8AD5EA9695F}"/>
    <cellStyle name="Note 3 3 2 2 3" xfId="31479" xr:uid="{0410B4DD-E08C-4203-BD02-21C196B51F7A}"/>
    <cellStyle name="Note 3 3 2 3" xfId="31480" xr:uid="{FD6742B7-A02A-4B89-AB0C-FB69BF8F3129}"/>
    <cellStyle name="Note 3 3 2 3 2" xfId="31481" xr:uid="{37F640D6-0F03-4DB5-9109-B15E8EC23CE7}"/>
    <cellStyle name="Note 3 3 2 3 2 2" xfId="31482" xr:uid="{BB97C83D-162E-431A-BBB8-45361F4EB531}"/>
    <cellStyle name="Note 3 3 2 3 3" xfId="31483" xr:uid="{18E08A94-D2F5-4B03-BE97-E3A7E86E5CC1}"/>
    <cellStyle name="Note 3 3 2 4" xfId="31484" xr:uid="{619B5203-EC15-49F7-A7E6-8F4157E95067}"/>
    <cellStyle name="Note 3 3 2 4 2" xfId="31485" xr:uid="{3432267D-9AD2-47D8-AE9E-1BEBBFC9022C}"/>
    <cellStyle name="Note 3 3 2 5" xfId="31486" xr:uid="{6A2165E5-C586-4EFA-9026-05744B56C253}"/>
    <cellStyle name="Note 3 3 3" xfId="31487" xr:uid="{9DC604C9-3ECB-4768-9608-D1090428AEC0}"/>
    <cellStyle name="Note 3 3 3 2" xfId="31488" xr:uid="{D51DB3A7-840E-4A2E-8531-FCFBFAE6431B}"/>
    <cellStyle name="Note 3 3 3 2 2" xfId="31489" xr:uid="{47B81878-3583-4881-957D-B84BD7BDCC44}"/>
    <cellStyle name="Note 3 3 3 3" xfId="31490" xr:uid="{A175E7DD-21CA-4CD7-8CFE-D5B5A4BBCD09}"/>
    <cellStyle name="Note 3 3 4" xfId="31491" xr:uid="{A27A1228-4056-4239-B165-BFA5A57C412A}"/>
    <cellStyle name="Note 3 3 4 2" xfId="31492" xr:uid="{60F17EB8-5E70-4570-8516-A18AE740782D}"/>
    <cellStyle name="Note 3 3 4 2 2" xfId="31493" xr:uid="{EAB46D0D-000C-41E3-9F9C-E4F29C862DA4}"/>
    <cellStyle name="Note 3 3 4 3" xfId="31494" xr:uid="{672D4EF8-6E84-40EF-96A1-626888FE1961}"/>
    <cellStyle name="Note 3 3 5" xfId="31495" xr:uid="{E3E66324-3829-41DF-B28A-87C128280F6D}"/>
    <cellStyle name="Note 3 3 5 2" xfId="31496" xr:uid="{878B47E9-625F-40A2-B7DE-1A6218E18754}"/>
    <cellStyle name="Note 3 3 6" xfId="31497" xr:uid="{88D6DE89-2B06-42EB-BD50-AD5CF4BF87A3}"/>
    <cellStyle name="Note 3 4" xfId="31498" xr:uid="{50C532D4-C1A9-4F79-86D5-CD36882F6AD3}"/>
    <cellStyle name="Note 3 4 2" xfId="31499" xr:uid="{E0BC10DE-CB7E-46DF-81F8-AE97332DA773}"/>
    <cellStyle name="Note 3 4 2 2" xfId="31500" xr:uid="{3A56C4C0-9CD5-4E41-8A7D-8547DEF2CEB7}"/>
    <cellStyle name="Note 3 4 2 2 2" xfId="31501" xr:uid="{D71678FB-A21F-409A-9B73-03663EA263EE}"/>
    <cellStyle name="Note 3 4 2 2 2 2" xfId="31502" xr:uid="{3D6EE646-F351-4D89-8E7C-6AFB5786D429}"/>
    <cellStyle name="Note 3 4 2 2 3" xfId="31503" xr:uid="{AA296D9D-B9D6-4B41-981D-2A548D7596C4}"/>
    <cellStyle name="Note 3 4 2 3" xfId="31504" xr:uid="{EF961FF6-C174-4C77-8D41-1FA06F083083}"/>
    <cellStyle name="Note 3 4 2 3 2" xfId="31505" xr:uid="{37065BB0-FA66-4783-B588-0DDDE2594406}"/>
    <cellStyle name="Note 3 4 2 3 2 2" xfId="31506" xr:uid="{3C377F56-51FC-427F-A268-5A6931B02627}"/>
    <cellStyle name="Note 3 4 2 3 3" xfId="31507" xr:uid="{4907D606-89FA-498F-8F8F-766A202B28E9}"/>
    <cellStyle name="Note 3 4 2 4" xfId="31508" xr:uid="{8B03836C-A3BF-49A8-B332-9F00E985589F}"/>
    <cellStyle name="Note 3 4 2 4 2" xfId="31509" xr:uid="{63B750B9-0F79-4509-9503-6F707CB53C77}"/>
    <cellStyle name="Note 3 4 2 5" xfId="31510" xr:uid="{D3420FAA-F2EA-4AA1-B631-C7D060192350}"/>
    <cellStyle name="Note 3 4 3" xfId="31511" xr:uid="{98F37492-B2C1-47F2-A2FF-2171B4E77A14}"/>
    <cellStyle name="Note 3 4 3 2" xfId="31512" xr:uid="{AE42A050-CF15-4D4A-9F9D-2CA23A63FD63}"/>
    <cellStyle name="Note 3 4 3 2 2" xfId="31513" xr:uid="{81A1FCC0-1C8F-4D0A-9A71-0DBD23581ACD}"/>
    <cellStyle name="Note 3 4 3 3" xfId="31514" xr:uid="{FCD77534-85BA-4E66-A2DE-3D2A2328368F}"/>
    <cellStyle name="Note 3 4 4" xfId="31515" xr:uid="{24162E24-FFD0-47D0-8C3E-A7A291FC12D2}"/>
    <cellStyle name="Note 3 4 4 2" xfId="31516" xr:uid="{AE65DCCB-1D96-43BE-943B-741D63FC7F7C}"/>
    <cellStyle name="Note 3 4 4 2 2" xfId="31517" xr:uid="{517F36BD-4A3D-4BF1-A1E6-B6F6A72DE224}"/>
    <cellStyle name="Note 3 4 4 3" xfId="31518" xr:uid="{DF08C16C-700E-4B63-A6AE-9852BAA0D19E}"/>
    <cellStyle name="Note 3 4 5" xfId="31519" xr:uid="{49B80DE6-96BB-43A4-98EA-76CD6F1F6E6D}"/>
    <cellStyle name="Note 3 4 5 2" xfId="31520" xr:uid="{5EB1D768-BFC1-4DB6-8A74-5835AC493D45}"/>
    <cellStyle name="Note 3 4 6" xfId="31521" xr:uid="{B3A878B3-BD32-4CF5-8B9F-C7BA597447A0}"/>
    <cellStyle name="Note 3 5" xfId="31522" xr:uid="{313FB029-7E5A-4D9F-8F5B-3777BF3C91A4}"/>
    <cellStyle name="Note 3 5 2" xfId="31523" xr:uid="{BF7B34BF-42F5-4BAD-B6C3-ADCA128163F5}"/>
    <cellStyle name="Note 3 5 2 2" xfId="31524" xr:uid="{D7DE7EFC-B108-4738-8980-2F4E2263AC6B}"/>
    <cellStyle name="Note 3 5 2 2 2" xfId="31525" xr:uid="{806D052C-141B-4628-907C-704C44AFC171}"/>
    <cellStyle name="Note 3 5 2 2 2 2" xfId="31526" xr:uid="{87663ED3-B397-4EF7-B20C-7CAAB715D416}"/>
    <cellStyle name="Note 3 5 2 2 3" xfId="31527" xr:uid="{090905F7-E5E0-4809-A0F1-9BB7803F30CE}"/>
    <cellStyle name="Note 3 5 2 3" xfId="31528" xr:uid="{0961CC82-EFA0-41F5-9AE5-FD1BC34E36F6}"/>
    <cellStyle name="Note 3 5 2 3 2" xfId="31529" xr:uid="{1ACEE934-9396-477C-B85E-CA3926886AC7}"/>
    <cellStyle name="Note 3 5 2 3 2 2" xfId="31530" xr:uid="{BFC227A6-439A-42DC-B578-B8512E9373B5}"/>
    <cellStyle name="Note 3 5 2 3 3" xfId="31531" xr:uid="{DF6EE9F5-D4E1-42FF-8A15-41A1D1A1210B}"/>
    <cellStyle name="Note 3 5 2 4" xfId="31532" xr:uid="{E4D2CDD3-386C-4C63-A00B-C2E415DC585A}"/>
    <cellStyle name="Note 3 5 2 4 2" xfId="31533" xr:uid="{4C22753D-F363-4E37-B916-3D0B4F9C9A93}"/>
    <cellStyle name="Note 3 5 2 5" xfId="31534" xr:uid="{724E455B-C17E-4E60-B765-E5D7DA4CEF30}"/>
    <cellStyle name="Note 3 5 3" xfId="31535" xr:uid="{86C5066A-BFA8-4B79-9D6E-F869EA8DB13F}"/>
    <cellStyle name="Note 3 5 3 2" xfId="31536" xr:uid="{BE301AAA-2CCE-4F31-837E-3CFFC031101A}"/>
    <cellStyle name="Note 3 5 3 2 2" xfId="31537" xr:uid="{3394075C-C8B7-4C9F-915E-0D9088986502}"/>
    <cellStyle name="Note 3 5 3 3" xfId="31538" xr:uid="{C4360A9A-4BD2-4072-A763-77392483B7F7}"/>
    <cellStyle name="Note 3 5 4" xfId="31539" xr:uid="{EC3C58BB-2703-4A48-AD4F-A4B9FA5D1AFA}"/>
    <cellStyle name="Note 3 5 4 2" xfId="31540" xr:uid="{13E13539-EC0F-480F-A29A-0E688B686E16}"/>
    <cellStyle name="Note 3 5 4 2 2" xfId="31541" xr:uid="{2AD7273B-FA69-4D99-ADC5-C587913E0EA4}"/>
    <cellStyle name="Note 3 5 4 3" xfId="31542" xr:uid="{A5AEA21A-CE6D-48BD-B85E-1BFBA9D8FD19}"/>
    <cellStyle name="Note 3 5 5" xfId="31543" xr:uid="{9073A7E6-D013-4B0F-8A32-ECD5AC92A908}"/>
    <cellStyle name="Note 3 5 5 2" xfId="31544" xr:uid="{DD86488A-2460-42B2-88AD-FB0312954980}"/>
    <cellStyle name="Note 3 5 6" xfId="31545" xr:uid="{6A9B8890-F2F4-4C97-906E-9B6DAA2968E2}"/>
    <cellStyle name="Note 3 6" xfId="31546" xr:uid="{216B5406-1936-41F3-B347-650F4C9E1E40}"/>
    <cellStyle name="Note 3 6 2" xfId="31547" xr:uid="{1FFB0BCD-2FCF-4290-B737-51C3F96E7121}"/>
    <cellStyle name="Note 3 6 2 2" xfId="31548" xr:uid="{266EF6E6-03D7-47A4-876A-787E66E4C60C}"/>
    <cellStyle name="Note 3 6 2 2 2" xfId="31549" xr:uid="{D3A108C6-E553-4C21-B9D6-AE1677F8F706}"/>
    <cellStyle name="Note 3 6 2 2 2 2" xfId="31550" xr:uid="{DD9AE76C-97D3-42D6-BF76-F69A21B0C899}"/>
    <cellStyle name="Note 3 6 2 2 3" xfId="31551" xr:uid="{59B8E812-4D4A-47AA-B12F-C53437409F83}"/>
    <cellStyle name="Note 3 6 2 3" xfId="31552" xr:uid="{F766B478-CEAB-4155-B64A-BA00EEEC6C67}"/>
    <cellStyle name="Note 3 6 2 3 2" xfId="31553" xr:uid="{58E5F6F9-631F-41D8-A42B-F2762C13EE52}"/>
    <cellStyle name="Note 3 6 2 3 2 2" xfId="31554" xr:uid="{3A222A6A-F1CE-4FE1-B3ED-046E65B9C0D8}"/>
    <cellStyle name="Note 3 6 2 3 3" xfId="31555" xr:uid="{6B053BBC-5CF2-4B72-B6B0-CD53BAD6EC9D}"/>
    <cellStyle name="Note 3 6 2 4" xfId="31556" xr:uid="{7764646E-80D4-48CB-896D-3C68512542A8}"/>
    <cellStyle name="Note 3 6 2 4 2" xfId="31557" xr:uid="{03950835-2A98-45CC-ACA9-F01951B6DA8A}"/>
    <cellStyle name="Note 3 6 2 5" xfId="31558" xr:uid="{AB0855F2-F26F-4FA1-AEAA-92AD103B061F}"/>
    <cellStyle name="Note 3 6 3" xfId="31559" xr:uid="{999D090E-0B16-49F7-ADC2-5E6AEA126AEE}"/>
    <cellStyle name="Note 3 6 3 2" xfId="31560" xr:uid="{3DBFDFD1-437B-4906-B124-5B09EBC376A7}"/>
    <cellStyle name="Note 3 6 3 2 2" xfId="31561" xr:uid="{37225601-1585-4D83-8D6A-EF50CE026BEA}"/>
    <cellStyle name="Note 3 6 3 3" xfId="31562" xr:uid="{EBB51944-9C54-4D36-97CD-8B49012C497C}"/>
    <cellStyle name="Note 3 6 4" xfId="31563" xr:uid="{E2054A3D-E8E2-498A-9E97-1F47F3958EC8}"/>
    <cellStyle name="Note 3 6 4 2" xfId="31564" xr:uid="{AC99078A-0E42-44B7-9B8E-297CE6137F47}"/>
    <cellStyle name="Note 3 6 4 2 2" xfId="31565" xr:uid="{591CAA65-103D-475A-AB03-2AB75A25B5EA}"/>
    <cellStyle name="Note 3 6 4 3" xfId="31566" xr:uid="{FDEB6649-2948-4DE2-ADE3-045E1A074971}"/>
    <cellStyle name="Note 3 6 5" xfId="31567" xr:uid="{7F8A58C3-DD45-446B-A45C-ED1875462E50}"/>
    <cellStyle name="Note 3 6 5 2" xfId="31568" xr:uid="{65BFC94E-2A7A-4B80-9A82-55CCDAE49604}"/>
    <cellStyle name="Note 3 6 6" xfId="31569" xr:uid="{22AD339D-C7F2-4EF5-852D-8CFEE4E99461}"/>
    <cellStyle name="Note 3 7" xfId="31570" xr:uid="{EFA784CD-ED58-46B3-956E-FE741C4B3D49}"/>
    <cellStyle name="Note 3 7 2" xfId="31571" xr:uid="{7307034A-64BD-4936-8200-8B05340E8695}"/>
    <cellStyle name="Note 3 7 2 2" xfId="31572" xr:uid="{8A9B4251-E158-4691-A3A1-198CD67DEEF2}"/>
    <cellStyle name="Note 3 7 2 2 2" xfId="31573" xr:uid="{53F070B8-6247-4AA4-A537-E4F449791BF0}"/>
    <cellStyle name="Note 3 7 2 2 2 2" xfId="31574" xr:uid="{D1B8BBA8-172D-49A7-A1CB-60521DE9F939}"/>
    <cellStyle name="Note 3 7 2 2 3" xfId="31575" xr:uid="{7C0413B6-2B0D-40EC-B93A-64951479AD13}"/>
    <cellStyle name="Note 3 7 2 3" xfId="31576" xr:uid="{8605B048-B651-4DBF-BD53-37E3D4E99452}"/>
    <cellStyle name="Note 3 7 2 3 2" xfId="31577" xr:uid="{068F2549-4218-473E-8A64-EA2EA2A171EF}"/>
    <cellStyle name="Note 3 7 2 3 2 2" xfId="31578" xr:uid="{B322A0A6-CE38-4842-8A4A-9D7FE01F3F15}"/>
    <cellStyle name="Note 3 7 2 3 3" xfId="31579" xr:uid="{6002B815-7B99-456D-8530-1703B18EBFF0}"/>
    <cellStyle name="Note 3 7 2 4" xfId="31580" xr:uid="{9CF9B54D-D065-468E-B8BC-3D66BB09BBB3}"/>
    <cellStyle name="Note 3 7 2 4 2" xfId="31581" xr:uid="{CBA49873-4E37-49C4-ACA3-A27C5100515A}"/>
    <cellStyle name="Note 3 7 2 5" xfId="31582" xr:uid="{E1BBF8D3-FE7F-4D57-8C7E-390FF0611755}"/>
    <cellStyle name="Note 3 7 3" xfId="31583" xr:uid="{1716A1CA-D609-4E53-AD43-735EB1F63811}"/>
    <cellStyle name="Note 3 7 3 2" xfId="31584" xr:uid="{F1D19588-41F6-4457-A3A4-F9335D0F2443}"/>
    <cellStyle name="Note 3 7 3 2 2" xfId="31585" xr:uid="{EFC61202-7054-435D-ACC2-4D6BCAEC9DBD}"/>
    <cellStyle name="Note 3 7 3 3" xfId="31586" xr:uid="{9A3B8528-5EF9-4D6D-9223-A4962E73EE38}"/>
    <cellStyle name="Note 3 7 4" xfId="31587" xr:uid="{1A501326-ED1A-40C5-94B2-95055AF7F6B1}"/>
    <cellStyle name="Note 3 7 4 2" xfId="31588" xr:uid="{A75BFFC1-BAA9-43C9-A1E5-A6CFDA38FC31}"/>
    <cellStyle name="Note 3 7 4 2 2" xfId="31589" xr:uid="{F40B6594-E5FD-4BFC-8917-EF3E9639742E}"/>
    <cellStyle name="Note 3 7 4 3" xfId="31590" xr:uid="{09AE53DF-978E-4598-A620-30AF802C5029}"/>
    <cellStyle name="Note 3 7 5" xfId="31591" xr:uid="{3D6767AE-A11E-49C9-A520-80B22544A71D}"/>
    <cellStyle name="Note 3 7 5 2" xfId="31592" xr:uid="{C4A3D1F5-A517-4AD0-87CE-133CF4EE9A95}"/>
    <cellStyle name="Note 3 7 6" xfId="31593" xr:uid="{F38BE520-BCC0-4F8F-8535-C222A520D49C}"/>
    <cellStyle name="Note 3 8" xfId="31594" xr:uid="{9E389CD8-87FF-477C-BC17-6CB02F5F1D6F}"/>
    <cellStyle name="Note 3 8 2" xfId="31595" xr:uid="{6C684AEA-AA5C-4A18-B241-0917DAE1F615}"/>
    <cellStyle name="Note 3 8 2 2" xfId="31596" xr:uid="{461EDA61-1706-4134-ADB5-EC9315AC4298}"/>
    <cellStyle name="Note 3 8 2 2 2" xfId="31597" xr:uid="{0AC1D2B1-ADAE-4449-AFFE-E7B47EBB7958}"/>
    <cellStyle name="Note 3 8 2 2 2 2" xfId="31598" xr:uid="{96AE02E9-CD84-41B0-A252-3AF600ACD65B}"/>
    <cellStyle name="Note 3 8 2 2 3" xfId="31599" xr:uid="{BA318274-2D1A-4C66-B8DB-2851EBFA1431}"/>
    <cellStyle name="Note 3 8 2 3" xfId="31600" xr:uid="{5E4D1C74-DAF6-4A43-BF7F-4042CFC09AC9}"/>
    <cellStyle name="Note 3 8 2 3 2" xfId="31601" xr:uid="{534192B0-A0D1-4DAF-BD74-B35F3BC7CF90}"/>
    <cellStyle name="Note 3 8 2 3 2 2" xfId="31602" xr:uid="{1DE21D6E-B043-4035-8FA1-6B2A158DBA11}"/>
    <cellStyle name="Note 3 8 2 3 3" xfId="31603" xr:uid="{EC30882E-7D80-4CB9-B792-1B2E3E3BBB65}"/>
    <cellStyle name="Note 3 8 2 4" xfId="31604" xr:uid="{80A648EC-A062-4B8C-8860-9D8EFEE6561F}"/>
    <cellStyle name="Note 3 8 2 4 2" xfId="31605" xr:uid="{E8BC76D4-DFA6-4C74-909C-67319D360601}"/>
    <cellStyle name="Note 3 8 2 5" xfId="31606" xr:uid="{5EE408A6-8CAE-42FB-BB1B-208F46224EA7}"/>
    <cellStyle name="Note 3 8 3" xfId="31607" xr:uid="{661DFD72-6489-44E1-96C7-C8524E6A37CE}"/>
    <cellStyle name="Note 3 8 3 2" xfId="31608" xr:uid="{93C25A36-A5DD-4EDD-8E03-9FD4505053EB}"/>
    <cellStyle name="Note 3 8 3 2 2" xfId="31609" xr:uid="{97B7C1CC-E1B0-4654-ABBA-2081764C4B95}"/>
    <cellStyle name="Note 3 8 3 3" xfId="31610" xr:uid="{EEB43954-3708-4FB7-BF4F-8AAACC5762F0}"/>
    <cellStyle name="Note 3 8 4" xfId="31611" xr:uid="{CF68C5B8-B68B-4488-A841-280E5EF35F53}"/>
    <cellStyle name="Note 3 8 4 2" xfId="31612" xr:uid="{816BCB90-8F34-4367-9169-4567470DA38A}"/>
    <cellStyle name="Note 3 8 4 2 2" xfId="31613" xr:uid="{AA548AF9-D1FE-4986-9DED-3154ECFB4FDF}"/>
    <cellStyle name="Note 3 8 4 3" xfId="31614" xr:uid="{14EAD913-EE04-410E-8E02-54953366246D}"/>
    <cellStyle name="Note 3 8 5" xfId="31615" xr:uid="{39DE97F9-66EB-477B-B562-0357F6B8191D}"/>
    <cellStyle name="Note 3 8 5 2" xfId="31616" xr:uid="{7279800C-CA52-4F26-9BC1-47DC31AE3213}"/>
    <cellStyle name="Note 3 8 6" xfId="31617" xr:uid="{F583CE5B-E6B0-4245-BCDC-EF346C01595B}"/>
    <cellStyle name="Note 3 9" xfId="31618" xr:uid="{1B24A430-90E8-41F2-BBE2-D5CA1EE7FE37}"/>
    <cellStyle name="Note 3 9 2" xfId="31619" xr:uid="{47E1D9D3-E751-4388-AF47-0CD8D1A967F2}"/>
    <cellStyle name="Note 3 9 2 2" xfId="31620" xr:uid="{2091F530-55EB-4B13-9AB8-66B00DCD25F9}"/>
    <cellStyle name="Note 3 9 2 2 2" xfId="31621" xr:uid="{6DFF95E5-797C-4278-961E-A7C55DE968D8}"/>
    <cellStyle name="Note 3 9 2 2 2 2" xfId="31622" xr:uid="{6CD8C4C2-0624-49B7-87ED-E87EBC4245CC}"/>
    <cellStyle name="Note 3 9 2 2 3" xfId="31623" xr:uid="{28DB974B-035E-4967-9798-371073622632}"/>
    <cellStyle name="Note 3 9 2 3" xfId="31624" xr:uid="{AC6BEDDA-24CB-4C23-83AE-47405F2F6DB5}"/>
    <cellStyle name="Note 3 9 2 3 2" xfId="31625" xr:uid="{4607A5E3-1DC1-4DE1-9312-32A231CF5D36}"/>
    <cellStyle name="Note 3 9 2 3 2 2" xfId="31626" xr:uid="{DE64188F-3275-4C2F-ADF7-167969CA4FCD}"/>
    <cellStyle name="Note 3 9 2 3 3" xfId="31627" xr:uid="{2AE929CF-9E43-4964-A2F6-13F13972EADB}"/>
    <cellStyle name="Note 3 9 2 4" xfId="31628" xr:uid="{FD5A7B6F-6D57-45CC-9B5C-3743B9D3B937}"/>
    <cellStyle name="Note 3 9 2 4 2" xfId="31629" xr:uid="{70E87AC4-7B9A-4C31-B747-FB90380F6DB5}"/>
    <cellStyle name="Note 3 9 2 5" xfId="31630" xr:uid="{8C6A4B60-D0CF-4359-A5BF-31D8C63AE42C}"/>
    <cellStyle name="Note 3 9 3" xfId="31631" xr:uid="{86EEA037-8E56-4F64-AE17-49CC97DF3F34}"/>
    <cellStyle name="Note 3 9 3 2" xfId="31632" xr:uid="{01ABA1F3-3433-4051-97E2-E8F7962D26E5}"/>
    <cellStyle name="Note 3 9 3 2 2" xfId="31633" xr:uid="{576762EA-EBC5-4A60-B8A5-0EDCA422D325}"/>
    <cellStyle name="Note 3 9 3 3" xfId="31634" xr:uid="{A7A74056-AAD6-4C02-9A1D-ADA953C43CD5}"/>
    <cellStyle name="Note 3 9 4" xfId="31635" xr:uid="{D3165139-359A-43E1-9D3D-0642CA559870}"/>
    <cellStyle name="Note 3 9 4 2" xfId="31636" xr:uid="{EC73621B-B848-49E2-A7E8-7A4586831796}"/>
    <cellStyle name="Note 3 9 4 2 2" xfId="31637" xr:uid="{54C7FABB-45F2-45A1-99C3-4D2C64D08EE9}"/>
    <cellStyle name="Note 3 9 4 3" xfId="31638" xr:uid="{62A0614A-FE0F-42CD-AE96-185697284A54}"/>
    <cellStyle name="Note 3 9 5" xfId="31639" xr:uid="{E4ED2B08-8701-48E4-B9D3-C277DBCCC2C8}"/>
    <cellStyle name="Note 3 9 5 2" xfId="31640" xr:uid="{78B3F848-B056-45EF-96FF-A231FC65D86A}"/>
    <cellStyle name="Note 3 9 6" xfId="31641" xr:uid="{3C3D5EE1-27B0-492F-9972-753DA1D3F901}"/>
    <cellStyle name="Note 30" xfId="31642" xr:uid="{D77604FE-6CE9-409F-A21D-9BCDC3F2795A}"/>
    <cellStyle name="Note 30 10" xfId="31643" xr:uid="{14D667EE-6903-41B2-8D42-A4C41430E9F8}"/>
    <cellStyle name="Note 30 10 2" xfId="31644" xr:uid="{E02972B6-952B-4E7B-BC74-0C07C011F776}"/>
    <cellStyle name="Note 30 10 2 2" xfId="31645" xr:uid="{77AA43DE-0F4B-46C9-8C53-2375171DCA84}"/>
    <cellStyle name="Note 30 10 2 2 2" xfId="31646" xr:uid="{73F8DD20-D9F4-4A5C-B4DA-C68B0B38447E}"/>
    <cellStyle name="Note 30 10 2 2 2 2" xfId="31647" xr:uid="{26173C10-20DB-4927-A87D-DF2B3D63F2E1}"/>
    <cellStyle name="Note 30 10 2 2 3" xfId="31648" xr:uid="{6F07629B-FFD9-483F-9EC3-A47DFA28B0E0}"/>
    <cellStyle name="Note 30 10 2 3" xfId="31649" xr:uid="{A6ED2F24-E302-4B86-85B9-22BB649433A9}"/>
    <cellStyle name="Note 30 10 2 3 2" xfId="31650" xr:uid="{5AA601F6-D029-479A-B9B6-A743D8DE38E5}"/>
    <cellStyle name="Note 30 10 2 3 2 2" xfId="31651" xr:uid="{D549F61E-C070-4741-A595-F192C9AB5048}"/>
    <cellStyle name="Note 30 10 2 3 3" xfId="31652" xr:uid="{E19885F5-9141-412D-BF44-5F08E6542F52}"/>
    <cellStyle name="Note 30 10 2 4" xfId="31653" xr:uid="{9BC4BF03-141D-4B1B-9056-204B48959712}"/>
    <cellStyle name="Note 30 10 2 4 2" xfId="31654" xr:uid="{229DFC2A-D21D-4712-BC34-46496C58EB9F}"/>
    <cellStyle name="Note 30 10 2 5" xfId="31655" xr:uid="{29FCC5EF-DA67-456F-9D45-5A67B3998BD0}"/>
    <cellStyle name="Note 30 10 3" xfId="31656" xr:uid="{8535841E-FEB8-44E4-A8AF-6329BB4A804B}"/>
    <cellStyle name="Note 30 10 3 2" xfId="31657" xr:uid="{03BC8FF6-23EF-409F-83B7-715D361993BE}"/>
    <cellStyle name="Note 30 10 3 2 2" xfId="31658" xr:uid="{2C18A796-883E-4517-A526-5587FFA0EB57}"/>
    <cellStyle name="Note 30 10 3 3" xfId="31659" xr:uid="{DB403567-FC4E-4AF7-B674-5823FBA32BC8}"/>
    <cellStyle name="Note 30 10 4" xfId="31660" xr:uid="{E2D121CB-3AE7-458F-8E0F-86AD6B01864D}"/>
    <cellStyle name="Note 30 10 4 2" xfId="31661" xr:uid="{D12F3770-D333-45CC-B85F-B6B6DC9B204E}"/>
    <cellStyle name="Note 30 10 4 2 2" xfId="31662" xr:uid="{3004849C-F62E-49AE-9AE6-0F4D2510E83F}"/>
    <cellStyle name="Note 30 10 4 3" xfId="31663" xr:uid="{D053E384-835D-4CE0-9162-BC914D4F236E}"/>
    <cellStyle name="Note 30 10 5" xfId="31664" xr:uid="{E38E91E1-DF24-4043-B783-18389FB956F8}"/>
    <cellStyle name="Note 30 10 5 2" xfId="31665" xr:uid="{BC9201A8-0E3D-4420-9CFE-EE4A257E214D}"/>
    <cellStyle name="Note 30 10 6" xfId="31666" xr:uid="{1871DAD4-2801-488B-890B-0792CBCF3D92}"/>
    <cellStyle name="Note 30 11" xfId="31667" xr:uid="{D84A33AE-48E1-4FE7-8486-06B1E5384FCD}"/>
    <cellStyle name="Note 30 11 2" xfId="31668" xr:uid="{6954C979-5566-4DBC-ACC1-795EE5DCDA6A}"/>
    <cellStyle name="Note 30 11 2 2" xfId="31669" xr:uid="{348393E2-2D1A-40AD-860D-76C45B7CBE60}"/>
    <cellStyle name="Note 30 11 2 2 2" xfId="31670" xr:uid="{AEB6051D-9B33-4E5F-A291-01C8830654E8}"/>
    <cellStyle name="Note 30 11 2 3" xfId="31671" xr:uid="{6FA734C4-6302-46B0-AD11-C78F600412A5}"/>
    <cellStyle name="Note 30 11 3" xfId="31672" xr:uid="{96D35BAF-5AA9-4550-81F7-DFE3117BC56E}"/>
    <cellStyle name="Note 30 11 3 2" xfId="31673" xr:uid="{F8903E5C-73A5-478C-96D0-FC63CC666EA8}"/>
    <cellStyle name="Note 30 11 3 2 2" xfId="31674" xr:uid="{EFB1DC41-735C-4340-9926-4F05541842B5}"/>
    <cellStyle name="Note 30 11 3 3" xfId="31675" xr:uid="{672E2715-04DB-48B3-ABDF-DEC5ED07BB02}"/>
    <cellStyle name="Note 30 11 4" xfId="31676" xr:uid="{14D40FD7-3D9F-46D7-A4C3-0173454D51DA}"/>
    <cellStyle name="Note 30 11 4 2" xfId="31677" xr:uid="{875AD5A5-7EAB-4AB5-8168-F4E3642FAF54}"/>
    <cellStyle name="Note 30 11 5" xfId="31678" xr:uid="{77D10323-7CCF-41F3-8FD0-A6D392912826}"/>
    <cellStyle name="Note 30 12" xfId="31679" xr:uid="{A2119E2B-945D-4530-94B9-9BC96E30F5E1}"/>
    <cellStyle name="Note 30 12 2" xfId="31680" xr:uid="{FA4AD05F-B703-4AB0-98DA-FAEC44C2DF90}"/>
    <cellStyle name="Note 30 12 2 2" xfId="31681" xr:uid="{336F6643-6B57-42CB-A476-3E5519101103}"/>
    <cellStyle name="Note 30 12 3" xfId="31682" xr:uid="{C8E0C8B3-B2C5-4187-8D56-6F7645A1F7EE}"/>
    <cellStyle name="Note 30 13" xfId="31683" xr:uid="{E942C7BE-4D5A-4E35-A3FE-742E0955BB5A}"/>
    <cellStyle name="Note 30 13 2" xfId="31684" xr:uid="{8E49DB9B-89CA-4A32-8992-BC6FA2A47F08}"/>
    <cellStyle name="Note 30 13 2 2" xfId="31685" xr:uid="{46E7697F-3BD1-4AAF-8A0A-3753AD2330A8}"/>
    <cellStyle name="Note 30 13 3" xfId="31686" xr:uid="{91C39AB9-E5E4-4BE7-8378-CD835DE7CA5A}"/>
    <cellStyle name="Note 30 14" xfId="31687" xr:uid="{F84FAD77-149F-4515-9DE4-9F3984B59E10}"/>
    <cellStyle name="Note 30 14 2" xfId="31688" xr:uid="{DCCD6B93-81E3-4904-B956-7D566EC64C36}"/>
    <cellStyle name="Note 30 15" xfId="31689" xr:uid="{A8C48B6B-5A7C-431C-AF34-11F224B0CC25}"/>
    <cellStyle name="Note 30 2" xfId="31690" xr:uid="{257AD00E-49E5-4328-A5D3-28EBC42EB948}"/>
    <cellStyle name="Note 30 2 2" xfId="31691" xr:uid="{FC08DB56-D40D-41AE-9569-29555DF26BA4}"/>
    <cellStyle name="Note 30 2 2 2" xfId="31692" xr:uid="{F9EB3B58-75CF-4BA2-865D-3590C4FB2351}"/>
    <cellStyle name="Note 30 2 2 2 2" xfId="31693" xr:uid="{42F93FEE-FD37-4F46-A037-FA45AA0ABA6C}"/>
    <cellStyle name="Note 30 2 2 2 2 2" xfId="31694" xr:uid="{451C028F-4615-4AFE-90B7-D46AABFAD2BB}"/>
    <cellStyle name="Note 30 2 2 2 3" xfId="31695" xr:uid="{734BC05C-DDB8-4580-9598-5DBECDD5FBD9}"/>
    <cellStyle name="Note 30 2 2 3" xfId="31696" xr:uid="{5C706105-3C38-4640-B4BD-637B200723CA}"/>
    <cellStyle name="Note 30 2 2 3 2" xfId="31697" xr:uid="{44E7874A-80A5-4C6F-A899-15F36336ED44}"/>
    <cellStyle name="Note 30 2 2 3 2 2" xfId="31698" xr:uid="{DC396D6B-9C41-420A-A666-4C7F37792D20}"/>
    <cellStyle name="Note 30 2 2 3 3" xfId="31699" xr:uid="{36751AB7-FA87-4A33-BA19-EAB24BEB6CB4}"/>
    <cellStyle name="Note 30 2 2 4" xfId="31700" xr:uid="{0D0BC2F6-D746-4916-A654-4523398495CB}"/>
    <cellStyle name="Note 30 2 2 4 2" xfId="31701" xr:uid="{3C2DB4DE-51A1-4CEC-9965-EDAB8830100C}"/>
    <cellStyle name="Note 30 2 2 5" xfId="31702" xr:uid="{710F6FB3-3D94-464E-B4C9-4C762C069424}"/>
    <cellStyle name="Note 30 2 3" xfId="31703" xr:uid="{2C5F4D6F-620B-4528-9065-8689A3AE63C4}"/>
    <cellStyle name="Note 30 2 3 2" xfId="31704" xr:uid="{3A31ABF2-F682-4235-A627-769D88171AD1}"/>
    <cellStyle name="Note 30 2 3 2 2" xfId="31705" xr:uid="{D51F5AB1-FE51-4CD5-A60A-CB7D60A19C7F}"/>
    <cellStyle name="Note 30 2 3 3" xfId="31706" xr:uid="{E0053792-A5E6-4F77-9519-82C1FC289FD5}"/>
    <cellStyle name="Note 30 2 4" xfId="31707" xr:uid="{A35BC0C9-D3F0-476F-BC70-0A3562633F9A}"/>
    <cellStyle name="Note 30 2 4 2" xfId="31708" xr:uid="{C06E830C-DB39-498B-AE9E-9EB59E895973}"/>
    <cellStyle name="Note 30 2 4 2 2" xfId="31709" xr:uid="{35C02199-3070-4A41-915A-C1C961F549F1}"/>
    <cellStyle name="Note 30 2 4 3" xfId="31710" xr:uid="{80510C42-56AE-4816-899F-5D2C8E1FC235}"/>
    <cellStyle name="Note 30 2 5" xfId="31711" xr:uid="{385F0112-E48A-463C-8F52-CF4BF07B2A12}"/>
    <cellStyle name="Note 30 2 5 2" xfId="31712" xr:uid="{355209FF-8B95-4CCE-AC3B-775C0313A7F6}"/>
    <cellStyle name="Note 30 2 6" xfId="31713" xr:uid="{57F1BED7-7E47-418B-B0FF-7AB85D62F026}"/>
    <cellStyle name="Note 30 2 7" xfId="39336" xr:uid="{74E07A5C-F656-4003-AA14-71915279715C}"/>
    <cellStyle name="Note 30 3" xfId="31714" xr:uid="{1F0EDF97-BA27-4583-849D-87273C9289E3}"/>
    <cellStyle name="Note 30 3 2" xfId="31715" xr:uid="{A18EB650-D578-48E3-899C-090146BFA939}"/>
    <cellStyle name="Note 30 3 2 2" xfId="31716" xr:uid="{3FC29384-0DB8-40D2-A308-0A94B79115F6}"/>
    <cellStyle name="Note 30 3 2 2 2" xfId="31717" xr:uid="{08CD2DFC-4BD2-42FF-B0A4-3F054E5FA602}"/>
    <cellStyle name="Note 30 3 2 2 2 2" xfId="31718" xr:uid="{DF86E1B2-1198-4F2E-9E09-A53E0AACDBD8}"/>
    <cellStyle name="Note 30 3 2 2 3" xfId="31719" xr:uid="{7EE59357-23A2-4AA6-A4EC-67D34D15FD5F}"/>
    <cellStyle name="Note 30 3 2 3" xfId="31720" xr:uid="{1D6C4C03-A6B0-4AEB-BAE5-D1184166105E}"/>
    <cellStyle name="Note 30 3 2 3 2" xfId="31721" xr:uid="{F7B47F1D-236A-4A6F-A964-A702E2E18068}"/>
    <cellStyle name="Note 30 3 2 3 2 2" xfId="31722" xr:uid="{62A693F2-494A-4061-A001-CB04417A982D}"/>
    <cellStyle name="Note 30 3 2 3 3" xfId="31723" xr:uid="{47B6E1E2-FF7A-4839-851F-FCF25F5353E0}"/>
    <cellStyle name="Note 30 3 2 4" xfId="31724" xr:uid="{8B2530BE-B249-41BE-B4D6-7A53345DC687}"/>
    <cellStyle name="Note 30 3 2 4 2" xfId="31725" xr:uid="{79F27381-576E-4059-A483-ECC7AAD9B4B6}"/>
    <cellStyle name="Note 30 3 2 5" xfId="31726" xr:uid="{80D99CDC-2A99-4987-BE3F-094FED7E8640}"/>
    <cellStyle name="Note 30 3 3" xfId="31727" xr:uid="{24A797FC-A973-4911-8FB1-56411FC39B6E}"/>
    <cellStyle name="Note 30 3 3 2" xfId="31728" xr:uid="{F7E92E86-F598-466E-8EE8-B056FE1E0A65}"/>
    <cellStyle name="Note 30 3 3 2 2" xfId="31729" xr:uid="{66FECDB5-78E0-4311-93E0-E27D3250A506}"/>
    <cellStyle name="Note 30 3 3 3" xfId="31730" xr:uid="{078EB823-F6BD-4D5C-AC8E-F1E48026EE87}"/>
    <cellStyle name="Note 30 3 4" xfId="31731" xr:uid="{8CC0F152-6EAD-40C3-BC27-EA998D1E397F}"/>
    <cellStyle name="Note 30 3 4 2" xfId="31732" xr:uid="{B158CFC9-8ED9-4818-872F-EF68AED32329}"/>
    <cellStyle name="Note 30 3 4 2 2" xfId="31733" xr:uid="{07CB5D84-7CB2-41AD-AE17-A3E98C1B03FA}"/>
    <cellStyle name="Note 30 3 4 3" xfId="31734" xr:uid="{5739CF1D-7C7C-4779-BB9A-292F4363234C}"/>
    <cellStyle name="Note 30 3 5" xfId="31735" xr:uid="{423374B7-CE70-499D-AE69-328E69CF43D7}"/>
    <cellStyle name="Note 30 3 5 2" xfId="31736" xr:uid="{D959AFC9-283F-4997-95FA-D984BA861F18}"/>
    <cellStyle name="Note 30 3 6" xfId="31737" xr:uid="{D46BE683-2050-446F-82D2-6C46CF15DCF7}"/>
    <cellStyle name="Note 30 4" xfId="31738" xr:uid="{5BBE330C-2A42-4061-A77A-8A8C455CED0D}"/>
    <cellStyle name="Note 30 4 2" xfId="31739" xr:uid="{3FB2A394-05CE-4614-916C-470D28403709}"/>
    <cellStyle name="Note 30 4 2 2" xfId="31740" xr:uid="{E4A1E6F2-33D1-4C9C-8D88-A344D9DC1BAB}"/>
    <cellStyle name="Note 30 4 2 2 2" xfId="31741" xr:uid="{81CCB6A6-5F48-4A46-9326-AF036A569A6B}"/>
    <cellStyle name="Note 30 4 2 2 2 2" xfId="31742" xr:uid="{ED9B28CF-BA23-44E3-9F03-4D5A211606E0}"/>
    <cellStyle name="Note 30 4 2 2 3" xfId="31743" xr:uid="{B7F9D204-5A7B-40AA-8269-D7FF199D1794}"/>
    <cellStyle name="Note 30 4 2 3" xfId="31744" xr:uid="{FC9402D5-FA6E-4F2D-B80D-F85BC1D7C113}"/>
    <cellStyle name="Note 30 4 2 3 2" xfId="31745" xr:uid="{7B297A08-47F8-4FB9-B474-C5BC7D4F5E2D}"/>
    <cellStyle name="Note 30 4 2 3 2 2" xfId="31746" xr:uid="{A0895B84-1565-4101-AC64-3C16C9ACAFAB}"/>
    <cellStyle name="Note 30 4 2 3 3" xfId="31747" xr:uid="{FE025E68-8B23-4B2A-BFDA-6141A908F4D3}"/>
    <cellStyle name="Note 30 4 2 4" xfId="31748" xr:uid="{CEDDE92E-29DE-49E0-AC12-F2BDC5D4E3DB}"/>
    <cellStyle name="Note 30 4 2 4 2" xfId="31749" xr:uid="{DBC261EE-7582-439D-A085-780D8A8D9781}"/>
    <cellStyle name="Note 30 4 2 5" xfId="31750" xr:uid="{0A7F1D2E-B709-4FAE-9A7E-B77B683BFCF9}"/>
    <cellStyle name="Note 30 4 3" xfId="31751" xr:uid="{D77C4EED-B28C-4622-B319-8612CA958679}"/>
    <cellStyle name="Note 30 4 3 2" xfId="31752" xr:uid="{CBF439B6-B08D-4E87-B9AF-DF851EC131DF}"/>
    <cellStyle name="Note 30 4 3 2 2" xfId="31753" xr:uid="{D6215C87-9028-474A-9EFE-91F206636CEB}"/>
    <cellStyle name="Note 30 4 3 3" xfId="31754" xr:uid="{C0A5DD63-0D4F-4DC3-83D5-F9EF65345FE4}"/>
    <cellStyle name="Note 30 4 4" xfId="31755" xr:uid="{C73F1392-0115-4605-8377-2EAC1B188251}"/>
    <cellStyle name="Note 30 4 4 2" xfId="31756" xr:uid="{6C36546A-2A14-4536-A7C5-BA2FA8A9B607}"/>
    <cellStyle name="Note 30 4 4 2 2" xfId="31757" xr:uid="{81281B5D-C9F0-431C-BD68-25C3A2D17252}"/>
    <cellStyle name="Note 30 4 4 3" xfId="31758" xr:uid="{02DFB21F-5F04-4529-A1D8-BD4F031C5DFC}"/>
    <cellStyle name="Note 30 4 5" xfId="31759" xr:uid="{44285A61-B5C4-4A74-8930-66D936FD6C5A}"/>
    <cellStyle name="Note 30 4 5 2" xfId="31760" xr:uid="{AE68082F-1450-4D94-AE36-182CB78A270C}"/>
    <cellStyle name="Note 30 4 6" xfId="31761" xr:uid="{B6FE2844-ED90-4A48-9D95-34A58A35D035}"/>
    <cellStyle name="Note 30 5" xfId="31762" xr:uid="{0423C408-AA59-44E2-A079-03C572EE4DFE}"/>
    <cellStyle name="Note 30 5 2" xfId="31763" xr:uid="{4905B6D8-0F86-4742-A5DF-852698245C81}"/>
    <cellStyle name="Note 30 5 2 2" xfId="31764" xr:uid="{5E4371D8-205B-462F-9A0C-5D3AD1F37C89}"/>
    <cellStyle name="Note 30 5 2 2 2" xfId="31765" xr:uid="{A509FCD5-6DC6-407A-A8A6-D4D0016EC38F}"/>
    <cellStyle name="Note 30 5 2 2 2 2" xfId="31766" xr:uid="{242C530E-9389-47DF-B322-7492C82793E5}"/>
    <cellStyle name="Note 30 5 2 2 3" xfId="31767" xr:uid="{8765D66B-5EE1-461C-BD06-714CA4F0FBE9}"/>
    <cellStyle name="Note 30 5 2 3" xfId="31768" xr:uid="{3FFD90C1-18AE-43A3-BC1D-55F9227590AD}"/>
    <cellStyle name="Note 30 5 2 3 2" xfId="31769" xr:uid="{42BC6CB8-FF07-445D-A373-31CC1EFCDB1A}"/>
    <cellStyle name="Note 30 5 2 3 2 2" xfId="31770" xr:uid="{3D913CFA-C8E8-4234-B565-615CBE4A132C}"/>
    <cellStyle name="Note 30 5 2 3 3" xfId="31771" xr:uid="{D7C4EE1F-55EE-4692-A154-9777CBA533FD}"/>
    <cellStyle name="Note 30 5 2 4" xfId="31772" xr:uid="{743EC91A-444D-4F0A-BAE1-0F83149CA154}"/>
    <cellStyle name="Note 30 5 2 4 2" xfId="31773" xr:uid="{0C8ADD4B-72E0-440C-B2EE-27C0106B52D8}"/>
    <cellStyle name="Note 30 5 2 5" xfId="31774" xr:uid="{41C3201E-8E45-4A53-9E1C-D67194B022DA}"/>
    <cellStyle name="Note 30 5 3" xfId="31775" xr:uid="{9AA17C2B-2E1C-46BB-A4E0-2BE3EDBBACD4}"/>
    <cellStyle name="Note 30 5 3 2" xfId="31776" xr:uid="{996EF6C1-78E2-4736-9815-0DACE04E69F0}"/>
    <cellStyle name="Note 30 5 3 2 2" xfId="31777" xr:uid="{7E6B558C-9867-4E8A-BD03-B85743975282}"/>
    <cellStyle name="Note 30 5 3 3" xfId="31778" xr:uid="{4B9517B1-0A13-4597-8824-7AF1253FB3DE}"/>
    <cellStyle name="Note 30 5 4" xfId="31779" xr:uid="{6994058B-F468-4BF0-95DF-958937C2B15C}"/>
    <cellStyle name="Note 30 5 4 2" xfId="31780" xr:uid="{B5110095-97BC-48E7-8431-D34968D15083}"/>
    <cellStyle name="Note 30 5 4 2 2" xfId="31781" xr:uid="{7BD08CA1-D81E-43E5-8296-0025BD195883}"/>
    <cellStyle name="Note 30 5 4 3" xfId="31782" xr:uid="{5E8DE5D4-0E6E-4536-879D-17CED01E5C9B}"/>
    <cellStyle name="Note 30 5 5" xfId="31783" xr:uid="{D5A75B89-C494-446B-B55F-4E8D05C6A065}"/>
    <cellStyle name="Note 30 5 5 2" xfId="31784" xr:uid="{45771B2D-FABC-455F-9634-2930407F1FAD}"/>
    <cellStyle name="Note 30 5 6" xfId="31785" xr:uid="{6FD35059-1E49-450C-8948-340598FF9E8A}"/>
    <cellStyle name="Note 30 6" xfId="31786" xr:uid="{9503792F-4436-4A42-92EB-E2060E4239AF}"/>
    <cellStyle name="Note 30 6 2" xfId="31787" xr:uid="{0A024061-E699-4014-BDDF-6DEC58907A58}"/>
    <cellStyle name="Note 30 6 2 2" xfId="31788" xr:uid="{6E762B43-C49D-4D59-8EF1-AA643133B3CC}"/>
    <cellStyle name="Note 30 6 2 2 2" xfId="31789" xr:uid="{041DA872-ED24-4E3E-A5B5-249A2EFAAA9D}"/>
    <cellStyle name="Note 30 6 2 2 2 2" xfId="31790" xr:uid="{CD435CD3-F9F2-4C2D-8EA8-E94B87457220}"/>
    <cellStyle name="Note 30 6 2 2 3" xfId="31791" xr:uid="{8C98053F-156E-4B59-9A5B-89FA9028E16E}"/>
    <cellStyle name="Note 30 6 2 3" xfId="31792" xr:uid="{B3986E10-564D-4611-9627-F18D90281410}"/>
    <cellStyle name="Note 30 6 2 3 2" xfId="31793" xr:uid="{9B966E80-10A1-4120-991A-71FBFB1AC30C}"/>
    <cellStyle name="Note 30 6 2 3 2 2" xfId="31794" xr:uid="{17FF1AB4-A18A-4623-8247-9B719125E8F1}"/>
    <cellStyle name="Note 30 6 2 3 3" xfId="31795" xr:uid="{07264A49-D005-45BE-9111-823332E4C87D}"/>
    <cellStyle name="Note 30 6 2 4" xfId="31796" xr:uid="{4E7688A3-3546-4FC3-96F6-999FCE4C2C5C}"/>
    <cellStyle name="Note 30 6 2 4 2" xfId="31797" xr:uid="{4EC23EBE-841C-43F0-B390-AEDCFCDAD58A}"/>
    <cellStyle name="Note 30 6 2 5" xfId="31798" xr:uid="{027AF662-EA36-46FC-A22B-86DE8E9CC0C0}"/>
    <cellStyle name="Note 30 6 3" xfId="31799" xr:uid="{62D3ACD6-0133-4F06-A617-D5E13E00BB10}"/>
    <cellStyle name="Note 30 6 3 2" xfId="31800" xr:uid="{1CC1168D-24D1-4440-B909-11E73189D4A8}"/>
    <cellStyle name="Note 30 6 3 2 2" xfId="31801" xr:uid="{A7304FFE-5457-474F-93A9-8550D2BF5B8F}"/>
    <cellStyle name="Note 30 6 3 3" xfId="31802" xr:uid="{AF189404-643D-4747-8C95-4B5F6698AD7F}"/>
    <cellStyle name="Note 30 6 4" xfId="31803" xr:uid="{50EBB63F-B3C4-48B6-BD4B-23EFE2D2A82D}"/>
    <cellStyle name="Note 30 6 4 2" xfId="31804" xr:uid="{94C23C2F-F668-415B-8E51-D1E22595C58A}"/>
    <cellStyle name="Note 30 6 4 2 2" xfId="31805" xr:uid="{146E1CA1-D3E6-4F10-B64D-C53C39BAFB8E}"/>
    <cellStyle name="Note 30 6 4 3" xfId="31806" xr:uid="{92F2FC03-70E2-41D7-9F60-4CF36E569111}"/>
    <cellStyle name="Note 30 6 5" xfId="31807" xr:uid="{2944FFA7-ABD0-4110-B56B-FD7D1BB603DB}"/>
    <cellStyle name="Note 30 6 5 2" xfId="31808" xr:uid="{D74AC5ED-3D98-4E65-B4AB-D4AC2D2FE469}"/>
    <cellStyle name="Note 30 6 6" xfId="31809" xr:uid="{82514453-CD63-482C-A8A2-E141EADDD02B}"/>
    <cellStyle name="Note 30 7" xfId="31810" xr:uid="{D5825E56-EB27-4F42-AB2B-D6BA9035262F}"/>
    <cellStyle name="Note 30 7 2" xfId="31811" xr:uid="{30626E73-93AD-405F-BE04-A887C6AEC640}"/>
    <cellStyle name="Note 30 7 2 2" xfId="31812" xr:uid="{1BA6B635-A6A0-40A2-8DAD-68E8A667176A}"/>
    <cellStyle name="Note 30 7 2 2 2" xfId="31813" xr:uid="{D7EF8CED-0DD4-4A87-8B60-968E0E6818F0}"/>
    <cellStyle name="Note 30 7 2 2 2 2" xfId="31814" xr:uid="{3E1F5F75-6BAA-4646-BAA4-55248CBEECBB}"/>
    <cellStyle name="Note 30 7 2 2 3" xfId="31815" xr:uid="{367E7FA5-A408-4AA4-BC93-5426E4E42346}"/>
    <cellStyle name="Note 30 7 2 3" xfId="31816" xr:uid="{2F72797A-9FD8-49CB-B01B-D04219A4B895}"/>
    <cellStyle name="Note 30 7 2 3 2" xfId="31817" xr:uid="{121114EF-C235-4E11-A4F0-66D5234343C3}"/>
    <cellStyle name="Note 30 7 2 3 2 2" xfId="31818" xr:uid="{3E84AE42-DA23-43C9-B759-1B7CF1074C3E}"/>
    <cellStyle name="Note 30 7 2 3 3" xfId="31819" xr:uid="{2A2C7B05-F579-429B-B1A1-91A03306C54E}"/>
    <cellStyle name="Note 30 7 2 4" xfId="31820" xr:uid="{CDAD66FC-073A-4309-9C50-8C658ECA07AB}"/>
    <cellStyle name="Note 30 7 2 4 2" xfId="31821" xr:uid="{D39201DE-237D-448A-A28D-E8836B52372C}"/>
    <cellStyle name="Note 30 7 2 5" xfId="31822" xr:uid="{21803ADC-E7D8-4E25-B2AB-53BA046009A7}"/>
    <cellStyle name="Note 30 7 3" xfId="31823" xr:uid="{E0DDE15B-8FB6-40AB-A8A0-BB63E44D01C4}"/>
    <cellStyle name="Note 30 7 3 2" xfId="31824" xr:uid="{596C3946-BFA3-42C2-ACBD-4F11685271F5}"/>
    <cellStyle name="Note 30 7 3 2 2" xfId="31825" xr:uid="{1E5AC093-13CD-4FC9-9923-860B9B098697}"/>
    <cellStyle name="Note 30 7 3 3" xfId="31826" xr:uid="{79E993C6-D17D-4BCF-9441-451B5B1F8B77}"/>
    <cellStyle name="Note 30 7 4" xfId="31827" xr:uid="{D7FDD32C-D9FD-4B30-97F1-BE5B64637E02}"/>
    <cellStyle name="Note 30 7 4 2" xfId="31828" xr:uid="{1B77E74D-C336-4B4C-82C5-393919E5B6D5}"/>
    <cellStyle name="Note 30 7 4 2 2" xfId="31829" xr:uid="{E8D7974C-5C1D-456D-810D-431B12E406FD}"/>
    <cellStyle name="Note 30 7 4 3" xfId="31830" xr:uid="{6CD5D19C-45B7-4E4A-9BE6-6543555FADE8}"/>
    <cellStyle name="Note 30 7 5" xfId="31831" xr:uid="{01272064-B41B-4C0E-8E99-A543F6BD2FF6}"/>
    <cellStyle name="Note 30 7 5 2" xfId="31832" xr:uid="{616A99E3-D6DE-4C5D-AED9-5F685E442C04}"/>
    <cellStyle name="Note 30 7 6" xfId="31833" xr:uid="{E8298BF8-F465-4A48-91A7-E6BB4E443265}"/>
    <cellStyle name="Note 30 8" xfId="31834" xr:uid="{1BBD8FB3-82AE-4EF9-A4AD-92B6262BB4FA}"/>
    <cellStyle name="Note 30 8 2" xfId="31835" xr:uid="{3A8980A9-84D4-44FE-9B56-FC9CBF6419F3}"/>
    <cellStyle name="Note 30 8 2 2" xfId="31836" xr:uid="{6E8CD25D-7A5A-48E3-9F0A-AD7BD43E8C03}"/>
    <cellStyle name="Note 30 8 2 2 2" xfId="31837" xr:uid="{6DFB7104-05BD-4F5A-921F-5E91985B6386}"/>
    <cellStyle name="Note 30 8 2 2 2 2" xfId="31838" xr:uid="{76D554FC-30DD-479B-8241-2A8519619B8B}"/>
    <cellStyle name="Note 30 8 2 2 3" xfId="31839" xr:uid="{A8983415-6741-4D8C-9AD4-564EA0F88E62}"/>
    <cellStyle name="Note 30 8 2 3" xfId="31840" xr:uid="{5A7730EA-8D2F-4B11-A8EC-B61AD2431909}"/>
    <cellStyle name="Note 30 8 2 3 2" xfId="31841" xr:uid="{C8ED0C91-329B-416B-8A78-B74ADD6E13BB}"/>
    <cellStyle name="Note 30 8 2 3 2 2" xfId="31842" xr:uid="{C706E5BA-9B39-49C8-8591-1B89FF5DD9AE}"/>
    <cellStyle name="Note 30 8 2 3 3" xfId="31843" xr:uid="{A0E03901-4F51-41C9-B6E0-EB9950107711}"/>
    <cellStyle name="Note 30 8 2 4" xfId="31844" xr:uid="{68561788-BC55-4BE8-96BF-D8A510ED243F}"/>
    <cellStyle name="Note 30 8 2 4 2" xfId="31845" xr:uid="{BF73FD38-EF68-4291-B925-2801C1FFE4C9}"/>
    <cellStyle name="Note 30 8 2 5" xfId="31846" xr:uid="{FD7D0910-B9E0-4C27-8EBC-AC78D82299D7}"/>
    <cellStyle name="Note 30 8 3" xfId="31847" xr:uid="{1B0AC45C-5162-4CC3-8943-367EB8229C14}"/>
    <cellStyle name="Note 30 8 3 2" xfId="31848" xr:uid="{7DFA9618-4EE8-4D87-A57E-6118E3D90B8F}"/>
    <cellStyle name="Note 30 8 3 2 2" xfId="31849" xr:uid="{30057C8F-F2FF-4307-898F-EEBFB3E455CB}"/>
    <cellStyle name="Note 30 8 3 3" xfId="31850" xr:uid="{B53F1856-6C96-4FCE-B847-2706B1815646}"/>
    <cellStyle name="Note 30 8 4" xfId="31851" xr:uid="{727404C2-902D-492D-8501-F01F705567B8}"/>
    <cellStyle name="Note 30 8 4 2" xfId="31852" xr:uid="{9E8E7666-3513-4598-AFB2-B138CD3A30F8}"/>
    <cellStyle name="Note 30 8 4 2 2" xfId="31853" xr:uid="{6D46A093-5EBB-4EB2-9211-22014147B59C}"/>
    <cellStyle name="Note 30 8 4 3" xfId="31854" xr:uid="{4D314353-91BC-443C-B4F7-28514B50AD08}"/>
    <cellStyle name="Note 30 8 5" xfId="31855" xr:uid="{61ECDE38-18BB-401A-BA90-6FD911AF9ACF}"/>
    <cellStyle name="Note 30 8 5 2" xfId="31856" xr:uid="{1F16752C-27EB-4A47-B922-F9480A41731F}"/>
    <cellStyle name="Note 30 8 6" xfId="31857" xr:uid="{926A4F4F-6453-41CF-BE23-B7A43A701C26}"/>
    <cellStyle name="Note 30 9" xfId="31858" xr:uid="{7B41B3A6-80FD-4DFB-B829-64DA6135F2EF}"/>
    <cellStyle name="Note 30 9 2" xfId="31859" xr:uid="{8C5D2C1A-B0F7-487B-B6EA-FB2089407864}"/>
    <cellStyle name="Note 30 9 2 2" xfId="31860" xr:uid="{122B025D-2C41-4F39-9F0C-EE3FAC52C8F1}"/>
    <cellStyle name="Note 30 9 2 2 2" xfId="31861" xr:uid="{6E6F85B0-09BE-470D-9003-16109D004B1B}"/>
    <cellStyle name="Note 30 9 2 2 2 2" xfId="31862" xr:uid="{D77A307B-AA3E-4E3D-B87C-104254D4685D}"/>
    <cellStyle name="Note 30 9 2 2 3" xfId="31863" xr:uid="{A30E9A56-78F5-45E7-B305-097645955B2C}"/>
    <cellStyle name="Note 30 9 2 3" xfId="31864" xr:uid="{7DE7CCAB-AFC2-47A5-8EE2-1F273C6A810D}"/>
    <cellStyle name="Note 30 9 2 3 2" xfId="31865" xr:uid="{8485C6E9-28D4-4864-8269-F780A2A530B5}"/>
    <cellStyle name="Note 30 9 2 3 2 2" xfId="31866" xr:uid="{35F88507-BEFF-4795-B965-FA6A59CED9C0}"/>
    <cellStyle name="Note 30 9 2 3 3" xfId="31867" xr:uid="{12FC300C-F25C-4756-8FBB-66B6291182AC}"/>
    <cellStyle name="Note 30 9 2 4" xfId="31868" xr:uid="{F4646BC3-2D52-46BB-AD09-2E18DA6A4B36}"/>
    <cellStyle name="Note 30 9 2 4 2" xfId="31869" xr:uid="{373D59E3-5199-4B39-BDF9-D510D2DCCA6A}"/>
    <cellStyle name="Note 30 9 2 5" xfId="31870" xr:uid="{6D0DB713-19AD-4C21-9208-97A7B10696EE}"/>
    <cellStyle name="Note 30 9 3" xfId="31871" xr:uid="{8D3A4FBA-614C-4B75-BE28-C86E5F251199}"/>
    <cellStyle name="Note 30 9 3 2" xfId="31872" xr:uid="{8EBF19A4-0E71-4EB4-AE52-1D4D2DE52B9B}"/>
    <cellStyle name="Note 30 9 3 2 2" xfId="31873" xr:uid="{44185A29-D611-4546-8868-6BD36186AAD8}"/>
    <cellStyle name="Note 30 9 3 3" xfId="31874" xr:uid="{CC3BCFAF-3304-4B60-BE4D-46AEB8356019}"/>
    <cellStyle name="Note 30 9 4" xfId="31875" xr:uid="{5018D510-E6E7-4111-A082-0469D156FC94}"/>
    <cellStyle name="Note 30 9 4 2" xfId="31876" xr:uid="{04808012-6E9D-4783-9BBC-B3197FBEDCF0}"/>
    <cellStyle name="Note 30 9 4 2 2" xfId="31877" xr:uid="{78009E20-E848-4E22-86ED-64039BD0A1B9}"/>
    <cellStyle name="Note 30 9 4 3" xfId="31878" xr:uid="{2B039D5C-7A9D-40CF-BB10-033010E61733}"/>
    <cellStyle name="Note 30 9 5" xfId="31879" xr:uid="{D9EE17F0-11D6-44F7-AFBF-97930E35631E}"/>
    <cellStyle name="Note 30 9 5 2" xfId="31880" xr:uid="{677C7D7E-7152-447D-BCE7-F30B9FCD5F29}"/>
    <cellStyle name="Note 30 9 6" xfId="31881" xr:uid="{9E41DC63-810C-41F5-8289-1F01F4096C04}"/>
    <cellStyle name="Note 31" xfId="31882" xr:uid="{187B77FE-D46A-4E17-8BB3-31E17B359D2E}"/>
    <cellStyle name="Note 31 10" xfId="31883" xr:uid="{C923A927-7642-4CD8-BEE1-35AFD486D2FF}"/>
    <cellStyle name="Note 31 10 2" xfId="31884" xr:uid="{F0EBB653-5AAB-4982-B171-E95CDA725DB1}"/>
    <cellStyle name="Note 31 10 2 2" xfId="31885" xr:uid="{843C67D8-5EDC-4F62-8D7F-F6240A9904D4}"/>
    <cellStyle name="Note 31 10 2 2 2" xfId="31886" xr:uid="{3EA4C226-D263-46B5-8703-062AD2F485A5}"/>
    <cellStyle name="Note 31 10 2 2 2 2" xfId="31887" xr:uid="{F15388D8-D44C-4E71-9838-69CE857BB89B}"/>
    <cellStyle name="Note 31 10 2 2 3" xfId="31888" xr:uid="{2EBD7873-F551-409A-B181-F4BF1DD218ED}"/>
    <cellStyle name="Note 31 10 2 3" xfId="31889" xr:uid="{968766BA-7119-46E3-BEF7-D88F40B06DED}"/>
    <cellStyle name="Note 31 10 2 3 2" xfId="31890" xr:uid="{FF36ACAC-30C5-4082-89AA-95EC3574CB99}"/>
    <cellStyle name="Note 31 10 2 3 2 2" xfId="31891" xr:uid="{EC5AB384-980A-4168-BA3B-3FDDA65DCD17}"/>
    <cellStyle name="Note 31 10 2 3 3" xfId="31892" xr:uid="{62B74CBF-9C62-4883-9E35-6B95BE67731B}"/>
    <cellStyle name="Note 31 10 2 4" xfId="31893" xr:uid="{7171CEFB-FD5D-44CF-A632-94C7F1F7664F}"/>
    <cellStyle name="Note 31 10 2 4 2" xfId="31894" xr:uid="{CFC902D6-00F6-4F99-8538-032BD48BE8AE}"/>
    <cellStyle name="Note 31 10 2 5" xfId="31895" xr:uid="{4FC21B36-C1CF-4E25-B4DA-4F3A4130E872}"/>
    <cellStyle name="Note 31 10 3" xfId="31896" xr:uid="{9104952C-0AED-468E-BB8C-DA82988CE694}"/>
    <cellStyle name="Note 31 10 3 2" xfId="31897" xr:uid="{31445B55-5163-4FA2-97D4-9BFA10A188DB}"/>
    <cellStyle name="Note 31 10 3 2 2" xfId="31898" xr:uid="{3E4C244E-6138-44FC-98C0-AF361C48A532}"/>
    <cellStyle name="Note 31 10 3 3" xfId="31899" xr:uid="{04BDCCE5-15E7-4621-BF51-3BD5FF4CB9BE}"/>
    <cellStyle name="Note 31 10 4" xfId="31900" xr:uid="{7D029814-C4FB-4250-AC44-DA676757782F}"/>
    <cellStyle name="Note 31 10 4 2" xfId="31901" xr:uid="{DE017024-E754-4CA8-83AC-AD22801F776C}"/>
    <cellStyle name="Note 31 10 4 2 2" xfId="31902" xr:uid="{FFED6764-DAFE-48E8-A7D9-DCF5B720EB03}"/>
    <cellStyle name="Note 31 10 4 3" xfId="31903" xr:uid="{C12C4B4F-7910-4596-A344-49C843C124E7}"/>
    <cellStyle name="Note 31 10 5" xfId="31904" xr:uid="{E098DD68-B293-405F-BA1A-F4F6F7A39018}"/>
    <cellStyle name="Note 31 10 5 2" xfId="31905" xr:uid="{E861F0BC-CE35-4130-81E6-487AA176F761}"/>
    <cellStyle name="Note 31 10 6" xfId="31906" xr:uid="{CD59D37F-082C-43BF-B487-A86F59D4632F}"/>
    <cellStyle name="Note 31 11" xfId="31907" xr:uid="{CCACD3B4-1023-4062-91E1-E7D2BF966E33}"/>
    <cellStyle name="Note 31 11 2" xfId="31908" xr:uid="{2C302DE4-DBFF-4347-A670-638B2E702746}"/>
    <cellStyle name="Note 31 11 2 2" xfId="31909" xr:uid="{6B0D4506-5008-43F2-B097-A3611F16BC33}"/>
    <cellStyle name="Note 31 11 2 2 2" xfId="31910" xr:uid="{0154CE7F-65AA-4874-9525-2075C177C84E}"/>
    <cellStyle name="Note 31 11 2 3" xfId="31911" xr:uid="{F0EC605F-07D4-4D68-8F4E-4F30A4FF9D8B}"/>
    <cellStyle name="Note 31 11 3" xfId="31912" xr:uid="{CF4A5CEE-A44B-442F-9963-855621E9D4E6}"/>
    <cellStyle name="Note 31 11 3 2" xfId="31913" xr:uid="{43813DCB-EAD9-4DC3-AEA9-61F5CC7DF735}"/>
    <cellStyle name="Note 31 11 3 2 2" xfId="31914" xr:uid="{3BFDF10E-1CA2-48BE-855E-80224F40F6B9}"/>
    <cellStyle name="Note 31 11 3 3" xfId="31915" xr:uid="{EC6671B2-2572-45CE-9B16-DF2B6B95F05A}"/>
    <cellStyle name="Note 31 11 4" xfId="31916" xr:uid="{0F2C14C1-1520-4C73-9E1A-86908558FD43}"/>
    <cellStyle name="Note 31 11 4 2" xfId="31917" xr:uid="{42A8E4E7-CE70-42A3-B46A-2DC3D34B525A}"/>
    <cellStyle name="Note 31 11 5" xfId="31918" xr:uid="{28F7117F-7BDD-41A7-AF57-86AFE11826E2}"/>
    <cellStyle name="Note 31 12" xfId="31919" xr:uid="{536E37B8-3889-44ED-AB34-0F7D6CBD18EB}"/>
    <cellStyle name="Note 31 12 2" xfId="31920" xr:uid="{2D10EC59-B398-4242-AA3F-92DD2FC860AF}"/>
    <cellStyle name="Note 31 12 2 2" xfId="31921" xr:uid="{6D645172-67D9-4980-9EBC-15703901563D}"/>
    <cellStyle name="Note 31 12 3" xfId="31922" xr:uid="{324A720A-DDF1-424C-BBB3-A2568A4D904D}"/>
    <cellStyle name="Note 31 13" xfId="31923" xr:uid="{82142E04-1810-4323-839C-14341784E9F3}"/>
    <cellStyle name="Note 31 13 2" xfId="31924" xr:uid="{98D0639C-016A-45E2-8A59-9019E506CD54}"/>
    <cellStyle name="Note 31 13 2 2" xfId="31925" xr:uid="{C44CCBAF-DCF9-4EEC-A176-A47BAA87DAF8}"/>
    <cellStyle name="Note 31 13 3" xfId="31926" xr:uid="{390B72CB-E931-4FE3-864F-A3B12C777C7F}"/>
    <cellStyle name="Note 31 14" xfId="31927" xr:uid="{30EE5577-21A8-4C61-84C5-2B21AA13ABA1}"/>
    <cellStyle name="Note 31 14 2" xfId="31928" xr:uid="{5BCF7B2F-937E-4649-8F46-42F8C7EDEDEA}"/>
    <cellStyle name="Note 31 15" xfId="31929" xr:uid="{06A72C37-E45D-4BBC-8FB3-770F6DAFF68C}"/>
    <cellStyle name="Note 31 2" xfId="31930" xr:uid="{6C850764-79AF-4C87-BA32-8711690012BC}"/>
    <cellStyle name="Note 31 2 2" xfId="31931" xr:uid="{4ED66198-CE17-49ED-BF7B-7B6B87CDB28F}"/>
    <cellStyle name="Note 31 2 2 2" xfId="31932" xr:uid="{6E60B149-1600-4E39-9020-056A169A01A1}"/>
    <cellStyle name="Note 31 2 2 2 2" xfId="31933" xr:uid="{94E32F52-6ECD-4E5A-81C8-62F3B8C17594}"/>
    <cellStyle name="Note 31 2 2 2 2 2" xfId="31934" xr:uid="{0E95DAFF-CC6E-41EC-9B88-76767871BB4B}"/>
    <cellStyle name="Note 31 2 2 2 3" xfId="31935" xr:uid="{499FD82D-C8CA-4A66-8869-323AEB729480}"/>
    <cellStyle name="Note 31 2 2 3" xfId="31936" xr:uid="{B8D23849-18F2-453C-AA4E-DF563093B5E8}"/>
    <cellStyle name="Note 31 2 2 3 2" xfId="31937" xr:uid="{A2AA7F15-4718-4212-8E61-50CCED1CF417}"/>
    <cellStyle name="Note 31 2 2 3 2 2" xfId="31938" xr:uid="{73B84A54-4FEC-4CDE-8624-5AEA0AFAE51C}"/>
    <cellStyle name="Note 31 2 2 3 3" xfId="31939" xr:uid="{BAB4B133-2FAD-460F-892B-8DD2CFD36B87}"/>
    <cellStyle name="Note 31 2 2 4" xfId="31940" xr:uid="{60398C1D-4C1D-4901-9D59-03BE8C80092C}"/>
    <cellStyle name="Note 31 2 2 4 2" xfId="31941" xr:uid="{58053951-1252-41CD-8F64-44509295AD57}"/>
    <cellStyle name="Note 31 2 2 5" xfId="31942" xr:uid="{112BF961-EF2D-43A8-A1A1-6403DA30FF8F}"/>
    <cellStyle name="Note 31 2 3" xfId="31943" xr:uid="{ADF25417-04D1-4B31-920C-40A204750F17}"/>
    <cellStyle name="Note 31 2 3 2" xfId="31944" xr:uid="{D49A5508-AA31-4CE0-BE33-C75B173226B9}"/>
    <cellStyle name="Note 31 2 3 2 2" xfId="31945" xr:uid="{31491710-364B-4B3E-8726-A98D06E53F7C}"/>
    <cellStyle name="Note 31 2 3 3" xfId="31946" xr:uid="{100EF514-5E0B-4065-9392-A6E4C19103B4}"/>
    <cellStyle name="Note 31 2 4" xfId="31947" xr:uid="{DB315B1E-42ED-4597-9C10-57B95570B7FC}"/>
    <cellStyle name="Note 31 2 4 2" xfId="31948" xr:uid="{EF788ECE-9BF8-40BE-911E-A9AEA664E4A0}"/>
    <cellStyle name="Note 31 2 4 2 2" xfId="31949" xr:uid="{2E6DEDBE-C3FE-410C-A142-2BDE454FF66B}"/>
    <cellStyle name="Note 31 2 4 3" xfId="31950" xr:uid="{95FC60FC-36E5-4578-BF8A-379F2DB581B2}"/>
    <cellStyle name="Note 31 2 5" xfId="31951" xr:uid="{3975E2AD-B73D-4237-9541-08ABA506FD41}"/>
    <cellStyle name="Note 31 2 5 2" xfId="31952" xr:uid="{0BA7FF03-4915-4C84-93DC-20C2A820B25D}"/>
    <cellStyle name="Note 31 2 6" xfId="31953" xr:uid="{E22DAD00-BFFC-4406-BAF8-A6BC81A2D85F}"/>
    <cellStyle name="Note 31 2 7" xfId="39337" xr:uid="{FE1B649C-5839-43DE-AD32-76F3F2B0AF00}"/>
    <cellStyle name="Note 31 3" xfId="31954" xr:uid="{85FBEA33-C019-4220-A7E2-B32151F03457}"/>
    <cellStyle name="Note 31 3 2" xfId="31955" xr:uid="{36644DA9-D357-49B9-BB1A-91EDAFA657F9}"/>
    <cellStyle name="Note 31 3 2 2" xfId="31956" xr:uid="{52873CA8-5711-44CC-B4AA-8BCB572D6FC8}"/>
    <cellStyle name="Note 31 3 2 2 2" xfId="31957" xr:uid="{FB9DA810-7B38-4AE8-903E-505F2B1DD5DC}"/>
    <cellStyle name="Note 31 3 2 2 2 2" xfId="31958" xr:uid="{290E9CB3-CE46-434E-A11C-F30D8051C44B}"/>
    <cellStyle name="Note 31 3 2 2 3" xfId="31959" xr:uid="{57FC10CC-129D-4181-8958-A689A02952FB}"/>
    <cellStyle name="Note 31 3 2 3" xfId="31960" xr:uid="{15C1FD46-D1DA-4246-9312-DEDA445F434F}"/>
    <cellStyle name="Note 31 3 2 3 2" xfId="31961" xr:uid="{93D11E9C-4AA4-4D74-9F69-29BAA348C6BA}"/>
    <cellStyle name="Note 31 3 2 3 2 2" xfId="31962" xr:uid="{E6624F83-2D4E-40FB-A040-FA7B47FC555F}"/>
    <cellStyle name="Note 31 3 2 3 3" xfId="31963" xr:uid="{A0F0BFD9-52F5-44CF-896A-4CC76DC225C5}"/>
    <cellStyle name="Note 31 3 2 4" xfId="31964" xr:uid="{AC1A2840-929B-4202-8678-8572EAEC18CD}"/>
    <cellStyle name="Note 31 3 2 4 2" xfId="31965" xr:uid="{81135BE0-8B58-4350-A8BD-B016AB85B4E6}"/>
    <cellStyle name="Note 31 3 2 5" xfId="31966" xr:uid="{B3C1641A-1D3D-4C64-8D12-7D84441301C6}"/>
    <cellStyle name="Note 31 3 3" xfId="31967" xr:uid="{8BA90630-9FAF-43E2-80A5-AED91FAD5DC9}"/>
    <cellStyle name="Note 31 3 3 2" xfId="31968" xr:uid="{6465AD37-9DD1-429F-B363-8F21C12E8910}"/>
    <cellStyle name="Note 31 3 3 2 2" xfId="31969" xr:uid="{0A2B3587-C346-4E0E-9877-77D2D07D2CC6}"/>
    <cellStyle name="Note 31 3 3 3" xfId="31970" xr:uid="{399DFA28-102B-4552-8D34-76241E1AC460}"/>
    <cellStyle name="Note 31 3 4" xfId="31971" xr:uid="{CE10FB5D-2CB6-4AA2-81C8-543D7FB89AFB}"/>
    <cellStyle name="Note 31 3 4 2" xfId="31972" xr:uid="{4558D0E3-8326-4A46-ABA5-DA3A20C6D627}"/>
    <cellStyle name="Note 31 3 4 2 2" xfId="31973" xr:uid="{84266E0E-EA58-4E13-870A-61FF92BF755F}"/>
    <cellStyle name="Note 31 3 4 3" xfId="31974" xr:uid="{BF7629B3-E234-466F-B54B-254132EDADE7}"/>
    <cellStyle name="Note 31 3 5" xfId="31975" xr:uid="{BB3362FA-35DE-4D8F-975D-3E59A21C92E5}"/>
    <cellStyle name="Note 31 3 5 2" xfId="31976" xr:uid="{D9B4CD58-5200-4141-AFCB-6E53D0FD8E9B}"/>
    <cellStyle name="Note 31 3 6" xfId="31977" xr:uid="{7B6C36A6-513F-4CAE-8631-E669EA735E4D}"/>
    <cellStyle name="Note 31 4" xfId="31978" xr:uid="{E492251A-CA01-4DCA-A0A9-FBBC5DEADF0E}"/>
    <cellStyle name="Note 31 4 2" xfId="31979" xr:uid="{46332474-2CC0-43EB-BF1E-D1D9C5ADD4B5}"/>
    <cellStyle name="Note 31 4 2 2" xfId="31980" xr:uid="{8CBFBC8C-EBEB-4162-9CAD-F6FEA153493E}"/>
    <cellStyle name="Note 31 4 2 2 2" xfId="31981" xr:uid="{BA1DA7FD-1A0B-4D9E-8FC2-55670FA65579}"/>
    <cellStyle name="Note 31 4 2 2 2 2" xfId="31982" xr:uid="{2E55D253-0E8A-4452-92C4-221BC5C48491}"/>
    <cellStyle name="Note 31 4 2 2 3" xfId="31983" xr:uid="{249D14F8-F580-42A5-9E8C-739D6D1A03D7}"/>
    <cellStyle name="Note 31 4 2 3" xfId="31984" xr:uid="{CF548FD8-84ED-447A-9C12-2AA3020D8920}"/>
    <cellStyle name="Note 31 4 2 3 2" xfId="31985" xr:uid="{B5D6C5DD-208C-4F9E-8356-1AE8628B2D5B}"/>
    <cellStyle name="Note 31 4 2 3 2 2" xfId="31986" xr:uid="{FD21387E-D85D-4F3F-A46F-7E3C54C499FD}"/>
    <cellStyle name="Note 31 4 2 3 3" xfId="31987" xr:uid="{392F769C-DBD8-441B-BFE0-FAA2E6D5DABD}"/>
    <cellStyle name="Note 31 4 2 4" xfId="31988" xr:uid="{2B0E5746-84F1-40EF-B7BA-9991D7189B91}"/>
    <cellStyle name="Note 31 4 2 4 2" xfId="31989" xr:uid="{08ACF000-76FB-4BCD-AA2F-AA84CD593A3D}"/>
    <cellStyle name="Note 31 4 2 5" xfId="31990" xr:uid="{91055593-5A55-43C7-97BA-A70F87F902A7}"/>
    <cellStyle name="Note 31 4 3" xfId="31991" xr:uid="{B2F254C4-71AF-403B-AAC0-921A194F27B9}"/>
    <cellStyle name="Note 31 4 3 2" xfId="31992" xr:uid="{2F11708C-84FE-4986-8E26-F0AA86AB6932}"/>
    <cellStyle name="Note 31 4 3 2 2" xfId="31993" xr:uid="{B76A9DDC-8466-4451-907B-7E8AB3D5EA00}"/>
    <cellStyle name="Note 31 4 3 3" xfId="31994" xr:uid="{773C9C62-FC34-4A65-AE5F-507E538D2573}"/>
    <cellStyle name="Note 31 4 4" xfId="31995" xr:uid="{57149131-73B3-4E06-97D4-EF08EFDAB8BC}"/>
    <cellStyle name="Note 31 4 4 2" xfId="31996" xr:uid="{E38D9E80-9D75-47E7-92F9-2ABCFFD41C23}"/>
    <cellStyle name="Note 31 4 4 2 2" xfId="31997" xr:uid="{8BE243D7-4953-4EAC-B20B-53950A59DB1A}"/>
    <cellStyle name="Note 31 4 4 3" xfId="31998" xr:uid="{9C3FD9DF-2A82-498B-B3EC-BAABEF8FB2B5}"/>
    <cellStyle name="Note 31 4 5" xfId="31999" xr:uid="{4CA791DD-32AA-4896-8BB0-62972C9A89E7}"/>
    <cellStyle name="Note 31 4 5 2" xfId="32000" xr:uid="{F8B7A92C-6497-44DD-B856-610EBB28545C}"/>
    <cellStyle name="Note 31 4 6" xfId="32001" xr:uid="{9CA44FEB-AFDD-4B34-8C01-BE8036A52C22}"/>
    <cellStyle name="Note 31 5" xfId="32002" xr:uid="{2B458B87-9288-4F96-BF25-DE68603D82C0}"/>
    <cellStyle name="Note 31 5 2" xfId="32003" xr:uid="{BE6071F4-956D-49DD-A47E-F28C6BC1B931}"/>
    <cellStyle name="Note 31 5 2 2" xfId="32004" xr:uid="{F50F4629-9C11-442F-A1F4-BBDB1ED30A3E}"/>
    <cellStyle name="Note 31 5 2 2 2" xfId="32005" xr:uid="{BF13D6C5-7CEF-4AD4-98AB-F858214CE495}"/>
    <cellStyle name="Note 31 5 2 2 2 2" xfId="32006" xr:uid="{7DDA65BD-642F-4045-8AAF-51623B8A2E44}"/>
    <cellStyle name="Note 31 5 2 2 3" xfId="32007" xr:uid="{EDF533EF-0546-45FB-98F6-75DDCCD14F3A}"/>
    <cellStyle name="Note 31 5 2 3" xfId="32008" xr:uid="{673DE6BF-2BA2-42C0-8CC2-E8BC39D3F199}"/>
    <cellStyle name="Note 31 5 2 3 2" xfId="32009" xr:uid="{81B6A3C0-F259-4A35-B0D6-A059B32DEF8C}"/>
    <cellStyle name="Note 31 5 2 3 2 2" xfId="32010" xr:uid="{6D2A2358-89FB-4B33-AC7F-CAFAD2CB804F}"/>
    <cellStyle name="Note 31 5 2 3 3" xfId="32011" xr:uid="{BFDC86BE-2306-4B31-8673-0C48D4FEF1E8}"/>
    <cellStyle name="Note 31 5 2 4" xfId="32012" xr:uid="{5981C058-46EF-4B1F-BB1A-D79B4ABF69DF}"/>
    <cellStyle name="Note 31 5 2 4 2" xfId="32013" xr:uid="{C8B8D481-ABE5-42FE-BCDB-205664F10EFD}"/>
    <cellStyle name="Note 31 5 2 5" xfId="32014" xr:uid="{CF46E4F8-331E-4A87-9B7A-FB4E959BEE16}"/>
    <cellStyle name="Note 31 5 3" xfId="32015" xr:uid="{4B245199-48EA-4073-B8F6-1B275BE67E99}"/>
    <cellStyle name="Note 31 5 3 2" xfId="32016" xr:uid="{1F1DE845-0D44-4BC3-BAB8-A3580C1CF776}"/>
    <cellStyle name="Note 31 5 3 2 2" xfId="32017" xr:uid="{3AFAE35B-1FF4-4297-800C-5B6983428984}"/>
    <cellStyle name="Note 31 5 3 3" xfId="32018" xr:uid="{2AC0AA8C-4BF0-48A3-867A-59FD3AE16B00}"/>
    <cellStyle name="Note 31 5 4" xfId="32019" xr:uid="{DCBAF097-747C-4932-A7E2-75A21C6BF85E}"/>
    <cellStyle name="Note 31 5 4 2" xfId="32020" xr:uid="{5F7E6E80-27DA-41DB-843F-0B19BE291A80}"/>
    <cellStyle name="Note 31 5 4 2 2" xfId="32021" xr:uid="{DF1ACA35-CB5F-4F81-AE66-F695AC3DD3E9}"/>
    <cellStyle name="Note 31 5 4 3" xfId="32022" xr:uid="{82F72969-9E7C-496E-99F8-A34948B9056E}"/>
    <cellStyle name="Note 31 5 5" xfId="32023" xr:uid="{D751E252-5045-4FCE-84C2-521BB1BDF9B1}"/>
    <cellStyle name="Note 31 5 5 2" xfId="32024" xr:uid="{2556715F-3B64-483C-A467-43B320FCC1C7}"/>
    <cellStyle name="Note 31 5 6" xfId="32025" xr:uid="{FB0615E2-CE1B-4213-9522-D6991A12B19B}"/>
    <cellStyle name="Note 31 6" xfId="32026" xr:uid="{F20104B6-58E9-4758-B0DB-260D425FF43F}"/>
    <cellStyle name="Note 31 6 2" xfId="32027" xr:uid="{06BDB012-7359-40DE-8ACD-4B91B91B4AA8}"/>
    <cellStyle name="Note 31 6 2 2" xfId="32028" xr:uid="{E0E95D9E-EE93-4064-BE6A-DA1BC52B4CDB}"/>
    <cellStyle name="Note 31 6 2 2 2" xfId="32029" xr:uid="{C6491FB4-CE7E-44AD-BCD4-9BE963BB59EB}"/>
    <cellStyle name="Note 31 6 2 2 2 2" xfId="32030" xr:uid="{6BD7EA77-02B9-42B8-B622-7CFE646853EA}"/>
    <cellStyle name="Note 31 6 2 2 3" xfId="32031" xr:uid="{D110E619-4BFE-4020-AD9F-6A2B69BBC343}"/>
    <cellStyle name="Note 31 6 2 3" xfId="32032" xr:uid="{927A0E4B-54F0-4CB9-AFD1-101EFDBC0E5C}"/>
    <cellStyle name="Note 31 6 2 3 2" xfId="32033" xr:uid="{D9972C17-E842-438F-9EC0-5FBB4E38696D}"/>
    <cellStyle name="Note 31 6 2 3 2 2" xfId="32034" xr:uid="{D694F087-5367-4C35-AFC6-64B928E6151D}"/>
    <cellStyle name="Note 31 6 2 3 3" xfId="32035" xr:uid="{333385D4-0B94-4216-8550-1BA266011BB7}"/>
    <cellStyle name="Note 31 6 2 4" xfId="32036" xr:uid="{D7B69C33-DC88-440A-874C-A0621EA5E86F}"/>
    <cellStyle name="Note 31 6 2 4 2" xfId="32037" xr:uid="{BC3C30ED-2C4C-4337-A819-54C3BC64435E}"/>
    <cellStyle name="Note 31 6 2 5" xfId="32038" xr:uid="{E46F79D6-48B2-4154-BE34-CFB7DA887397}"/>
    <cellStyle name="Note 31 6 3" xfId="32039" xr:uid="{E5D81239-F10F-465D-9509-0EB564953DD6}"/>
    <cellStyle name="Note 31 6 3 2" xfId="32040" xr:uid="{C0D43DD0-22F1-42CB-AA3F-CEB2DEB255FD}"/>
    <cellStyle name="Note 31 6 3 2 2" xfId="32041" xr:uid="{89950EC7-A015-46C8-9D8F-E777191EB301}"/>
    <cellStyle name="Note 31 6 3 3" xfId="32042" xr:uid="{53CA051A-C4A1-4FA7-AF88-7B1F1B441C92}"/>
    <cellStyle name="Note 31 6 4" xfId="32043" xr:uid="{17CE32F2-E9B5-4DF0-95A1-7EC0DF80E28D}"/>
    <cellStyle name="Note 31 6 4 2" xfId="32044" xr:uid="{48610A61-8661-4BC5-9E8D-15A83B83F7D2}"/>
    <cellStyle name="Note 31 6 4 2 2" xfId="32045" xr:uid="{7563D7B3-BDE8-45A1-B188-B5AC87B2E215}"/>
    <cellStyle name="Note 31 6 4 3" xfId="32046" xr:uid="{01F50D67-0E1E-47AF-AC19-7E7E68C56C3F}"/>
    <cellStyle name="Note 31 6 5" xfId="32047" xr:uid="{9986365D-9DA1-48AB-983C-9BAFCEC5CB27}"/>
    <cellStyle name="Note 31 6 5 2" xfId="32048" xr:uid="{5EF83A1F-668F-446B-B40E-51D05A723B02}"/>
    <cellStyle name="Note 31 6 6" xfId="32049" xr:uid="{E2DF7E17-631C-43FE-83E6-A31FDF12BA5A}"/>
    <cellStyle name="Note 31 7" xfId="32050" xr:uid="{27103252-DBC0-4949-8661-5540EFC9D510}"/>
    <cellStyle name="Note 31 7 2" xfId="32051" xr:uid="{247EE517-E1FB-453B-81F6-00ADEA4B472D}"/>
    <cellStyle name="Note 31 7 2 2" xfId="32052" xr:uid="{DF78843B-BEF5-41BC-B96D-CBD2C9D91EDE}"/>
    <cellStyle name="Note 31 7 2 2 2" xfId="32053" xr:uid="{E355FDC0-8A02-48AE-93EB-967D063FA44E}"/>
    <cellStyle name="Note 31 7 2 2 2 2" xfId="32054" xr:uid="{84A9D085-5A46-4A7F-8137-8AEBDF6FC8C7}"/>
    <cellStyle name="Note 31 7 2 2 3" xfId="32055" xr:uid="{D6B217E5-D6AA-4829-8475-2B7A0B3F1860}"/>
    <cellStyle name="Note 31 7 2 3" xfId="32056" xr:uid="{5C36B0D9-A3EA-4962-8882-97927F81B8F5}"/>
    <cellStyle name="Note 31 7 2 3 2" xfId="32057" xr:uid="{4120E389-992F-4E8E-8892-4751DDFF253F}"/>
    <cellStyle name="Note 31 7 2 3 2 2" xfId="32058" xr:uid="{9DDA89CB-3AE3-4A17-B858-0E229FF30EA7}"/>
    <cellStyle name="Note 31 7 2 3 3" xfId="32059" xr:uid="{01488F3E-4536-4F8E-BD23-D3CDB341C46B}"/>
    <cellStyle name="Note 31 7 2 4" xfId="32060" xr:uid="{BD4B1E97-4F7A-470B-84A0-7A1883BBB1D7}"/>
    <cellStyle name="Note 31 7 2 4 2" xfId="32061" xr:uid="{927D8E7A-38B0-4220-80A6-EEA44F766502}"/>
    <cellStyle name="Note 31 7 2 5" xfId="32062" xr:uid="{B5AD5960-2E34-461D-A724-528842002B4E}"/>
    <cellStyle name="Note 31 7 3" xfId="32063" xr:uid="{2306BE9F-7380-4283-ADA7-BED484154F30}"/>
    <cellStyle name="Note 31 7 3 2" xfId="32064" xr:uid="{84DF5B65-0431-407B-9886-18C2C8416317}"/>
    <cellStyle name="Note 31 7 3 2 2" xfId="32065" xr:uid="{6A9D1781-23BE-4C3D-ABF9-880A50658A72}"/>
    <cellStyle name="Note 31 7 3 3" xfId="32066" xr:uid="{60B1C223-632E-4864-B61F-472FDBC503D9}"/>
    <cellStyle name="Note 31 7 4" xfId="32067" xr:uid="{B982CEF5-7E9D-421E-A4FE-EB23A05353D9}"/>
    <cellStyle name="Note 31 7 4 2" xfId="32068" xr:uid="{EA95AEB6-C5B4-4380-A5C3-C16D17ED15A3}"/>
    <cellStyle name="Note 31 7 4 2 2" xfId="32069" xr:uid="{E37C6F2F-009B-4ED3-8925-7DA2D300DF1E}"/>
    <cellStyle name="Note 31 7 4 3" xfId="32070" xr:uid="{021BDAEA-FEDE-4DC4-9046-7EE7EF2088C1}"/>
    <cellStyle name="Note 31 7 5" xfId="32071" xr:uid="{67FAC261-6851-4D91-BE67-616FE7D8B11C}"/>
    <cellStyle name="Note 31 7 5 2" xfId="32072" xr:uid="{2FBB058B-03A5-4780-869F-05A18A0179A9}"/>
    <cellStyle name="Note 31 7 6" xfId="32073" xr:uid="{6911086C-D7C0-4A0B-938D-DE251B1D5800}"/>
    <cellStyle name="Note 31 8" xfId="32074" xr:uid="{26E95AF1-554B-409E-9D76-3E1EECB0F80C}"/>
    <cellStyle name="Note 31 8 2" xfId="32075" xr:uid="{92698793-FA2D-4DD0-B33F-E34CAB03894E}"/>
    <cellStyle name="Note 31 8 2 2" xfId="32076" xr:uid="{25390D9B-26BF-4828-9A41-8C64A87B3A9A}"/>
    <cellStyle name="Note 31 8 2 2 2" xfId="32077" xr:uid="{5B7FCF7A-E88E-4624-B8F4-0A83AD307312}"/>
    <cellStyle name="Note 31 8 2 2 2 2" xfId="32078" xr:uid="{1920B424-1CA5-4E3E-8557-28946EC80627}"/>
    <cellStyle name="Note 31 8 2 2 3" xfId="32079" xr:uid="{9CDF6CA0-F9D7-46BC-A536-C2E676ACE449}"/>
    <cellStyle name="Note 31 8 2 3" xfId="32080" xr:uid="{D62C3ACD-9459-4350-8336-4EC02663831A}"/>
    <cellStyle name="Note 31 8 2 3 2" xfId="32081" xr:uid="{FAE472C2-CCE5-413F-8F6F-3AB87E61209F}"/>
    <cellStyle name="Note 31 8 2 3 2 2" xfId="32082" xr:uid="{C3C7EF57-CBF7-47F0-9D01-9D4B8AB53F05}"/>
    <cellStyle name="Note 31 8 2 3 3" xfId="32083" xr:uid="{17041F0B-5D44-404F-9E79-C61F8FC25D33}"/>
    <cellStyle name="Note 31 8 2 4" xfId="32084" xr:uid="{3A86ACFE-EE99-4E53-9F31-CE6FCADB2317}"/>
    <cellStyle name="Note 31 8 2 4 2" xfId="32085" xr:uid="{8862DB45-4206-4225-BEE3-548973AAF6ED}"/>
    <cellStyle name="Note 31 8 2 5" xfId="32086" xr:uid="{D88F0CFE-3F61-41FA-8C91-E1D05DFF432A}"/>
    <cellStyle name="Note 31 8 3" xfId="32087" xr:uid="{1FBBE6B6-90DB-407C-9F80-025525F6B1F5}"/>
    <cellStyle name="Note 31 8 3 2" xfId="32088" xr:uid="{6437F6AF-6471-48B6-B575-BDD216DFBC67}"/>
    <cellStyle name="Note 31 8 3 2 2" xfId="32089" xr:uid="{AF7F81BB-F523-4F78-A1EA-D573354A64BB}"/>
    <cellStyle name="Note 31 8 3 3" xfId="32090" xr:uid="{7983BEB7-21C5-4B1E-880C-37B36AFB3569}"/>
    <cellStyle name="Note 31 8 4" xfId="32091" xr:uid="{ED55D122-01F9-416A-9458-C9EC23230066}"/>
    <cellStyle name="Note 31 8 4 2" xfId="32092" xr:uid="{CF99D05C-639C-47DD-B227-A4D49A85D9F5}"/>
    <cellStyle name="Note 31 8 4 2 2" xfId="32093" xr:uid="{E84A5292-9EDD-4773-AB7D-362A79A95DA6}"/>
    <cellStyle name="Note 31 8 4 3" xfId="32094" xr:uid="{C8E2689E-859B-40C9-B786-53B1E315BDB2}"/>
    <cellStyle name="Note 31 8 5" xfId="32095" xr:uid="{757A9F2A-A446-4EC6-9743-8C2828343643}"/>
    <cellStyle name="Note 31 8 5 2" xfId="32096" xr:uid="{421A26F7-ED2D-4C48-B47D-6A2752BB2AD1}"/>
    <cellStyle name="Note 31 8 6" xfId="32097" xr:uid="{B949F541-C94C-42F6-8BBE-65DD702B0C4E}"/>
    <cellStyle name="Note 31 9" xfId="32098" xr:uid="{C645C0EA-D39C-4205-9629-BBAE56210C3B}"/>
    <cellStyle name="Note 31 9 2" xfId="32099" xr:uid="{8F0BA492-49DB-4485-8BCE-6687A6A0C8BE}"/>
    <cellStyle name="Note 31 9 2 2" xfId="32100" xr:uid="{F086CC80-B13A-4F7A-ACF6-9ECC0BA2FC00}"/>
    <cellStyle name="Note 31 9 2 2 2" xfId="32101" xr:uid="{D84FF4C3-5DF2-4DA7-A422-2318DB74F391}"/>
    <cellStyle name="Note 31 9 2 2 2 2" xfId="32102" xr:uid="{97526F02-9A7E-4086-9CFB-DBDE40C41E64}"/>
    <cellStyle name="Note 31 9 2 2 3" xfId="32103" xr:uid="{A0EE574A-B000-4315-8DF7-49225D5690BA}"/>
    <cellStyle name="Note 31 9 2 3" xfId="32104" xr:uid="{E7EB9FF5-DDCA-4ECF-B6AD-2B564E9CAA96}"/>
    <cellStyle name="Note 31 9 2 3 2" xfId="32105" xr:uid="{FBC25675-1878-4A1A-AE32-729763D692BB}"/>
    <cellStyle name="Note 31 9 2 3 2 2" xfId="32106" xr:uid="{183BDAD9-8D67-4474-84CC-05F7DA9C2B90}"/>
    <cellStyle name="Note 31 9 2 3 3" xfId="32107" xr:uid="{6056A53D-B248-4F0D-943B-F3C3D82E95FE}"/>
    <cellStyle name="Note 31 9 2 4" xfId="32108" xr:uid="{86291A6C-1625-4714-ACBA-94D23A69C89B}"/>
    <cellStyle name="Note 31 9 2 4 2" xfId="32109" xr:uid="{F9215CC1-9B84-4784-99B6-1565DC531896}"/>
    <cellStyle name="Note 31 9 2 5" xfId="32110" xr:uid="{A16D0918-CBFB-4C1B-95C9-09305881A57B}"/>
    <cellStyle name="Note 31 9 3" xfId="32111" xr:uid="{77CD52B0-A892-416E-9B75-C2071E5D399D}"/>
    <cellStyle name="Note 31 9 3 2" xfId="32112" xr:uid="{6A8F8CFD-C335-4DE5-845F-9694F73F3152}"/>
    <cellStyle name="Note 31 9 3 2 2" xfId="32113" xr:uid="{A90509DB-ABCF-4636-8AEE-7D6B86FC7C50}"/>
    <cellStyle name="Note 31 9 3 3" xfId="32114" xr:uid="{D211C61F-B740-4BEC-A9FE-B1BA608EA351}"/>
    <cellStyle name="Note 31 9 4" xfId="32115" xr:uid="{CC378F8D-18A8-40FA-9703-3AB938A1575A}"/>
    <cellStyle name="Note 31 9 4 2" xfId="32116" xr:uid="{AA4D3DCF-ACD5-48DC-ACB0-5ACED9148F5B}"/>
    <cellStyle name="Note 31 9 4 2 2" xfId="32117" xr:uid="{10A7B0E8-844E-4FD8-AA01-5BB233A30B96}"/>
    <cellStyle name="Note 31 9 4 3" xfId="32118" xr:uid="{84F89B1F-B1EF-4BB7-A376-8FB58858B67B}"/>
    <cellStyle name="Note 31 9 5" xfId="32119" xr:uid="{D3C8F182-8973-4FD2-B1F8-3D9D9419C0DD}"/>
    <cellStyle name="Note 31 9 5 2" xfId="32120" xr:uid="{68FEE46B-19B2-4CB9-8A27-D2CFA7EF0A26}"/>
    <cellStyle name="Note 31 9 6" xfId="32121" xr:uid="{CC521AC7-5435-4780-AD85-8D37390A0B60}"/>
    <cellStyle name="Note 32" xfId="32122" xr:uid="{23BACAF9-6207-4226-9868-21021B225AF4}"/>
    <cellStyle name="Note 32 10" xfId="32123" xr:uid="{384DC3DA-660F-4432-A9B9-0EF6E353806D}"/>
    <cellStyle name="Note 32 10 2" xfId="32124" xr:uid="{EAC6B8C0-1303-4D76-AAF6-66816A3DC727}"/>
    <cellStyle name="Note 32 10 2 2" xfId="32125" xr:uid="{4D7A2F05-FA7F-4E35-BB84-4D6753D7C523}"/>
    <cellStyle name="Note 32 10 2 2 2" xfId="32126" xr:uid="{3DE914A9-86A4-4E99-8AD4-F552001E9634}"/>
    <cellStyle name="Note 32 10 2 2 2 2" xfId="32127" xr:uid="{6BD19646-0F09-49CE-8995-722E74CBCDD0}"/>
    <cellStyle name="Note 32 10 2 2 3" xfId="32128" xr:uid="{7C242358-B8F7-442E-85F8-3D27416BF82F}"/>
    <cellStyle name="Note 32 10 2 3" xfId="32129" xr:uid="{8E9D16CA-5C27-4273-8373-CD4160E2370F}"/>
    <cellStyle name="Note 32 10 2 3 2" xfId="32130" xr:uid="{602FE23D-43AA-48FD-A029-0530A803C475}"/>
    <cellStyle name="Note 32 10 2 3 2 2" xfId="32131" xr:uid="{5AC947AA-6C27-4CF6-AA43-053991D8FF8C}"/>
    <cellStyle name="Note 32 10 2 3 3" xfId="32132" xr:uid="{5DE686E9-3A1C-40D7-9604-8020C3D6E17E}"/>
    <cellStyle name="Note 32 10 2 4" xfId="32133" xr:uid="{1439FA8E-2721-4162-A0C0-C61BE2EE57D4}"/>
    <cellStyle name="Note 32 10 2 4 2" xfId="32134" xr:uid="{B9FCB5FF-706F-42CA-8DE5-15468FC7912D}"/>
    <cellStyle name="Note 32 10 2 5" xfId="32135" xr:uid="{1491F9FD-3EBB-46B4-9339-B591118ED685}"/>
    <cellStyle name="Note 32 10 3" xfId="32136" xr:uid="{DBF47ECD-69C7-4CD6-A3E3-FA9B2858A21C}"/>
    <cellStyle name="Note 32 10 3 2" xfId="32137" xr:uid="{E7423D8A-9517-4FF5-9F50-78011D18647C}"/>
    <cellStyle name="Note 32 10 3 2 2" xfId="32138" xr:uid="{5EB32A56-1050-46E9-A1F2-EA5C7AC3E30C}"/>
    <cellStyle name="Note 32 10 3 3" xfId="32139" xr:uid="{34565777-AE21-42DA-B29E-F5B43950261F}"/>
    <cellStyle name="Note 32 10 4" xfId="32140" xr:uid="{B5F61009-AD2B-44BB-923C-BC1108DABE42}"/>
    <cellStyle name="Note 32 10 4 2" xfId="32141" xr:uid="{0BBD9327-F0D6-4E61-9D4A-2DC22C156BA2}"/>
    <cellStyle name="Note 32 10 4 2 2" xfId="32142" xr:uid="{9B07593B-77CB-4A22-BAD5-E8BF0B556E35}"/>
    <cellStyle name="Note 32 10 4 3" xfId="32143" xr:uid="{FBFD0319-6C64-4889-9AB7-0EFF1A36F15B}"/>
    <cellStyle name="Note 32 10 5" xfId="32144" xr:uid="{50F871A4-29B2-4D1C-89EF-B19A28765F36}"/>
    <cellStyle name="Note 32 10 5 2" xfId="32145" xr:uid="{02BF2514-8253-4142-818A-A62064709BA0}"/>
    <cellStyle name="Note 32 10 6" xfId="32146" xr:uid="{8AD17874-8B07-4142-9A67-0059E598FEA3}"/>
    <cellStyle name="Note 32 11" xfId="32147" xr:uid="{04ED2573-3AA0-4C57-B940-6AA3FE055729}"/>
    <cellStyle name="Note 32 11 2" xfId="32148" xr:uid="{0835BF3A-2B6C-4620-A837-B5D8940323D9}"/>
    <cellStyle name="Note 32 11 2 2" xfId="32149" xr:uid="{449CD728-7906-4954-A7E2-7C4B1DEE571E}"/>
    <cellStyle name="Note 32 11 2 2 2" xfId="32150" xr:uid="{1B8B3974-0649-44BD-A5C3-9CE146C74330}"/>
    <cellStyle name="Note 32 11 2 3" xfId="32151" xr:uid="{52697582-F933-408E-BCE2-D9DD1BCBD684}"/>
    <cellStyle name="Note 32 11 3" xfId="32152" xr:uid="{07532A42-7B53-4FF3-A208-BEEDD6840EA9}"/>
    <cellStyle name="Note 32 11 3 2" xfId="32153" xr:uid="{3A57CADF-2A42-400F-A3DB-C76923617616}"/>
    <cellStyle name="Note 32 11 3 2 2" xfId="32154" xr:uid="{B0967F4B-4D53-48EC-BE8E-260B68422F1E}"/>
    <cellStyle name="Note 32 11 3 3" xfId="32155" xr:uid="{601298C5-D794-4520-86EC-638E8FA22F38}"/>
    <cellStyle name="Note 32 11 4" xfId="32156" xr:uid="{F8D7E57F-E8C5-44A4-9672-CB19279B1709}"/>
    <cellStyle name="Note 32 11 4 2" xfId="32157" xr:uid="{8AE99196-744B-4E69-B2A6-4CF5D574DA20}"/>
    <cellStyle name="Note 32 11 5" xfId="32158" xr:uid="{29EF634A-2A8A-4D30-B43F-39C1328CC099}"/>
    <cellStyle name="Note 32 12" xfId="32159" xr:uid="{9A97AF4F-C74F-4924-8B24-B4726E4FC99D}"/>
    <cellStyle name="Note 32 12 2" xfId="32160" xr:uid="{6E94D217-6940-4E82-B321-797F849F3739}"/>
    <cellStyle name="Note 32 12 2 2" xfId="32161" xr:uid="{0C9E3D5B-896A-41CD-A687-47B497E763E0}"/>
    <cellStyle name="Note 32 12 3" xfId="32162" xr:uid="{55AE1010-F651-4D83-91B6-13E67C36B98B}"/>
    <cellStyle name="Note 32 13" xfId="32163" xr:uid="{7F0992F2-504E-4129-8291-69D32658962D}"/>
    <cellStyle name="Note 32 13 2" xfId="32164" xr:uid="{A2662163-2710-4627-A08D-6DC35B519389}"/>
    <cellStyle name="Note 32 13 2 2" xfId="32165" xr:uid="{A6D7C556-E4EA-4BC7-BA76-57954A2617C0}"/>
    <cellStyle name="Note 32 13 3" xfId="32166" xr:uid="{DD4EF23A-B964-493F-921C-0099E3A15147}"/>
    <cellStyle name="Note 32 14" xfId="32167" xr:uid="{1A862396-D57F-41D4-8100-EC094BBFFFB5}"/>
    <cellStyle name="Note 32 14 2" xfId="32168" xr:uid="{1CF8AB62-B122-4285-B094-5A93373A7C3E}"/>
    <cellStyle name="Note 32 15" xfId="32169" xr:uid="{A471919E-AF5E-48E4-A804-366AC6C8B336}"/>
    <cellStyle name="Note 32 2" xfId="32170" xr:uid="{92FF947A-F539-4B90-ABB1-EFC58F00323B}"/>
    <cellStyle name="Note 32 2 2" xfId="32171" xr:uid="{952F8BDE-EC14-4245-BA94-6408DB5F5116}"/>
    <cellStyle name="Note 32 2 2 2" xfId="32172" xr:uid="{0A6EE2FA-22E6-4FF7-AB24-FFB9EEEDD5FC}"/>
    <cellStyle name="Note 32 2 2 2 2" xfId="32173" xr:uid="{F44C5374-F5C0-487F-8EAB-1B1E1BA2BFC6}"/>
    <cellStyle name="Note 32 2 2 2 2 2" xfId="32174" xr:uid="{C9D7C040-5E41-4ACC-B76C-A0F68A61D1CE}"/>
    <cellStyle name="Note 32 2 2 2 3" xfId="32175" xr:uid="{6BDA4398-FDE1-4F00-9BA6-67F59DD231E3}"/>
    <cellStyle name="Note 32 2 2 3" xfId="32176" xr:uid="{8EBB826B-AAA8-4945-8C8F-639C7BC10903}"/>
    <cellStyle name="Note 32 2 2 3 2" xfId="32177" xr:uid="{A90BB2A2-5CA7-4178-84B3-7D46F8E9EBCF}"/>
    <cellStyle name="Note 32 2 2 3 2 2" xfId="32178" xr:uid="{1A8DC222-778C-4975-AEBD-9D233CB37A73}"/>
    <cellStyle name="Note 32 2 2 3 3" xfId="32179" xr:uid="{923C3423-D062-4A17-B4FF-442DC0439BDF}"/>
    <cellStyle name="Note 32 2 2 4" xfId="32180" xr:uid="{6E83085D-0F67-4D15-974B-737B72BB6C39}"/>
    <cellStyle name="Note 32 2 2 4 2" xfId="32181" xr:uid="{BB588A08-3B5A-4E65-863C-EB39911394D8}"/>
    <cellStyle name="Note 32 2 2 5" xfId="32182" xr:uid="{370EAFD9-0220-4063-83D5-9F9A1E894675}"/>
    <cellStyle name="Note 32 2 3" xfId="32183" xr:uid="{AF905576-94DB-4945-B30B-E328CA743F7E}"/>
    <cellStyle name="Note 32 2 3 2" xfId="32184" xr:uid="{2C13AA5A-F386-4924-8C6E-4335E30368D9}"/>
    <cellStyle name="Note 32 2 3 2 2" xfId="32185" xr:uid="{1AF48884-532C-4AD5-B97F-F817620B390D}"/>
    <cellStyle name="Note 32 2 3 3" xfId="32186" xr:uid="{48966EB8-5ABE-43E6-800B-DB5620630A35}"/>
    <cellStyle name="Note 32 2 4" xfId="32187" xr:uid="{3C29F551-172A-4243-AEE1-4DA88B1950B1}"/>
    <cellStyle name="Note 32 2 4 2" xfId="32188" xr:uid="{FB472DE8-A19B-4DE1-92F3-EA74B3F63E0D}"/>
    <cellStyle name="Note 32 2 4 2 2" xfId="32189" xr:uid="{FEEDEB51-9922-4030-8AF6-B8D4F0910862}"/>
    <cellStyle name="Note 32 2 4 3" xfId="32190" xr:uid="{22A86A1A-F97D-4F64-A961-876725D6078F}"/>
    <cellStyle name="Note 32 2 5" xfId="32191" xr:uid="{5729F202-D792-4A98-AFBC-506FB76B049B}"/>
    <cellStyle name="Note 32 2 5 2" xfId="32192" xr:uid="{7B8AEAC2-176B-4F1E-887A-A24036A7E0C1}"/>
    <cellStyle name="Note 32 2 6" xfId="32193" xr:uid="{838BD1EC-116A-4BBB-8C3B-674193F4C127}"/>
    <cellStyle name="Note 32 2 7" xfId="39338" xr:uid="{3FE8F055-39CA-44EB-95E4-533878D544A9}"/>
    <cellStyle name="Note 32 3" xfId="32194" xr:uid="{76ACC61E-E8B6-48D1-A4EE-07BF558BC05E}"/>
    <cellStyle name="Note 32 3 2" xfId="32195" xr:uid="{21002459-3FE2-4CF0-B3C2-A9AD25854D0A}"/>
    <cellStyle name="Note 32 3 2 2" xfId="32196" xr:uid="{6CCD6AB3-1848-4A9A-827A-84EE0838C4B1}"/>
    <cellStyle name="Note 32 3 2 2 2" xfId="32197" xr:uid="{3534F4BA-85D5-4AE3-8AD3-3966F43689CB}"/>
    <cellStyle name="Note 32 3 2 2 2 2" xfId="32198" xr:uid="{C128841C-1C67-4B5D-B2B7-E26E28735644}"/>
    <cellStyle name="Note 32 3 2 2 3" xfId="32199" xr:uid="{8F604DCC-12C5-4A12-95B9-69EF1B3ACBF6}"/>
    <cellStyle name="Note 32 3 2 3" xfId="32200" xr:uid="{BDAF602C-43AB-4E4E-86EC-1242F1E1F536}"/>
    <cellStyle name="Note 32 3 2 3 2" xfId="32201" xr:uid="{DC88D5FE-46F2-4CCA-BACA-FA9D817FA699}"/>
    <cellStyle name="Note 32 3 2 3 2 2" xfId="32202" xr:uid="{DADA5D7D-6A6C-4655-90C4-3A3CB8837EA6}"/>
    <cellStyle name="Note 32 3 2 3 3" xfId="32203" xr:uid="{33E218A2-DF55-4318-9D2E-2F051CF37295}"/>
    <cellStyle name="Note 32 3 2 4" xfId="32204" xr:uid="{458963CD-AECB-4F65-A210-9C67C9CB4C3E}"/>
    <cellStyle name="Note 32 3 2 4 2" xfId="32205" xr:uid="{01B27D3F-0248-4090-9938-774FDF13678F}"/>
    <cellStyle name="Note 32 3 2 5" xfId="32206" xr:uid="{D3D06592-5401-4716-9D7E-7E6EE46A5CB8}"/>
    <cellStyle name="Note 32 3 3" xfId="32207" xr:uid="{407B82D1-1019-4426-B32C-067B90A968EE}"/>
    <cellStyle name="Note 32 3 3 2" xfId="32208" xr:uid="{E90BA958-692D-4E0F-9032-368768CC094F}"/>
    <cellStyle name="Note 32 3 3 2 2" xfId="32209" xr:uid="{A18BDBA3-4D30-45A3-84F7-EB88BAB4F114}"/>
    <cellStyle name="Note 32 3 3 3" xfId="32210" xr:uid="{8DA2AEE8-B222-4527-9F5D-9D9F18B26A2F}"/>
    <cellStyle name="Note 32 3 4" xfId="32211" xr:uid="{177C3444-ED3B-46FB-AF45-AD1A4E03DA47}"/>
    <cellStyle name="Note 32 3 4 2" xfId="32212" xr:uid="{6DC70FCE-03CB-40D0-BA3A-EC6AB6D68301}"/>
    <cellStyle name="Note 32 3 4 2 2" xfId="32213" xr:uid="{1E4EC655-5168-4B3F-B382-B8D9AD5E7AEC}"/>
    <cellStyle name="Note 32 3 4 3" xfId="32214" xr:uid="{AFFDBCF6-9C69-4DFF-AE07-8C9B2D6E947F}"/>
    <cellStyle name="Note 32 3 5" xfId="32215" xr:uid="{F55FF05E-800B-444B-8876-16364AA0C317}"/>
    <cellStyle name="Note 32 3 5 2" xfId="32216" xr:uid="{AB21036F-C636-4FA0-AF56-C26B8128AB7E}"/>
    <cellStyle name="Note 32 3 6" xfId="32217" xr:uid="{3125FB26-39BA-43EA-B862-7F6834C0CCC8}"/>
    <cellStyle name="Note 32 4" xfId="32218" xr:uid="{316B7709-B371-4015-B686-CAFE548252B9}"/>
    <cellStyle name="Note 32 4 2" xfId="32219" xr:uid="{A00BA127-1262-490C-A203-15A314AB8E1D}"/>
    <cellStyle name="Note 32 4 2 2" xfId="32220" xr:uid="{97B89C41-2D56-4D65-ACE2-EF57DE7E02CE}"/>
    <cellStyle name="Note 32 4 2 2 2" xfId="32221" xr:uid="{6A6E5E76-13B2-413B-BC0E-F0B571BFB436}"/>
    <cellStyle name="Note 32 4 2 2 2 2" xfId="32222" xr:uid="{746CD2B1-942B-40E4-AA1F-8AABEAAEBD2A}"/>
    <cellStyle name="Note 32 4 2 2 3" xfId="32223" xr:uid="{C2C6CD6D-474A-4B17-8CE8-B2D00E58BE8F}"/>
    <cellStyle name="Note 32 4 2 3" xfId="32224" xr:uid="{668BF566-09CB-4213-B618-B245867C8D7D}"/>
    <cellStyle name="Note 32 4 2 3 2" xfId="32225" xr:uid="{1A5EC8A8-3208-42F9-BE22-30265943473A}"/>
    <cellStyle name="Note 32 4 2 3 2 2" xfId="32226" xr:uid="{EECEB78D-4C3A-4DE5-802E-53EFC7C91B29}"/>
    <cellStyle name="Note 32 4 2 3 3" xfId="32227" xr:uid="{01ED4341-7744-4184-9D43-61C55AFAB1FE}"/>
    <cellStyle name="Note 32 4 2 4" xfId="32228" xr:uid="{62F9BB8E-AC9F-4EDA-BD84-92D8BFCCAD76}"/>
    <cellStyle name="Note 32 4 2 4 2" xfId="32229" xr:uid="{92AE2C7F-A48A-403D-943B-AD055878A9C0}"/>
    <cellStyle name="Note 32 4 2 5" xfId="32230" xr:uid="{6F3DBBEA-9320-4991-BAD7-D1F92280A4AA}"/>
    <cellStyle name="Note 32 4 3" xfId="32231" xr:uid="{2103099B-79AE-4998-AEA6-56D404BBD536}"/>
    <cellStyle name="Note 32 4 3 2" xfId="32232" xr:uid="{01943979-8B24-49BC-915C-EA56BEEDC64A}"/>
    <cellStyle name="Note 32 4 3 2 2" xfId="32233" xr:uid="{B6A8A3E1-C773-4280-987F-D720B3FF8FAF}"/>
    <cellStyle name="Note 32 4 3 3" xfId="32234" xr:uid="{210764EE-C858-4BE7-82E2-1B080FF84349}"/>
    <cellStyle name="Note 32 4 4" xfId="32235" xr:uid="{1ED1BBC2-5418-4481-B58D-D13D5C7E5219}"/>
    <cellStyle name="Note 32 4 4 2" xfId="32236" xr:uid="{25D101BD-81D5-4C57-AABD-0BF891FFD7AE}"/>
    <cellStyle name="Note 32 4 4 2 2" xfId="32237" xr:uid="{5E5ABDA8-469F-4216-9738-8AC1F95EAD78}"/>
    <cellStyle name="Note 32 4 4 3" xfId="32238" xr:uid="{D757BBFE-B86B-4123-8581-380CCB306DB9}"/>
    <cellStyle name="Note 32 4 5" xfId="32239" xr:uid="{FE5E2F65-BEAC-42DE-8309-E77241A3F925}"/>
    <cellStyle name="Note 32 4 5 2" xfId="32240" xr:uid="{B03E7253-BC1C-40DF-BD45-AC85AF7F8A39}"/>
    <cellStyle name="Note 32 4 6" xfId="32241" xr:uid="{699CAC7E-F3BF-4F53-A848-DB075A66B125}"/>
    <cellStyle name="Note 32 5" xfId="32242" xr:uid="{2EDA36A4-8CF1-45BF-A65F-A8E2708DB863}"/>
    <cellStyle name="Note 32 5 2" xfId="32243" xr:uid="{B0EF4577-8996-4C2B-95FE-48913E396A1E}"/>
    <cellStyle name="Note 32 5 2 2" xfId="32244" xr:uid="{A648439D-F8A4-4628-B70F-51626B9FFC68}"/>
    <cellStyle name="Note 32 5 2 2 2" xfId="32245" xr:uid="{77DAED9F-5D6C-49B7-99E6-7BF586BAAA17}"/>
    <cellStyle name="Note 32 5 2 2 2 2" xfId="32246" xr:uid="{D1899920-4FC8-41AB-91B0-D1EBE42491D4}"/>
    <cellStyle name="Note 32 5 2 2 3" xfId="32247" xr:uid="{54593C28-E6FD-42A4-89A1-887663476DC5}"/>
    <cellStyle name="Note 32 5 2 3" xfId="32248" xr:uid="{3887AB62-474E-4E8F-B6EB-837E0274F9CD}"/>
    <cellStyle name="Note 32 5 2 3 2" xfId="32249" xr:uid="{15FBFF88-C4C9-471B-A41D-CBBD519041AC}"/>
    <cellStyle name="Note 32 5 2 3 2 2" xfId="32250" xr:uid="{8244D19D-019D-4B6B-AD78-E286185B6F43}"/>
    <cellStyle name="Note 32 5 2 3 3" xfId="32251" xr:uid="{8EB3996D-EC68-4E2F-84E3-600A32BC6A79}"/>
    <cellStyle name="Note 32 5 2 4" xfId="32252" xr:uid="{6A21DB0A-45AC-47CB-A407-C07483CEE2B0}"/>
    <cellStyle name="Note 32 5 2 4 2" xfId="32253" xr:uid="{85A502BD-74D9-43B7-B80A-D4065EEC6A00}"/>
    <cellStyle name="Note 32 5 2 5" xfId="32254" xr:uid="{993B72A3-0E8F-472F-B803-4BE3555C63EF}"/>
    <cellStyle name="Note 32 5 3" xfId="32255" xr:uid="{1B07987F-2890-40D9-844F-145C72EB1B50}"/>
    <cellStyle name="Note 32 5 3 2" xfId="32256" xr:uid="{C04F7155-D473-4CE8-94B2-75CA73DE1D28}"/>
    <cellStyle name="Note 32 5 3 2 2" xfId="32257" xr:uid="{B6C389A6-1E21-4811-943D-BF4A5FE3CAB5}"/>
    <cellStyle name="Note 32 5 3 3" xfId="32258" xr:uid="{24805EE5-8EA0-43C2-A2E3-5C1233FAA295}"/>
    <cellStyle name="Note 32 5 4" xfId="32259" xr:uid="{4F6D5CA2-20F2-4F3A-ACB2-D35DCBA77619}"/>
    <cellStyle name="Note 32 5 4 2" xfId="32260" xr:uid="{A598A79C-7B32-4EE9-BCB7-CE21DA305348}"/>
    <cellStyle name="Note 32 5 4 2 2" xfId="32261" xr:uid="{0C02BD63-3B31-4ECC-A816-533A920C15F7}"/>
    <cellStyle name="Note 32 5 4 3" xfId="32262" xr:uid="{6B15F3D7-C78E-40A4-8C2F-69DBA6CAE6A5}"/>
    <cellStyle name="Note 32 5 5" xfId="32263" xr:uid="{7E1F8671-58AA-485C-86C2-E79957CF787C}"/>
    <cellStyle name="Note 32 5 5 2" xfId="32264" xr:uid="{1A5722C7-AFA1-4E51-90ED-F10E92B868EF}"/>
    <cellStyle name="Note 32 5 6" xfId="32265" xr:uid="{E938F799-5470-41FF-93A7-20E7B5B18423}"/>
    <cellStyle name="Note 32 6" xfId="32266" xr:uid="{8D96CCD4-B783-4663-9E92-F9F1DFB95353}"/>
    <cellStyle name="Note 32 6 2" xfId="32267" xr:uid="{32BA9AFB-F7E9-4871-A207-2A6B05ED894C}"/>
    <cellStyle name="Note 32 6 2 2" xfId="32268" xr:uid="{19C55872-BD2C-4142-989D-B11AC93CE40C}"/>
    <cellStyle name="Note 32 6 2 2 2" xfId="32269" xr:uid="{7F5BE9C2-1F1B-472F-A539-0E003834987A}"/>
    <cellStyle name="Note 32 6 2 2 2 2" xfId="32270" xr:uid="{9AD50EE7-EE39-4895-91B7-33AEA1A346CA}"/>
    <cellStyle name="Note 32 6 2 2 3" xfId="32271" xr:uid="{95227A18-1EB4-4114-BBEE-FDE1BD5D9212}"/>
    <cellStyle name="Note 32 6 2 3" xfId="32272" xr:uid="{C9133B2C-0306-4C29-8AE1-265AF4389EE9}"/>
    <cellStyle name="Note 32 6 2 3 2" xfId="32273" xr:uid="{518CB062-EC8D-4CE8-97C8-E9BD9E19BE3A}"/>
    <cellStyle name="Note 32 6 2 3 2 2" xfId="32274" xr:uid="{B0487126-063F-4EB0-ABC4-BD2FA5567619}"/>
    <cellStyle name="Note 32 6 2 3 3" xfId="32275" xr:uid="{BA9FE853-AB7F-4E86-9AFA-BFB5A6A8B753}"/>
    <cellStyle name="Note 32 6 2 4" xfId="32276" xr:uid="{510484B0-2C37-4B28-BE26-C0EB3B751307}"/>
    <cellStyle name="Note 32 6 2 4 2" xfId="32277" xr:uid="{0981A3A8-CD5C-41D2-B927-1443A1D90A64}"/>
    <cellStyle name="Note 32 6 2 5" xfId="32278" xr:uid="{F81D4678-4D85-4DB4-B055-80B72CFF3DB7}"/>
    <cellStyle name="Note 32 6 3" xfId="32279" xr:uid="{1448FCAB-1AB5-4AD0-AB60-82D6A09BA199}"/>
    <cellStyle name="Note 32 6 3 2" xfId="32280" xr:uid="{6D47CA36-AC75-472D-AFC2-D78A334FB0B3}"/>
    <cellStyle name="Note 32 6 3 2 2" xfId="32281" xr:uid="{2A8C0A05-1B73-4BE8-8E9A-2F04200F846C}"/>
    <cellStyle name="Note 32 6 3 3" xfId="32282" xr:uid="{4461DED8-C1FC-4598-8FD7-55F497B7C516}"/>
    <cellStyle name="Note 32 6 4" xfId="32283" xr:uid="{A9D97C39-6694-4D18-B55B-C51E3DDF0BC0}"/>
    <cellStyle name="Note 32 6 4 2" xfId="32284" xr:uid="{0E3CA00E-FB05-45E0-99FD-D2B9184C7271}"/>
    <cellStyle name="Note 32 6 4 2 2" xfId="32285" xr:uid="{ADA0C80B-AA99-4A3E-A27B-804D04C38356}"/>
    <cellStyle name="Note 32 6 4 3" xfId="32286" xr:uid="{D3608A1D-B9C0-4191-A26A-4E94FD3E20B7}"/>
    <cellStyle name="Note 32 6 5" xfId="32287" xr:uid="{BE46FF4D-9E3D-43E2-93A5-635400620695}"/>
    <cellStyle name="Note 32 6 5 2" xfId="32288" xr:uid="{9C78C997-072C-46CD-984D-64B3AF124501}"/>
    <cellStyle name="Note 32 6 6" xfId="32289" xr:uid="{B1367D67-58C6-4CB7-8958-B24E85EC03D9}"/>
    <cellStyle name="Note 32 7" xfId="32290" xr:uid="{1F4EB6A6-F1DA-43BB-80C9-BC37A164D1F7}"/>
    <cellStyle name="Note 32 7 2" xfId="32291" xr:uid="{AA9F38B2-66C9-4EFD-806B-E6DFE8CDC1A9}"/>
    <cellStyle name="Note 32 7 2 2" xfId="32292" xr:uid="{98AF6AF3-F5BC-4028-B002-88A080FC7EB6}"/>
    <cellStyle name="Note 32 7 2 2 2" xfId="32293" xr:uid="{A5E14647-4376-4BA6-B0B0-27D55EFA2541}"/>
    <cellStyle name="Note 32 7 2 2 2 2" xfId="32294" xr:uid="{6E75E2E3-3093-424B-8BC5-1638FA2C0CCB}"/>
    <cellStyle name="Note 32 7 2 2 3" xfId="32295" xr:uid="{44AFCC18-01C7-4FD6-80B9-82AD6226C126}"/>
    <cellStyle name="Note 32 7 2 3" xfId="32296" xr:uid="{C25044AB-5C04-4A4B-BDF9-A2B3FF95E1E1}"/>
    <cellStyle name="Note 32 7 2 3 2" xfId="32297" xr:uid="{7B358297-2B4D-438E-B814-293F2D95B707}"/>
    <cellStyle name="Note 32 7 2 3 2 2" xfId="32298" xr:uid="{F4223A25-6987-4D92-8A5A-058A3C89DC01}"/>
    <cellStyle name="Note 32 7 2 3 3" xfId="32299" xr:uid="{ECAA7B08-A857-4E5F-A95A-E5AFB9CF6103}"/>
    <cellStyle name="Note 32 7 2 4" xfId="32300" xr:uid="{28449660-9EEC-4161-8B3B-831AD330AAB5}"/>
    <cellStyle name="Note 32 7 2 4 2" xfId="32301" xr:uid="{72916F09-FCFD-4F83-9001-F278BC664A5D}"/>
    <cellStyle name="Note 32 7 2 5" xfId="32302" xr:uid="{B74C612E-1243-4086-9AA8-97815BAD3C71}"/>
    <cellStyle name="Note 32 7 3" xfId="32303" xr:uid="{8DCD4212-ADBA-4568-BADD-5E21AF3BCC1F}"/>
    <cellStyle name="Note 32 7 3 2" xfId="32304" xr:uid="{B7988784-B929-4744-B479-DE897F687F9F}"/>
    <cellStyle name="Note 32 7 3 2 2" xfId="32305" xr:uid="{B0B9A49C-251B-448B-A099-126B4EFBC820}"/>
    <cellStyle name="Note 32 7 3 3" xfId="32306" xr:uid="{5788E227-C475-46A8-9129-82E1E74926EE}"/>
    <cellStyle name="Note 32 7 4" xfId="32307" xr:uid="{5B533D65-8456-45D2-9EB4-691425B44447}"/>
    <cellStyle name="Note 32 7 4 2" xfId="32308" xr:uid="{B21DFE0E-E163-4230-9673-0723F56CF853}"/>
    <cellStyle name="Note 32 7 4 2 2" xfId="32309" xr:uid="{98BFF552-50FD-4154-92E0-A7EF9D94D3E1}"/>
    <cellStyle name="Note 32 7 4 3" xfId="32310" xr:uid="{62A61970-2468-48F9-B82C-F72750CCF72D}"/>
    <cellStyle name="Note 32 7 5" xfId="32311" xr:uid="{8A2F2A61-C990-4D86-A927-DCA4AF22E45F}"/>
    <cellStyle name="Note 32 7 5 2" xfId="32312" xr:uid="{3D45929E-AE53-4944-89FA-F967F2418EB6}"/>
    <cellStyle name="Note 32 7 6" xfId="32313" xr:uid="{E598B863-89DE-4BB1-A76F-3DB37350D853}"/>
    <cellStyle name="Note 32 8" xfId="32314" xr:uid="{36CF2116-F0FD-416C-990C-78862983EA95}"/>
    <cellStyle name="Note 32 8 2" xfId="32315" xr:uid="{11BBF0D2-1684-489D-AD15-37A99A82518C}"/>
    <cellStyle name="Note 32 8 2 2" xfId="32316" xr:uid="{2B572380-054F-42C8-B358-A19BC853F31A}"/>
    <cellStyle name="Note 32 8 2 2 2" xfId="32317" xr:uid="{2AB09F50-E617-4A72-AEDB-30C80E8CD3AB}"/>
    <cellStyle name="Note 32 8 2 2 2 2" xfId="32318" xr:uid="{9BF6D8B3-86E2-4F7A-9061-8BD40D687624}"/>
    <cellStyle name="Note 32 8 2 2 3" xfId="32319" xr:uid="{4E56B124-FCDC-4FAA-9341-286282C25BF0}"/>
    <cellStyle name="Note 32 8 2 3" xfId="32320" xr:uid="{6C64393D-68CB-41E9-BE17-2A1CEE60B6A4}"/>
    <cellStyle name="Note 32 8 2 3 2" xfId="32321" xr:uid="{2AD76A29-1983-484A-AAC8-A1799509A836}"/>
    <cellStyle name="Note 32 8 2 3 2 2" xfId="32322" xr:uid="{CF494DA4-C0A4-45EF-AC21-8A847BB92BFB}"/>
    <cellStyle name="Note 32 8 2 3 3" xfId="32323" xr:uid="{72420319-063E-4203-A481-9E0BF716F8C3}"/>
    <cellStyle name="Note 32 8 2 4" xfId="32324" xr:uid="{8F479B42-EDD1-4461-9A31-3F0B2CA0135D}"/>
    <cellStyle name="Note 32 8 2 4 2" xfId="32325" xr:uid="{4B140867-00C0-48F5-991C-C980339D053E}"/>
    <cellStyle name="Note 32 8 2 5" xfId="32326" xr:uid="{1A9B97A1-5A4E-469C-A5DD-36AD9DB720EB}"/>
    <cellStyle name="Note 32 8 3" xfId="32327" xr:uid="{E2A62A0A-531E-40B8-803A-21E626FFA2A4}"/>
    <cellStyle name="Note 32 8 3 2" xfId="32328" xr:uid="{96CA7823-23C6-453B-9E44-5F00070A44DC}"/>
    <cellStyle name="Note 32 8 3 2 2" xfId="32329" xr:uid="{32E43D5D-CBC1-4FEC-AA5C-35B82E0DDF85}"/>
    <cellStyle name="Note 32 8 3 3" xfId="32330" xr:uid="{96DCB2A0-386C-4D10-BBF9-038BCCE6C4BC}"/>
    <cellStyle name="Note 32 8 4" xfId="32331" xr:uid="{B081C646-E7B7-4EA1-8950-F36F9BEEF693}"/>
    <cellStyle name="Note 32 8 4 2" xfId="32332" xr:uid="{1F6E3C25-7C8F-4260-83FC-F71B09AA873E}"/>
    <cellStyle name="Note 32 8 4 2 2" xfId="32333" xr:uid="{D800A9E1-F498-4479-9062-95B66240FC96}"/>
    <cellStyle name="Note 32 8 4 3" xfId="32334" xr:uid="{10CF74ED-FBD7-4317-A8A1-75FF013F86B2}"/>
    <cellStyle name="Note 32 8 5" xfId="32335" xr:uid="{772B3B05-9B5A-426C-9CE3-73BE60227742}"/>
    <cellStyle name="Note 32 8 5 2" xfId="32336" xr:uid="{38C22BD9-F396-484C-ABB6-BF0C6F1CAB3F}"/>
    <cellStyle name="Note 32 8 6" xfId="32337" xr:uid="{67DCD9AF-50E5-4B0F-A674-23155054B4C4}"/>
    <cellStyle name="Note 32 9" xfId="32338" xr:uid="{FB377751-EA3A-4B2C-B7F2-66A43658BCFD}"/>
    <cellStyle name="Note 32 9 2" xfId="32339" xr:uid="{53BB402B-82A3-4ADE-B139-F251E5B563C7}"/>
    <cellStyle name="Note 32 9 2 2" xfId="32340" xr:uid="{287012B8-50CC-47B9-BE18-3DD77A67015D}"/>
    <cellStyle name="Note 32 9 2 2 2" xfId="32341" xr:uid="{03205F4B-08A8-4BB8-8472-971A2392D012}"/>
    <cellStyle name="Note 32 9 2 2 2 2" xfId="32342" xr:uid="{E95D6115-EC4E-44B4-89BD-7E34D76E8D98}"/>
    <cellStyle name="Note 32 9 2 2 3" xfId="32343" xr:uid="{53157A9F-C32C-4223-A3B1-04E74B4F22E5}"/>
    <cellStyle name="Note 32 9 2 3" xfId="32344" xr:uid="{4DC7C41F-B742-4756-B0C0-F7C3472F011C}"/>
    <cellStyle name="Note 32 9 2 3 2" xfId="32345" xr:uid="{82611BD8-D789-4282-8417-9036689A0F93}"/>
    <cellStyle name="Note 32 9 2 3 2 2" xfId="32346" xr:uid="{3FD931AA-7F42-4898-BAD7-4D442719D796}"/>
    <cellStyle name="Note 32 9 2 3 3" xfId="32347" xr:uid="{500ACE20-A1C2-4220-BB4B-E0CBA81F1283}"/>
    <cellStyle name="Note 32 9 2 4" xfId="32348" xr:uid="{B9CF6266-231B-4873-8423-CD7C3AD492A6}"/>
    <cellStyle name="Note 32 9 2 4 2" xfId="32349" xr:uid="{E4F15587-5C77-4C83-8EAF-4C71DFE92C4F}"/>
    <cellStyle name="Note 32 9 2 5" xfId="32350" xr:uid="{11A5A923-12CA-4CDA-BF17-DC1EC1A233EB}"/>
    <cellStyle name="Note 32 9 3" xfId="32351" xr:uid="{C656B856-AB58-4A24-B2D0-EB7CC224BEDE}"/>
    <cellStyle name="Note 32 9 3 2" xfId="32352" xr:uid="{64F6A06C-9FE4-4F98-A6ED-194832E0F1F9}"/>
    <cellStyle name="Note 32 9 3 2 2" xfId="32353" xr:uid="{9C90CE87-A417-4C24-A8F2-EBB4D5C9C70C}"/>
    <cellStyle name="Note 32 9 3 3" xfId="32354" xr:uid="{6D63F2BB-0802-404B-95DC-D9FA3878083E}"/>
    <cellStyle name="Note 32 9 4" xfId="32355" xr:uid="{2ED48403-BA1C-4253-9544-693E1674B9E0}"/>
    <cellStyle name="Note 32 9 4 2" xfId="32356" xr:uid="{6740CC13-3F93-408F-B1D4-FC85E7D9B7F3}"/>
    <cellStyle name="Note 32 9 4 2 2" xfId="32357" xr:uid="{F0DDBDA3-F0DE-44D4-A4CF-EAFDF0F8382A}"/>
    <cellStyle name="Note 32 9 4 3" xfId="32358" xr:uid="{93583C12-9E16-4DBC-8709-AFD0487ACA92}"/>
    <cellStyle name="Note 32 9 5" xfId="32359" xr:uid="{876E3798-B24F-4AFA-A8C3-2A47560C6EBE}"/>
    <cellStyle name="Note 32 9 5 2" xfId="32360" xr:uid="{D2E6DB24-161B-45AD-BA8F-2B00B44D70B2}"/>
    <cellStyle name="Note 32 9 6" xfId="32361" xr:uid="{9971E969-BF07-417D-B140-1D82F19CA7B0}"/>
    <cellStyle name="Note 33" xfId="32362" xr:uid="{8998E270-695B-468C-9495-7F89F2880D65}"/>
    <cellStyle name="Note 33 2" xfId="32363" xr:uid="{A520AC7C-6892-4B9F-B30F-6900375D6AB6}"/>
    <cellStyle name="Note 33 2 2" xfId="32364" xr:uid="{BE222D14-EF65-4900-9B95-4496F477DB85}"/>
    <cellStyle name="Note 33 2 2 2" xfId="32365" xr:uid="{2C244B83-9005-43F6-9DB2-08948A59D197}"/>
    <cellStyle name="Note 33 2 2 2 2" xfId="32366" xr:uid="{7240E098-D88A-4BB1-8DF8-B9637B22D875}"/>
    <cellStyle name="Note 33 2 2 3" xfId="32367" xr:uid="{13D5D2E4-E307-4AB1-89AE-FB3C187ABBE0}"/>
    <cellStyle name="Note 33 2 3" xfId="32368" xr:uid="{48A27779-D85E-434E-AEA2-5E35BF841D4A}"/>
    <cellStyle name="Note 33 2 3 2" xfId="32369" xr:uid="{69E965F8-E164-4340-A355-BFF38E37CEAD}"/>
    <cellStyle name="Note 33 2 3 2 2" xfId="32370" xr:uid="{31B14A50-A49C-427C-8193-A83A89983C60}"/>
    <cellStyle name="Note 33 2 3 3" xfId="32371" xr:uid="{B42C06EB-A75E-4B1F-BDFD-96AAF7CC36D6}"/>
    <cellStyle name="Note 33 2 4" xfId="32372" xr:uid="{A51FDDAF-C6F2-46AB-9738-4748057FF085}"/>
    <cellStyle name="Note 33 2 4 2" xfId="32373" xr:uid="{80676DC8-F371-417B-8B2A-0ABC968B0448}"/>
    <cellStyle name="Note 33 2 5" xfId="32374" xr:uid="{5A8BF537-E875-4ADE-84A2-80F1863A0440}"/>
    <cellStyle name="Note 33 2 6" xfId="39339" xr:uid="{6B20E46D-8780-414F-987E-DFAA305932C1}"/>
    <cellStyle name="Note 33 3" xfId="32375" xr:uid="{D1540418-2DD9-4240-BB63-8867DF5996D9}"/>
    <cellStyle name="Note 33 3 2" xfId="32376" xr:uid="{5C6B85B0-4185-44E0-9A4C-085B7C5B8BFB}"/>
    <cellStyle name="Note 33 3 2 2" xfId="32377" xr:uid="{7CBD5444-1089-48B3-A452-34A4B962431F}"/>
    <cellStyle name="Note 33 3 3" xfId="32378" xr:uid="{FDD1B399-DB04-46D2-9560-9649326DCE56}"/>
    <cellStyle name="Note 33 4" xfId="32379" xr:uid="{0FD97035-A33F-43E2-8C61-DD9923EC7761}"/>
    <cellStyle name="Note 33 4 2" xfId="32380" xr:uid="{64743C53-3F89-4641-A044-68964AD0D56B}"/>
    <cellStyle name="Note 33 4 2 2" xfId="32381" xr:uid="{2DB7C35F-17DE-4971-8D82-03B88F872392}"/>
    <cellStyle name="Note 33 4 3" xfId="32382" xr:uid="{385CE84C-1128-435C-83E4-D86979F0A003}"/>
    <cellStyle name="Note 33 5" xfId="32383" xr:uid="{1F8E058F-58DF-4900-8721-3FAB6943709A}"/>
    <cellStyle name="Note 33 5 2" xfId="32384" xr:uid="{77B23FA5-D0ED-4C43-B1FB-4B5E5FEA6E5F}"/>
    <cellStyle name="Note 33 6" xfId="32385" xr:uid="{02414C2C-C87D-484D-A7C1-7E3747A3CACC}"/>
    <cellStyle name="Note 34" xfId="32386" xr:uid="{0DAEB6B3-094B-464F-925E-C419AEDDBF79}"/>
    <cellStyle name="Note 34 2" xfId="32387" xr:uid="{A852B946-F3E8-4C71-9927-B88454F1B61C}"/>
    <cellStyle name="Note 34 2 2" xfId="32388" xr:uid="{A4B0D9FE-4701-4A6D-86EC-E84F25F18568}"/>
    <cellStyle name="Note 34 2 2 2" xfId="32389" xr:uid="{226BE151-D27C-4B2A-AEE8-49CFD4B10AB7}"/>
    <cellStyle name="Note 34 2 2 2 2" xfId="32390" xr:uid="{EABC0AE7-6A39-486C-905B-0302B31CAE32}"/>
    <cellStyle name="Note 34 2 2 3" xfId="32391" xr:uid="{BD9941FE-2D26-4230-A5CB-6D43F7DDEE8B}"/>
    <cellStyle name="Note 34 2 3" xfId="32392" xr:uid="{8D357DCE-F4CD-4248-B78E-4F9ECEFB6E41}"/>
    <cellStyle name="Note 34 2 3 2" xfId="32393" xr:uid="{242E4CC4-2C21-442B-9F8C-B2B1DF474E44}"/>
    <cellStyle name="Note 34 2 3 2 2" xfId="32394" xr:uid="{E7AF3906-E4A0-4FD2-A208-3597A5682BE1}"/>
    <cellStyle name="Note 34 2 3 3" xfId="32395" xr:uid="{051CD8D6-B549-4DA3-BA71-6511E2B4E475}"/>
    <cellStyle name="Note 34 2 4" xfId="32396" xr:uid="{500BD453-AFEF-45DC-80EE-23AF4C0003BF}"/>
    <cellStyle name="Note 34 2 4 2" xfId="32397" xr:uid="{238E3ED2-322C-44FD-B873-83D21E3A4B81}"/>
    <cellStyle name="Note 34 2 5" xfId="32398" xr:uid="{38A12785-0265-4C19-9380-BF824DF434A5}"/>
    <cellStyle name="Note 34 2 6" xfId="39340" xr:uid="{1FCC60BF-A8A7-4E7B-9AF1-AE856B897180}"/>
    <cellStyle name="Note 34 3" xfId="32399" xr:uid="{37A53B75-5D9A-48CE-8F4B-CC0B5326B77F}"/>
    <cellStyle name="Note 34 3 2" xfId="32400" xr:uid="{3D658804-7709-4D1E-B528-00B12AEF8F8E}"/>
    <cellStyle name="Note 34 3 2 2" xfId="32401" xr:uid="{7586AEDC-A223-4E73-BB17-A61A511ADEF3}"/>
    <cellStyle name="Note 34 3 3" xfId="32402" xr:uid="{3947DFE4-879B-4343-9A9F-11EE1327179B}"/>
    <cellStyle name="Note 34 4" xfId="32403" xr:uid="{D0AA493A-AFDF-40C0-928C-ECAD4EBD7520}"/>
    <cellStyle name="Note 34 4 2" xfId="32404" xr:uid="{086BCF25-EF8C-4C2F-8200-F66491C3D25A}"/>
    <cellStyle name="Note 34 4 2 2" xfId="32405" xr:uid="{20D1881E-36B0-414F-9406-6B5544CC2746}"/>
    <cellStyle name="Note 34 4 3" xfId="32406" xr:uid="{47393BE7-C5F1-470F-8784-D400EDCE77F0}"/>
    <cellStyle name="Note 34 5" xfId="32407" xr:uid="{30C8D0AA-6CAE-4D82-B615-266EB9F08656}"/>
    <cellStyle name="Note 34 5 2" xfId="32408" xr:uid="{96D9C792-8D27-4373-BB3A-CD01089A8DD4}"/>
    <cellStyle name="Note 34 6" xfId="32409" xr:uid="{E1010EC4-C890-44FD-86B6-48A12228B226}"/>
    <cellStyle name="Note 35" xfId="32410" xr:uid="{4D96B127-B380-4759-A266-4DFE0DEB08F5}"/>
    <cellStyle name="Note 35 2" xfId="32411" xr:uid="{A9CAE751-9C0E-4187-BAA8-DDDD0C8DBAE1}"/>
    <cellStyle name="Note 35 2 2" xfId="32412" xr:uid="{304617B2-6964-4C70-805D-0BAB6BC49FD6}"/>
    <cellStyle name="Note 35 2 2 2" xfId="32413" xr:uid="{52D5443B-E925-48D0-B9F7-087677AC3104}"/>
    <cellStyle name="Note 35 2 2 2 2" xfId="32414" xr:uid="{50B046B0-5BEB-4D9A-B706-42324436475D}"/>
    <cellStyle name="Note 35 2 2 3" xfId="32415" xr:uid="{69826208-2C69-403B-B1BB-CAE337139B94}"/>
    <cellStyle name="Note 35 2 3" xfId="32416" xr:uid="{2B4DF6C1-0911-4F33-A7A4-07A4BEA96DC8}"/>
    <cellStyle name="Note 35 2 3 2" xfId="32417" xr:uid="{BDCEACEA-FC7F-48E2-90B4-EEB55B89DEC4}"/>
    <cellStyle name="Note 35 2 3 2 2" xfId="32418" xr:uid="{458543CE-138D-4C7D-9D4B-556F53A98E1C}"/>
    <cellStyle name="Note 35 2 3 3" xfId="32419" xr:uid="{7A115860-31DD-4B2C-AA72-9EEAF9078257}"/>
    <cellStyle name="Note 35 2 4" xfId="32420" xr:uid="{89228CE9-21B1-4D4B-997E-D7AEC9C16B61}"/>
    <cellStyle name="Note 35 2 4 2" xfId="32421" xr:uid="{B985AFB5-EA65-41DE-8D21-6438DA6A9121}"/>
    <cellStyle name="Note 35 2 5" xfId="32422" xr:uid="{959E0E0B-C0FB-432F-8D27-5C9021D00692}"/>
    <cellStyle name="Note 35 2 6" xfId="39341" xr:uid="{4C0D28BC-C215-45B1-8413-A8EB0FD5CF1C}"/>
    <cellStyle name="Note 35 3" xfId="32423" xr:uid="{B89EB0A6-AF05-4259-A363-4AF92630D639}"/>
    <cellStyle name="Note 35 3 2" xfId="32424" xr:uid="{DE5A566D-B7E2-493B-8726-54C58E6605AA}"/>
    <cellStyle name="Note 35 3 2 2" xfId="32425" xr:uid="{1BC6E17F-175E-404F-BD17-5E4133250B5C}"/>
    <cellStyle name="Note 35 3 3" xfId="32426" xr:uid="{1565772E-0A0C-4E6C-9143-091F85BF2A15}"/>
    <cellStyle name="Note 35 4" xfId="32427" xr:uid="{653E53C0-DE8C-47C1-B752-F5C47AC4CCB9}"/>
    <cellStyle name="Note 35 4 2" xfId="32428" xr:uid="{391AF2E3-7A3E-4A7D-B2DA-626DAAEA72E8}"/>
    <cellStyle name="Note 35 4 2 2" xfId="32429" xr:uid="{A948FDC9-5FF4-495C-B630-E03F4B54CCAB}"/>
    <cellStyle name="Note 35 4 3" xfId="32430" xr:uid="{84494FA1-601F-491C-BDA4-3DD79997F04A}"/>
    <cellStyle name="Note 35 5" xfId="32431" xr:uid="{C2F6A521-CC54-4640-A3D6-8DB92111BA31}"/>
    <cellStyle name="Note 35 5 2" xfId="32432" xr:uid="{22578BF9-7737-4A42-9B6D-38EF6B873BB3}"/>
    <cellStyle name="Note 35 6" xfId="32433" xr:uid="{E74107A0-B363-4F0B-8ADB-3902F32D6006}"/>
    <cellStyle name="Note 36" xfId="32434" xr:uid="{64C0F2BE-2D54-4483-80DA-141AEF292057}"/>
    <cellStyle name="Note 36 2" xfId="32435" xr:uid="{03F7864C-03C3-42F8-B4AE-96C0F677BE87}"/>
    <cellStyle name="Note 36 2 2" xfId="32436" xr:uid="{7C1D5F72-457F-4148-9D63-3E111B7E1E62}"/>
    <cellStyle name="Note 36 2 2 2" xfId="32437" xr:uid="{38066C40-F057-4848-AFBF-003ECC2F0E8C}"/>
    <cellStyle name="Note 36 2 2 2 2" xfId="32438" xr:uid="{0AFA180A-75EE-4ACE-8FDD-AECB89B0F939}"/>
    <cellStyle name="Note 36 2 2 3" xfId="32439" xr:uid="{506798FD-FAFA-4F4B-8363-963B535E3E83}"/>
    <cellStyle name="Note 36 2 3" xfId="32440" xr:uid="{809C744F-8E2A-4DDB-81D6-B1FF30072F5F}"/>
    <cellStyle name="Note 36 2 3 2" xfId="32441" xr:uid="{38F15107-662E-4F58-9B6E-CE582C1C480B}"/>
    <cellStyle name="Note 36 2 3 2 2" xfId="32442" xr:uid="{C07A43FD-6E40-47E2-98B7-5874F2BDCA22}"/>
    <cellStyle name="Note 36 2 3 3" xfId="32443" xr:uid="{D8AD7238-C95D-4CA8-AD50-32C098A4FD2D}"/>
    <cellStyle name="Note 36 2 4" xfId="32444" xr:uid="{3836F6AA-296D-4215-A5F1-564CBA422BF4}"/>
    <cellStyle name="Note 36 2 4 2" xfId="32445" xr:uid="{49ED5C81-4EEA-40D9-B398-F9D8CEFCE5CC}"/>
    <cellStyle name="Note 36 2 5" xfId="32446" xr:uid="{E8950963-6B6E-4EE9-BBDF-967ED5A641D3}"/>
    <cellStyle name="Note 36 2 6" xfId="39342" xr:uid="{D9CC2557-5D13-45D9-A15C-643EB30C78CA}"/>
    <cellStyle name="Note 36 3" xfId="32447" xr:uid="{9BBD20A5-B683-49F0-8B78-19DC4A84EADD}"/>
    <cellStyle name="Note 36 3 2" xfId="32448" xr:uid="{B318739B-AC61-4C89-BCCB-E4581E5A2840}"/>
    <cellStyle name="Note 36 3 2 2" xfId="32449" xr:uid="{5211A6B1-1C5A-4B67-9FE1-3657243492B8}"/>
    <cellStyle name="Note 36 3 3" xfId="32450" xr:uid="{64DDD025-574A-4FBC-8EB4-0370D4EFDD20}"/>
    <cellStyle name="Note 36 4" xfId="32451" xr:uid="{8F7AF820-BF04-4A34-9E46-A51C38A0949D}"/>
    <cellStyle name="Note 36 4 2" xfId="32452" xr:uid="{F05AC491-9DAD-442A-85FC-3513A234CAE6}"/>
    <cellStyle name="Note 36 4 2 2" xfId="32453" xr:uid="{0F6858C3-BB92-4B93-98B6-6C63592111F7}"/>
    <cellStyle name="Note 36 4 3" xfId="32454" xr:uid="{2842B1A0-63F6-497A-94B4-CA2C6D1EA82C}"/>
    <cellStyle name="Note 36 5" xfId="32455" xr:uid="{3878AD90-4A8C-4207-863E-38E0C6C09570}"/>
    <cellStyle name="Note 36 5 2" xfId="32456" xr:uid="{11D97D5C-7E18-45B0-AC7E-7E3DF2481527}"/>
    <cellStyle name="Note 36 6" xfId="32457" xr:uid="{74E2F67F-3C50-41D8-9BD0-80AA8CA0C1DC}"/>
    <cellStyle name="Note 37" xfId="32458" xr:uid="{AC625709-28EF-4393-87ED-2766FC8068F8}"/>
    <cellStyle name="Note 37 2" xfId="32459" xr:uid="{19019334-D44D-4093-AAFD-FF7B9BD68484}"/>
    <cellStyle name="Note 37 2 2" xfId="32460" xr:uid="{08DD6785-B6CD-4170-8438-68271DEB8080}"/>
    <cellStyle name="Note 37 2 2 2" xfId="32461" xr:uid="{2B18AB1A-452B-4547-9A49-9ECF48262FDE}"/>
    <cellStyle name="Note 37 2 2 2 2" xfId="32462" xr:uid="{38C66ECC-7546-40CB-8553-F202439D2C0C}"/>
    <cellStyle name="Note 37 2 2 3" xfId="32463" xr:uid="{F3E8DA70-6B7D-43E7-9A27-DAFC38938333}"/>
    <cellStyle name="Note 37 2 3" xfId="32464" xr:uid="{8EF8B1D3-0F53-413F-97D0-DDA0230AFA1C}"/>
    <cellStyle name="Note 37 2 3 2" xfId="32465" xr:uid="{74F98D06-29DE-48E9-9B61-27876BBCECC5}"/>
    <cellStyle name="Note 37 2 3 2 2" xfId="32466" xr:uid="{8DF18138-293B-4F68-8C9A-549EB540A92C}"/>
    <cellStyle name="Note 37 2 3 3" xfId="32467" xr:uid="{3FDC5EDC-3A59-406C-B335-401D92160CDE}"/>
    <cellStyle name="Note 37 2 4" xfId="32468" xr:uid="{A2E03934-936C-4F01-88D8-3AD545611F5B}"/>
    <cellStyle name="Note 37 2 4 2" xfId="32469" xr:uid="{21D5A5F7-75BE-4B0F-A5E3-5181087B7940}"/>
    <cellStyle name="Note 37 2 5" xfId="32470" xr:uid="{97C36CFC-664E-40C7-97D4-A6028224E276}"/>
    <cellStyle name="Note 37 2 6" xfId="39343" xr:uid="{3F61C27D-6232-49DD-B656-5F23B80AD78D}"/>
    <cellStyle name="Note 37 3" xfId="32471" xr:uid="{5A93368B-7BD0-4EFC-A768-644CBCB3F223}"/>
    <cellStyle name="Note 37 3 2" xfId="32472" xr:uid="{F8266D9E-67DC-4D74-A60D-1E618D0E30FA}"/>
    <cellStyle name="Note 37 3 2 2" xfId="32473" xr:uid="{EC2D2CFA-8D70-451B-9174-E144F97643CB}"/>
    <cellStyle name="Note 37 3 3" xfId="32474" xr:uid="{5E7B1429-0A47-46DF-A6FA-0C31E8C352A3}"/>
    <cellStyle name="Note 37 4" xfId="32475" xr:uid="{0122CC09-9BDB-46D2-8492-904E8A7D5DAF}"/>
    <cellStyle name="Note 37 4 2" xfId="32476" xr:uid="{FD18ADCB-DA8E-4D4E-8E16-42D1B2EBBF8A}"/>
    <cellStyle name="Note 37 4 2 2" xfId="32477" xr:uid="{74286F37-5648-4CBF-A965-29D100104222}"/>
    <cellStyle name="Note 37 4 3" xfId="32478" xr:uid="{5D3FD93B-B7B8-4325-840F-6D25B38FF0BB}"/>
    <cellStyle name="Note 37 5" xfId="32479" xr:uid="{C702C5B6-A75F-4F5A-A939-8B4386A70296}"/>
    <cellStyle name="Note 37 5 2" xfId="32480" xr:uid="{3F9E16B7-398D-43E5-A9E9-8D2A8AA5DCBB}"/>
    <cellStyle name="Note 38" xfId="32481" xr:uid="{BB47A5F1-83C8-4C38-A2E2-CB4F184C3B28}"/>
    <cellStyle name="Note 38 2" xfId="32482" xr:uid="{1A416C4D-8D9B-4308-B466-4D6BADB12C03}"/>
    <cellStyle name="Note 38 2 2" xfId="32483" xr:uid="{38DF9BE9-C7BB-4B8B-8C42-ACB8E49CD122}"/>
    <cellStyle name="Note 38 2 2 2" xfId="32484" xr:uid="{02A71AB8-A459-4FC3-AB8B-C1FD4196005A}"/>
    <cellStyle name="Note 38 2 2 2 2" xfId="32485" xr:uid="{22B0A246-7722-482C-8D5A-1DCC02576D97}"/>
    <cellStyle name="Note 38 2 2 3" xfId="32486" xr:uid="{C90EE16F-4F43-490C-8723-C44F8D9DF0CD}"/>
    <cellStyle name="Note 38 2 3" xfId="32487" xr:uid="{263AA62A-247E-4328-B8D3-5F8DF9F42271}"/>
    <cellStyle name="Note 38 2 3 2" xfId="32488" xr:uid="{1142F8BF-1F1C-40CE-8A5A-D046AF524479}"/>
    <cellStyle name="Note 38 2 3 2 2" xfId="32489" xr:uid="{986DD895-6131-467A-A37A-1A935F992E6E}"/>
    <cellStyle name="Note 38 2 3 3" xfId="32490" xr:uid="{A46B1B08-B2B0-4628-A449-07B6D304BA7A}"/>
    <cellStyle name="Note 38 2 4" xfId="32491" xr:uid="{D84BDFA7-7F86-4843-B1FD-85D7C19D24F3}"/>
    <cellStyle name="Note 38 2 4 2" xfId="32492" xr:uid="{DAD5BEE5-827E-404A-A524-12FE0C00813A}"/>
    <cellStyle name="Note 38 2 5" xfId="32493" xr:uid="{564DB947-5B17-4F40-8DDB-2BC31AD56749}"/>
    <cellStyle name="Note 38 2 6" xfId="39344" xr:uid="{26AD2B74-7795-484A-A4AC-C126A040A17C}"/>
    <cellStyle name="Note 38 3" xfId="32494" xr:uid="{5B365D6A-E755-4C91-BC09-F72FE3A0D2EC}"/>
    <cellStyle name="Note 38 3 2" xfId="32495" xr:uid="{A9FE29A8-8701-450D-BDF3-80FA2AFB0F9F}"/>
    <cellStyle name="Note 38 3 2 2" xfId="32496" xr:uid="{80D3EADD-3D1F-4C63-9002-D2F5A38ABA2D}"/>
    <cellStyle name="Note 38 3 3" xfId="32497" xr:uid="{53009393-07B9-4050-9801-5C91E05C0FAF}"/>
    <cellStyle name="Note 38 4" xfId="32498" xr:uid="{5D75001C-D5B5-4E72-8A63-5BD8A7503978}"/>
    <cellStyle name="Note 38 4 2" xfId="32499" xr:uid="{76BCF474-5491-4CD0-B794-AAFB31FDFF9B}"/>
    <cellStyle name="Note 38 4 2 2" xfId="32500" xr:uid="{56BA9A4B-9D41-4001-8FE5-3ECA2F32B609}"/>
    <cellStyle name="Note 38 4 3" xfId="32501" xr:uid="{DA4B82E3-7685-404C-8A33-65BE680297F7}"/>
    <cellStyle name="Note 38 5" xfId="32502" xr:uid="{46A30A47-717D-4060-A610-610141411FB9}"/>
    <cellStyle name="Note 38 5 2" xfId="32503" xr:uid="{6835AC03-E208-4F7F-8486-ABF9F1DBE884}"/>
    <cellStyle name="Note 39" xfId="32504" xr:uid="{872B894B-727E-4EEF-BD1F-444711254B29}"/>
    <cellStyle name="Note 39 2" xfId="32505" xr:uid="{613EB3F5-62F3-43F2-B11E-52D895E1CB97}"/>
    <cellStyle name="Note 39 2 2" xfId="32506" xr:uid="{205BC70D-B11D-463D-9E39-33C8E5B670F4}"/>
    <cellStyle name="Note 39 2 2 2" xfId="32507" xr:uid="{CE5ED918-FA78-45D8-B38F-30E5385B8CF4}"/>
    <cellStyle name="Note 39 2 2 2 2" xfId="32508" xr:uid="{6A3BF9E0-7012-4653-9C1E-B0E67C46CE1E}"/>
    <cellStyle name="Note 39 2 2 3" xfId="32509" xr:uid="{0EB99B08-A026-4202-80A7-A478D19C958D}"/>
    <cellStyle name="Note 39 2 3" xfId="32510" xr:uid="{8CAB424B-4391-481B-A975-457F2B0789F1}"/>
    <cellStyle name="Note 39 2 3 2" xfId="32511" xr:uid="{29D09E4B-90F7-472A-AE5D-37A0646AF1E0}"/>
    <cellStyle name="Note 39 2 3 2 2" xfId="32512" xr:uid="{8E27FB8E-A2BD-4EB7-9BCE-EE97D595083F}"/>
    <cellStyle name="Note 39 2 3 3" xfId="32513" xr:uid="{09C05E49-5FFC-476E-9CE0-C1B1C16C65D0}"/>
    <cellStyle name="Note 39 2 4" xfId="32514" xr:uid="{723F159E-1AC0-44B8-9312-85D464C22AF2}"/>
    <cellStyle name="Note 39 2 4 2" xfId="32515" xr:uid="{B766E130-FB84-47C4-BEA1-53D8D6AFAC3B}"/>
    <cellStyle name="Note 39 2 5" xfId="32516" xr:uid="{8EE3CE4B-F89B-43A3-8CB3-7D8EE49BAB68}"/>
    <cellStyle name="Note 39 3" xfId="32517" xr:uid="{35F52F3F-6EF8-48BE-BAE8-C72809EF2468}"/>
    <cellStyle name="Note 39 3 2" xfId="32518" xr:uid="{BB42345C-05FC-47BC-BB23-726E44F1F7E7}"/>
    <cellStyle name="Note 39 3 2 2" xfId="32519" xr:uid="{267BDBB3-C6F8-4299-A5D5-708057427A7E}"/>
    <cellStyle name="Note 39 3 3" xfId="32520" xr:uid="{CD2AB55F-7CBB-473E-94B7-5FC3A0B32432}"/>
    <cellStyle name="Note 39 4" xfId="32521" xr:uid="{802C3444-9BF5-4B29-8853-7F454B820129}"/>
    <cellStyle name="Note 39 4 2" xfId="32522" xr:uid="{B49FC4F4-F9AF-41E0-AE9D-84FCB2F30AFD}"/>
    <cellStyle name="Note 39 4 2 2" xfId="32523" xr:uid="{36E6BF44-2641-444B-8753-8A2B0BC6EA9A}"/>
    <cellStyle name="Note 39 4 3" xfId="32524" xr:uid="{D8148751-16A7-4EFF-A050-665B95DB1BCD}"/>
    <cellStyle name="Note 39 5" xfId="32525" xr:uid="{906BF48E-3653-43C6-ACB4-535D0AEB1365}"/>
    <cellStyle name="Note 39 5 2" xfId="32526" xr:uid="{F2A9A325-26CE-410F-A640-968F737BD205}"/>
    <cellStyle name="Note 39 6" xfId="39345" xr:uid="{2D509486-F115-416F-8403-99CBCDE437CB}"/>
    <cellStyle name="Note 4" xfId="32527" xr:uid="{854708FF-C7FF-42E1-ADDA-403B95238AB7}"/>
    <cellStyle name="Note 4 10" xfId="32528" xr:uid="{8A514B83-FD2C-4027-9325-ACDB54B54818}"/>
    <cellStyle name="Note 4 10 2" xfId="32529" xr:uid="{461C7149-83A4-4C33-8FB2-1DA2DBB36AA5}"/>
    <cellStyle name="Note 4 10 2 2" xfId="32530" xr:uid="{E108D8F1-D0D1-4927-8DE4-AB4D54D3158A}"/>
    <cellStyle name="Note 4 10 2 2 2" xfId="32531" xr:uid="{823AE7B5-B5D3-4EC7-9D36-B648FDD561E1}"/>
    <cellStyle name="Note 4 10 2 2 2 2" xfId="32532" xr:uid="{2B3ADFE3-425E-4783-9F94-6E5FAF3B495E}"/>
    <cellStyle name="Note 4 10 2 2 3" xfId="32533" xr:uid="{3D10D0AC-E8B2-4FA5-B88E-ACFE7F821EB5}"/>
    <cellStyle name="Note 4 10 2 3" xfId="32534" xr:uid="{115CBA0D-7537-446B-B69F-D39C5A76E2BC}"/>
    <cellStyle name="Note 4 10 2 3 2" xfId="32535" xr:uid="{493DC975-4CC4-4474-A098-8186C9E6B9BC}"/>
    <cellStyle name="Note 4 10 2 3 2 2" xfId="32536" xr:uid="{A69584E2-F424-4290-90EB-4925E0D74BEA}"/>
    <cellStyle name="Note 4 10 2 3 3" xfId="32537" xr:uid="{5E6CD755-900F-4B01-972E-E53660684506}"/>
    <cellStyle name="Note 4 10 2 4" xfId="32538" xr:uid="{0D8EE7EA-74AA-40A9-BC94-127B5E60E1E1}"/>
    <cellStyle name="Note 4 10 2 4 2" xfId="32539" xr:uid="{363B54A7-121B-4AA3-9BCD-D78C9E4E4FDA}"/>
    <cellStyle name="Note 4 10 2 5" xfId="32540" xr:uid="{DEC36CEB-C84A-4948-A90D-F68A92E85A97}"/>
    <cellStyle name="Note 4 10 3" xfId="32541" xr:uid="{9525CE1E-A3FD-42B4-A36D-C77433700E0B}"/>
    <cellStyle name="Note 4 10 3 2" xfId="32542" xr:uid="{25685577-D3F8-46BD-AC23-00F2183FE488}"/>
    <cellStyle name="Note 4 10 3 2 2" xfId="32543" xr:uid="{982458EC-843C-4214-9CF8-A1FF4B377148}"/>
    <cellStyle name="Note 4 10 3 3" xfId="32544" xr:uid="{223467FA-39EB-4290-81F9-290819C31F65}"/>
    <cellStyle name="Note 4 10 4" xfId="32545" xr:uid="{BEB5E729-667F-4AC0-99B0-ADD081E4EF1A}"/>
    <cellStyle name="Note 4 10 4 2" xfId="32546" xr:uid="{1DF01EA2-8DD4-4855-8529-948A5C2A1626}"/>
    <cellStyle name="Note 4 10 4 2 2" xfId="32547" xr:uid="{61AB679E-BA3F-45EA-B63F-823DFB2E33F5}"/>
    <cellStyle name="Note 4 10 4 3" xfId="32548" xr:uid="{7ECE4F5C-ABC2-4DA1-8122-8B82758D2C38}"/>
    <cellStyle name="Note 4 10 5" xfId="32549" xr:uid="{7F67C873-C9F0-4ECF-A7DC-A34456AFB1CE}"/>
    <cellStyle name="Note 4 10 5 2" xfId="32550" xr:uid="{E5355396-4A19-4BAF-BE2A-97F340894A3B}"/>
    <cellStyle name="Note 4 10 6" xfId="32551" xr:uid="{82A9E764-8C24-42A9-9758-2AA9BE263137}"/>
    <cellStyle name="Note 4 11" xfId="32552" xr:uid="{E1761A28-22F9-4B00-ACB3-A41AB443198F}"/>
    <cellStyle name="Note 4 11 2" xfId="32553" xr:uid="{73D6109B-03F6-4DC1-BE64-1CB37F419ACD}"/>
    <cellStyle name="Note 4 11 2 2" xfId="32554" xr:uid="{A9862825-9491-4579-BE23-D9A9471531DD}"/>
    <cellStyle name="Note 4 11 2 2 2" xfId="32555" xr:uid="{29E1FD68-0503-4202-B1D3-35964F1B5991}"/>
    <cellStyle name="Note 4 11 2 3" xfId="32556" xr:uid="{693700EB-7D5F-4669-8B7C-53625CE9607F}"/>
    <cellStyle name="Note 4 11 3" xfId="32557" xr:uid="{7D35B91F-F5CC-4BDE-ACF7-5246D02933B4}"/>
    <cellStyle name="Note 4 11 3 2" xfId="32558" xr:uid="{51510150-8297-423B-84D4-3A17C3EEAC50}"/>
    <cellStyle name="Note 4 11 3 2 2" xfId="32559" xr:uid="{A00209CA-849B-4B54-A5D5-21297A324B06}"/>
    <cellStyle name="Note 4 11 3 3" xfId="32560" xr:uid="{51EE3488-DC92-40CC-8309-F1C919A71D38}"/>
    <cellStyle name="Note 4 11 4" xfId="32561" xr:uid="{F4897DB5-B9A5-42A3-A7AF-1EAB3304EFAD}"/>
    <cellStyle name="Note 4 11 4 2" xfId="32562" xr:uid="{AEF45450-B3F0-4A20-AB99-CC18F153338A}"/>
    <cellStyle name="Note 4 11 5" xfId="32563" xr:uid="{2DE59626-BA1B-4480-9896-99F2DB01FFE1}"/>
    <cellStyle name="Note 4 12" xfId="32564" xr:uid="{A2FEAD0F-02B7-49C0-AF60-95FDAF063C61}"/>
    <cellStyle name="Note 4 12 2" xfId="32565" xr:uid="{E9B8ED66-A01D-479F-9ECC-6C10281B98EB}"/>
    <cellStyle name="Note 4 12 2 2" xfId="32566" xr:uid="{97B48F7B-7E0F-44A6-9F1B-EA51DE70F08F}"/>
    <cellStyle name="Note 4 12 3" xfId="32567" xr:uid="{E613BC9E-2157-4577-81F2-F07BCA975FB0}"/>
    <cellStyle name="Note 4 13" xfId="32568" xr:uid="{F3501EC2-3A9C-42BD-B075-C72415DD7361}"/>
    <cellStyle name="Note 4 13 2" xfId="32569" xr:uid="{01BC5213-6FF4-4692-B374-8A2C05AC80EB}"/>
    <cellStyle name="Note 4 13 2 2" xfId="32570" xr:uid="{B326B23F-2675-43D2-B864-78987153E3C1}"/>
    <cellStyle name="Note 4 13 3" xfId="32571" xr:uid="{8A092D39-D29D-431B-B8D8-F0E7FB970660}"/>
    <cellStyle name="Note 4 14" xfId="32572" xr:uid="{D49D5272-4B47-47CE-A899-B9E8AD0A6F76}"/>
    <cellStyle name="Note 4 14 2" xfId="32573" xr:uid="{CF7A435B-57FD-462A-BAC5-F8F6EC517B19}"/>
    <cellStyle name="Note 4 15" xfId="39346" xr:uid="{A73393A1-BDA4-4152-9776-F513818A9D5E}"/>
    <cellStyle name="Note 4 2" xfId="32574" xr:uid="{571EEF58-6F02-44CB-B338-D13F5230646A}"/>
    <cellStyle name="Note 4 2 2" xfId="32575" xr:uid="{3FD168AC-B35C-4AF2-A2EE-9813D27BFD3B}"/>
    <cellStyle name="Note 4 2 2 2" xfId="32576" xr:uid="{C2AA0A2C-B5D1-48A6-9C9B-647F1E9812B6}"/>
    <cellStyle name="Note 4 2 2 2 2" xfId="32577" xr:uid="{7A80F93E-6CF8-434A-BC9C-3AADA697A012}"/>
    <cellStyle name="Note 4 2 2 2 2 2" xfId="32578" xr:uid="{57C38009-3D74-4D90-9C83-A029F2B4C293}"/>
    <cellStyle name="Note 4 2 2 2 3" xfId="32579" xr:uid="{5EE18CF0-E0C2-4DF1-8BBB-62D64FA29ACA}"/>
    <cellStyle name="Note 4 2 2 3" xfId="32580" xr:uid="{36300D53-9E35-4417-9F78-13A69C24331A}"/>
    <cellStyle name="Note 4 2 2 3 2" xfId="32581" xr:uid="{E22BD87F-4852-4E7F-AE08-B308E37212BC}"/>
    <cellStyle name="Note 4 2 2 3 2 2" xfId="32582" xr:uid="{36244D3C-D912-4BE3-B1EE-3D1AA3FD37FE}"/>
    <cellStyle name="Note 4 2 2 3 3" xfId="32583" xr:uid="{0F5F4C25-01E5-43BF-B58E-A6C3C455804D}"/>
    <cellStyle name="Note 4 2 2 4" xfId="32584" xr:uid="{6EE63F0B-40D4-4132-B75E-7B8049D1CC9F}"/>
    <cellStyle name="Note 4 2 2 4 2" xfId="32585" xr:uid="{224DE33E-160D-47CC-A525-1269AD070C23}"/>
    <cellStyle name="Note 4 2 2 5" xfId="32586" xr:uid="{E06A9100-C666-4176-BB53-14AC46754178}"/>
    <cellStyle name="Note 4 2 3" xfId="32587" xr:uid="{8AC6F780-B8E6-4D6A-ACC0-617F4B7225C6}"/>
    <cellStyle name="Note 4 2 3 2" xfId="32588" xr:uid="{91760AE9-64C4-4DF5-81F9-74BE8782BFF6}"/>
    <cellStyle name="Note 4 2 3 2 2" xfId="32589" xr:uid="{CE265A9B-696D-4729-AA88-7A2C9940BA9B}"/>
    <cellStyle name="Note 4 2 3 3" xfId="32590" xr:uid="{F210BB96-736A-4E69-96CF-960606ABA381}"/>
    <cellStyle name="Note 4 2 4" xfId="32591" xr:uid="{454E8F4F-4977-4A7B-BA60-DFFF27DE47FF}"/>
    <cellStyle name="Note 4 2 4 2" xfId="32592" xr:uid="{6BEECB0B-0F51-4225-BCE7-666D39D5DE8A}"/>
    <cellStyle name="Note 4 2 4 2 2" xfId="32593" xr:uid="{94BEB63D-2E73-4533-A58D-D827300AF765}"/>
    <cellStyle name="Note 4 2 4 3" xfId="32594" xr:uid="{5ADFF9C5-79EF-40FD-897C-7E01A13BF18F}"/>
    <cellStyle name="Note 4 2 4 4" xfId="39347" xr:uid="{DDF20B07-6468-48BD-86C9-D25CC43CB38A}"/>
    <cellStyle name="Note 4 2 5" xfId="32595" xr:uid="{69980C73-0F14-4347-81E8-1EF93A5C7EC7}"/>
    <cellStyle name="Note 4 2 5 2" xfId="32596" xr:uid="{8E98DB7B-8E0F-4EF3-B633-9C65D5320F2F}"/>
    <cellStyle name="Note 4 2 6" xfId="32597" xr:uid="{1C88A671-0337-474D-8D2C-E93F9F5B76B1}"/>
    <cellStyle name="Note 4 3" xfId="32598" xr:uid="{C64290C3-8DCA-4738-86C8-0C52E8835421}"/>
    <cellStyle name="Note 4 3 2" xfId="32599" xr:uid="{925138E0-ED2A-4289-8C57-FFE72953B4B5}"/>
    <cellStyle name="Note 4 3 2 2" xfId="32600" xr:uid="{E253DDB0-73A4-445B-BD93-2CBEB39C5048}"/>
    <cellStyle name="Note 4 3 2 2 2" xfId="32601" xr:uid="{85326871-98E2-4935-9DCB-4BA475BE5E60}"/>
    <cellStyle name="Note 4 3 2 2 2 2" xfId="32602" xr:uid="{B8B2A515-BD1D-4F88-883A-32289A04AE12}"/>
    <cellStyle name="Note 4 3 2 2 3" xfId="32603" xr:uid="{6C2A8F12-C9E5-47F7-9547-8D3AF1512AC7}"/>
    <cellStyle name="Note 4 3 2 3" xfId="32604" xr:uid="{6FE68F92-23CB-4319-9F17-871EFACDF89A}"/>
    <cellStyle name="Note 4 3 2 3 2" xfId="32605" xr:uid="{9D562DE0-2462-473B-AADF-7D2E14D56DAD}"/>
    <cellStyle name="Note 4 3 2 3 2 2" xfId="32606" xr:uid="{3D54E8D6-AC69-42EB-8FB1-80F43B445DE9}"/>
    <cellStyle name="Note 4 3 2 3 3" xfId="32607" xr:uid="{B84CBE9C-9543-4213-8553-896FE40CB9AB}"/>
    <cellStyle name="Note 4 3 2 4" xfId="32608" xr:uid="{E61C66BB-D7B4-4B63-A0AD-8CCE17549AE1}"/>
    <cellStyle name="Note 4 3 2 4 2" xfId="32609" xr:uid="{8D16EC24-5ABB-4D23-879F-C67A14713824}"/>
    <cellStyle name="Note 4 3 2 5" xfId="32610" xr:uid="{B2BE98B9-2B8B-490D-96D7-370E4F900905}"/>
    <cellStyle name="Note 4 3 3" xfId="32611" xr:uid="{C33B0803-EAAD-4672-91FA-1CFEC5F2128F}"/>
    <cellStyle name="Note 4 3 3 2" xfId="32612" xr:uid="{C5B95C47-A418-487F-90F4-C3A7B6791E2D}"/>
    <cellStyle name="Note 4 3 3 2 2" xfId="32613" xr:uid="{83827DA1-E5C8-4C9F-B69F-CF4A99E3E30C}"/>
    <cellStyle name="Note 4 3 3 3" xfId="32614" xr:uid="{5B553F65-BF1E-4AEA-9F27-185AA574CB80}"/>
    <cellStyle name="Note 4 3 4" xfId="32615" xr:uid="{152E2E46-A876-4CE2-BECC-E43B273BAEA7}"/>
    <cellStyle name="Note 4 3 4 2" xfId="32616" xr:uid="{1D8CAD3C-2360-4EC7-8EBF-6D12258B16F2}"/>
    <cellStyle name="Note 4 3 4 2 2" xfId="32617" xr:uid="{3AA53DC1-363F-4483-A104-01F66F64B498}"/>
    <cellStyle name="Note 4 3 4 3" xfId="32618" xr:uid="{6013B2F3-0595-43E7-A685-AC0AAEEBC64B}"/>
    <cellStyle name="Note 4 3 5" xfId="32619" xr:uid="{0DFDA488-283E-4641-99BF-55076901FC39}"/>
    <cellStyle name="Note 4 3 5 2" xfId="32620" xr:uid="{029EFA21-21BE-48C3-98BE-B84A28B6EE0F}"/>
    <cellStyle name="Note 4 3 6" xfId="32621" xr:uid="{2CB509CB-65B0-40DA-86AA-3288AAAAC884}"/>
    <cellStyle name="Note 4 4" xfId="32622" xr:uid="{F0DF8FF7-F0B0-402D-94F3-19DC9A84024F}"/>
    <cellStyle name="Note 4 4 2" xfId="32623" xr:uid="{8033B528-C2C8-4830-940D-AAA7830E7D45}"/>
    <cellStyle name="Note 4 4 2 2" xfId="32624" xr:uid="{7AC445C1-0067-478C-B93A-AEC4EBAF05A5}"/>
    <cellStyle name="Note 4 4 2 2 2" xfId="32625" xr:uid="{07A5F27C-C6B4-43C1-8138-AC97E6AB5D2F}"/>
    <cellStyle name="Note 4 4 2 2 2 2" xfId="32626" xr:uid="{66BF40AA-FE4A-460D-B5E5-AB41AD054901}"/>
    <cellStyle name="Note 4 4 2 2 3" xfId="32627" xr:uid="{C529D726-DE79-4CB3-85F2-BE7E2D18DAF5}"/>
    <cellStyle name="Note 4 4 2 3" xfId="32628" xr:uid="{205B84BA-E09A-4178-84AB-32C9AF17D076}"/>
    <cellStyle name="Note 4 4 2 3 2" xfId="32629" xr:uid="{70AE0201-9906-4EA9-8BFA-2C4DE5FA4E90}"/>
    <cellStyle name="Note 4 4 2 3 2 2" xfId="32630" xr:uid="{376BFBC9-C7CC-4958-960F-8DC886989A2A}"/>
    <cellStyle name="Note 4 4 2 3 3" xfId="32631" xr:uid="{2052A44B-96BA-490F-B55E-0F61E0B9EB44}"/>
    <cellStyle name="Note 4 4 2 4" xfId="32632" xr:uid="{9B0EB0B9-2EF1-4969-82C9-8240ED8D1457}"/>
    <cellStyle name="Note 4 4 2 4 2" xfId="32633" xr:uid="{02B33349-F9C4-436A-BC29-86E7DA4CBD12}"/>
    <cellStyle name="Note 4 4 2 5" xfId="32634" xr:uid="{7323CE82-8B07-4E01-93DD-8E0961579F27}"/>
    <cellStyle name="Note 4 4 3" xfId="32635" xr:uid="{5525CDBB-C60A-4520-A0D5-CB0522AECEA3}"/>
    <cellStyle name="Note 4 4 3 2" xfId="32636" xr:uid="{00A43ECD-535D-440B-954B-D86D5F256C15}"/>
    <cellStyle name="Note 4 4 3 2 2" xfId="32637" xr:uid="{73150AA5-FE8A-4449-B884-54315AB1C63F}"/>
    <cellStyle name="Note 4 4 3 3" xfId="32638" xr:uid="{BCAF93BB-6E2E-45EC-B245-D09BD2614101}"/>
    <cellStyle name="Note 4 4 4" xfId="32639" xr:uid="{F4469BB8-EC58-4734-AB4A-3EB60281AE61}"/>
    <cellStyle name="Note 4 4 4 2" xfId="32640" xr:uid="{08733741-F64E-4B71-B0EC-AA8678F23A6D}"/>
    <cellStyle name="Note 4 4 4 2 2" xfId="32641" xr:uid="{585EBF9F-D421-40BC-B1EE-EBFE5608C349}"/>
    <cellStyle name="Note 4 4 4 3" xfId="32642" xr:uid="{BB08188A-8056-4861-BF7D-01E21F43E5C9}"/>
    <cellStyle name="Note 4 4 5" xfId="32643" xr:uid="{21ACC6C6-0C3A-4ADD-84EC-08DE6ECC8CEE}"/>
    <cellStyle name="Note 4 4 5 2" xfId="32644" xr:uid="{32B29B23-6C1D-4720-90B9-E73708E14F86}"/>
    <cellStyle name="Note 4 4 6" xfId="32645" xr:uid="{D169629A-27AD-49FE-A374-DC451FB6A537}"/>
    <cellStyle name="Note 4 5" xfId="32646" xr:uid="{221161F3-4A6C-475F-A7C7-B20D88B9A5E6}"/>
    <cellStyle name="Note 4 5 2" xfId="32647" xr:uid="{BCD6E114-6CCF-4B1B-85DD-26F8BF6E76BE}"/>
    <cellStyle name="Note 4 5 2 2" xfId="32648" xr:uid="{91FC180F-DE89-4276-B9A3-81701395B5EF}"/>
    <cellStyle name="Note 4 5 2 2 2" xfId="32649" xr:uid="{9EF3274B-B84A-4C31-A777-E91A8DDDA45A}"/>
    <cellStyle name="Note 4 5 2 2 2 2" xfId="32650" xr:uid="{D16130B6-0D96-46AA-B740-6F0105CECE6E}"/>
    <cellStyle name="Note 4 5 2 2 3" xfId="32651" xr:uid="{276DA871-5922-4E12-B2B3-A1FA6A775594}"/>
    <cellStyle name="Note 4 5 2 3" xfId="32652" xr:uid="{2D48953B-1E96-4CCA-9141-4297CC6BC50E}"/>
    <cellStyle name="Note 4 5 2 3 2" xfId="32653" xr:uid="{C38512C2-C71D-4894-AA3D-32F6E9C4E0CF}"/>
    <cellStyle name="Note 4 5 2 3 2 2" xfId="32654" xr:uid="{EC6A08CB-943E-487C-836B-E77B80E5245F}"/>
    <cellStyle name="Note 4 5 2 3 3" xfId="32655" xr:uid="{347D5DAD-B93A-4F53-A6E6-FA69E0D562C2}"/>
    <cellStyle name="Note 4 5 2 4" xfId="32656" xr:uid="{2434E43E-9C02-44A5-BE4B-B6ACDB405CA5}"/>
    <cellStyle name="Note 4 5 2 4 2" xfId="32657" xr:uid="{030DA3E1-70C6-4404-BCE5-6796F8F67E73}"/>
    <cellStyle name="Note 4 5 2 5" xfId="32658" xr:uid="{94BE66FD-0BDB-4536-A7AE-43AEA85DFBDC}"/>
    <cellStyle name="Note 4 5 3" xfId="32659" xr:uid="{1FD4BE7F-4B22-44EA-A332-72963E0E10B2}"/>
    <cellStyle name="Note 4 5 3 2" xfId="32660" xr:uid="{AFA6B13D-7E4D-4654-868A-9980E0DE39B4}"/>
    <cellStyle name="Note 4 5 3 2 2" xfId="32661" xr:uid="{DD664A2D-28CB-4013-BD1B-982C31DE9B4F}"/>
    <cellStyle name="Note 4 5 3 3" xfId="32662" xr:uid="{6F3B3B1E-9E79-439F-98CE-7085BE123396}"/>
    <cellStyle name="Note 4 5 4" xfId="32663" xr:uid="{ECEEDD70-EF05-46A4-8F7C-9178F81FE8E9}"/>
    <cellStyle name="Note 4 5 4 2" xfId="32664" xr:uid="{21381690-8DBA-40F2-8762-209EC20175EF}"/>
    <cellStyle name="Note 4 5 4 2 2" xfId="32665" xr:uid="{B819E65D-843D-4DE6-A520-79ED340C9A1B}"/>
    <cellStyle name="Note 4 5 4 3" xfId="32666" xr:uid="{D455D762-18A9-4D31-9D8D-7FFC2962CDE1}"/>
    <cellStyle name="Note 4 5 5" xfId="32667" xr:uid="{603953D8-BCCF-4F69-AD0B-D98AC935E715}"/>
    <cellStyle name="Note 4 5 5 2" xfId="32668" xr:uid="{C90E52D0-03FB-4E56-8BE6-03968CE7CDA8}"/>
    <cellStyle name="Note 4 5 6" xfId="32669" xr:uid="{55BDC26E-D7E3-4C05-AE14-B0A80BCAFD14}"/>
    <cellStyle name="Note 4 6" xfId="32670" xr:uid="{BE59EF31-1998-4D0E-B3E4-09BADFA767AD}"/>
    <cellStyle name="Note 4 6 2" xfId="32671" xr:uid="{CA1A7EAD-05D1-4C58-AF43-41FCC9160EB9}"/>
    <cellStyle name="Note 4 6 2 2" xfId="32672" xr:uid="{E9A833B2-EFB7-40D6-AE18-556CDDAB800F}"/>
    <cellStyle name="Note 4 6 2 2 2" xfId="32673" xr:uid="{AC1718D7-4491-4EF7-8632-B05A41A3F311}"/>
    <cellStyle name="Note 4 6 2 2 2 2" xfId="32674" xr:uid="{AE532E15-2DA8-447A-97AE-C7EE39274FFA}"/>
    <cellStyle name="Note 4 6 2 2 3" xfId="32675" xr:uid="{6FE1DC3C-4B89-4F49-AB64-C6109A8C2620}"/>
    <cellStyle name="Note 4 6 2 3" xfId="32676" xr:uid="{5C3DE9B2-44A9-4EA6-9D07-973A8C71AF81}"/>
    <cellStyle name="Note 4 6 2 3 2" xfId="32677" xr:uid="{452BCDDD-CBDA-4605-878E-DDD2A708C333}"/>
    <cellStyle name="Note 4 6 2 3 2 2" xfId="32678" xr:uid="{F915E6FA-2DE2-434B-9FB3-53FC00CA5A37}"/>
    <cellStyle name="Note 4 6 2 3 3" xfId="32679" xr:uid="{F798B386-7CA6-4458-A024-6CDCDA364052}"/>
    <cellStyle name="Note 4 6 2 4" xfId="32680" xr:uid="{9682D085-11AF-4E50-A4DD-D71EE9905000}"/>
    <cellStyle name="Note 4 6 2 4 2" xfId="32681" xr:uid="{6CB071C0-B391-47EE-8BF8-502719C87AB6}"/>
    <cellStyle name="Note 4 6 2 5" xfId="32682" xr:uid="{59E09E30-B737-4E23-B47B-B87D9B12DCF2}"/>
    <cellStyle name="Note 4 6 3" xfId="32683" xr:uid="{BE0F52F7-A1EE-4608-BA05-2BE15C6025DC}"/>
    <cellStyle name="Note 4 6 3 2" xfId="32684" xr:uid="{E23D45CF-C54A-4EDA-9BD4-858E6A6F10AB}"/>
    <cellStyle name="Note 4 6 3 2 2" xfId="32685" xr:uid="{2401E832-C926-41A1-BA79-6A18633F0792}"/>
    <cellStyle name="Note 4 6 3 3" xfId="32686" xr:uid="{645117EB-7323-4E3E-BF3F-97C8F489B52F}"/>
    <cellStyle name="Note 4 6 4" xfId="32687" xr:uid="{B155C8B2-C23D-4AB3-B281-967632404B47}"/>
    <cellStyle name="Note 4 6 4 2" xfId="32688" xr:uid="{C2FB73B7-1530-405B-B8CA-F87BFCD14AB9}"/>
    <cellStyle name="Note 4 6 4 2 2" xfId="32689" xr:uid="{09CF584F-7C51-45B9-84C7-D97F429F794F}"/>
    <cellStyle name="Note 4 6 4 3" xfId="32690" xr:uid="{6CC3303A-30C7-4BFF-94D8-0C5ED76067E9}"/>
    <cellStyle name="Note 4 6 5" xfId="32691" xr:uid="{FD47660A-E58C-47BE-B720-8B25F873886A}"/>
    <cellStyle name="Note 4 6 5 2" xfId="32692" xr:uid="{821A7A3D-8B20-4218-A871-5F8AD051121A}"/>
    <cellStyle name="Note 4 6 6" xfId="32693" xr:uid="{59C7444D-08D6-4ECF-A01E-CE2FABF75157}"/>
    <cellStyle name="Note 4 7" xfId="32694" xr:uid="{E28F0B42-1D15-465A-B17D-33858273D976}"/>
    <cellStyle name="Note 4 7 2" xfId="32695" xr:uid="{1339DB82-C48E-4C00-AA81-306926FD575B}"/>
    <cellStyle name="Note 4 7 2 2" xfId="32696" xr:uid="{A2D3CFC1-8692-4741-B5C5-83AF977457D7}"/>
    <cellStyle name="Note 4 7 2 2 2" xfId="32697" xr:uid="{34513550-1D44-4B45-A1E7-A261E658EA4D}"/>
    <cellStyle name="Note 4 7 2 2 2 2" xfId="32698" xr:uid="{6DD09FD4-5509-4001-AF00-D97793968A5C}"/>
    <cellStyle name="Note 4 7 2 2 3" xfId="32699" xr:uid="{996DC36E-95D9-4269-9187-A62C3CACF593}"/>
    <cellStyle name="Note 4 7 2 3" xfId="32700" xr:uid="{7F5151CB-D390-4DD6-81C8-A21067800E3E}"/>
    <cellStyle name="Note 4 7 2 3 2" xfId="32701" xr:uid="{343B974A-4E32-4DB5-932B-2C8CC20163D3}"/>
    <cellStyle name="Note 4 7 2 3 2 2" xfId="32702" xr:uid="{8C62EE51-6CE2-4257-8462-4530E195F347}"/>
    <cellStyle name="Note 4 7 2 3 3" xfId="32703" xr:uid="{DA47C40F-EF12-4E46-B28D-37ED4A7CA719}"/>
    <cellStyle name="Note 4 7 2 4" xfId="32704" xr:uid="{AA09AB17-9821-42BE-9E3E-E48C225619ED}"/>
    <cellStyle name="Note 4 7 2 4 2" xfId="32705" xr:uid="{A0934898-2B96-49A6-B696-583A61228574}"/>
    <cellStyle name="Note 4 7 2 5" xfId="32706" xr:uid="{81D025F1-3DB7-4776-B925-E3B3A5DAA5F5}"/>
    <cellStyle name="Note 4 7 3" xfId="32707" xr:uid="{0A51BB1E-0090-42E7-807F-1D8F1E472C85}"/>
    <cellStyle name="Note 4 7 3 2" xfId="32708" xr:uid="{69FAF043-F220-4AB4-879E-1FB0F5801052}"/>
    <cellStyle name="Note 4 7 3 2 2" xfId="32709" xr:uid="{58FEA659-1136-4548-928A-6E870ED5660B}"/>
    <cellStyle name="Note 4 7 3 3" xfId="32710" xr:uid="{7F8FEBD0-C7C8-48D1-9F1F-E1D81E4D2ABE}"/>
    <cellStyle name="Note 4 7 4" xfId="32711" xr:uid="{BD3DE121-364C-4A55-B81E-48F7661F4589}"/>
    <cellStyle name="Note 4 7 4 2" xfId="32712" xr:uid="{09596909-CE4C-4DC1-A87B-3EAD39E12FF3}"/>
    <cellStyle name="Note 4 7 4 2 2" xfId="32713" xr:uid="{77F5C6D6-7BD1-4500-8CBE-C0872F0F2069}"/>
    <cellStyle name="Note 4 7 4 3" xfId="32714" xr:uid="{5F1771BE-2B4E-4664-92B7-77D9BD551E54}"/>
    <cellStyle name="Note 4 7 5" xfId="32715" xr:uid="{BD9DC36E-02B5-4D33-9EC0-7FFB12F19322}"/>
    <cellStyle name="Note 4 7 5 2" xfId="32716" xr:uid="{12A4979E-B336-4CDD-8018-14C5C74BACEB}"/>
    <cellStyle name="Note 4 7 6" xfId="32717" xr:uid="{77EBCBC5-F9B2-4466-BB8D-A0949A43D28E}"/>
    <cellStyle name="Note 4 8" xfId="32718" xr:uid="{9967E11E-B3A8-49F6-8E67-05A404F3B6D9}"/>
    <cellStyle name="Note 4 8 2" xfId="32719" xr:uid="{0C6E3716-15D2-4665-870B-A476BBFFD61C}"/>
    <cellStyle name="Note 4 8 2 2" xfId="32720" xr:uid="{79DFD0FF-D856-4337-B56D-ACC874A8975F}"/>
    <cellStyle name="Note 4 8 2 2 2" xfId="32721" xr:uid="{EFA08C97-3C4B-4BDB-8E51-4C4401C43278}"/>
    <cellStyle name="Note 4 8 2 2 2 2" xfId="32722" xr:uid="{C6D96EF5-B19B-4EA3-A407-F22F8B447EE7}"/>
    <cellStyle name="Note 4 8 2 2 3" xfId="32723" xr:uid="{CBC63259-EEAF-4478-B507-A18689AB3A29}"/>
    <cellStyle name="Note 4 8 2 3" xfId="32724" xr:uid="{C555A5E7-FE84-4FFF-AC72-67B5FF85636C}"/>
    <cellStyle name="Note 4 8 2 3 2" xfId="32725" xr:uid="{4886FC39-6F9B-44DB-9FF9-013AFE98901E}"/>
    <cellStyle name="Note 4 8 2 3 2 2" xfId="32726" xr:uid="{349DA2B2-B4C0-4A77-94A4-62E1EB34EED2}"/>
    <cellStyle name="Note 4 8 2 3 3" xfId="32727" xr:uid="{885FE05E-8046-41CC-B44E-AB296488E85D}"/>
    <cellStyle name="Note 4 8 2 4" xfId="32728" xr:uid="{4BAC3E17-E0FB-4C34-8206-BE81C65A986E}"/>
    <cellStyle name="Note 4 8 2 4 2" xfId="32729" xr:uid="{8D3686C3-238A-42F0-A250-7014BD3DF5CC}"/>
    <cellStyle name="Note 4 8 2 5" xfId="32730" xr:uid="{9FE52F63-9BE7-40C0-AD54-24180662336B}"/>
    <cellStyle name="Note 4 8 3" xfId="32731" xr:uid="{8CBEB075-313E-48F3-9EAB-68AD2DEC38FD}"/>
    <cellStyle name="Note 4 8 3 2" xfId="32732" xr:uid="{52A9F414-25E4-47A0-8AE9-F710A473BB3C}"/>
    <cellStyle name="Note 4 8 3 2 2" xfId="32733" xr:uid="{D87F4133-D035-41BF-81BC-E65BA3DC89A3}"/>
    <cellStyle name="Note 4 8 3 3" xfId="32734" xr:uid="{40031C82-1376-4A81-886F-5DA6632C210C}"/>
    <cellStyle name="Note 4 8 4" xfId="32735" xr:uid="{081F858C-65EE-4FC6-BC02-8716AA35E58C}"/>
    <cellStyle name="Note 4 8 4 2" xfId="32736" xr:uid="{3F46658A-FBC8-4EC6-A7A6-50B7548CE5E8}"/>
    <cellStyle name="Note 4 8 4 2 2" xfId="32737" xr:uid="{8ABCE938-CF46-48B9-9A31-26342E1F6499}"/>
    <cellStyle name="Note 4 8 4 3" xfId="32738" xr:uid="{EE8611C6-B98A-445F-98DC-DF1C1CD4BD62}"/>
    <cellStyle name="Note 4 8 5" xfId="32739" xr:uid="{FA9C6D0F-B0B9-48B9-A2E3-FE70F9C4F645}"/>
    <cellStyle name="Note 4 8 5 2" xfId="32740" xr:uid="{4ADF2037-2AC7-4D17-BE8F-81CB5EDB4D4F}"/>
    <cellStyle name="Note 4 8 6" xfId="32741" xr:uid="{585D6B64-E42E-4ECF-9693-92A525C849E1}"/>
    <cellStyle name="Note 4 9" xfId="32742" xr:uid="{7D3267A9-8712-426F-9C0A-B3A3094AAB56}"/>
    <cellStyle name="Note 4 9 2" xfId="32743" xr:uid="{0F4B0FF7-E6FA-4C56-8D08-7A6356B36474}"/>
    <cellStyle name="Note 4 9 2 2" xfId="32744" xr:uid="{FDBA7EF5-D1E2-445C-AC28-C255C4A5D2BC}"/>
    <cellStyle name="Note 4 9 2 2 2" xfId="32745" xr:uid="{85172063-F9C8-4639-B17C-B84F302F057B}"/>
    <cellStyle name="Note 4 9 2 2 2 2" xfId="32746" xr:uid="{6AB4C659-283B-4D3E-B07E-7232551F6D2C}"/>
    <cellStyle name="Note 4 9 2 2 3" xfId="32747" xr:uid="{AFDDBB29-C0EC-4FD0-824B-92F4158E0B0C}"/>
    <cellStyle name="Note 4 9 2 3" xfId="32748" xr:uid="{592F4F07-B271-459F-8F93-59BA636E7243}"/>
    <cellStyle name="Note 4 9 2 3 2" xfId="32749" xr:uid="{4FB35178-52EE-4A86-B3C7-9D0909400A51}"/>
    <cellStyle name="Note 4 9 2 3 2 2" xfId="32750" xr:uid="{4B6C8F63-541A-4DA3-8179-9BB5DCA0F2B9}"/>
    <cellStyle name="Note 4 9 2 3 3" xfId="32751" xr:uid="{B2C0791C-7B9C-43DC-9A59-D69DA21EFEB2}"/>
    <cellStyle name="Note 4 9 2 4" xfId="32752" xr:uid="{E93FB0BE-96AD-427E-A6DD-9C48EF7CE9AD}"/>
    <cellStyle name="Note 4 9 2 4 2" xfId="32753" xr:uid="{4AD8D242-8AA4-448E-8834-EEB509A18137}"/>
    <cellStyle name="Note 4 9 2 5" xfId="32754" xr:uid="{586FADAE-3F5C-49BA-B9EF-52035BE5A20B}"/>
    <cellStyle name="Note 4 9 3" xfId="32755" xr:uid="{9C252024-8F2E-4A2A-A4D5-D3C0DB0C0983}"/>
    <cellStyle name="Note 4 9 3 2" xfId="32756" xr:uid="{57328EC8-42A9-4FDD-A603-864D15B651D6}"/>
    <cellStyle name="Note 4 9 3 2 2" xfId="32757" xr:uid="{A0C34BD2-AFAD-4827-B87E-F2BAAC0737EA}"/>
    <cellStyle name="Note 4 9 3 3" xfId="32758" xr:uid="{64B00B81-4843-450B-96B8-56DC1C0376E6}"/>
    <cellStyle name="Note 4 9 4" xfId="32759" xr:uid="{845EEC85-B41F-467A-9D24-5014189C9219}"/>
    <cellStyle name="Note 4 9 4 2" xfId="32760" xr:uid="{42A6E47D-8850-4B87-8035-D8F3D9569AE9}"/>
    <cellStyle name="Note 4 9 4 2 2" xfId="32761" xr:uid="{52453732-B40E-4AFA-BB7C-5E638ACD3EEC}"/>
    <cellStyle name="Note 4 9 4 3" xfId="32762" xr:uid="{F16D6F8B-6E2A-4D01-8409-E02DDD1ABE8E}"/>
    <cellStyle name="Note 4 9 5" xfId="32763" xr:uid="{2E0CCF07-20B6-4D3B-B719-45E3E09D6A3E}"/>
    <cellStyle name="Note 4 9 5 2" xfId="32764" xr:uid="{2D56FF59-902F-41CB-B55B-33AC53AE690C}"/>
    <cellStyle name="Note 4 9 6" xfId="32765" xr:uid="{61BBB753-E41A-4C96-AFDE-598171EA84B5}"/>
    <cellStyle name="Note 40" xfId="32766" xr:uid="{861DBC8B-0054-4CFB-B6B6-24C4A50858CB}"/>
    <cellStyle name="Note 40 2" xfId="32767" xr:uid="{CFEA602B-7AAA-41FB-BCB7-9496076AF541}"/>
    <cellStyle name="Note 40 2 2" xfId="32768" xr:uid="{9037CB7B-E1A8-4D64-BBDB-C84BF70F3B30}"/>
    <cellStyle name="Note 40 2 2 2" xfId="32769" xr:uid="{B28B6163-9358-45B0-A5B4-A83905A871A8}"/>
    <cellStyle name="Note 40 2 2 2 2" xfId="32770" xr:uid="{2A95E9F0-90E3-4C18-9791-23A303597B31}"/>
    <cellStyle name="Note 40 2 2 3" xfId="32771" xr:uid="{3D473D98-611B-4501-893E-30138718B702}"/>
    <cellStyle name="Note 40 2 3" xfId="32772" xr:uid="{4229FD39-CF7F-4951-9AB9-EC55159DD669}"/>
    <cellStyle name="Note 40 2 3 2" xfId="32773" xr:uid="{7DEF100A-2209-4F77-ABDA-D15AB37C76B0}"/>
    <cellStyle name="Note 40 2 3 2 2" xfId="32774" xr:uid="{E2E04C63-1535-4D27-8BB7-D4030D0C8012}"/>
    <cellStyle name="Note 40 2 3 3" xfId="32775" xr:uid="{468B292B-E454-4A3F-8808-F323C1233126}"/>
    <cellStyle name="Note 40 2 4" xfId="32776" xr:uid="{895DFCAE-33B2-472F-AD98-1089AF15E744}"/>
    <cellStyle name="Note 40 2 4 2" xfId="32777" xr:uid="{DEBC6A42-5B3E-412D-B106-134C0A97E9CA}"/>
    <cellStyle name="Note 40 2 5" xfId="32778" xr:uid="{8B10BF80-E07A-4B11-B2D9-407329E28581}"/>
    <cellStyle name="Note 40 3" xfId="32779" xr:uid="{8B44A6A2-57E7-4987-9A7A-9CBC5033B170}"/>
    <cellStyle name="Note 40 3 2" xfId="32780" xr:uid="{FD295D5F-D2F9-488D-8147-DD83168A3FFB}"/>
    <cellStyle name="Note 40 3 2 2" xfId="32781" xr:uid="{5FA92C8D-866D-4366-832C-D33AA5579D28}"/>
    <cellStyle name="Note 40 3 3" xfId="32782" xr:uid="{74F61116-ECAE-4A7D-A24A-626518DDD4FF}"/>
    <cellStyle name="Note 40 4" xfId="32783" xr:uid="{7D62F65A-CE24-40C0-B235-A2270FA091B8}"/>
    <cellStyle name="Note 40 4 2" xfId="32784" xr:uid="{CDFEFDDB-32A5-4A6D-B4EB-17FBDC6BDC2D}"/>
    <cellStyle name="Note 40 4 2 2" xfId="32785" xr:uid="{421255DF-E333-4978-8FA3-ED23F6939945}"/>
    <cellStyle name="Note 40 4 3" xfId="32786" xr:uid="{0A0284DA-09C3-4111-82B2-B0F00E378836}"/>
    <cellStyle name="Note 40 5" xfId="32787" xr:uid="{4D25DF7B-1F6D-4BE1-BA32-F8D42F0650FB}"/>
    <cellStyle name="Note 40 5 2" xfId="32788" xr:uid="{C9353208-3F2C-4383-8A6E-99C4E334BB56}"/>
    <cellStyle name="Note 40 6" xfId="39348" xr:uid="{7A206705-887D-4083-B488-E5E06D11E8EC}"/>
    <cellStyle name="Note 41" xfId="32789" xr:uid="{40956880-0EFC-476A-B186-93323C6574DB}"/>
    <cellStyle name="Note 41 2" xfId="32790" xr:uid="{AFFF1EF2-EEC8-4663-A1C0-FCB2528C6F17}"/>
    <cellStyle name="Note 41 2 2" xfId="32791" xr:uid="{E5932B55-3F22-4050-B3A8-91661F56FCBB}"/>
    <cellStyle name="Note 41 2 2 2" xfId="32792" xr:uid="{81AE4B4F-3787-409B-B291-306DC0C9121F}"/>
    <cellStyle name="Note 41 2 2 2 2" xfId="32793" xr:uid="{4308B7C7-12ED-4A1A-B091-C558D6050773}"/>
    <cellStyle name="Note 41 2 2 3" xfId="32794" xr:uid="{EB135A60-A24E-4BCB-9F5C-AF54857E16A9}"/>
    <cellStyle name="Note 41 2 3" xfId="32795" xr:uid="{A66BC182-CA6E-4B09-8AC9-EFB4382CC100}"/>
    <cellStyle name="Note 41 2 3 2" xfId="32796" xr:uid="{6EF61DD2-9C13-41AD-AB58-C41F2630C734}"/>
    <cellStyle name="Note 41 2 3 2 2" xfId="32797" xr:uid="{2E2748D6-9D57-4C9E-9E69-411641BC0285}"/>
    <cellStyle name="Note 41 2 3 3" xfId="32798" xr:uid="{DDB04026-B04B-4B3A-94EE-CDFCAD6398D7}"/>
    <cellStyle name="Note 41 2 4" xfId="32799" xr:uid="{96755354-1FC8-4DDE-98B9-82C365C3873E}"/>
    <cellStyle name="Note 41 2 4 2" xfId="32800" xr:uid="{E3635C88-37ED-4BE3-8191-7EC532C2A860}"/>
    <cellStyle name="Note 41 2 5" xfId="32801" xr:uid="{AE15522A-D43E-4F19-A42A-2476A6B790AA}"/>
    <cellStyle name="Note 41 3" xfId="32802" xr:uid="{D60BCC00-4274-4E99-983D-444269225263}"/>
    <cellStyle name="Note 41 3 2" xfId="32803" xr:uid="{B1974859-B044-4883-8465-A21D1D0AA978}"/>
    <cellStyle name="Note 41 3 2 2" xfId="32804" xr:uid="{74B97AA5-94CD-428B-AB71-137C9FAF3A47}"/>
    <cellStyle name="Note 41 3 3" xfId="32805" xr:uid="{8AA75CE9-241B-4347-9EED-BB6452AB37BD}"/>
    <cellStyle name="Note 41 4" xfId="32806" xr:uid="{5FB8ACC1-BCF1-4375-A5A7-7A8693CB08BF}"/>
    <cellStyle name="Note 41 4 2" xfId="32807" xr:uid="{F15DB46E-9CE5-478E-B8F6-A9F4EB31038C}"/>
    <cellStyle name="Note 41 4 2 2" xfId="32808" xr:uid="{700AD069-47EE-4434-B418-9AB77AE6FE60}"/>
    <cellStyle name="Note 41 4 3" xfId="32809" xr:uid="{DC9E945F-466A-44AB-8377-5EF36721A8BC}"/>
    <cellStyle name="Note 41 5" xfId="32810" xr:uid="{E13B8336-338A-4D4F-BECE-6A6441B044BA}"/>
    <cellStyle name="Note 41 5 2" xfId="32811" xr:uid="{A882CC48-5138-4EAF-8670-005502241ADF}"/>
    <cellStyle name="Note 41 6" xfId="39349" xr:uid="{185BD93A-4BD8-461D-B4D2-7A8517760CE6}"/>
    <cellStyle name="Note 42" xfId="32812" xr:uid="{F0A4060E-0EF1-4DDF-9E02-45785020722C}"/>
    <cellStyle name="Note 42 2" xfId="32813" xr:uid="{6C4EA64F-ADE2-4D8F-B60A-462ED8B67801}"/>
    <cellStyle name="Note 42 2 2" xfId="32814" xr:uid="{6E06C8CC-7387-4AD7-A305-311E3A5D8E7D}"/>
    <cellStyle name="Note 42 2 2 2" xfId="32815" xr:uid="{2A98B9B4-151C-4FFE-91B2-B77906885D90}"/>
    <cellStyle name="Note 42 2 2 2 2" xfId="32816" xr:uid="{3F6B92F5-414F-4C2F-8C85-70ABE9C34A49}"/>
    <cellStyle name="Note 42 2 2 3" xfId="32817" xr:uid="{1F4A88F7-D402-4224-8AFD-C0ECB7AFD285}"/>
    <cellStyle name="Note 42 2 3" xfId="32818" xr:uid="{94D61319-C19C-43E0-8DB2-9901671565AB}"/>
    <cellStyle name="Note 42 2 3 2" xfId="32819" xr:uid="{281CA353-B7EF-4A2B-9C99-B8D2D65746DB}"/>
    <cellStyle name="Note 42 2 3 2 2" xfId="32820" xr:uid="{9CD0B753-EC71-4BCF-95B8-65D7D71268C2}"/>
    <cellStyle name="Note 42 2 3 3" xfId="32821" xr:uid="{46A4E940-71A6-4970-AA8F-52FB52A06647}"/>
    <cellStyle name="Note 42 2 4" xfId="32822" xr:uid="{DA623096-5CDF-4A50-9DBB-11BA80C4753E}"/>
    <cellStyle name="Note 42 2 4 2" xfId="32823" xr:uid="{AAF7D51B-2D2B-4084-8EE6-955B7F6CD451}"/>
    <cellStyle name="Note 42 2 5" xfId="32824" xr:uid="{3CF2AAA0-DD7F-40E2-95E0-309DCA14AE0B}"/>
    <cellStyle name="Note 42 3" xfId="32825" xr:uid="{FEB27B15-3BF6-4893-8132-4F0715D9AD8C}"/>
    <cellStyle name="Note 42 3 2" xfId="32826" xr:uid="{3F7E27A9-C789-4E36-BA27-32125C6F59B6}"/>
    <cellStyle name="Note 42 3 2 2" xfId="32827" xr:uid="{5B7168F6-5934-4ED9-AE30-D716F401AB3E}"/>
    <cellStyle name="Note 42 3 3" xfId="32828" xr:uid="{862E8F00-D3F1-43CF-9EDD-9B0F4498E8FB}"/>
    <cellStyle name="Note 42 4" xfId="32829" xr:uid="{447720D2-49C1-46F7-B761-C16ABA806BBE}"/>
    <cellStyle name="Note 42 4 2" xfId="32830" xr:uid="{656B9D58-89BC-4653-A7C9-98420204E649}"/>
    <cellStyle name="Note 42 4 2 2" xfId="32831" xr:uid="{5C938989-8881-43D9-9098-9C238F63A2ED}"/>
    <cellStyle name="Note 42 4 3" xfId="32832" xr:uid="{B7292E01-BF82-47FD-8158-817B1E481CC3}"/>
    <cellStyle name="Note 42 5" xfId="32833" xr:uid="{D2B1B214-C4C1-45C5-89C9-7FB7AD0F64B3}"/>
    <cellStyle name="Note 42 5 2" xfId="32834" xr:uid="{42DD1489-D1E8-4355-910D-597CA9B57EA9}"/>
    <cellStyle name="Note 42 6" xfId="39350" xr:uid="{F512270A-2990-4152-864C-CB1D2FDE052E}"/>
    <cellStyle name="Note 43" xfId="32835" xr:uid="{A050C8D0-668E-4EB9-9BEE-7C8ECBED1827}"/>
    <cellStyle name="Note 43 2" xfId="32836" xr:uid="{B5694B12-5F8D-4390-8FCB-81DD4F3D24B5}"/>
    <cellStyle name="Note 43 2 2" xfId="32837" xr:uid="{5D89847C-2C6B-4306-8BAF-C94C67AC0F56}"/>
    <cellStyle name="Note 43 2 2 2" xfId="32838" xr:uid="{7FE77AFD-91E2-4DB1-BCDD-5E54CA9A5C60}"/>
    <cellStyle name="Note 43 2 2 2 2" xfId="32839" xr:uid="{D6851369-FA5B-4365-AED0-F9CCC1E28315}"/>
    <cellStyle name="Note 43 2 2 3" xfId="32840" xr:uid="{6EEEC3F7-3A06-46F8-BA2D-0EB7DDC5D27F}"/>
    <cellStyle name="Note 43 2 3" xfId="32841" xr:uid="{0614574E-18F9-46B9-B046-732D82CA1BDA}"/>
    <cellStyle name="Note 43 2 3 2" xfId="32842" xr:uid="{AC21DBBF-1675-442E-9DAD-0E4806B4B00B}"/>
    <cellStyle name="Note 43 2 3 2 2" xfId="32843" xr:uid="{CFBEA0A3-5158-41BC-982D-1ED5B1404920}"/>
    <cellStyle name="Note 43 2 3 3" xfId="32844" xr:uid="{1CFDE682-52D3-4C77-8405-AB9D7B96823E}"/>
    <cellStyle name="Note 43 2 4" xfId="32845" xr:uid="{38DDFF57-8001-4EBD-BBF3-A9F0710E4121}"/>
    <cellStyle name="Note 43 2 4 2" xfId="32846" xr:uid="{35D7FFAE-8399-4619-B7D4-F22811265584}"/>
    <cellStyle name="Note 43 2 5" xfId="32847" xr:uid="{F9EE5EBB-55FE-4D7F-AC09-D1FCB2310C52}"/>
    <cellStyle name="Note 43 3" xfId="32848" xr:uid="{2EB80BAD-AD8B-4960-8352-69F82F37D8D7}"/>
    <cellStyle name="Note 43 3 2" xfId="32849" xr:uid="{3CA583BA-EAA1-4D28-9D78-89BB928C7CA8}"/>
    <cellStyle name="Note 43 3 2 2" xfId="32850" xr:uid="{1112B2BE-21AF-43B0-8D84-EEFF85004D3C}"/>
    <cellStyle name="Note 43 3 3" xfId="32851" xr:uid="{926F0FF9-E6C5-410D-8AD3-94B80EC12DC9}"/>
    <cellStyle name="Note 43 4" xfId="32852" xr:uid="{F2E08018-BA53-4C01-AE7A-B344D633D568}"/>
    <cellStyle name="Note 43 4 2" xfId="32853" xr:uid="{476311CD-5567-47DD-BE50-F12368F6FAB2}"/>
    <cellStyle name="Note 43 4 2 2" xfId="32854" xr:uid="{71D8983A-B317-4659-A427-1BDCEC51FCA8}"/>
    <cellStyle name="Note 43 4 3" xfId="32855" xr:uid="{7BAA9914-7F1E-4890-9C0C-66F630081240}"/>
    <cellStyle name="Note 43 5" xfId="32856" xr:uid="{BF8DF921-DDBF-450D-A517-164CBBC52659}"/>
    <cellStyle name="Note 43 5 2" xfId="32857" xr:uid="{55BAEBED-7EB5-40CF-91D9-5D6D76AE22C7}"/>
    <cellStyle name="Note 43 6" xfId="39351" xr:uid="{79EAE999-92B0-479E-9042-64AD771570F0}"/>
    <cellStyle name="Note 44" xfId="32858" xr:uid="{316A7E5D-20A2-48D7-B26A-454FA9BE216C}"/>
    <cellStyle name="Note 44 2" xfId="32859" xr:uid="{31A6460C-7429-4E63-B854-237CBE058795}"/>
    <cellStyle name="Note 44 2 2" xfId="32860" xr:uid="{FF992DB5-3882-4535-BA5E-1F091C9A6940}"/>
    <cellStyle name="Note 44 2 2 2" xfId="32861" xr:uid="{9751DEFA-252A-4325-B4D2-4842F21EB429}"/>
    <cellStyle name="Note 44 2 2 2 2" xfId="32862" xr:uid="{A2E41973-AF2D-4E22-96DF-40AF46789D50}"/>
    <cellStyle name="Note 44 2 2 3" xfId="32863" xr:uid="{3769A7D8-3700-4B3B-BE91-F1CDFDAD4AB2}"/>
    <cellStyle name="Note 44 2 3" xfId="32864" xr:uid="{C8BB8621-493D-402E-A6DF-20522F03BC60}"/>
    <cellStyle name="Note 44 2 3 2" xfId="32865" xr:uid="{BF0198B9-B945-4E97-9AE2-B223A28359A3}"/>
    <cellStyle name="Note 44 2 3 2 2" xfId="32866" xr:uid="{5839D634-1C74-4916-B31F-FF5EB769CBD7}"/>
    <cellStyle name="Note 44 2 3 3" xfId="32867" xr:uid="{62E0B5FD-AFA2-4042-8E4D-177ADADE53FE}"/>
    <cellStyle name="Note 44 2 4" xfId="32868" xr:uid="{51086B81-D677-430B-B818-08A4261DF351}"/>
    <cellStyle name="Note 44 2 4 2" xfId="32869" xr:uid="{2DC4F2CF-BF28-42EE-9AE1-9D8D7EE28740}"/>
    <cellStyle name="Note 44 2 5" xfId="32870" xr:uid="{965CF9D8-EE74-4D00-A33B-645EC3BC7B64}"/>
    <cellStyle name="Note 44 3" xfId="32871" xr:uid="{7567B499-DDC6-4C04-913E-DD73664385A3}"/>
    <cellStyle name="Note 44 3 2" xfId="32872" xr:uid="{AE38A462-0079-44EA-8EC2-3A5306B88788}"/>
    <cellStyle name="Note 44 3 2 2" xfId="32873" xr:uid="{EEC9A07D-2742-4470-BB67-74E0029EBF58}"/>
    <cellStyle name="Note 44 3 3" xfId="32874" xr:uid="{F64992B6-3ADE-4065-9FDB-7DE0827314CE}"/>
    <cellStyle name="Note 44 4" xfId="32875" xr:uid="{85DD9238-1192-434A-8A05-65EBB049E0C1}"/>
    <cellStyle name="Note 44 4 2" xfId="32876" xr:uid="{2CD91314-05FD-49BB-AC1F-2A4E2C688032}"/>
    <cellStyle name="Note 44 4 2 2" xfId="32877" xr:uid="{C8F76226-DE4F-40FD-88ED-AF1CD5FC67ED}"/>
    <cellStyle name="Note 44 4 3" xfId="32878" xr:uid="{A13AA18D-565F-4A4E-8EA8-3C5A6941FEDC}"/>
    <cellStyle name="Note 44 5" xfId="32879" xr:uid="{820210A6-3F76-4D0F-86F9-06FA709646BA}"/>
    <cellStyle name="Note 44 5 2" xfId="32880" xr:uid="{87E773BE-AD6C-4658-A5A3-B4FEC9A2E8F9}"/>
    <cellStyle name="Note 44 6" xfId="39352" xr:uid="{0E46A03B-44CE-4BE3-93A1-782B6FEF1595}"/>
    <cellStyle name="Note 45" xfId="32881" xr:uid="{4EE1AE2D-A72C-468C-8F0D-A3E69D54E454}"/>
    <cellStyle name="Note 45 2" xfId="32882" xr:uid="{CAD489D9-0A8C-4E43-BC16-C432CE678BAF}"/>
    <cellStyle name="Note 45 3" xfId="39353" xr:uid="{8604057C-2058-41F4-A053-67E4F7E0E0D8}"/>
    <cellStyle name="Note 45 4" xfId="39354" xr:uid="{531404DA-BD56-4CC9-9E5C-C72580EF8CC3}"/>
    <cellStyle name="Note 46" xfId="32883" xr:uid="{5A32B145-B10A-4820-B515-F040564ADF30}"/>
    <cellStyle name="Note 46 2" xfId="32884" xr:uid="{27F56D16-CDFC-4ED0-991E-49DCCFA05D19}"/>
    <cellStyle name="Note 46 3" xfId="39355" xr:uid="{D022E7A3-8F4B-402E-9552-3221B08AE23E}"/>
    <cellStyle name="Note 47" xfId="32885" xr:uid="{94A4A216-3985-4803-88FB-F4F4A6C8EB63}"/>
    <cellStyle name="Note 47 2" xfId="32886" xr:uid="{9DF352E4-D081-4DED-A01E-547913E16C13}"/>
    <cellStyle name="Note 47 3" xfId="39356" xr:uid="{54EA36E5-69F3-41B8-A809-3AA9301D8B66}"/>
    <cellStyle name="Note 48" xfId="32887" xr:uid="{D5D82E91-518A-4060-B791-2389039470BA}"/>
    <cellStyle name="Note 48 2" xfId="32888" xr:uid="{D7A919F8-C7BE-4987-B293-CF5A0332A694}"/>
    <cellStyle name="Note 48 3" xfId="39357" xr:uid="{7E60F173-E58A-4AC7-B0F4-96FA7BB6E823}"/>
    <cellStyle name="Note 49" xfId="32889" xr:uid="{84F2B903-9B2B-4984-B3DA-D15B66B62C58}"/>
    <cellStyle name="Note 49 2" xfId="32890" xr:uid="{05407E72-FF69-47AA-AA37-275C70AAC43F}"/>
    <cellStyle name="Note 49 3" xfId="39358" xr:uid="{B1F3F7B4-76F0-43CA-A48B-62B5EEB31495}"/>
    <cellStyle name="Note 5" xfId="32891" xr:uid="{E6B5BE76-BE6F-4F21-93F1-EB9C9E2BB9C5}"/>
    <cellStyle name="Note 5 2" xfId="32892" xr:uid="{1E51B233-8D61-4EAC-976A-A36B2E1142D2}"/>
    <cellStyle name="Note 5 2 2" xfId="32893" xr:uid="{A4139792-E5CF-44EF-A5CD-80FA6F254B7C}"/>
    <cellStyle name="Note 5 2 2 2" xfId="39359" xr:uid="{C9319407-9F81-4E9F-A708-55A007AEB6A2}"/>
    <cellStyle name="Note 5 2 3" xfId="39360" xr:uid="{3013A469-50AB-4779-AB07-414C69782D4B}"/>
    <cellStyle name="Note 5 2 4" xfId="39361" xr:uid="{7D6DA223-2F72-41D3-9E94-E867473F86B5}"/>
    <cellStyle name="Note 5 2 5" xfId="39362" xr:uid="{29A98ADC-74A3-493E-9473-8AF954B79CB7}"/>
    <cellStyle name="Note 5 3" xfId="32894" xr:uid="{4B000D1F-BBBA-48F8-BCB0-C0300CAC4C34}"/>
    <cellStyle name="Note 5 3 2" xfId="39363" xr:uid="{F544B922-DBFA-4DD3-8C2C-E3265777FB23}"/>
    <cellStyle name="Note 5 4" xfId="39364" xr:uid="{A48BEEC9-C4CB-4806-BD6E-10D808C3CA67}"/>
    <cellStyle name="Note 5 5" xfId="39365" xr:uid="{3D8DA614-F763-4CA8-934D-42AAC998CA96}"/>
    <cellStyle name="Note 50" xfId="32895" xr:uid="{083F07D2-AEA3-485D-9A49-7219AA19AA53}"/>
    <cellStyle name="Note 50 2" xfId="32896" xr:uid="{79AD951E-EEA3-41D6-B080-1000703A4F0C}"/>
    <cellStyle name="Note 50 3" xfId="39366" xr:uid="{DDAAD424-9D07-4C5F-9D55-7B408A8AAA97}"/>
    <cellStyle name="Note 51" xfId="32897" xr:uid="{BAB28E2D-90C7-4EFE-8C39-F6B2D368D6FB}"/>
    <cellStyle name="Note 51 2" xfId="32898" xr:uid="{5CBEFFC3-9022-4D87-AF9B-080E37CF3DCE}"/>
    <cellStyle name="Note 51 3" xfId="39367" xr:uid="{57908324-F23F-456B-B853-7640F58E3EE1}"/>
    <cellStyle name="Note 52" xfId="32899" xr:uid="{C6C2A356-EE3F-47F3-B409-F7859D5002FF}"/>
    <cellStyle name="Note 52 2" xfId="32900" xr:uid="{1C8ABBB9-F9BA-4446-8438-A29C32EB75FC}"/>
    <cellStyle name="Note 52 3" xfId="39368" xr:uid="{6F6750BC-AAF6-4BF1-8628-39B2804F32C8}"/>
    <cellStyle name="Note 53" xfId="32901" xr:uid="{8DA3BF18-EDF4-4B55-B8CE-22E288A55A97}"/>
    <cellStyle name="Note 53 2" xfId="32902" xr:uid="{B2F9C044-B005-432A-BE4E-3074A5571783}"/>
    <cellStyle name="Note 53 3" xfId="39369" xr:uid="{E068927B-2216-4573-93D5-040A77E3D5EF}"/>
    <cellStyle name="Note 54" xfId="32903" xr:uid="{E571C7E8-F45A-4E8F-BB9E-CDE1F5D042AE}"/>
    <cellStyle name="Note 54 2" xfId="39370" xr:uid="{9B4CCD2A-4838-4F40-9495-912A7B06814F}"/>
    <cellStyle name="Note 55" xfId="32904" xr:uid="{DF3B802C-250F-442E-9E78-51CA01675BE4}"/>
    <cellStyle name="Note 55 2" xfId="39371" xr:uid="{EA34FD2D-F10E-44D5-BBC9-663D149EAD9E}"/>
    <cellStyle name="Note 56" xfId="32905" xr:uid="{303FC917-C2B2-4DA9-9A38-1EBD509D77FF}"/>
    <cellStyle name="Note 56 2" xfId="39372" xr:uid="{8538186A-7542-49E6-B81C-6D8C92B82095}"/>
    <cellStyle name="Note 57" xfId="32906" xr:uid="{B62D27CB-04BF-466D-A79A-7D6F60ACF55A}"/>
    <cellStyle name="Note 57 2" xfId="39373" xr:uid="{747BCF6C-A0DE-4B03-9A43-39F8B8C42F56}"/>
    <cellStyle name="Note 58" xfId="32907" xr:uid="{1692DB1D-A7F9-4037-BEE7-86E251FA3104}"/>
    <cellStyle name="Note 58 2" xfId="39374" xr:uid="{6F48AEF2-AB93-49B5-B015-E1EEC50C9A6A}"/>
    <cellStyle name="Note 59" xfId="32908" xr:uid="{783B74CF-47C9-49D6-85A5-AE209A7FEEA7}"/>
    <cellStyle name="Note 59 2" xfId="39375" xr:uid="{B73D0A74-2AFB-4E14-B6C5-F75E3540B03E}"/>
    <cellStyle name="Note 6" xfId="32909" xr:uid="{10564012-5AD1-4442-B1E5-6E011800819F}"/>
    <cellStyle name="Note 6 2" xfId="32910" xr:uid="{CFA68170-30A8-4FEB-81BE-08529A83018C}"/>
    <cellStyle name="Note 6 2 2" xfId="32911" xr:uid="{08489F58-D12B-4363-9AD5-3304F5E7D38C}"/>
    <cellStyle name="Note 6 2 2 2" xfId="39376" xr:uid="{C3BC17CC-4273-4A3F-92F2-C457CF747278}"/>
    <cellStyle name="Note 6 2 3" xfId="39377" xr:uid="{F0B915E4-6B7C-41E1-8AEA-E27DD546563E}"/>
    <cellStyle name="Note 6 2 4" xfId="39378" xr:uid="{C1695C06-08E6-4695-AE05-D1A8D4513308}"/>
    <cellStyle name="Note 6 2 5" xfId="39379" xr:uid="{1FF800C3-3ACD-4A94-A8AD-6BCDD1CEE40C}"/>
    <cellStyle name="Note 6 3" xfId="32912" xr:uid="{105E6D66-1A1F-4FC8-9E2F-46A1BA620C3D}"/>
    <cellStyle name="Note 6 3 2" xfId="39380" xr:uid="{EA663C47-4C6A-4AC3-86E2-A9B3DD98C971}"/>
    <cellStyle name="Note 6 4" xfId="39381" xr:uid="{8DFD1A9E-F8CA-45A9-B518-E97DAF77FA65}"/>
    <cellStyle name="Note 6 5" xfId="39382" xr:uid="{B59D92AB-D657-4297-9368-3ADB1FA2DF1E}"/>
    <cellStyle name="Note 60" xfId="32913" xr:uid="{E50057CA-94D3-4521-B32D-19FFE4031850}"/>
    <cellStyle name="Note 60 2" xfId="39383" xr:uid="{8FFDEB62-47B2-41E6-98D5-27FF7DEF8423}"/>
    <cellStyle name="Note 61" xfId="32914" xr:uid="{D6C063A8-2548-49B2-BD26-D149A2755E12}"/>
    <cellStyle name="Note 61 2" xfId="39384" xr:uid="{BCAA87EC-1F96-45BA-94FA-F896988E56D5}"/>
    <cellStyle name="Note 62" xfId="32915" xr:uid="{2607A37F-EC7D-4AD5-B07C-0473DD9BABEA}"/>
    <cellStyle name="Note 62 2" xfId="39385" xr:uid="{36F73470-03DF-4B3F-A758-0CE812185F09}"/>
    <cellStyle name="Note 63" xfId="32916" xr:uid="{59E95BC2-BF76-4807-A495-56E0CA55547B}"/>
    <cellStyle name="Note 63 2" xfId="39386" xr:uid="{1C246A88-9A37-4B91-9E66-6EF01A85C319}"/>
    <cellStyle name="Note 64" xfId="32917" xr:uid="{9DF66913-0855-48F0-89B7-6625A0055B62}"/>
    <cellStyle name="Note 64 2" xfId="39387" xr:uid="{0DDCC360-743F-4F3D-A3A7-ECBCE4FB37DE}"/>
    <cellStyle name="Note 65" xfId="32918" xr:uid="{3CB2F1F7-0AA0-46B6-89AF-92590219472B}"/>
    <cellStyle name="Note 65 2" xfId="39388" xr:uid="{CC14FA5F-45B0-4153-A49F-787B4190FCE6}"/>
    <cellStyle name="Note 66" xfId="32919" xr:uid="{6703C62C-2DD5-4215-A01F-31E5E918E63B}"/>
    <cellStyle name="Note 66 2" xfId="39389" xr:uid="{53CBAE18-80EB-4E25-8959-88B4934E19ED}"/>
    <cellStyle name="Note 67" xfId="32920" xr:uid="{3D30C066-C876-4287-916E-7FB4C8A12D0F}"/>
    <cellStyle name="Note 67 2" xfId="39390" xr:uid="{CCC666BE-79A5-4748-838F-7B65B704D18F}"/>
    <cellStyle name="Note 68" xfId="32921" xr:uid="{F744FC21-2881-4708-A185-A990A3BEA880}"/>
    <cellStyle name="Note 68 2" xfId="39391" xr:uid="{5E23724B-486F-436B-A086-B26FA6418B25}"/>
    <cellStyle name="Note 69" xfId="32922" xr:uid="{5105C399-95FE-43EF-BCF7-34616F494F2B}"/>
    <cellStyle name="Note 69 2" xfId="32923" xr:uid="{FC39CB76-6167-4E74-B11C-E535BB3F5B74}"/>
    <cellStyle name="Note 69 2 2" xfId="32924" xr:uid="{84156701-4C92-4BF5-9377-1AAB3D202CB6}"/>
    <cellStyle name="Note 69 2 2 2" xfId="32925" xr:uid="{BC54AB07-D700-43C4-9F8A-48C2FD3BFF24}"/>
    <cellStyle name="Note 69 2 3" xfId="32926" xr:uid="{E0F6E40B-DB6E-468F-9D88-707BE1E9767C}"/>
    <cellStyle name="Note 69 3" xfId="32927" xr:uid="{F18C494A-F66D-4519-881C-243B6259A44B}"/>
    <cellStyle name="Note 69 3 2" xfId="32928" xr:uid="{49B20460-090A-4B74-9DA7-0CFABF9F52D9}"/>
    <cellStyle name="Note 69 3 2 2" xfId="32929" xr:uid="{5CBEEB1E-BC10-41F9-A38B-18B5AF3B2074}"/>
    <cellStyle name="Note 69 3 3" xfId="32930" xr:uid="{4FF96D56-E746-4BC6-B519-C1E6F3F95CC0}"/>
    <cellStyle name="Note 69 4" xfId="32931" xr:uid="{98E20833-F816-461B-9291-F96346A30011}"/>
    <cellStyle name="Note 69 4 2" xfId="32932" xr:uid="{FEC8A8A5-2A0D-456A-AC04-3391544EE1FF}"/>
    <cellStyle name="Note 69 5" xfId="32933" xr:uid="{04BB9D57-0A61-43EC-9B97-E77066C29BFF}"/>
    <cellStyle name="Note 69 6" xfId="39392" xr:uid="{41D4F0EA-1CE4-4E51-93E8-CDCA61D83C9F}"/>
    <cellStyle name="Note 7" xfId="32934" xr:uid="{2049AC8F-9F7A-443C-9ED7-A4A1A3B71566}"/>
    <cellStyle name="Note 7 2" xfId="32935" xr:uid="{3F387CE2-D4E4-4A96-9623-66625F791D64}"/>
    <cellStyle name="Note 7 2 2" xfId="32936" xr:uid="{F3CAD896-B226-4F0E-8FCC-04E21849F1E6}"/>
    <cellStyle name="Note 7 2 2 2" xfId="39393" xr:uid="{712B303F-E6F9-46C2-8442-50A59D9AE79C}"/>
    <cellStyle name="Note 7 2 3" xfId="39394" xr:uid="{62BCC549-5FB9-4AA7-9256-CD9D4EAF1F93}"/>
    <cellStyle name="Note 7 2 4" xfId="39395" xr:uid="{72B41100-8F3A-4746-9AB4-061DECBA61CA}"/>
    <cellStyle name="Note 7 2 5" xfId="39396" xr:uid="{47FC42D2-5E51-4614-BC56-04081BE64854}"/>
    <cellStyle name="Note 7 3" xfId="32937" xr:uid="{DDDE946E-7573-4095-A08F-607FE88AC1FB}"/>
    <cellStyle name="Note 7 3 2" xfId="39397" xr:uid="{265CD7E2-4D38-495A-8893-73C554991C0F}"/>
    <cellStyle name="Note 7 4" xfId="39398" xr:uid="{DE77C5FD-6686-42F0-B9AA-CF5D5FE1C4AE}"/>
    <cellStyle name="Note 7 5" xfId="39399" xr:uid="{91DDCC18-FF65-45D5-A2AF-4829DE98D5B0}"/>
    <cellStyle name="Note 70" xfId="32938" xr:uid="{86CD7B93-83F6-4C81-A109-C8BE2DC63EBA}"/>
    <cellStyle name="Note 70 2" xfId="32939" xr:uid="{682D493B-AE39-4E0D-89B8-3ABECB21BE7C}"/>
    <cellStyle name="Note 70 2 2" xfId="32940" xr:uid="{D9227970-634C-498F-98AE-93AFD68CEEE8}"/>
    <cellStyle name="Note 70 3" xfId="32941" xr:uid="{89AEFCB6-D842-408A-A2D8-ECFC22AA5AD9}"/>
    <cellStyle name="Note 70 3 2" xfId="32942" xr:uid="{FDC7000B-8BDD-4435-BDA5-DC93627A91F2}"/>
    <cellStyle name="Note 70 4" xfId="32943" xr:uid="{DA2A99DF-DA8C-4DA5-9168-FAFFCB09C6F3}"/>
    <cellStyle name="Note 70 5" xfId="39400" xr:uid="{430674CF-59CF-44E2-AA35-48B7617F5AA0}"/>
    <cellStyle name="Note 71" xfId="32944" xr:uid="{239549C8-18B6-4235-B7A2-E60934F1C63D}"/>
    <cellStyle name="Note 71 2" xfId="32945" xr:uid="{DF4F22BF-66B0-4C22-A66D-6F6CB1725CB1}"/>
    <cellStyle name="Note 71 2 2" xfId="32946" xr:uid="{4D2414A7-8C65-45C4-82AB-186C234D2B39}"/>
    <cellStyle name="Note 71 3" xfId="32947" xr:uid="{DEB7BE9C-374A-4A10-ADCE-01F91CDAEDB0}"/>
    <cellStyle name="Note 71 4" xfId="39401" xr:uid="{C6CF7375-549A-46DB-A37C-B29D3C34B9CB}"/>
    <cellStyle name="Note 72" xfId="32948" xr:uid="{28F3D15C-F7D2-4CE7-9C2D-F6C9F398298A}"/>
    <cellStyle name="Note 72 2" xfId="32949" xr:uid="{64F7EADA-AC9F-4C09-B924-8178C88001C7}"/>
    <cellStyle name="Note 72 2 2" xfId="32950" xr:uid="{2A62BAEB-833A-42B3-9065-53FD9F47DB6C}"/>
    <cellStyle name="Note 72 3" xfId="32951" xr:uid="{C8D43054-13F5-4EF2-9155-F04B25A56738}"/>
    <cellStyle name="Note 72 4" xfId="39402" xr:uid="{5ACC89D7-57C1-4445-B731-D2C5A4C0F131}"/>
    <cellStyle name="Note 73" xfId="32952" xr:uid="{2089BA80-385D-410D-9E2E-7DE8B5656CB9}"/>
    <cellStyle name="Note 73 2" xfId="32953" xr:uid="{185CE343-2C4F-417A-BBA0-3C5163E1679A}"/>
    <cellStyle name="Note 73 2 2" xfId="32954" xr:uid="{02490389-71BF-4E88-80DF-57FCDA42548F}"/>
    <cellStyle name="Note 73 3" xfId="32955" xr:uid="{459F5B0A-D734-4C13-BD15-875FF798ED7C}"/>
    <cellStyle name="Note 73 4" xfId="39403" xr:uid="{A8FF7BDD-6546-4818-8D53-9839F49602A1}"/>
    <cellStyle name="Note 74" xfId="32956" xr:uid="{5AE6ECD6-998A-46EE-816F-700271672347}"/>
    <cellStyle name="Note 75" xfId="32957" xr:uid="{E55DAF9D-A784-441D-B839-D0FB6272D467}"/>
    <cellStyle name="Note 76" xfId="32958" xr:uid="{F9E5F7EC-7BE8-4541-BD23-2A1EDCE339B3}"/>
    <cellStyle name="Note 77" xfId="32959" xr:uid="{9DA22CB7-3145-47E2-A96D-5AD7AE3F574E}"/>
    <cellStyle name="Note 78" xfId="32960" xr:uid="{582F58FA-A63C-4669-9E98-5D54E728EC93}"/>
    <cellStyle name="Note 79" xfId="32961" xr:uid="{E848B36F-B818-4F24-9B0A-9A19AFADC0F8}"/>
    <cellStyle name="Note 8" xfId="32962" xr:uid="{99A99F70-5FDD-49A1-9DF0-68954708648B}"/>
    <cellStyle name="Note 8 2" xfId="32963" xr:uid="{0F9850C1-07DC-4F4A-98AE-7A4F8B286D65}"/>
    <cellStyle name="Note 8 2 2" xfId="32964" xr:uid="{C1B77B64-DD9B-4B80-ACD6-CBE8C09EF61B}"/>
    <cellStyle name="Note 8 2 2 2" xfId="39404" xr:uid="{31FDEBDE-DF94-4B0B-B336-1D3FFD55B7E1}"/>
    <cellStyle name="Note 8 2 3" xfId="39405" xr:uid="{9352C517-BE77-485B-97F7-B764FDBD3893}"/>
    <cellStyle name="Note 8 2 4" xfId="39406" xr:uid="{8142A6F9-D3AF-4514-A80A-9123BE9DD74C}"/>
    <cellStyle name="Note 8 3" xfId="32965" xr:uid="{23004086-256B-4DB7-912D-9AE3A3D05188}"/>
    <cellStyle name="Note 8 3 2" xfId="39407" xr:uid="{674843D4-4510-418B-ADB3-B2F5D18B085B}"/>
    <cellStyle name="Note 8 4" xfId="39408" xr:uid="{4E910107-D093-4067-A575-E14711C9D5B0}"/>
    <cellStyle name="Note 8 5" xfId="39409" xr:uid="{2761D9AD-3C8F-4CEF-B60D-7A7652325F25}"/>
    <cellStyle name="Note 8 6" xfId="39410" xr:uid="{A077E81A-B224-449B-B30F-8152C2A82732}"/>
    <cellStyle name="Note 80" xfId="32966" xr:uid="{B0B21AEA-BCDC-4DB8-ADDC-E98477CAC3DE}"/>
    <cellStyle name="Note 81" xfId="32967" xr:uid="{E8F55AF2-1C97-4705-9B77-1483B24D9E4B}"/>
    <cellStyle name="Note 82" xfId="32968" xr:uid="{DC6626D1-EE72-496A-952C-D46F1A82A062}"/>
    <cellStyle name="Note 83" xfId="32969" xr:uid="{C384EF40-353A-476B-BE2F-92FED2AD2EF8}"/>
    <cellStyle name="Note 84" xfId="32970" xr:uid="{7EE2350E-4DA1-4A86-97DF-46AE808D1D18}"/>
    <cellStyle name="Note 85" xfId="32971" xr:uid="{EFC52C79-9444-4713-8DD7-9FF66B3EA2E8}"/>
    <cellStyle name="Note 86" xfId="32972" xr:uid="{387AC656-4337-4F5E-B7D1-A3EC34DC0F2E}"/>
    <cellStyle name="Note 87" xfId="32973" xr:uid="{81C20FBD-26B1-4B01-BA7C-BB0275F6F2B8}"/>
    <cellStyle name="Note 88" xfId="32974" xr:uid="{59DD6CAA-AC6F-49D5-A988-553CDBC826E7}"/>
    <cellStyle name="Note 89" xfId="32975" xr:uid="{0BB681C7-4B4F-42E3-B399-6BFB27872106}"/>
    <cellStyle name="Note 9" xfId="32976" xr:uid="{40D5C1B7-CBEA-4F04-8DAE-DEE4E36BF557}"/>
    <cellStyle name="Note 9 2" xfId="32977" xr:uid="{245CC879-FC7C-4DCA-A40B-E913EDF8C800}"/>
    <cellStyle name="Note 9 2 2" xfId="32978" xr:uid="{17825F09-70AE-4B75-995B-052241A5A606}"/>
    <cellStyle name="Note 9 2 2 2" xfId="39411" xr:uid="{55945C12-C235-463B-A7B6-12F3DB7B29AD}"/>
    <cellStyle name="Note 9 2 3" xfId="39412" xr:uid="{7416FB79-2187-4D6E-A1A6-EBE7376FFE9F}"/>
    <cellStyle name="Note 9 2 4" xfId="39413" xr:uid="{A1B4A442-3072-47DA-862F-2FA6F334798C}"/>
    <cellStyle name="Note 9 3" xfId="32979" xr:uid="{88DF95CD-BA71-4921-8F99-7CE6DB1E60BD}"/>
    <cellStyle name="Note 9 3 2" xfId="39414" xr:uid="{36E822CB-F4DC-4103-87E0-13B40AD3D62D}"/>
    <cellStyle name="Note 9 4" xfId="39415" xr:uid="{63026BFA-1276-49F5-A41C-258D8D2A1DE6}"/>
    <cellStyle name="Note 9 5" xfId="39416" xr:uid="{24F31974-B4BA-4438-8821-0CF235A9AFD5}"/>
    <cellStyle name="Note 9 6" xfId="39417" xr:uid="{5C4331A1-57D7-4D6C-A06D-D467E481AACA}"/>
    <cellStyle name="Note 90" xfId="32980" xr:uid="{C21108B4-1F71-43F3-96B8-C8910CCE9251}"/>
    <cellStyle name="Note 91" xfId="32981" xr:uid="{1A5B6F85-259A-4747-AACD-FD4605F629F5}"/>
    <cellStyle name="Note 92" xfId="32982" xr:uid="{A6254AD9-4B2B-4E3E-8CB4-2B6FF15F9F6B}"/>
    <cellStyle name="Note 93" xfId="32983" xr:uid="{82F76E13-5330-4824-9AB1-A526ADE35EBD}"/>
    <cellStyle name="Note 94" xfId="32984" xr:uid="{9E2A0CF6-AF3B-4DC7-B238-DE4D0F0DF9D4}"/>
    <cellStyle name="Note 95" xfId="32985" xr:uid="{4F12513E-EF91-4BA3-B4C6-CC3F05BCDD2F}"/>
    <cellStyle name="Note 96" xfId="32986" xr:uid="{6020F2A6-7046-4566-84C5-B4ECDC1F8DA1}"/>
    <cellStyle name="Note 97" xfId="32987" xr:uid="{2670A19A-01B2-4DFD-9C2C-2E0257A11204}"/>
    <cellStyle name="Note 98" xfId="32988" xr:uid="{99F6C131-FC41-4824-832D-4C81395A87FD}"/>
    <cellStyle name="Note 99" xfId="32989" xr:uid="{3C1CFF8A-E769-45DD-9B3D-EC96078E358C}"/>
    <cellStyle name="NUMBER" xfId="32990" xr:uid="{9A62E270-E4BC-4A74-A19C-A4E8C92A751F}"/>
    <cellStyle name="OffSheet" xfId="11" xr:uid="{00000000-0005-0000-0000-00003E000000}"/>
    <cellStyle name="Output" xfId="23" builtinId="21" hidden="1"/>
    <cellStyle name="Output" xfId="96" builtinId="21" customBuiltin="1"/>
    <cellStyle name="Output 10" xfId="32991" xr:uid="{72F1DB56-D761-4479-9D0F-B4260BFE0D95}"/>
    <cellStyle name="Output 10 2" xfId="39418" xr:uid="{4A39358A-9A1F-4C94-8527-143ADA50E2C0}"/>
    <cellStyle name="Output 10 3" xfId="39419" xr:uid="{E0D6E45D-B282-4935-B3A1-E99EBF12E0B8}"/>
    <cellStyle name="Output 100" xfId="32992" xr:uid="{BBE8C160-D809-40E8-9C97-8663ABA51C2F}"/>
    <cellStyle name="Output 101" xfId="32993" xr:uid="{92D3C9EF-FF08-4508-9ECC-2B58155AF07F}"/>
    <cellStyle name="Output 102" xfId="32994" xr:uid="{AB0A1253-8765-4366-9FFC-E66DEF78F809}"/>
    <cellStyle name="Output 103" xfId="32995" xr:uid="{49AB8AEA-19E5-4784-9B74-325BCA02BDE5}"/>
    <cellStyle name="Output 104" xfId="32996" xr:uid="{E32FCF60-A8E6-4440-83D5-F190698E3D38}"/>
    <cellStyle name="Output 105" xfId="32997" xr:uid="{C1240328-8FDA-4E3B-AB4F-DD3B27FCB581}"/>
    <cellStyle name="Output 106" xfId="32998" xr:uid="{B08017AA-5A54-4C36-90E5-15E52C3DDF36}"/>
    <cellStyle name="Output 107" xfId="32999" xr:uid="{ABB4F6CC-5156-412F-B662-22D5566EE2C2}"/>
    <cellStyle name="Output 108" xfId="33000" xr:uid="{75892AA8-B8C4-4FE6-9D5A-77A29D8F35AC}"/>
    <cellStyle name="Output 109" xfId="33001" xr:uid="{11BD871F-7427-48B8-AAA5-C8ECBF48AC8D}"/>
    <cellStyle name="Output 11" xfId="33002" xr:uid="{372E419B-B534-4C6A-ABDE-ADD649D8F708}"/>
    <cellStyle name="Output 11 2" xfId="39420" xr:uid="{AC1E60BC-2FBA-4172-BCB6-D965C8FD6F50}"/>
    <cellStyle name="Output 11 3" xfId="39421" xr:uid="{4AD8B806-DD80-4576-8CE7-5DD0A7ABBEB1}"/>
    <cellStyle name="Output 110" xfId="33003" xr:uid="{46DBA965-AE35-4ABA-B970-882E9B8DF085}"/>
    <cellStyle name="Output 111" xfId="33004" xr:uid="{02C84D2A-FE61-43BD-A2FA-9287E1855D7F}"/>
    <cellStyle name="Output 112" xfId="33005" xr:uid="{43DE284A-FFB2-4A17-ADCE-7887708AAC50}"/>
    <cellStyle name="Output 113" xfId="33006" xr:uid="{79A59AB3-E7EC-4BAB-9352-CD7CD386AEBE}"/>
    <cellStyle name="Output 114" xfId="33007" xr:uid="{70647310-2097-4F0A-B3BB-FEC34756B811}"/>
    <cellStyle name="Output 115" xfId="33008" xr:uid="{E1A62E21-8335-4711-9560-8BFB284651C7}"/>
    <cellStyle name="Output 116" xfId="33009" xr:uid="{478CBD40-29AE-48C6-B171-9BB3077E363C}"/>
    <cellStyle name="Output 117" xfId="33010" xr:uid="{63DFE73A-3266-46FE-B98C-895744F54F33}"/>
    <cellStyle name="Output 118" xfId="33011" xr:uid="{43D39E27-B46E-41CD-8156-CF91A2B7B3F2}"/>
    <cellStyle name="Output 119" xfId="33012" xr:uid="{0A5BF954-FB84-4241-9F74-ABF513DECCA5}"/>
    <cellStyle name="Output 12" xfId="33013" xr:uid="{9FBB0F57-5FFE-4D4E-B45A-61A4CE4BDBDA}"/>
    <cellStyle name="Output 12 2" xfId="39422" xr:uid="{5DEDA33F-25A7-47D1-96B0-2C2DFD952F50}"/>
    <cellStyle name="Output 12 3" xfId="39423" xr:uid="{C13A89F0-CB29-4E65-A6B8-3B711A58A0ED}"/>
    <cellStyle name="Output 120" xfId="33014" xr:uid="{01D20A20-E6DE-4AAE-8305-6A4168AF4C37}"/>
    <cellStyle name="Output 121" xfId="33015" xr:uid="{1DCEF57B-BFCB-41A7-B320-61153F977144}"/>
    <cellStyle name="Output 122" xfId="33016" xr:uid="{BA5A5DFA-433C-429F-A368-4F7E3E324A39}"/>
    <cellStyle name="Output 123" xfId="33017" xr:uid="{4E70780E-BCF0-4522-9E65-EF6977447B4A}"/>
    <cellStyle name="Output 124" xfId="33018" xr:uid="{907F5D9F-837F-4D62-9CC0-822226DC1570}"/>
    <cellStyle name="Output 125" xfId="33019" xr:uid="{FE771EE5-77C2-4ADE-A589-FE5F84E81D77}"/>
    <cellStyle name="Output 126" xfId="33020" xr:uid="{667A4F5D-B043-479E-9D7B-7B176F2FA07B}"/>
    <cellStyle name="Output 127" xfId="33021" xr:uid="{4565C9DE-E1F5-4D8D-9C1A-D471981EAA3C}"/>
    <cellStyle name="Output 128" xfId="33022" xr:uid="{03B3EFFC-6EA9-401C-B97E-EE1A4F534550}"/>
    <cellStyle name="Output 129" xfId="33023" xr:uid="{34330D71-AD8C-48C1-9E1B-BDAB0CDD201E}"/>
    <cellStyle name="Output 13" xfId="33024" xr:uid="{A074B24C-61F3-4CE5-A49B-053E236F6381}"/>
    <cellStyle name="Output 13 2" xfId="39424" xr:uid="{E7DB7F4B-EFF7-4608-A173-E618D026FA44}"/>
    <cellStyle name="Output 13 3" xfId="39425" xr:uid="{FA3B491E-D7F3-4C7A-8706-31FA73B54823}"/>
    <cellStyle name="Output 130" xfId="33025" xr:uid="{FAB3866E-C71E-438D-818E-272FCE53269E}"/>
    <cellStyle name="Output 131" xfId="33026" xr:uid="{37FD6596-CCCC-4BB4-BBA7-AB5DA0B5713F}"/>
    <cellStyle name="Output 132" xfId="33027" xr:uid="{6C0FF272-D247-4DF9-B284-DBC42C91539B}"/>
    <cellStyle name="Output 133" xfId="33028" xr:uid="{6DF9CDF2-AE2E-4F5B-AA00-497DC5CF28E1}"/>
    <cellStyle name="Output 134" xfId="33029" xr:uid="{07D0BB0E-A875-4ED3-93DD-69353CD52FA5}"/>
    <cellStyle name="Output 135" xfId="33030" xr:uid="{E6F9A4ED-C68A-49D2-8F67-74A26DACF6D1}"/>
    <cellStyle name="Output 136" xfId="33031" xr:uid="{A9A4CACF-DBC0-4573-A966-C6BB2E6320BD}"/>
    <cellStyle name="Output 137" xfId="33032" xr:uid="{D569305B-512F-4D09-A61B-D11A57C3F209}"/>
    <cellStyle name="Output 138" xfId="33033" xr:uid="{1CF714E8-5ED2-4292-A160-B59D6939BCEB}"/>
    <cellStyle name="Output 139" xfId="33034" xr:uid="{4C3BAE3E-1ED1-4952-8169-B531132B7E15}"/>
    <cellStyle name="Output 14" xfId="33035" xr:uid="{04D44F4D-D3DB-48A2-AA4E-2AC68E563618}"/>
    <cellStyle name="Output 14 2" xfId="39426" xr:uid="{324E89A8-2652-421E-A6F4-B237F2196B09}"/>
    <cellStyle name="Output 14 3" xfId="39427" xr:uid="{8B77B468-FC56-40A3-958F-8DBF393733A4}"/>
    <cellStyle name="Output 140" xfId="33036" xr:uid="{53038628-48FC-40A4-AAA1-A0B6E5851FD5}"/>
    <cellStyle name="Output 141" xfId="33037" xr:uid="{22D8C70F-276A-4222-AA91-AD00EAE3E3F2}"/>
    <cellStyle name="Output 142" xfId="33038" xr:uid="{5F4A21CE-3076-46C4-BA13-F455F169E880}"/>
    <cellStyle name="Output 143" xfId="33039" xr:uid="{D698EEFD-2A2A-4F15-A9E3-1E1C744DFE90}"/>
    <cellStyle name="Output 144" xfId="33040" xr:uid="{5BB84182-2ABB-4CC7-AF80-221FBBF6A1D5}"/>
    <cellStyle name="Output 145" xfId="33041" xr:uid="{91321B26-A6C3-4568-8AFB-54522E17FBB1}"/>
    <cellStyle name="Output 146" xfId="33042" xr:uid="{07E53625-157D-4FDF-9412-25EED31CDAED}"/>
    <cellStyle name="Output 147" xfId="33043" xr:uid="{6F849037-D84B-4A9D-A689-A5859F719A20}"/>
    <cellStyle name="Output 148" xfId="33044" xr:uid="{CFCC90A5-2245-43DE-BDE1-11365ED89792}"/>
    <cellStyle name="Output 149" xfId="33045" xr:uid="{3AA79B0F-3822-4F78-A931-5B9981253FD2}"/>
    <cellStyle name="Output 15" xfId="33046" xr:uid="{91E25E68-D0F9-4DAC-B09D-46FBE7ECE00D}"/>
    <cellStyle name="Output 15 2" xfId="39428" xr:uid="{9B1D89D2-E508-4D0E-AF3C-AE31A8887DB2}"/>
    <cellStyle name="Output 15 3" xfId="39429" xr:uid="{FD2C1D61-E641-4AFE-AD3C-00CFE36F00CB}"/>
    <cellStyle name="Output 150" xfId="33047" xr:uid="{C9523244-A032-428B-AABD-7C621448709C}"/>
    <cellStyle name="Output 151" xfId="33048" xr:uid="{07090C03-630E-4DDE-997C-06947EAFB1AF}"/>
    <cellStyle name="Output 152" xfId="33049" xr:uid="{219DAC84-8C53-411B-A050-071CD4795A6A}"/>
    <cellStyle name="Output 153" xfId="33050" xr:uid="{D25FF754-0DF2-40C9-BDA0-8CF8BA456363}"/>
    <cellStyle name="Output 154" xfId="33051" xr:uid="{1147464A-8C0D-480B-B19E-E6510463C463}"/>
    <cellStyle name="Output 155" xfId="33052" xr:uid="{193C2501-D9A1-455D-A64B-D26CFF1FFA98}"/>
    <cellStyle name="Output 156" xfId="33053" xr:uid="{B7EFB3FB-F94F-4FF6-A849-3A871211BDE8}"/>
    <cellStyle name="Output 157" xfId="33054" xr:uid="{AFCBDA24-4F52-407D-B422-3BBFB67C6219}"/>
    <cellStyle name="Output 158" xfId="33055" xr:uid="{AE567EF6-BF22-480F-AAE0-9430183E3ABB}"/>
    <cellStyle name="Output 159" xfId="33056" xr:uid="{8DB57EF7-A88C-4421-8A89-18E006D9B293}"/>
    <cellStyle name="Output 16" xfId="33057" xr:uid="{5DC2BB92-1C98-4A03-86BC-C8A2D9097D4F}"/>
    <cellStyle name="Output 16 2" xfId="39430" xr:uid="{B04F3958-2CC9-4554-82CC-42D7C979EE71}"/>
    <cellStyle name="Output 16 3" xfId="39431" xr:uid="{7937E339-723A-4DC4-9570-50F967DF9E60}"/>
    <cellStyle name="Output 160" xfId="33058" xr:uid="{2D125531-1BB9-4A0D-BEBD-C4B5AE1B4A8C}"/>
    <cellStyle name="Output 17" xfId="33059" xr:uid="{8CC891E8-B5C8-451B-AFA4-047CBD2FA477}"/>
    <cellStyle name="Output 17 2" xfId="39432" xr:uid="{F891B89F-67AD-4BA7-BE43-5C6281022BF8}"/>
    <cellStyle name="Output 17 3" xfId="39433" xr:uid="{D75E7C54-226F-4873-9079-8D999520E30A}"/>
    <cellStyle name="Output 18" xfId="33060" xr:uid="{88B4BB4A-B2C4-48A5-854C-0C54B4A108F5}"/>
    <cellStyle name="Output 18 2" xfId="39434" xr:uid="{E01462D7-F0F6-4DDF-8BE3-BAB3076ED167}"/>
    <cellStyle name="Output 18 3" xfId="39435" xr:uid="{312A4113-3FC6-46D9-8F59-92A3AEBF07AF}"/>
    <cellStyle name="Output 19" xfId="33061" xr:uid="{E2D06E0D-81E4-49E2-ABEC-9AB851DB945B}"/>
    <cellStyle name="Output 19 2" xfId="39436" xr:uid="{708EEA76-1DA8-4008-A8A1-1A71F12DD0E4}"/>
    <cellStyle name="Output 2" xfId="33062" xr:uid="{59D8658D-F907-4BAA-8CDA-FA03D7076083}"/>
    <cellStyle name="Output 2 2" xfId="33063" xr:uid="{2EC80D80-8692-40E1-96E2-6FF05723A8BD}"/>
    <cellStyle name="Output 2 2 2" xfId="39437" xr:uid="{E7BC7634-6C40-4476-A64A-5605832F016D}"/>
    <cellStyle name="Output 2 3" xfId="39438" xr:uid="{45DF1D1B-EB54-4582-B311-FA2AA9A16284}"/>
    <cellStyle name="Output 2 4" xfId="39439" xr:uid="{0C67FD49-0A0E-44A8-9F2D-4803A45075BC}"/>
    <cellStyle name="Output 2 5" xfId="39440" xr:uid="{F076DF3E-57E5-4926-BDB6-C5E6CBC42946}"/>
    <cellStyle name="Output 20" xfId="33064" xr:uid="{7D05B62F-5F43-40D2-8F85-51CADA37C862}"/>
    <cellStyle name="Output 20 2" xfId="39441" xr:uid="{D534A218-7E31-4F99-BFF1-6E5E99017A73}"/>
    <cellStyle name="Output 21" xfId="33065" xr:uid="{59EBEF7A-A34E-4C33-ACD1-C67A79B9420C}"/>
    <cellStyle name="Output 21 2" xfId="39442" xr:uid="{1F02D8B2-6711-4C4B-B13B-411C54639209}"/>
    <cellStyle name="Output 22" xfId="33066" xr:uid="{6B8C8E11-A096-4B7F-A24E-BE083D7224D7}"/>
    <cellStyle name="Output 22 2" xfId="39443" xr:uid="{381998F0-B61F-4CC8-9C72-AC36302794EA}"/>
    <cellStyle name="Output 23" xfId="33067" xr:uid="{11F2A054-7B68-436E-998D-BD06AE19CCF2}"/>
    <cellStyle name="Output 23 2" xfId="39444" xr:uid="{9AA2DAFB-B09B-491C-BC32-F2516815BAF2}"/>
    <cellStyle name="Output 24" xfId="33068" xr:uid="{336E94AA-C8EF-49F7-99C7-E11B87E09D53}"/>
    <cellStyle name="Output 24 2" xfId="39445" xr:uid="{65BC7BE2-063D-4A57-B049-1D0D643E46CE}"/>
    <cellStyle name="Output 25" xfId="33069" xr:uid="{8376C732-11EC-43CA-823F-6B7B267C6627}"/>
    <cellStyle name="Output 25 2" xfId="39446" xr:uid="{F7A2D274-849B-49AE-9C79-CBCE65CDDC7D}"/>
    <cellStyle name="Output 26" xfId="33070" xr:uid="{53789A0F-A47B-41F7-91B2-661D6B76EB5B}"/>
    <cellStyle name="Output 26 2" xfId="39447" xr:uid="{0A0992A9-924B-4A5E-9F24-96645A3AB9D0}"/>
    <cellStyle name="Output 27" xfId="33071" xr:uid="{13F06557-B86F-4584-934C-FC6CB51B1E48}"/>
    <cellStyle name="Output 27 2" xfId="39448" xr:uid="{5D7A4BCC-A6CB-4B57-904E-2A051356B055}"/>
    <cellStyle name="Output 28" xfId="33072" xr:uid="{C731B53E-08A3-42F9-8B55-615169254C8C}"/>
    <cellStyle name="Output 28 2" xfId="39449" xr:uid="{44E19966-663C-41D6-A5C3-ACD5B8A28FD3}"/>
    <cellStyle name="Output 29" xfId="33073" xr:uid="{7C030683-CA32-4031-9D7A-63A14677EFAE}"/>
    <cellStyle name="Output 29 2" xfId="33074" xr:uid="{C94F9CE1-D506-4972-AFCC-D54997B99C74}"/>
    <cellStyle name="Output 29 3" xfId="39450" xr:uid="{89B2C116-E765-41BC-8F76-BE327A9802D8}"/>
    <cellStyle name="Output 3" xfId="33075" xr:uid="{457A1937-4C80-498B-A0DA-38B0D00F6A32}"/>
    <cellStyle name="Output 3 2" xfId="33076" xr:uid="{569D6DC1-93C7-4C16-9997-0F0AC932F822}"/>
    <cellStyle name="Output 3 3" xfId="39451" xr:uid="{473E7DF3-5D21-4B1D-8A3B-30EEDD547D1D}"/>
    <cellStyle name="Output 3 4" xfId="39452" xr:uid="{0ABD544E-03B4-4535-BA19-77A62B1E78F9}"/>
    <cellStyle name="Output 30" xfId="33077" xr:uid="{F9844B06-4B4A-4663-A3CA-8143567C5D7C}"/>
    <cellStyle name="Output 30 2" xfId="39453" xr:uid="{DED7B63E-73BB-4D48-9A30-308B5EDCAFBE}"/>
    <cellStyle name="Output 31" xfId="33078" xr:uid="{58C5DA21-0427-4AC1-A4B5-1D3728D727E1}"/>
    <cellStyle name="Output 32" xfId="33079" xr:uid="{756FFCA3-E924-4CB9-B633-B2CF6624E761}"/>
    <cellStyle name="Output 33" xfId="33080" xr:uid="{A313788C-54E2-4C4B-AEC3-8F0AB0876AEB}"/>
    <cellStyle name="Output 34" xfId="33081" xr:uid="{EADE8B89-1029-4920-A038-856450D889B0}"/>
    <cellStyle name="Output 35" xfId="33082" xr:uid="{C9EA8FC5-84A8-4164-B14C-DD4B8F772558}"/>
    <cellStyle name="Output 36" xfId="33083" xr:uid="{0C5DAB52-C899-43DE-ABBB-2A61B94D8EAC}"/>
    <cellStyle name="Output 37" xfId="33084" xr:uid="{7796EC63-C6B3-4F43-8369-0DCBD0BA3D4D}"/>
    <cellStyle name="Output 38" xfId="33085" xr:uid="{AC13FE02-3F1D-4DBA-BC89-47B9A29B690C}"/>
    <cellStyle name="Output 39" xfId="33086" xr:uid="{CA8FDE96-D5AD-4018-BD27-D6754FF03223}"/>
    <cellStyle name="Output 4" xfId="33087" xr:uid="{EC35D95C-1ED1-4995-8F8B-E1EC3D4A2165}"/>
    <cellStyle name="Output 4 2" xfId="39454" xr:uid="{1B12B720-E9AF-43E9-A794-2B75C1FD8162}"/>
    <cellStyle name="Output 4 3" xfId="39455" xr:uid="{77F8809C-575B-4F1E-AB91-58C001386085}"/>
    <cellStyle name="Output 40" xfId="33088" xr:uid="{7209263A-8A14-4A51-998B-81C8B1E462F6}"/>
    <cellStyle name="Output 41" xfId="33089" xr:uid="{D06D971F-1633-4169-B46D-BD8A9B73E3EF}"/>
    <cellStyle name="Output 42" xfId="33090" xr:uid="{C23CA079-3AAD-48FB-93C1-4DAEB01AE034}"/>
    <cellStyle name="Output 43" xfId="33091" xr:uid="{072790A4-E9DB-4297-9C92-7F77E748FA42}"/>
    <cellStyle name="Output 44" xfId="33092" xr:uid="{3FEDC2DB-1DA5-4230-AA32-DD073A2A257E}"/>
    <cellStyle name="Output 45" xfId="33093" xr:uid="{99F76BA4-FE10-464C-A20C-F7B37F2DF5AD}"/>
    <cellStyle name="Output 46" xfId="33094" xr:uid="{F98E1F15-A5E3-4AA3-9E73-D9CF0A0C6DC6}"/>
    <cellStyle name="Output 47" xfId="33095" xr:uid="{8847A844-F7F1-49FF-9C11-5EF1348659C6}"/>
    <cellStyle name="Output 48" xfId="33096" xr:uid="{FAAAD9B6-7BA7-471A-A905-88B61293D6A8}"/>
    <cellStyle name="Output 49" xfId="33097" xr:uid="{EE0FEC5E-608C-4881-B85E-21466A2F5122}"/>
    <cellStyle name="Output 5" xfId="33098" xr:uid="{1F4063BF-D710-4066-9E50-42BF45959EFA}"/>
    <cellStyle name="Output 5 2" xfId="39456" xr:uid="{D118E097-5471-45C1-BBFF-45B3FACF8ED5}"/>
    <cellStyle name="Output 5 3" xfId="39457" xr:uid="{D4F2C5A8-0936-4170-B7BF-A2F67572D09D}"/>
    <cellStyle name="Output 50" xfId="33099" xr:uid="{41A06256-FDAD-4290-AD66-4482B742C81F}"/>
    <cellStyle name="Output 51" xfId="33100" xr:uid="{CE4D4978-5C6E-4FC1-B33A-2F4FF88E3AD3}"/>
    <cellStyle name="Output 52" xfId="33101" xr:uid="{1DC314C3-8821-41BE-9DBF-7E460A8EA8BD}"/>
    <cellStyle name="Output 53" xfId="33102" xr:uid="{3A376864-E0A4-41A9-A8A2-AF7526A14239}"/>
    <cellStyle name="Output 54" xfId="33103" xr:uid="{397229CE-4AAC-42CF-BCF3-200C4F089084}"/>
    <cellStyle name="Output 55" xfId="33104" xr:uid="{6ACB4BDD-AAEE-41E1-B733-AF49B0AA824F}"/>
    <cellStyle name="Output 56" xfId="33105" xr:uid="{C6EE5682-E860-421C-BF0A-3D6A24A241BB}"/>
    <cellStyle name="Output 57" xfId="33106" xr:uid="{5CC3DE40-E559-497A-8B54-564B328B022A}"/>
    <cellStyle name="Output 58" xfId="33107" xr:uid="{5BF172C3-EE52-4C2B-A601-B8904204D992}"/>
    <cellStyle name="Output 59" xfId="33108" xr:uid="{D94F3D12-F02D-44AC-AE5C-1B7C2D920C82}"/>
    <cellStyle name="Output 6" xfId="33109" xr:uid="{59141469-827F-4D80-B5FB-EA9A6508B911}"/>
    <cellStyle name="Output 6 2" xfId="39458" xr:uid="{716881F6-DC7C-488F-BE29-4134A64B7582}"/>
    <cellStyle name="Output 6 3" xfId="39459" xr:uid="{707F57CB-1E04-4D52-A14D-A9F500E01D3C}"/>
    <cellStyle name="Output 60" xfId="33110" xr:uid="{5603ED2D-2594-40B2-8BF0-A9987AA78301}"/>
    <cellStyle name="Output 61" xfId="33111" xr:uid="{D1A6D307-2B67-44D4-B1F3-47A752CB2196}"/>
    <cellStyle name="Output 62" xfId="33112" xr:uid="{EECC8F3E-0239-42FE-B354-6194F073B510}"/>
    <cellStyle name="Output 63" xfId="33113" xr:uid="{F8F0B106-AB6F-447D-8191-5859AF57C751}"/>
    <cellStyle name="Output 64" xfId="33114" xr:uid="{1E441639-41D0-42CF-A5D0-E7245CF1BD2D}"/>
    <cellStyle name="Output 65" xfId="33115" xr:uid="{DBEA3BFC-9C67-4E71-8C23-1BF0F6C2026B}"/>
    <cellStyle name="Output 66" xfId="33116" xr:uid="{49843324-477F-4051-9489-7B2CCBFA3A82}"/>
    <cellStyle name="Output 67" xfId="33117" xr:uid="{040E4E26-5CE4-4F63-BECC-FDC310C26B3A}"/>
    <cellStyle name="Output 68" xfId="33118" xr:uid="{1A12C018-E7DC-4DE8-839F-C4780F4BEE92}"/>
    <cellStyle name="Output 69" xfId="33119" xr:uid="{B3797A29-BA2E-48C3-BBDD-8712D78BDBCC}"/>
    <cellStyle name="Output 7" xfId="33120" xr:uid="{849EFF70-1746-4604-8EC2-7681CCC36827}"/>
    <cellStyle name="Output 7 2" xfId="39460" xr:uid="{8AB0ACBF-BC8B-496D-BC9C-B39313EB6125}"/>
    <cellStyle name="Output 7 3" xfId="39461" xr:uid="{786F3E2C-6CFE-4EF9-9F3B-55F653AD42D8}"/>
    <cellStyle name="Output 70" xfId="33121" xr:uid="{3C72BADD-E3E4-4F3D-A155-678298FEC20F}"/>
    <cellStyle name="Output 71" xfId="33122" xr:uid="{9526F414-14A7-4CCD-8D05-97C2854236B6}"/>
    <cellStyle name="Output 72" xfId="33123" xr:uid="{109A450F-7966-4858-BFAF-3B7DB5B80201}"/>
    <cellStyle name="Output 73" xfId="33124" xr:uid="{95C68C4B-3FCA-47DF-9C98-90DB1F621599}"/>
    <cellStyle name="Output 74" xfId="33125" xr:uid="{D60375DA-09A6-4AE1-90FA-08C057121BAC}"/>
    <cellStyle name="Output 75" xfId="33126" xr:uid="{4FEA08D2-79A7-4CBE-857F-6B5EA03EED81}"/>
    <cellStyle name="Output 76" xfId="33127" xr:uid="{96F3E24E-AE67-4696-A137-A07E3E8600EF}"/>
    <cellStyle name="Output 77" xfId="33128" xr:uid="{3F3C92F4-76C1-4379-B361-AA87FD37FFD0}"/>
    <cellStyle name="Output 78" xfId="33129" xr:uid="{E8A83852-7791-49B7-A4C2-98E88D6FB53E}"/>
    <cellStyle name="Output 79" xfId="33130" xr:uid="{2482BA08-F55B-4838-BC4A-2AA530EB311A}"/>
    <cellStyle name="Output 8" xfId="33131" xr:uid="{688AE5AC-D54C-4CF2-978B-277D2A977F5F}"/>
    <cellStyle name="Output 8 2" xfId="39462" xr:uid="{E97DE086-3F86-4553-81F1-E7A3CC2CE8D8}"/>
    <cellStyle name="Output 8 3" xfId="39463" xr:uid="{D753EFF0-B107-4094-AE97-BA274E547498}"/>
    <cellStyle name="Output 80" xfId="33132" xr:uid="{C3D016B3-D7A2-471D-9D01-12B9B38A923C}"/>
    <cellStyle name="Output 81" xfId="33133" xr:uid="{366149E7-3534-4E16-AFC3-5363B93154A9}"/>
    <cellStyle name="Output 82" xfId="33134" xr:uid="{4B1F7169-77EB-4338-A919-4CA5163CB758}"/>
    <cellStyle name="Output 83" xfId="33135" xr:uid="{FC65AE75-8738-44D8-9365-FCCEC3FE7EAF}"/>
    <cellStyle name="Output 84" xfId="33136" xr:uid="{046D7F45-F5D6-4DC0-AFEB-4344B672FB45}"/>
    <cellStyle name="Output 85" xfId="33137" xr:uid="{6F6FA9EB-DF9C-418B-A485-D22CA1BC5A3E}"/>
    <cellStyle name="Output 86" xfId="33138" xr:uid="{AC030043-C85B-49AF-9D7E-927C1342E81E}"/>
    <cellStyle name="Output 87" xfId="33139" xr:uid="{64721AE5-087E-4875-8837-101FDD7E0306}"/>
    <cellStyle name="Output 88" xfId="33140" xr:uid="{158C23E8-6293-455D-B55E-A61FD4DBADDA}"/>
    <cellStyle name="Output 89" xfId="33141" xr:uid="{06B46513-5C5E-487D-BBCC-9F9C986EB6C5}"/>
    <cellStyle name="Output 9" xfId="33142" xr:uid="{3A73281C-FFC8-4D43-BF01-C30058BE0453}"/>
    <cellStyle name="Output 9 2" xfId="39464" xr:uid="{8DB094AC-EC67-4E98-B053-7E17ACBE504F}"/>
    <cellStyle name="Output 9 3" xfId="39465" xr:uid="{811088E7-2243-444C-AC46-E5AF17FCC3B2}"/>
    <cellStyle name="Output 90" xfId="33143" xr:uid="{2A14E5A8-5DFF-433E-AD35-43D198FB17AD}"/>
    <cellStyle name="Output 91" xfId="33144" xr:uid="{05B3EDD8-B292-4B50-B8E0-2D863508957D}"/>
    <cellStyle name="Output 92" xfId="33145" xr:uid="{308AEA14-2CE8-49BC-B824-48A30C6509EF}"/>
    <cellStyle name="Output 93" xfId="33146" xr:uid="{C0E84C93-DD21-458C-BEB4-5DC774CDB074}"/>
    <cellStyle name="Output 94" xfId="33147" xr:uid="{C6B6C69E-AAFA-4C2E-8FBD-901236D7FC05}"/>
    <cellStyle name="Output 95" xfId="33148" xr:uid="{B2599E0F-1AFD-4266-BA95-9B637FB65042}"/>
    <cellStyle name="Output 96" xfId="33149" xr:uid="{DD589B58-5DC5-4EBB-B9E5-9109C2A21A28}"/>
    <cellStyle name="Output 97" xfId="33150" xr:uid="{27CF27BD-6334-45C7-8738-F05405F7A40B}"/>
    <cellStyle name="Output 98" xfId="33151" xr:uid="{55380D2A-0668-41C7-B8E1-6F9D7E85E2D5}"/>
    <cellStyle name="Output 99" xfId="33152" xr:uid="{4B3A341A-85BD-4A46-AC43-FA280F96500D}"/>
    <cellStyle name="Percent" xfId="12" builtinId="5" customBuiltin="1"/>
    <cellStyle name="Percent [0]" xfId="73" xr:uid="{00000000-0005-0000-0000-000041000000}"/>
    <cellStyle name="Percent [0] 2" xfId="33153" xr:uid="{AD92BE1C-93A3-44CC-8217-169262C29778}"/>
    <cellStyle name="Percent [00]" xfId="33154" xr:uid="{0CFE0BA8-88BB-42EF-A21C-4BD06AE23099}"/>
    <cellStyle name="Percent [2]" xfId="33155" xr:uid="{59909306-C38D-475A-8F54-F35BCEED2735}"/>
    <cellStyle name="Percent [2] 2" xfId="33156" xr:uid="{B6B344AB-1F50-445A-9090-78588DC455C9}"/>
    <cellStyle name="Percent +/-" xfId="33157" xr:uid="{A2BD5BC9-D1B0-40BF-BC40-57A11BF72529}"/>
    <cellStyle name="Percent 10" xfId="33158" xr:uid="{37EC5E9D-66D6-4F74-A601-9505E330E55D}"/>
    <cellStyle name="Percent 10 2" xfId="33159" xr:uid="{8906C7A6-982B-4611-8D82-42C058DB2AF2}"/>
    <cellStyle name="Percent 10 2 2" xfId="33160" xr:uid="{2ABB0689-2B6E-42CB-8E5C-9662462449FE}"/>
    <cellStyle name="Percent 10 2 2 2" xfId="33161" xr:uid="{0213936B-10CC-4BEC-8A7F-F7C78FCADA0C}"/>
    <cellStyle name="Percent 10 2 2 2 2" xfId="33162" xr:uid="{54B5525A-EC7C-4C81-91EA-DD13FC18B52C}"/>
    <cellStyle name="Percent 10 2 2 3" xfId="33163" xr:uid="{E132F42E-0154-4A51-ADB8-5C66292EF14A}"/>
    <cellStyle name="Percent 10 2 3" xfId="33164" xr:uid="{BA211958-E879-4205-ADC8-23DFD8F19A89}"/>
    <cellStyle name="Percent 10 2 3 2" xfId="33165" xr:uid="{B268CBDA-3555-4FEA-9604-A21D4675EC46}"/>
    <cellStyle name="Percent 10 2 3 2 2" xfId="33166" xr:uid="{C97DCB1E-7C9D-47D2-9D0C-BC6A800F4F2B}"/>
    <cellStyle name="Percent 10 2 3 3" xfId="33167" xr:uid="{C5EF4275-741C-4436-BA19-66A502ED39FB}"/>
    <cellStyle name="Percent 10 2 4" xfId="33168" xr:uid="{D7D7DEA2-8D54-45F9-B56B-4B162541A4C7}"/>
    <cellStyle name="Percent 10 2 4 2" xfId="33169" xr:uid="{E809AB82-0DCE-4F17-B327-20DCF82991D8}"/>
    <cellStyle name="Percent 10 2 5" xfId="33170" xr:uid="{446CDDE9-9820-47BF-A6BF-B2568A07C196}"/>
    <cellStyle name="Percent 10 3" xfId="33171" xr:uid="{0580B71D-DC55-490F-B79B-73E9E520B79B}"/>
    <cellStyle name="Percent 10 3 2" xfId="33172" xr:uid="{ADF7DEE7-CC32-40B2-A185-396238508456}"/>
    <cellStyle name="Percent 10 3 2 2" xfId="33173" xr:uid="{44A68AAB-0DA5-46BD-8510-7E22E447EA68}"/>
    <cellStyle name="Percent 10 3 3" xfId="33174" xr:uid="{048BC00F-FCD4-4431-A024-D2F471309DA5}"/>
    <cellStyle name="Percent 10 4" xfId="33175" xr:uid="{17B78B69-EF16-45EB-A902-F19CD84931F9}"/>
    <cellStyle name="Percent 10 4 2" xfId="33176" xr:uid="{6B492774-BBB7-4847-9611-7C4AA747610F}"/>
    <cellStyle name="Percent 10 4 2 2" xfId="33177" xr:uid="{A741C00E-160F-40CD-BD27-DFAB5CF3C3CF}"/>
    <cellStyle name="Percent 10 4 3" xfId="33178" xr:uid="{C6C8F904-699E-47D6-B05B-0666B122B713}"/>
    <cellStyle name="Percent 10 5" xfId="33179" xr:uid="{E0417E79-57B7-4627-B3C9-27D23270E2D1}"/>
    <cellStyle name="Percent 10 5 2" xfId="33180" xr:uid="{4DFC3304-B5B2-4B6D-A0C5-9BCE75F27BCC}"/>
    <cellStyle name="Percent 10 6" xfId="33181" xr:uid="{BF35802D-8421-4051-961C-2B2D20888E27}"/>
    <cellStyle name="Percent 11" xfId="33182" xr:uid="{9776F436-4798-4A19-84FA-645596CE5446}"/>
    <cellStyle name="Percent 11 2" xfId="33183" xr:uid="{63D9EE5F-D570-490A-A3D9-F909AC618B30}"/>
    <cellStyle name="Percent 11 2 2" xfId="33184" xr:uid="{DFE93912-D5FA-43B0-B908-EE7A92842936}"/>
    <cellStyle name="Percent 11 2 2 2" xfId="33185" xr:uid="{54D0D44D-ABFA-431A-8D3A-9F8FA2E1FDC3}"/>
    <cellStyle name="Percent 11 2 2 2 2" xfId="33186" xr:uid="{B9C13ACE-FBD2-4B90-B19A-68B68E363376}"/>
    <cellStyle name="Percent 11 2 2 3" xfId="33187" xr:uid="{CE897073-BE8B-4220-B0CA-79A3F67BFB84}"/>
    <cellStyle name="Percent 11 2 3" xfId="33188" xr:uid="{25F731DC-6E3B-4935-8B06-F8C64CE6C0EA}"/>
    <cellStyle name="Percent 11 2 3 2" xfId="33189" xr:uid="{A357AE4A-63FF-4818-9388-5D50FE4939EB}"/>
    <cellStyle name="Percent 11 2 3 2 2" xfId="33190" xr:uid="{186FC0F5-17AD-4827-8CFA-09F71E35E3B7}"/>
    <cellStyle name="Percent 11 2 3 3" xfId="33191" xr:uid="{229D52B8-1664-473C-8FCA-21C6F3C85E22}"/>
    <cellStyle name="Percent 11 2 4" xfId="33192" xr:uid="{0ED973CB-2B30-469D-964E-EFB5C9484100}"/>
    <cellStyle name="Percent 11 2 4 2" xfId="33193" xr:uid="{588A0969-7709-4967-9A36-6D7339385935}"/>
    <cellStyle name="Percent 11 2 5" xfId="33194" xr:uid="{727E1B5E-5E17-48D7-A418-529F278C861F}"/>
    <cellStyle name="Percent 11 3" xfId="33195" xr:uid="{11DC5544-F4F9-4148-8ED7-E7DA6363D757}"/>
    <cellStyle name="Percent 11 3 2" xfId="33196" xr:uid="{2A554A33-60F2-435B-BD4A-54F7D6F3FA35}"/>
    <cellStyle name="Percent 11 3 2 2" xfId="33197" xr:uid="{5AD2B043-C651-40F3-BFB1-2844837BD152}"/>
    <cellStyle name="Percent 11 3 3" xfId="33198" xr:uid="{3E6330B1-4E30-4F0B-9B20-0F774BC3EA51}"/>
    <cellStyle name="Percent 11 4" xfId="33199" xr:uid="{B481B7D5-30FD-485A-BF45-BBCDB6420A6A}"/>
    <cellStyle name="Percent 11 4 2" xfId="33200" xr:uid="{3BCDBE2C-FC01-499E-AD12-513DBDF6554A}"/>
    <cellStyle name="Percent 11 4 2 2" xfId="33201" xr:uid="{FD007004-CB74-4326-BD24-651A14BDFEDC}"/>
    <cellStyle name="Percent 11 4 3" xfId="33202" xr:uid="{ECDE93E2-496D-4BE0-ABF8-30B4E8065BF6}"/>
    <cellStyle name="Percent 11 5" xfId="33203" xr:uid="{D79B406B-7212-4458-B211-6142FF12DD65}"/>
    <cellStyle name="Percent 11 5 2" xfId="33204" xr:uid="{642E5C08-783B-437D-B43C-1A28AE5C2314}"/>
    <cellStyle name="Percent 11 6" xfId="33205" xr:uid="{1DCC9004-7412-488E-B85E-0E864FFF8D84}"/>
    <cellStyle name="Percent 12" xfId="33206" xr:uid="{7892B780-E558-4C25-A288-B510273F6BFF}"/>
    <cellStyle name="Percent 12 2" xfId="33207" xr:uid="{CC31208A-E9B5-49D1-97FF-BAF49E5E14AA}"/>
    <cellStyle name="Percent 12 2 2" xfId="33208" xr:uid="{7390B8B2-CCC3-48EF-B3A0-D02A23523600}"/>
    <cellStyle name="Percent 12 2 2 2" xfId="33209" xr:uid="{BC622DD3-65AA-4FEF-985D-5A0DEE79F8CD}"/>
    <cellStyle name="Percent 12 2 2 2 2" xfId="33210" xr:uid="{F4E37003-8620-4E11-92BA-0F8B3E93A1F4}"/>
    <cellStyle name="Percent 12 2 2 3" xfId="33211" xr:uid="{82572850-6ACD-4455-8F97-C159450AF108}"/>
    <cellStyle name="Percent 12 2 3" xfId="33212" xr:uid="{4621AA2A-0BB1-4B98-BBE3-D9F137C6072B}"/>
    <cellStyle name="Percent 12 2 3 2" xfId="33213" xr:uid="{847E1708-1E5B-4497-9E59-209883C7BB9C}"/>
    <cellStyle name="Percent 12 2 3 2 2" xfId="33214" xr:uid="{D1A79193-B970-4534-B04C-C3686F00C980}"/>
    <cellStyle name="Percent 12 2 3 3" xfId="33215" xr:uid="{F83AE856-209D-4985-8A1D-3837462557BE}"/>
    <cellStyle name="Percent 12 2 4" xfId="33216" xr:uid="{32C6E778-DC38-4ED1-A148-5A1DA133B34F}"/>
    <cellStyle name="Percent 12 2 4 2" xfId="33217" xr:uid="{F8B19170-EF83-4FA1-8BD7-C81B46AE1FE8}"/>
    <cellStyle name="Percent 12 2 5" xfId="33218" xr:uid="{B8063200-66EF-4E6A-ADEF-C8B3CFCCDD18}"/>
    <cellStyle name="Percent 12 3" xfId="33219" xr:uid="{073F7477-4A37-42D1-AB89-CD837ED6BCF9}"/>
    <cellStyle name="Percent 12 3 2" xfId="33220" xr:uid="{E027BCFA-8186-4EA7-BAFA-31D27895CE9F}"/>
    <cellStyle name="Percent 12 3 2 2" xfId="33221" xr:uid="{56B7C995-9C00-4490-AC30-119F78F6B622}"/>
    <cellStyle name="Percent 12 3 3" xfId="33222" xr:uid="{857ECD95-C88D-4C48-8F13-148363D088CF}"/>
    <cellStyle name="Percent 12 4" xfId="33223" xr:uid="{6EE4F17C-F57E-44FA-8024-2348CAA18597}"/>
    <cellStyle name="Percent 12 4 2" xfId="33224" xr:uid="{511273F2-D2AE-4834-B667-C7FDC90BA315}"/>
    <cellStyle name="Percent 12 4 2 2" xfId="33225" xr:uid="{17D76B1E-673E-4BC7-903B-67B5923CEC08}"/>
    <cellStyle name="Percent 12 4 3" xfId="33226" xr:uid="{D6073909-C8FB-4152-A707-2A1F54161F0C}"/>
    <cellStyle name="Percent 12 5" xfId="33227" xr:uid="{89072CFB-855C-4ED3-ABB3-E9D6D4F6E81E}"/>
    <cellStyle name="Percent 12 5 2" xfId="33228" xr:uid="{825FEE19-EB17-4C1B-BD4A-2B84D260CBA3}"/>
    <cellStyle name="Percent 12 6" xfId="33229" xr:uid="{052253CC-58A8-482A-A327-0D40F6CF27F7}"/>
    <cellStyle name="Percent 13" xfId="33230" xr:uid="{4FB36A87-1C40-420C-8D98-31A65451482B}"/>
    <cellStyle name="Percent 13 2" xfId="33231" xr:uid="{3D724215-FC82-4885-96D1-C7DC23207792}"/>
    <cellStyle name="Percent 13 2 2" xfId="33232" xr:uid="{9C8194FF-95FF-4721-AC62-B42053B1D225}"/>
    <cellStyle name="Percent 13 2 2 2" xfId="33233" xr:uid="{BFBD7F96-509D-4D0B-BF5F-8501D050D33C}"/>
    <cellStyle name="Percent 13 2 2 2 2" xfId="33234" xr:uid="{CF6BE931-E780-41A4-83FE-F1CAA457B51B}"/>
    <cellStyle name="Percent 13 2 2 3" xfId="33235" xr:uid="{553B24DB-DB3A-4A8D-B34C-6E07120B6824}"/>
    <cellStyle name="Percent 13 2 3" xfId="33236" xr:uid="{C9F8CC70-398B-4ED1-8F39-35480125AF20}"/>
    <cellStyle name="Percent 13 2 3 2" xfId="33237" xr:uid="{EDCDBA9E-6764-43B4-98FF-2B40B3ABD85A}"/>
    <cellStyle name="Percent 13 2 3 2 2" xfId="33238" xr:uid="{ED559B80-04D3-4D8E-AB83-6B41AF23167A}"/>
    <cellStyle name="Percent 13 2 3 3" xfId="33239" xr:uid="{4AB76D06-1B77-439D-A488-94A8F36BD5D8}"/>
    <cellStyle name="Percent 13 2 4" xfId="33240" xr:uid="{EDBBD16A-07F2-49B5-9B0D-0E7925D4634F}"/>
    <cellStyle name="Percent 13 2 4 2" xfId="33241" xr:uid="{9FC2DC4F-7978-4DE0-977D-9C3D730AB708}"/>
    <cellStyle name="Percent 13 2 5" xfId="33242" xr:uid="{16D7368E-6258-4233-93A3-81111C38E416}"/>
    <cellStyle name="Percent 13 3" xfId="33243" xr:uid="{F430A541-B4DD-4775-BA69-8AE1DB4F4115}"/>
    <cellStyle name="Percent 13 3 2" xfId="33244" xr:uid="{9739D59C-396B-4C56-BC69-E69A5BAA451D}"/>
    <cellStyle name="Percent 13 3 2 2" xfId="33245" xr:uid="{7ED20ECB-ED20-44A7-9262-5119C5A9D478}"/>
    <cellStyle name="Percent 13 3 3" xfId="33246" xr:uid="{5E1660A6-FE5F-4438-878B-EE251E2ED90B}"/>
    <cellStyle name="Percent 13 4" xfId="33247" xr:uid="{EB51A9BE-BF15-4B26-9B77-EA2E6EB7ABDA}"/>
    <cellStyle name="Percent 13 4 2" xfId="33248" xr:uid="{5CECC159-7F14-40A2-A0F3-EB90E452BB51}"/>
    <cellStyle name="Percent 13 4 2 2" xfId="33249" xr:uid="{6668294D-7DB9-48EA-A60D-19871C2ED3C4}"/>
    <cellStyle name="Percent 13 4 3" xfId="33250" xr:uid="{2D6F54D6-8FB3-48BB-A57F-C6AB26A9F5CF}"/>
    <cellStyle name="Percent 13 5" xfId="33251" xr:uid="{B67574CA-3B16-4CD3-86E8-D9D3247560C1}"/>
    <cellStyle name="Percent 13 5 2" xfId="33252" xr:uid="{3390D2A4-3784-4EDB-9975-8ED761E9CEF5}"/>
    <cellStyle name="Percent 13 6" xfId="33253" xr:uid="{42223C4B-9F8B-4906-BC3E-1535FA6863F5}"/>
    <cellStyle name="Percent 14" xfId="33254" xr:uid="{2A34F50B-E9B1-488D-8454-227142B236CB}"/>
    <cellStyle name="Percent 14 2" xfId="33255" xr:uid="{39E564AA-C27C-468B-8DC0-4DF18478DA92}"/>
    <cellStyle name="Percent 14 2 2" xfId="33256" xr:uid="{4754842E-44B9-4406-A0AF-85E92F7B8127}"/>
    <cellStyle name="Percent 14 2 2 2" xfId="33257" xr:uid="{40BC4D34-8494-4C17-9D5A-425DC9D6E71D}"/>
    <cellStyle name="Percent 14 2 2 2 2" xfId="33258" xr:uid="{C29E995F-7341-4F8C-80D7-4A595D0C20A8}"/>
    <cellStyle name="Percent 14 2 2 3" xfId="33259" xr:uid="{802296B3-B36A-4616-8EC5-B6CA95FCE85D}"/>
    <cellStyle name="Percent 14 2 3" xfId="33260" xr:uid="{CABE02CA-3EE8-4203-A0C5-285BF47CA8EC}"/>
    <cellStyle name="Percent 14 2 3 2" xfId="33261" xr:uid="{C9751712-6E9D-44AD-807A-A70C97D1DD33}"/>
    <cellStyle name="Percent 14 2 3 2 2" xfId="33262" xr:uid="{3240B2F8-0742-4F6B-A0B2-B4A9A445D521}"/>
    <cellStyle name="Percent 14 2 3 3" xfId="33263" xr:uid="{43DC64F2-131C-4B0F-8788-1A77C39C9989}"/>
    <cellStyle name="Percent 14 2 4" xfId="33264" xr:uid="{0F9FD4DB-E984-47E4-8746-69C0849A5CC2}"/>
    <cellStyle name="Percent 14 2 4 2" xfId="33265" xr:uid="{C2702CA0-4B1B-4D46-922A-7B6F03BC8F2E}"/>
    <cellStyle name="Percent 14 2 5" xfId="33266" xr:uid="{D4BAF7B7-9ADD-4268-B5BC-A387D3E52649}"/>
    <cellStyle name="Percent 14 3" xfId="33267" xr:uid="{10BE55B5-667D-481F-A481-5EADE2223428}"/>
    <cellStyle name="Percent 14 3 2" xfId="33268" xr:uid="{E2D0873A-7290-45E0-804A-551038564F16}"/>
    <cellStyle name="Percent 14 3 2 2" xfId="33269" xr:uid="{5253D00F-7A6A-4538-9A5A-605FF7711A9E}"/>
    <cellStyle name="Percent 14 3 3" xfId="33270" xr:uid="{9E069F96-491A-467C-9249-ECC4D9EBB23C}"/>
    <cellStyle name="Percent 14 4" xfId="33271" xr:uid="{CFDA6B8A-3396-4D1B-B014-E22AC1D91D8C}"/>
    <cellStyle name="Percent 14 4 2" xfId="33272" xr:uid="{10349B2D-BD6E-4B66-A5DA-EF4B0FF1375B}"/>
    <cellStyle name="Percent 14 4 2 2" xfId="33273" xr:uid="{246BC408-3072-4317-A0A1-93AF8ECD3C13}"/>
    <cellStyle name="Percent 14 4 3" xfId="33274" xr:uid="{51859993-5928-4F96-BB61-85D4954765CD}"/>
    <cellStyle name="Percent 14 5" xfId="33275" xr:uid="{76DB8843-2C99-488A-9A64-40D81DA28545}"/>
    <cellStyle name="Percent 14 5 2" xfId="33276" xr:uid="{B61DDA41-FEAC-48E9-865F-4BE796C63005}"/>
    <cellStyle name="Percent 14 6" xfId="33277" xr:uid="{8F9BE922-70F7-4D21-8435-961E6A1C7C80}"/>
    <cellStyle name="Percent 15" xfId="33278" xr:uid="{B5456223-B99F-42F8-8A23-A5223DD15C2B}"/>
    <cellStyle name="Percent 15 2" xfId="33279" xr:uid="{1B85A457-14DC-4BD1-B882-E47E3E3DAEE9}"/>
    <cellStyle name="Percent 15 2 2" xfId="33280" xr:uid="{C5831CAA-60B3-4601-BA88-979949DA5012}"/>
    <cellStyle name="Percent 15 2 2 2" xfId="33281" xr:uid="{F752F66E-FC85-42A7-AB36-02073BF9A600}"/>
    <cellStyle name="Percent 15 2 2 2 2" xfId="33282" xr:uid="{AC155830-0A04-466A-97A4-FBC5FD653FD4}"/>
    <cellStyle name="Percent 15 2 2 3" xfId="33283" xr:uid="{71C3C9BE-984C-4B1D-8B30-E53CBAB125AB}"/>
    <cellStyle name="Percent 15 2 3" xfId="33284" xr:uid="{842B4867-C9E9-4EF7-874F-5D0FBE3790D6}"/>
    <cellStyle name="Percent 15 2 3 2" xfId="33285" xr:uid="{CCCF61E4-2EE0-4156-A25A-FF7A9CDF7490}"/>
    <cellStyle name="Percent 15 2 3 2 2" xfId="33286" xr:uid="{8062F9C8-4950-41D2-BE0B-B27D8F462C40}"/>
    <cellStyle name="Percent 15 2 3 3" xfId="33287" xr:uid="{FE7AE9A9-2DCD-4A8C-BDCF-9A84038FA5A0}"/>
    <cellStyle name="Percent 15 2 4" xfId="33288" xr:uid="{91CC22C5-7C01-40EB-BD32-F1A69A803897}"/>
    <cellStyle name="Percent 15 2 4 2" xfId="33289" xr:uid="{C0CDB583-8D0B-458E-8963-2793480A795F}"/>
    <cellStyle name="Percent 15 2 5" xfId="33290" xr:uid="{0825A782-D8D8-4E8B-B7D0-98EC0D794D2A}"/>
    <cellStyle name="Percent 15 3" xfId="33291" xr:uid="{047FDD60-443C-49B2-9FEE-C045E679F26E}"/>
    <cellStyle name="Percent 15 3 2" xfId="33292" xr:uid="{63626839-9DA0-4FB8-80EA-E51BB5720991}"/>
    <cellStyle name="Percent 15 3 2 2" xfId="33293" xr:uid="{096016E4-3E96-4D66-9F0E-2A2B2723C50E}"/>
    <cellStyle name="Percent 15 3 3" xfId="33294" xr:uid="{31230816-7486-4C85-B194-A8B30A1AE421}"/>
    <cellStyle name="Percent 15 4" xfId="33295" xr:uid="{858953E4-C4EE-4571-8DE0-C2760F98DDA0}"/>
    <cellStyle name="Percent 15 4 2" xfId="33296" xr:uid="{D3F7BBC0-95D1-4E56-9206-E7AF8F465E3D}"/>
    <cellStyle name="Percent 15 4 2 2" xfId="33297" xr:uid="{88571398-2203-4BA3-90C9-5F534F4A8BD3}"/>
    <cellStyle name="Percent 15 4 3" xfId="33298" xr:uid="{7CC69425-4CAF-4DDA-9A95-2372138E5461}"/>
    <cellStyle name="Percent 15 5" xfId="33299" xr:uid="{7FDAF412-1CD8-44D7-9B79-89DEDED4E7E4}"/>
    <cellStyle name="Percent 15 5 2" xfId="33300" xr:uid="{C1425056-606A-4543-BDEE-BB283C3F652A}"/>
    <cellStyle name="Percent 15 6" xfId="33301" xr:uid="{24298995-0CF8-4C03-AC85-DA5F8BC3EBC6}"/>
    <cellStyle name="Percent 16" xfId="33302" xr:uid="{02A76D8C-A713-4565-9559-89A7ADBDE7A0}"/>
    <cellStyle name="Percent 16 2" xfId="33303" xr:uid="{C659E819-7FFA-4F6E-A7BC-69DBB520E58A}"/>
    <cellStyle name="Percent 16 2 2" xfId="33304" xr:uid="{C34F1DDF-4B2E-4F94-9859-348F0FDA9EBE}"/>
    <cellStyle name="Percent 16 2 2 2" xfId="33305" xr:uid="{D25D10CD-2D28-4628-8F56-40196678BBCA}"/>
    <cellStyle name="Percent 16 2 2 2 2" xfId="33306" xr:uid="{87078913-DA84-4A9C-AEFE-A5809CCC7404}"/>
    <cellStyle name="Percent 16 2 2 3" xfId="33307" xr:uid="{A48C7D6A-34CD-44A7-9F1B-460660A52222}"/>
    <cellStyle name="Percent 16 2 3" xfId="33308" xr:uid="{4092FA50-3412-41C4-9768-F22A3F69477F}"/>
    <cellStyle name="Percent 16 2 3 2" xfId="33309" xr:uid="{F7B0599D-0270-4BB2-82D1-BC9BF41FBEE4}"/>
    <cellStyle name="Percent 16 2 3 2 2" xfId="33310" xr:uid="{C8FF9448-1E7B-4348-891C-F2D06AB25263}"/>
    <cellStyle name="Percent 16 2 3 3" xfId="33311" xr:uid="{A007CC3D-E492-4CDC-9BAB-25FF413D09F4}"/>
    <cellStyle name="Percent 16 2 4" xfId="33312" xr:uid="{D1B25DE8-9B5E-4E63-A47F-FCEEA5A5C419}"/>
    <cellStyle name="Percent 16 2 4 2" xfId="33313" xr:uid="{40E58593-4055-4F18-8812-A146CFCBB448}"/>
    <cellStyle name="Percent 16 2 5" xfId="33314" xr:uid="{42D27E96-8456-4952-8400-3283F27DA0F2}"/>
    <cellStyle name="Percent 16 3" xfId="33315" xr:uid="{FD2F7FDE-48A2-42C8-90E4-74BC17A865CD}"/>
    <cellStyle name="Percent 16 3 2" xfId="33316" xr:uid="{AA9DC008-5374-46C3-91BB-426450A90099}"/>
    <cellStyle name="Percent 16 3 2 2" xfId="33317" xr:uid="{352C0E66-A82E-407F-97FE-CEEA90BF9E07}"/>
    <cellStyle name="Percent 16 3 3" xfId="33318" xr:uid="{E7DB9B64-2114-4A54-AAFB-B9BBC46776FA}"/>
    <cellStyle name="Percent 16 4" xfId="33319" xr:uid="{62BF1D19-A71F-45EF-B8AC-D03CC71132FA}"/>
    <cellStyle name="Percent 16 4 2" xfId="33320" xr:uid="{1D498D81-6CB0-42C6-BB50-879B4E2B6C4F}"/>
    <cellStyle name="Percent 16 4 2 2" xfId="33321" xr:uid="{77B30AD3-D478-4DD5-9504-A236DD9A627A}"/>
    <cellStyle name="Percent 16 4 3" xfId="33322" xr:uid="{2E069358-A2D6-486B-87BE-3878A6A2E8D8}"/>
    <cellStyle name="Percent 16 5" xfId="33323" xr:uid="{6A6EDE87-9AA0-46E7-A7D9-3BA771A0B93A}"/>
    <cellStyle name="Percent 16 5 2" xfId="33324" xr:uid="{05C8DD7A-55ED-4BD9-ACFD-A2A4667C71A9}"/>
    <cellStyle name="Percent 16 6" xfId="33325" xr:uid="{F2399E9A-6043-4E00-9C9D-27C5C9E30D0B}"/>
    <cellStyle name="Percent 17" xfId="33326" xr:uid="{DCEC6028-36FF-41E1-9D3C-AB413888CD43}"/>
    <cellStyle name="Percent 17 2" xfId="33327" xr:uid="{F9CA7F76-D3A0-4AFA-A98A-45D741215757}"/>
    <cellStyle name="Percent 17 2 2" xfId="33328" xr:uid="{665C2CBD-55FF-4D34-A2D8-99A207CD44E6}"/>
    <cellStyle name="Percent 17 2 2 2" xfId="33329" xr:uid="{A9136B32-DC6D-4E60-B8D6-1613E979078A}"/>
    <cellStyle name="Percent 17 2 2 2 2" xfId="33330" xr:uid="{EB1497EA-E426-4A1C-8ED4-2D6F8540F02A}"/>
    <cellStyle name="Percent 17 2 2 3" xfId="33331" xr:uid="{D75E7B7F-E61D-4891-AB7B-19DEA1A868D2}"/>
    <cellStyle name="Percent 17 2 3" xfId="33332" xr:uid="{8CF7D38E-6848-451E-834C-60C844F37CFF}"/>
    <cellStyle name="Percent 17 2 3 2" xfId="33333" xr:uid="{FC23852B-A0A9-4CC3-B211-18081DD20931}"/>
    <cellStyle name="Percent 17 2 3 2 2" xfId="33334" xr:uid="{0F974BEE-7D57-419C-B82A-DDE767E4B960}"/>
    <cellStyle name="Percent 17 2 3 3" xfId="33335" xr:uid="{1759C8E9-51E2-4FDE-837B-142B360ABBA9}"/>
    <cellStyle name="Percent 17 2 4" xfId="33336" xr:uid="{8800FF21-694B-4CF9-89CC-4B82CC9DEE49}"/>
    <cellStyle name="Percent 17 2 4 2" xfId="33337" xr:uid="{9BB2D60A-8D87-4221-B129-0E8AC026A299}"/>
    <cellStyle name="Percent 17 2 5" xfId="33338" xr:uid="{0AC80E75-F96C-4E2F-AF27-3021EAF6240F}"/>
    <cellStyle name="Percent 17 3" xfId="33339" xr:uid="{EA756C24-419A-40DB-ABB2-66C171CA75DB}"/>
    <cellStyle name="Percent 17 3 2" xfId="33340" xr:uid="{AE62F0B7-8B8E-4538-8C4F-C16D1D71C8B2}"/>
    <cellStyle name="Percent 17 3 2 2" xfId="33341" xr:uid="{AB32E301-9F8E-45A4-BD9E-7D9D1469EC73}"/>
    <cellStyle name="Percent 17 3 3" xfId="33342" xr:uid="{C9D554F5-05F0-4CB1-8304-0B44141498EC}"/>
    <cellStyle name="Percent 17 4" xfId="33343" xr:uid="{4026DE1B-FEF2-4A2E-8B5E-4988F62424E7}"/>
    <cellStyle name="Percent 17 4 2" xfId="33344" xr:uid="{5592B578-9C59-434D-9647-5335B3BCFD7D}"/>
    <cellStyle name="Percent 17 4 2 2" xfId="33345" xr:uid="{747C5242-35EF-48DC-B021-14487BBC10BE}"/>
    <cellStyle name="Percent 17 4 3" xfId="33346" xr:uid="{9099F5A0-84B0-42EB-A871-AB69711DD9A1}"/>
    <cellStyle name="Percent 17 5" xfId="33347" xr:uid="{B28073FC-396D-4FC0-9E21-0268C0939B68}"/>
    <cellStyle name="Percent 17 5 2" xfId="33348" xr:uid="{CD751484-644B-46ED-9E66-DCF599A75049}"/>
    <cellStyle name="Percent 17 6" xfId="33349" xr:uid="{B822BFF8-6E49-4998-A9C0-DD1F4034B942}"/>
    <cellStyle name="Percent 18" xfId="33350" xr:uid="{0A8EE714-84BB-48A2-8555-1C83F8209537}"/>
    <cellStyle name="Percent 18 2" xfId="33351" xr:uid="{23F68B03-E36F-439D-9555-321687D31FF9}"/>
    <cellStyle name="Percent 18 2 2" xfId="33352" xr:uid="{6E1C2494-C46A-409D-BD8F-F15D843885A5}"/>
    <cellStyle name="Percent 18 2 2 2" xfId="33353" xr:uid="{12FAF0CE-F6C5-43A4-9173-9E97C17F5364}"/>
    <cellStyle name="Percent 18 2 2 2 2" xfId="33354" xr:uid="{F92FB329-DB8A-40B5-9C48-CA7905A3CB31}"/>
    <cellStyle name="Percent 18 2 2 2 2 2" xfId="33355" xr:uid="{26C5D0E6-ADE1-48B8-BF21-7B06A5B78C87}"/>
    <cellStyle name="Percent 18 2 2 2 3" xfId="33356" xr:uid="{52ED020B-4B94-422F-B5E2-A960876D21CA}"/>
    <cellStyle name="Percent 18 2 2 3" xfId="33357" xr:uid="{12201948-57DE-488C-9C44-0B7C0FB0B62B}"/>
    <cellStyle name="Percent 18 2 2 3 2" xfId="33358" xr:uid="{FF814631-7659-439B-B906-D59392C02EB1}"/>
    <cellStyle name="Percent 18 2 2 3 2 2" xfId="33359" xr:uid="{0D8B630F-6A9E-494F-81A5-2230A8A02FDF}"/>
    <cellStyle name="Percent 18 2 2 3 3" xfId="33360" xr:uid="{9A17130C-FD29-47FC-8C44-6EFA3E0F8C0C}"/>
    <cellStyle name="Percent 18 2 2 4" xfId="33361" xr:uid="{B3B911C9-A969-4A94-B946-FB226984F5FB}"/>
    <cellStyle name="Percent 18 2 2 4 2" xfId="33362" xr:uid="{E949A60B-8991-45A2-8373-E577F39723EB}"/>
    <cellStyle name="Percent 18 2 2 5" xfId="33363" xr:uid="{E4F873E9-BCF9-4341-9B2B-1752E17F47F7}"/>
    <cellStyle name="Percent 18 2 3" xfId="33364" xr:uid="{7FF4E4EC-13B4-4E82-A433-605CC0763E6A}"/>
    <cellStyle name="Percent 18 2 3 2" xfId="33365" xr:uid="{80653B28-D04C-4388-AC30-184CF8AAB538}"/>
    <cellStyle name="Percent 18 2 3 2 2" xfId="33366" xr:uid="{2A10AB23-3A16-4C37-8E53-8D1BE03CA2D3}"/>
    <cellStyle name="Percent 18 2 3 3" xfId="33367" xr:uid="{10C030DC-502D-4AF5-B44A-4189046038DA}"/>
    <cellStyle name="Percent 18 2 4" xfId="33368" xr:uid="{E29E1FA1-AB56-4B59-8537-359B56EE5C22}"/>
    <cellStyle name="Percent 18 2 4 2" xfId="33369" xr:uid="{FA0EC788-38CD-45A0-825B-26BA2D4E0A8D}"/>
    <cellStyle name="Percent 18 2 4 2 2" xfId="33370" xr:uid="{9941C82D-BB7A-42EE-A740-B626B5D7A71D}"/>
    <cellStyle name="Percent 18 2 4 3" xfId="33371" xr:uid="{02C3ED76-8881-4236-BF7F-E1C2B93F7814}"/>
    <cellStyle name="Percent 18 2 5" xfId="33372" xr:uid="{67D0A2DA-082B-4DEB-BBF8-89C7A296F05B}"/>
    <cellStyle name="Percent 18 2 5 2" xfId="33373" xr:uid="{264253CA-CEF0-4831-8D5A-0E42A9396444}"/>
    <cellStyle name="Percent 18 2 6" xfId="33374" xr:uid="{DF05A6B8-5CA3-4E29-AA7C-C84C653E3B32}"/>
    <cellStyle name="Percent 18 3" xfId="33375" xr:uid="{F54DFCAD-3B54-4317-9C16-52EB23476B44}"/>
    <cellStyle name="Percent 18 3 2" xfId="33376" xr:uid="{B28C3E98-13E1-4E76-A497-0A300171D58D}"/>
    <cellStyle name="Percent 18 3 2 2" xfId="33377" xr:uid="{EE4651DB-C1F1-47D9-9BD4-A5F05ECC3C6A}"/>
    <cellStyle name="Percent 18 3 2 2 2" xfId="33378" xr:uid="{7460909C-0537-4A35-8B25-450590785C56}"/>
    <cellStyle name="Percent 18 3 2 2 2 2" xfId="33379" xr:uid="{B87AE5FA-AE85-4D2E-8339-EE4161084748}"/>
    <cellStyle name="Percent 18 3 2 2 3" xfId="33380" xr:uid="{CBAFCDD3-6E0D-4F70-86B6-4EF213653594}"/>
    <cellStyle name="Percent 18 3 2 3" xfId="33381" xr:uid="{54D6265C-2BCF-4E04-AB23-E72832E5738D}"/>
    <cellStyle name="Percent 18 3 2 3 2" xfId="33382" xr:uid="{2DA028C8-48BD-49C1-B7CE-DD12917D22ED}"/>
    <cellStyle name="Percent 18 3 2 3 2 2" xfId="33383" xr:uid="{3B96C2B7-F351-465C-8C6F-48AB1815E106}"/>
    <cellStyle name="Percent 18 3 2 3 3" xfId="33384" xr:uid="{7DBC592B-8E25-440D-976C-FA469A9BE170}"/>
    <cellStyle name="Percent 18 3 2 4" xfId="33385" xr:uid="{EA09AE17-FB06-43F0-A394-9695E3B84F86}"/>
    <cellStyle name="Percent 18 3 2 4 2" xfId="33386" xr:uid="{D51E9FA4-C901-4E0A-9565-DF4D47686F0F}"/>
    <cellStyle name="Percent 18 3 2 5" xfId="33387" xr:uid="{BEB48E49-0DC5-4198-9209-9F3336F86E6E}"/>
    <cellStyle name="Percent 18 3 3" xfId="33388" xr:uid="{20E973A0-C627-4894-A1FB-CC8E2DA9CA85}"/>
    <cellStyle name="Percent 18 3 3 2" xfId="33389" xr:uid="{DA3E847E-403F-4204-A5BE-F6A779C19584}"/>
    <cellStyle name="Percent 18 3 3 2 2" xfId="33390" xr:uid="{1F203BB8-6054-4494-847B-EC3F64577532}"/>
    <cellStyle name="Percent 18 3 3 3" xfId="33391" xr:uid="{EE22BB57-EDA1-4D7B-9F0E-C17B3BE83FC0}"/>
    <cellStyle name="Percent 18 3 4" xfId="33392" xr:uid="{95F344CF-C8FA-4844-9A81-0800E4113EA0}"/>
    <cellStyle name="Percent 18 3 4 2" xfId="33393" xr:uid="{88252F6B-7A5C-4580-847C-417E4674428D}"/>
    <cellStyle name="Percent 18 3 4 2 2" xfId="33394" xr:uid="{8CDA4829-4391-457A-91C2-6BD3728D7855}"/>
    <cellStyle name="Percent 18 3 4 3" xfId="33395" xr:uid="{88B59369-9559-4758-B85E-359986528E34}"/>
    <cellStyle name="Percent 18 3 5" xfId="33396" xr:uid="{82223C57-790E-4C62-AA53-5F0987E3AECF}"/>
    <cellStyle name="Percent 18 3 5 2" xfId="33397" xr:uid="{FDD4842B-62D8-4A1B-BC25-9C7634F55EA5}"/>
    <cellStyle name="Percent 18 3 6" xfId="33398" xr:uid="{230A5E8B-527B-445E-B7BF-55D97A904AEE}"/>
    <cellStyle name="Percent 18 4" xfId="33399" xr:uid="{8236EFAD-DB73-47C5-87BC-32D0EA262E50}"/>
    <cellStyle name="Percent 18 4 2" xfId="33400" xr:uid="{6278C05C-F68D-4CEF-8D96-5916443CEF3D}"/>
    <cellStyle name="Percent 18 4 2 2" xfId="33401" xr:uid="{11056095-0304-4716-8114-0EB707E958F8}"/>
    <cellStyle name="Percent 18 4 2 2 2" xfId="33402" xr:uid="{C2658938-46D9-4100-862A-854FC7F75BCB}"/>
    <cellStyle name="Percent 18 4 2 3" xfId="33403" xr:uid="{9429C835-BA46-4218-9D04-565C4C434CE7}"/>
    <cellStyle name="Percent 18 4 3" xfId="33404" xr:uid="{514A7EA1-DB4F-4515-A6AE-AB35B6E821E1}"/>
    <cellStyle name="Percent 18 4 3 2" xfId="33405" xr:uid="{B901F7F6-348F-4AFA-8224-7EFE1F391318}"/>
    <cellStyle name="Percent 18 4 3 2 2" xfId="33406" xr:uid="{EB4C0D15-4287-437D-B8B7-C0BF36ACEEC6}"/>
    <cellStyle name="Percent 18 4 3 3" xfId="33407" xr:uid="{CF598135-1EA6-49F5-A1D8-1D7B5E4ADBA5}"/>
    <cellStyle name="Percent 18 4 4" xfId="33408" xr:uid="{9D2E5596-5F77-4B42-9117-CE4A5E9DDB2A}"/>
    <cellStyle name="Percent 18 4 4 2" xfId="33409" xr:uid="{5C35897E-444F-4D16-97A2-A5FD70DAB171}"/>
    <cellStyle name="Percent 18 4 5" xfId="33410" xr:uid="{F1E420D6-927D-4F1F-AAD4-EF7B3398A1D9}"/>
    <cellStyle name="Percent 18 5" xfId="33411" xr:uid="{1A601419-422A-40E1-B963-1B7D6B4935C7}"/>
    <cellStyle name="Percent 18 5 2" xfId="33412" xr:uid="{FC20C4E7-097C-4735-B0D3-CDC7875DF4A9}"/>
    <cellStyle name="Percent 18 5 2 2" xfId="33413" xr:uid="{3BF60D4A-5D97-4EC9-A8F8-09FC52AC3967}"/>
    <cellStyle name="Percent 18 5 3" xfId="33414" xr:uid="{E411B6F5-FE6C-4266-8D29-A8EE4FA24105}"/>
    <cellStyle name="Percent 18 6" xfId="33415" xr:uid="{F6A7BC3D-380F-41BF-A8DD-A30B01AD79FB}"/>
    <cellStyle name="Percent 18 6 2" xfId="33416" xr:uid="{0C254135-A604-448A-BD88-1F62105D414F}"/>
    <cellStyle name="Percent 18 6 2 2" xfId="33417" xr:uid="{652FB225-8528-416E-B9AF-75841789ECB2}"/>
    <cellStyle name="Percent 18 6 3" xfId="33418" xr:uid="{C87CB336-2E47-4E87-84E4-148B4AA65C87}"/>
    <cellStyle name="Percent 18 7" xfId="33419" xr:uid="{9EB13242-BA5A-4569-BD34-0D2B21FE48DE}"/>
    <cellStyle name="Percent 18 7 2" xfId="33420" xr:uid="{D1B16151-15F2-4A22-AEBE-9AD06DDB9F73}"/>
    <cellStyle name="Percent 18 8" xfId="33421" xr:uid="{358CBF82-B2B3-4B13-918A-3FC5B9713EA5}"/>
    <cellStyle name="Percent 19" xfId="33422" xr:uid="{D845DCD9-4176-454B-8D4B-4E83254E8B3B}"/>
    <cellStyle name="Percent 19 2" xfId="33423" xr:uid="{334CAC49-F24A-4FD4-99B8-3EF764693508}"/>
    <cellStyle name="Percent 19 2 2" xfId="33424" xr:uid="{5E1D0FF4-3FD3-41CA-B40D-6A59CC8BEA4A}"/>
    <cellStyle name="Percent 19 2 2 2" xfId="33425" xr:uid="{D8FB2D62-5AF7-4AE0-AA0C-4B1813196D73}"/>
    <cellStyle name="Percent 19 2 2 2 2" xfId="33426" xr:uid="{192B0EDA-4E55-4A35-9701-4553CD9F91C9}"/>
    <cellStyle name="Percent 19 2 2 3" xfId="33427" xr:uid="{C56B9252-2F53-49B9-9FE1-948D98A63EDB}"/>
    <cellStyle name="Percent 19 2 3" xfId="33428" xr:uid="{59C23537-79E3-4389-A535-C2F3FB5EC229}"/>
    <cellStyle name="Percent 19 2 3 2" xfId="33429" xr:uid="{B36A46FA-3667-4D9F-B040-76DA6273940E}"/>
    <cellStyle name="Percent 19 2 3 2 2" xfId="33430" xr:uid="{4487E500-A145-4493-B77C-1F18DE67495F}"/>
    <cellStyle name="Percent 19 2 3 3" xfId="33431" xr:uid="{668D5745-1B2F-471A-BE2D-38C36961593A}"/>
    <cellStyle name="Percent 19 2 4" xfId="33432" xr:uid="{EBE58359-3CE2-4BAA-8B2D-070B05DC94D7}"/>
    <cellStyle name="Percent 19 2 4 2" xfId="33433" xr:uid="{E0556097-C27A-4A88-B8F9-87BC47081F6A}"/>
    <cellStyle name="Percent 19 2 5" xfId="33434" xr:uid="{7D3E31CD-9372-40BE-B7E4-C97B86B9541D}"/>
    <cellStyle name="Percent 19 3" xfId="33435" xr:uid="{B477E283-E1CE-44BD-8BBB-0F8CB8CB06F3}"/>
    <cellStyle name="Percent 19 3 2" xfId="33436" xr:uid="{7B718FB0-29A9-4129-8C5A-2DC25676631C}"/>
    <cellStyle name="Percent 19 3 2 2" xfId="33437" xr:uid="{D7CEEC9F-1B6E-4E7A-8E5F-F13FFFDAA43F}"/>
    <cellStyle name="Percent 19 3 3" xfId="33438" xr:uid="{106F5842-9C13-4969-8EE5-A48E58752A37}"/>
    <cellStyle name="Percent 19 4" xfId="33439" xr:uid="{65A27EB0-9578-46E9-8099-5BB502E76F6A}"/>
    <cellStyle name="Percent 19 4 2" xfId="33440" xr:uid="{1BD8D6F4-8116-45F3-B6FE-1DA3F0D2C745}"/>
    <cellStyle name="Percent 19 4 2 2" xfId="33441" xr:uid="{B12BD864-11CF-4897-9648-5E516E53A053}"/>
    <cellStyle name="Percent 19 4 3" xfId="33442" xr:uid="{9A5C24EE-F9D7-4917-9044-287ECF475295}"/>
    <cellStyle name="Percent 19 5" xfId="33443" xr:uid="{1886738B-A656-45E1-8640-DC38533DBDDF}"/>
    <cellStyle name="Percent 19 5 2" xfId="33444" xr:uid="{76CD0D73-67EC-42CF-B592-09D1C4056512}"/>
    <cellStyle name="Percent 19 6" xfId="33445" xr:uid="{5E19328D-4A00-436A-9F23-379E34ACC1F7}"/>
    <cellStyle name="Percent 2" xfId="81" xr:uid="{CE4F910C-D513-465E-BA8A-8299183DECD8}"/>
    <cellStyle name="Percent 2 10" xfId="33447" xr:uid="{A5A016EF-7A9B-4529-99B5-076A92559F29}"/>
    <cellStyle name="Percent 2 11" xfId="33448" xr:uid="{2C206620-FEC4-4930-A996-0CD77DA156F9}"/>
    <cellStyle name="Percent 2 12" xfId="33449" xr:uid="{25431DB7-7D20-4465-8139-B008D59DB051}"/>
    <cellStyle name="Percent 2 13" xfId="33446" xr:uid="{AB23B1A5-64CA-4C12-9864-358520C06640}"/>
    <cellStyle name="Percent 2 2" xfId="33450" xr:uid="{A4412059-0424-4193-BB6D-BF6003EFFFBA}"/>
    <cellStyle name="Percent 2 2 2" xfId="33451" xr:uid="{80FB87F9-7726-497F-8F85-9E2D1BB0E820}"/>
    <cellStyle name="Percent 2 2 2 2" xfId="39466" xr:uid="{8EF49C0C-7B45-4C05-963F-EF2988E48475}"/>
    <cellStyle name="Percent 2 2 2 2 2" xfId="39467" xr:uid="{79EE1B06-9C6A-4B6D-9E03-29F989EDB9DA}"/>
    <cellStyle name="Percent 2 2 2 2 2 2" xfId="39468" xr:uid="{CB87E2C6-81D7-4CE8-A34C-82F1CA4987F4}"/>
    <cellStyle name="Percent 2 2 2 2 2 2 2" xfId="39469" xr:uid="{7DE99E30-F3A5-42D9-829F-8D6D604D4534}"/>
    <cellStyle name="Percent 2 2 2 2 2 2 2 2" xfId="39470" xr:uid="{9BB6784A-579A-4A74-9995-475A9A2045F4}"/>
    <cellStyle name="Percent 2 2 2 2 2 2 2 2 2" xfId="39471" xr:uid="{934A35D2-D1BA-40C7-A593-10CFF4143C9A}"/>
    <cellStyle name="Percent 2 2 2 3" xfId="39472" xr:uid="{D8343047-4D06-4FAD-813B-7299ED5B2A62}"/>
    <cellStyle name="Percent 2 3" xfId="33452" xr:uid="{9FB2819A-FAE3-4E43-9570-B46EEE671642}"/>
    <cellStyle name="Percent 2 3 2" xfId="33453" xr:uid="{EE8E0F7A-C53D-4A4A-89A6-3390FFAC1204}"/>
    <cellStyle name="Percent 2 3 2 2" xfId="33454" xr:uid="{0CCB7E97-68BC-4ED7-9BB5-9F68015443BB}"/>
    <cellStyle name="Percent 2 3 2 2 2" xfId="33455" xr:uid="{E2CF6606-D8C9-4399-A8D3-BC50C84789E4}"/>
    <cellStyle name="Percent 2 3 2 2 2 2" xfId="33456" xr:uid="{1C5D9FF1-8A48-440C-9589-37FDDF3C6541}"/>
    <cellStyle name="Percent 2 3 2 2 3" xfId="33457" xr:uid="{A69F92DD-6D38-462D-BAD6-9D637A92C661}"/>
    <cellStyle name="Percent 2 3 2 3" xfId="33458" xr:uid="{74129E59-114A-4920-8976-543C3A7A4F6B}"/>
    <cellStyle name="Percent 2 3 2 3 2" xfId="33459" xr:uid="{D69CF45C-27AC-44D4-8E24-D93583AC007F}"/>
    <cellStyle name="Percent 2 3 2 3 2 2" xfId="33460" xr:uid="{28A23167-C2DA-4D32-944B-FFEB176CB020}"/>
    <cellStyle name="Percent 2 3 2 3 3" xfId="33461" xr:uid="{114B8DF0-3136-402C-A623-8E5786F41B04}"/>
    <cellStyle name="Percent 2 3 2 4" xfId="33462" xr:uid="{C6B09234-B3E2-4775-BC42-2374442AE4F0}"/>
    <cellStyle name="Percent 2 3 2 4 2" xfId="33463" xr:uid="{04399B9D-D64E-4B0D-8AA6-80DD519D3898}"/>
    <cellStyle name="Percent 2 3 2 5" xfId="33464" xr:uid="{0726674D-CF37-425A-AAF3-CFB5987AD67D}"/>
    <cellStyle name="Percent 2 3 3" xfId="33465" xr:uid="{4A9F32A5-B361-45E5-8685-DED9465C2019}"/>
    <cellStyle name="Percent 2 3 3 2" xfId="33466" xr:uid="{79016AFB-AECF-4ED6-9E6A-82913D429F4B}"/>
    <cellStyle name="Percent 2 3 3 2 2" xfId="33467" xr:uid="{50CC9107-882F-45B4-A4EA-B611233AA004}"/>
    <cellStyle name="Percent 2 3 3 3" xfId="33468" xr:uid="{0C2DFFAE-1218-4FFF-AB81-09171EE5ED4E}"/>
    <cellStyle name="Percent 2 3 4" xfId="33469" xr:uid="{A3DA0F57-AE37-4468-B208-CF4125FBB08D}"/>
    <cellStyle name="Percent 2 3 4 2" xfId="33470" xr:uid="{02B632D8-21E1-4983-BCEF-ECDB7FFD3969}"/>
    <cellStyle name="Percent 2 3 4 2 2" xfId="33471" xr:uid="{32F3039A-940B-471E-AA2E-E5AEEBB9487D}"/>
    <cellStyle name="Percent 2 3 4 3" xfId="33472" xr:uid="{3E609BFB-1B80-4DBC-9E68-297608D865D4}"/>
    <cellStyle name="Percent 2 3 5" xfId="33473" xr:uid="{52D89EF9-39CD-4BF4-94F9-95C59661A52E}"/>
    <cellStyle name="Percent 2 3 5 2" xfId="33474" xr:uid="{6D8D1158-D2ED-4FA2-A4E7-E18F26B3CAF5}"/>
    <cellStyle name="Percent 2 3 6" xfId="33475" xr:uid="{D48F7198-1E9A-4E72-A8C7-1C36BEE35212}"/>
    <cellStyle name="Percent 2 4" xfId="33476" xr:uid="{28A1DA6F-A038-4043-AC6C-748D2DDFF276}"/>
    <cellStyle name="Percent 2 4 2" xfId="39473" xr:uid="{751E6CFF-48B5-4F63-BA09-0D1AA214B24D}"/>
    <cellStyle name="Percent 2 4 3" xfId="39474" xr:uid="{F9448D7A-6D0B-4ED2-BEA1-8DA1E7EC3A9E}"/>
    <cellStyle name="Percent 2 5" xfId="33477" xr:uid="{F1523D14-BB90-4558-9C42-419D974E9B63}"/>
    <cellStyle name="Percent 2 6" xfId="33478" xr:uid="{CE5862F7-075C-4701-BE1E-122662CDC5B4}"/>
    <cellStyle name="Percent 2 7" xfId="33479" xr:uid="{2079D7BE-F1F1-480D-A727-E45287C6E86A}"/>
    <cellStyle name="Percent 2 8" xfId="33480" xr:uid="{9FD00A67-81D8-4FB7-97C6-004A96F6484A}"/>
    <cellStyle name="Percent 2 9" xfId="33481" xr:uid="{4099295D-DBF8-4224-B081-884B0FB464C1}"/>
    <cellStyle name="Percent 20" xfId="33482" xr:uid="{496AF3D3-545E-4E2E-80A9-981C9FD4BFA4}"/>
    <cellStyle name="Percent 20 2" xfId="33483" xr:uid="{E4740DA5-4456-43EC-9264-8F86B6DC87B3}"/>
    <cellStyle name="Percent 20 2 2" xfId="33484" xr:uid="{C51C9008-5007-467D-98A4-A2F4386759F7}"/>
    <cellStyle name="Percent 20 2 2 2" xfId="33485" xr:uid="{6AEF6B2B-49F6-4261-99F6-D863E1299E06}"/>
    <cellStyle name="Percent 20 2 2 2 2" xfId="33486" xr:uid="{0663849C-2DFB-49D5-B027-5677823063B8}"/>
    <cellStyle name="Percent 20 2 2 3" xfId="33487" xr:uid="{2AC9198F-2167-4F48-95A8-E494BF2CB226}"/>
    <cellStyle name="Percent 20 2 3" xfId="33488" xr:uid="{06E6A960-C69A-4816-B0AD-9D85846A9803}"/>
    <cellStyle name="Percent 20 2 3 2" xfId="33489" xr:uid="{0600706A-9E41-44D9-8701-0D70D3294E56}"/>
    <cellStyle name="Percent 20 2 3 2 2" xfId="33490" xr:uid="{689EEDE3-78E8-4DFF-BA25-3B2C3900146C}"/>
    <cellStyle name="Percent 20 2 3 3" xfId="33491" xr:uid="{C9BE98FF-062E-456C-B507-655C4483AF91}"/>
    <cellStyle name="Percent 20 2 4" xfId="33492" xr:uid="{3AB71210-DA3F-47E7-BE82-CA10050526C7}"/>
    <cellStyle name="Percent 20 2 4 2" xfId="33493" xr:uid="{601ABC56-352A-437D-B6E1-613A2AC9C4AB}"/>
    <cellStyle name="Percent 20 2 5" xfId="33494" xr:uid="{E7B7709F-8171-4CF9-A420-9E6DFB3D9EA6}"/>
    <cellStyle name="Percent 20 3" xfId="33495" xr:uid="{0083B8E4-A70C-4296-A187-1D2D6A9A431A}"/>
    <cellStyle name="Percent 20 3 2" xfId="33496" xr:uid="{47E2BDCC-10BF-4ABF-91EB-DC47B0803351}"/>
    <cellStyle name="Percent 20 3 2 2" xfId="33497" xr:uid="{EEDCBFC5-29FA-4213-8533-01AE923A67CB}"/>
    <cellStyle name="Percent 20 3 3" xfId="33498" xr:uid="{F5155735-EC20-4A92-8803-D1723EF59DB3}"/>
    <cellStyle name="Percent 20 4" xfId="33499" xr:uid="{A27CB18E-AB68-4EAE-856D-E3830D44CA4B}"/>
    <cellStyle name="Percent 20 4 2" xfId="33500" xr:uid="{094D999F-497B-41BF-9940-F66E9FEAD220}"/>
    <cellStyle name="Percent 20 4 2 2" xfId="33501" xr:uid="{0074DFE2-4B58-4D4E-B7AC-0E90978FAAB4}"/>
    <cellStyle name="Percent 20 4 3" xfId="33502" xr:uid="{9A0ABD05-A2F4-40B7-82B2-293645D05217}"/>
    <cellStyle name="Percent 20 5" xfId="33503" xr:uid="{87043ECB-BDDB-479C-894B-56AF4728F865}"/>
    <cellStyle name="Percent 20 5 2" xfId="33504" xr:uid="{DE6CD706-EADE-4ED4-8F16-49BEBC6CEB03}"/>
    <cellStyle name="Percent 20 6" xfId="33505" xr:uid="{65769797-D3FE-4E57-9049-ADB7DDA086FE}"/>
    <cellStyle name="Percent 21" xfId="33506" xr:uid="{FC4DF474-CFF4-42E9-811C-CE960568C140}"/>
    <cellStyle name="Percent 21 2" xfId="33507" xr:uid="{CF9F487B-72E9-4567-8350-99F82F45E35A}"/>
    <cellStyle name="Percent 21 2 2" xfId="33508" xr:uid="{DABCE2DE-AB6E-4C68-A3EB-01AB4B26256C}"/>
    <cellStyle name="Percent 21 2 2 2" xfId="33509" xr:uid="{BCE7FFC4-E1FB-422F-898C-87043EA8F0D9}"/>
    <cellStyle name="Percent 21 2 2 2 2" xfId="33510" xr:uid="{626045AE-22B6-4F9E-BCE6-2F6ED4F7DA54}"/>
    <cellStyle name="Percent 21 2 3" xfId="33511" xr:uid="{23F321E4-5D2A-4BEB-82BC-5E40AC0017C8}"/>
    <cellStyle name="Percent 21 2 3 2" xfId="33512" xr:uid="{175A1E29-4B17-49AF-831B-5A6E9A3D16A6}"/>
    <cellStyle name="Percent 21 2 3 2 2" xfId="33513" xr:uid="{5653468F-4D26-4774-AA26-46FCB861A7E3}"/>
    <cellStyle name="Percent 21 2 3 3" xfId="33514" xr:uid="{1B28E519-0F62-42CB-8C37-6568DC7837CB}"/>
    <cellStyle name="Percent 21 2 4" xfId="33515" xr:uid="{0E1A0988-CB90-40A0-8F2E-358EFC2D0352}"/>
    <cellStyle name="Percent 21 2 4 2" xfId="33516" xr:uid="{678DC408-327C-4513-BB3A-DCA448D3762C}"/>
    <cellStyle name="Percent 21 3" xfId="33517" xr:uid="{5F470EFD-207B-4F9F-A707-FC3C851417D5}"/>
    <cellStyle name="Percent 21 3 2" xfId="33518" xr:uid="{755A0A1D-DDF9-4C4C-BAA1-2F2DE575CB83}"/>
    <cellStyle name="Percent 21 3 2 2" xfId="33519" xr:uid="{A6B7E3B1-A0CA-4A3B-9268-24495439C459}"/>
    <cellStyle name="Percent 21 3 3" xfId="33520" xr:uid="{542F407F-3019-452F-8534-6DD1C82F4EC6}"/>
    <cellStyle name="Percent 21 4" xfId="33521" xr:uid="{BFE243B2-B0B1-4266-8D7D-DD7CE8941898}"/>
    <cellStyle name="Percent 21 4 2" xfId="33522" xr:uid="{BC7CC445-0950-4295-869E-9A62499B7569}"/>
    <cellStyle name="Percent 21 4 2 2" xfId="33523" xr:uid="{78D76D6F-B136-43AB-8E82-438650013B12}"/>
    <cellStyle name="Percent 21 4 3" xfId="33524" xr:uid="{0B050592-07C4-47EA-A812-31170501BF90}"/>
    <cellStyle name="Percent 21 5" xfId="33525" xr:uid="{ADD88676-F8D9-4ED1-BD19-903A97E31B69}"/>
    <cellStyle name="Percent 21 5 2" xfId="33526" xr:uid="{4BD914B1-FA0E-4953-8E35-1D8D6EB24731}"/>
    <cellStyle name="Percent 21 6" xfId="33527" xr:uid="{A09BB9A3-AA06-47A3-B62C-DE21A539BC48}"/>
    <cellStyle name="Percent 22" xfId="33528" xr:uid="{E544D8E1-07EA-43DF-877D-A552B9D99002}"/>
    <cellStyle name="Percent 22 2" xfId="33529" xr:uid="{6637731C-A62C-48F5-9307-30977343A54B}"/>
    <cellStyle name="Percent 22 2 2" xfId="33530" xr:uid="{BC5B8196-F812-44B8-94C9-530520109E98}"/>
    <cellStyle name="Percent 22 2 2 2" xfId="33531" xr:uid="{8101A6BA-C0F6-4A8D-9DA8-5498F1764409}"/>
    <cellStyle name="Percent 22 2 2 2 2" xfId="33532" xr:uid="{25E338A0-B160-4690-80B5-D93C14073DDC}"/>
    <cellStyle name="Percent 22 2 2 3" xfId="33533" xr:uid="{359B6D88-1918-41A8-9830-FCD83D4D5252}"/>
    <cellStyle name="Percent 22 2 3" xfId="33534" xr:uid="{F756C038-946B-47CE-99E6-5A474253A319}"/>
    <cellStyle name="Percent 22 2 3 2" xfId="33535" xr:uid="{9E8B341A-5008-4EEE-A307-734D497A2B3F}"/>
    <cellStyle name="Percent 22 2 3 2 2" xfId="33536" xr:uid="{E166587C-4950-4651-B60D-22701F5D838E}"/>
    <cellStyle name="Percent 22 2 3 3" xfId="33537" xr:uid="{6B4DA53D-A1B2-411F-93E6-6C3004DDB396}"/>
    <cellStyle name="Percent 22 2 4" xfId="33538" xr:uid="{3F6C7C74-49DD-44FF-80FC-1D129ACD666E}"/>
    <cellStyle name="Percent 22 2 4 2" xfId="33539" xr:uid="{14F5E346-7339-4087-A6B4-57BE0A100213}"/>
    <cellStyle name="Percent 22 2 5" xfId="33540" xr:uid="{8A341EF1-83E3-47CE-A70F-8D5CCD465C0E}"/>
    <cellStyle name="Percent 22 3" xfId="33541" xr:uid="{D730830C-7C8C-44FE-B44D-418D0CB5A9E1}"/>
    <cellStyle name="Percent 22 3 2" xfId="33542" xr:uid="{8878E611-009C-4E8B-AD4B-73CD2E9E00B2}"/>
    <cellStyle name="Percent 22 3 2 2" xfId="33543" xr:uid="{8EAA5DAF-CC9E-4C4B-89D3-11846C298817}"/>
    <cellStyle name="Percent 22 3 3" xfId="33544" xr:uid="{8EC88198-D0A7-4FA3-8DF3-A7F45B0F03D6}"/>
    <cellStyle name="Percent 22 4" xfId="33545" xr:uid="{CE7B57C3-4D66-4E17-AD7B-F918E0D641E9}"/>
    <cellStyle name="Percent 22 4 2" xfId="33546" xr:uid="{1288F232-DFDE-4303-8AEB-B23BF944AC6D}"/>
    <cellStyle name="Percent 22 4 2 2" xfId="33547" xr:uid="{E6177083-5CE6-4776-9B18-4A2B738608ED}"/>
    <cellStyle name="Percent 22 4 3" xfId="33548" xr:uid="{43E82FC4-5EFA-41D3-8354-754596448BCB}"/>
    <cellStyle name="Percent 22 5" xfId="33549" xr:uid="{7D3878FE-A332-4233-B22F-F74DE08F9CED}"/>
    <cellStyle name="Percent 22 5 2" xfId="33550" xr:uid="{E4AAD6C6-C0B6-4310-9C32-CC794EF72AC7}"/>
    <cellStyle name="Percent 22 6" xfId="33551" xr:uid="{25C5F35F-B499-445F-AF4F-BB63F9F1C19D}"/>
    <cellStyle name="Percent 23" xfId="33552" xr:uid="{21D5A3D2-F227-4D91-8E54-79287D967DA6}"/>
    <cellStyle name="Percent 23 2" xfId="33553" xr:uid="{5970812B-C30C-4920-847C-F3AAD662D9F2}"/>
    <cellStyle name="Percent 23 2 2" xfId="33554" xr:uid="{D23EE466-6597-4EF4-A309-AFC522DE7F55}"/>
    <cellStyle name="Percent 23 3" xfId="33555" xr:uid="{E88F3902-9640-4918-85B2-733BB9BB348F}"/>
    <cellStyle name="Percent 24" xfId="33556" xr:uid="{7CA05BCE-1656-4CF7-B4C9-A501849CEB9B}"/>
    <cellStyle name="Percent 24 2" xfId="33557" xr:uid="{F329518B-A003-49D2-9C0F-90F5CF52A18B}"/>
    <cellStyle name="Percent 24 2 2" xfId="33558" xr:uid="{B9DBAF3B-175D-432C-A4BB-66BB145C6AA4}"/>
    <cellStyle name="Percent 24 3" xfId="33559" xr:uid="{A0DA240E-0DB5-4AF3-A3C7-6CF3376609FD}"/>
    <cellStyle name="Percent 25" xfId="33560" xr:uid="{EC08EBE4-2639-4B85-8D95-90E21A9759A9}"/>
    <cellStyle name="Percent 25 2" xfId="33561" xr:uid="{187CCC7B-4668-4DA4-853C-4CFCD64887EA}"/>
    <cellStyle name="Percent 25 2 2" xfId="33562" xr:uid="{C37B2967-C98F-4D39-B6A4-04BA6EFC7128}"/>
    <cellStyle name="Percent 25 3" xfId="33563" xr:uid="{F8FDA9AC-0DA2-4AFA-B4F7-75722460DD05}"/>
    <cellStyle name="Percent 26" xfId="33564" xr:uid="{CEE7447E-DB34-4A2F-BEA9-2FE2E0C4FEC7}"/>
    <cellStyle name="Percent 26 2" xfId="33565" xr:uid="{63605DD7-D1D6-48F6-83D1-2A5FDD48389B}"/>
    <cellStyle name="Percent 27" xfId="33566" xr:uid="{4872FD19-A237-4FC9-92D1-EB52A598DCF7}"/>
    <cellStyle name="Percent 27 2" xfId="33567" xr:uid="{4EA72DAB-CC35-438A-8A4F-4A1A6C2A11C0}"/>
    <cellStyle name="Percent 28" xfId="33568" xr:uid="{509064B3-96DD-4E2C-8264-04274DFA2AB6}"/>
    <cellStyle name="Percent 28 2" xfId="33569" xr:uid="{718D70DB-CE00-44B8-891F-30A037985EF0}"/>
    <cellStyle name="Percent 29" xfId="33570" xr:uid="{EA92B178-4B69-46E8-A60E-9DBD666554C6}"/>
    <cellStyle name="Percent 29 2" xfId="33571" xr:uid="{520BDA9D-D8B2-439F-B1C6-C01F82BB5D20}"/>
    <cellStyle name="Percent 3" xfId="84" xr:uid="{B17E8FB0-F05A-49DC-84FE-D859F178B8EB}"/>
    <cellStyle name="Percent 3 10" xfId="33573" xr:uid="{60F08C37-9DDA-4680-A79F-62F0B5BA927F}"/>
    <cellStyle name="Percent 3 10 2" xfId="33574" xr:uid="{D5EFAC6E-0712-424B-A94F-68B6C7C04FA2}"/>
    <cellStyle name="Percent 3 10 2 2" xfId="33575" xr:uid="{A5947275-9D4F-48FD-8C22-4E8716306718}"/>
    <cellStyle name="Percent 3 10 2 2 2" xfId="33576" xr:uid="{A82E3620-00C3-4465-8C15-A4BECAF61472}"/>
    <cellStyle name="Percent 3 10 2 2 2 2" xfId="33577" xr:uid="{B760BB83-1C6A-4341-B7AC-B5561E7DE4D9}"/>
    <cellStyle name="Percent 3 10 2 2 3" xfId="33578" xr:uid="{626E9168-203D-4AEC-BADE-996718337C1F}"/>
    <cellStyle name="Percent 3 10 2 3" xfId="33579" xr:uid="{AC7C262F-BA5C-428B-9CA4-EA8ACB70984A}"/>
    <cellStyle name="Percent 3 10 2 3 2" xfId="33580" xr:uid="{301E62E9-D17A-4998-8C33-0E6801F2F06B}"/>
    <cellStyle name="Percent 3 10 2 3 2 2" xfId="33581" xr:uid="{159E088C-8134-4714-8AD1-6FC12B782ED2}"/>
    <cellStyle name="Percent 3 10 2 3 3" xfId="33582" xr:uid="{2B426A62-4168-483E-9AAB-2A6C5BAEE0B3}"/>
    <cellStyle name="Percent 3 10 2 4" xfId="33583" xr:uid="{F68B2365-1658-427D-80E7-77E9A144149B}"/>
    <cellStyle name="Percent 3 10 2 4 2" xfId="33584" xr:uid="{4B236D62-9D8F-465D-8ACD-29E5D1FA55B5}"/>
    <cellStyle name="Percent 3 10 2 5" xfId="33585" xr:uid="{F82FFF49-221A-4306-86A8-B2CA6AC4E314}"/>
    <cellStyle name="Percent 3 10 3" xfId="33586" xr:uid="{76B40BBD-37E9-4A32-9B42-5875EC5264EE}"/>
    <cellStyle name="Percent 3 10 3 2" xfId="33587" xr:uid="{9EFE14EF-0771-4009-9CFF-636A95AEDF2A}"/>
    <cellStyle name="Percent 3 10 3 2 2" xfId="33588" xr:uid="{91F8857F-2848-42DC-9CCD-CD694A81379B}"/>
    <cellStyle name="Percent 3 10 3 3" xfId="33589" xr:uid="{53C5B83C-1C01-471E-B186-228FF6591FB3}"/>
    <cellStyle name="Percent 3 10 4" xfId="33590" xr:uid="{C6211BDE-6BB2-405C-84B9-31F41408078D}"/>
    <cellStyle name="Percent 3 10 4 2" xfId="33591" xr:uid="{6AB43695-9AAA-4B3A-93AD-A654DD939ABB}"/>
    <cellStyle name="Percent 3 10 4 2 2" xfId="33592" xr:uid="{E4737684-E9F5-4418-AE2B-BF94E948F94E}"/>
    <cellStyle name="Percent 3 10 4 3" xfId="33593" xr:uid="{5267BCD6-3BDE-4BD7-BE20-166F1A469B13}"/>
    <cellStyle name="Percent 3 10 5" xfId="33594" xr:uid="{5353B32D-CEBF-4A73-B9E1-087E6BC20B69}"/>
    <cellStyle name="Percent 3 10 5 2" xfId="33595" xr:uid="{E4BE1654-3917-447D-B05E-553C19D41C15}"/>
    <cellStyle name="Percent 3 10 6" xfId="33596" xr:uid="{84459899-DE1D-4DA4-B044-764B720EC7C8}"/>
    <cellStyle name="Percent 3 11" xfId="33597" xr:uid="{7EAB4389-BBCC-4DD8-BBE6-2B3B1114F01C}"/>
    <cellStyle name="Percent 3 11 2" xfId="33598" xr:uid="{5D6C2A27-93D4-43B6-9904-E5B95DD1609F}"/>
    <cellStyle name="Percent 3 11 2 2" xfId="33599" xr:uid="{6CFA02F7-0E5D-4216-9BB5-F2FF63D29B8D}"/>
    <cellStyle name="Percent 3 11 2 2 2" xfId="33600" xr:uid="{361BF650-6E73-4AC1-8F7C-8C1F7F8CDD6A}"/>
    <cellStyle name="Percent 3 11 2 2 2 2" xfId="33601" xr:uid="{2A85536E-66DB-4DC3-A06F-5EBF276AC398}"/>
    <cellStyle name="Percent 3 11 2 2 3" xfId="33602" xr:uid="{BD331A23-B100-4F3D-BC23-1B4D1342862A}"/>
    <cellStyle name="Percent 3 11 2 3" xfId="33603" xr:uid="{D3A32B28-E73F-4ED6-8B57-E298CAECE595}"/>
    <cellStyle name="Percent 3 11 2 3 2" xfId="33604" xr:uid="{53067408-0C7F-468D-A995-C2EE55CFDA9A}"/>
    <cellStyle name="Percent 3 11 2 3 2 2" xfId="33605" xr:uid="{D2D2E5A5-D9D6-4C6A-A144-7FFA5CC4AA6B}"/>
    <cellStyle name="Percent 3 11 2 3 3" xfId="33606" xr:uid="{C9392CC4-F946-47F3-AA85-0CC15933FF1A}"/>
    <cellStyle name="Percent 3 11 2 4" xfId="33607" xr:uid="{13E385A9-82FB-4E3D-8DE7-ABE3ACDCE31A}"/>
    <cellStyle name="Percent 3 11 2 4 2" xfId="33608" xr:uid="{1058C12A-5566-42AF-A9E7-76B64216F556}"/>
    <cellStyle name="Percent 3 11 2 5" xfId="33609" xr:uid="{CE3E44D5-2C3D-41D1-A4AA-0B633D1365D1}"/>
    <cellStyle name="Percent 3 11 3" xfId="33610" xr:uid="{748E4247-7C56-460B-8FD8-FF51048F81AF}"/>
    <cellStyle name="Percent 3 11 3 2" xfId="33611" xr:uid="{D8BB7325-AAD6-4F2A-B62D-BA9AC998F0DB}"/>
    <cellStyle name="Percent 3 11 3 2 2" xfId="33612" xr:uid="{CE85531E-793B-43C3-8B00-F8BAB518F15F}"/>
    <cellStyle name="Percent 3 11 3 3" xfId="33613" xr:uid="{0E0BB202-01BB-4ED6-B8AE-013B298087A5}"/>
    <cellStyle name="Percent 3 11 4" xfId="33614" xr:uid="{A90D5164-1B4C-492C-9F32-65F1DB94E95D}"/>
    <cellStyle name="Percent 3 11 4 2" xfId="33615" xr:uid="{130EBC87-4EC2-442E-9ECC-21AD3A559FA2}"/>
    <cellStyle name="Percent 3 11 4 2 2" xfId="33616" xr:uid="{49832E85-9C6C-47F5-991B-7C0077F6409D}"/>
    <cellStyle name="Percent 3 11 4 3" xfId="33617" xr:uid="{DB3E712F-CB83-4C44-AEE8-DDC35FB0F6D0}"/>
    <cellStyle name="Percent 3 11 5" xfId="33618" xr:uid="{D2C25BAD-9F21-412E-A779-024D1BF87301}"/>
    <cellStyle name="Percent 3 11 5 2" xfId="33619" xr:uid="{312CEF34-3028-4A58-9F4A-7CFB1E868FBA}"/>
    <cellStyle name="Percent 3 11 6" xfId="33620" xr:uid="{9563E68D-42C9-477E-96BC-DC0542CF9E6E}"/>
    <cellStyle name="Percent 3 12" xfId="33621" xr:uid="{516EFCEA-CE61-4414-B3E4-2FDBE2466A6B}"/>
    <cellStyle name="Percent 3 12 2" xfId="33622" xr:uid="{9B73981B-59F9-4151-B9D5-172163325C6A}"/>
    <cellStyle name="Percent 3 12 2 2" xfId="33623" xr:uid="{149D0529-229F-4231-A0D8-292FF66457B6}"/>
    <cellStyle name="Percent 3 12 2 2 2" xfId="33624" xr:uid="{26177CBE-88B9-413F-ADD9-4EB2801D902D}"/>
    <cellStyle name="Percent 3 12 2 2 2 2" xfId="33625" xr:uid="{D8C36018-046D-4598-806E-64B4983C2C0B}"/>
    <cellStyle name="Percent 3 12 2 2 3" xfId="33626" xr:uid="{657EA218-D1EA-42DF-90C8-56CD1018F9A3}"/>
    <cellStyle name="Percent 3 12 2 3" xfId="33627" xr:uid="{6C798A62-C86E-4DD6-998C-751BE16A77A6}"/>
    <cellStyle name="Percent 3 12 2 3 2" xfId="33628" xr:uid="{E5E701EE-A086-41C5-92E1-15F476FB0CCE}"/>
    <cellStyle name="Percent 3 12 2 3 2 2" xfId="33629" xr:uid="{517D73C2-608E-46DC-BFCC-C89AB357C80C}"/>
    <cellStyle name="Percent 3 12 2 3 3" xfId="33630" xr:uid="{18A617A6-5598-4C8C-8694-3539DE51617A}"/>
    <cellStyle name="Percent 3 12 2 4" xfId="33631" xr:uid="{7064347C-3A3F-40C1-93B9-E103B5680D21}"/>
    <cellStyle name="Percent 3 12 2 4 2" xfId="33632" xr:uid="{DF7404D3-C569-495F-87E4-EE1C378A2EC5}"/>
    <cellStyle name="Percent 3 12 2 5" xfId="33633" xr:uid="{93CA1BAA-6E10-4DC7-8CD3-5C57E740AC77}"/>
    <cellStyle name="Percent 3 12 3" xfId="33634" xr:uid="{31E4CD5B-A37B-4C3C-8345-2176EE2B5F27}"/>
    <cellStyle name="Percent 3 12 3 2" xfId="33635" xr:uid="{BDFDB109-5FB7-4B94-9F52-36E7869028AD}"/>
    <cellStyle name="Percent 3 12 3 2 2" xfId="33636" xr:uid="{C4A909D4-B212-4F98-BD63-B629E2EDB810}"/>
    <cellStyle name="Percent 3 12 3 3" xfId="33637" xr:uid="{9B7D5898-2A13-478E-B5ED-6B5FAD2F7B6D}"/>
    <cellStyle name="Percent 3 12 4" xfId="33638" xr:uid="{D766998D-0CA6-4E80-B5DD-FBBF55335B2B}"/>
    <cellStyle name="Percent 3 12 4 2" xfId="33639" xr:uid="{C75761DE-A301-47D6-8F98-9D169024BE4E}"/>
    <cellStyle name="Percent 3 12 4 2 2" xfId="33640" xr:uid="{3F50F3A9-A9B8-444D-82BB-58641F4FAC5E}"/>
    <cellStyle name="Percent 3 12 4 3" xfId="33641" xr:uid="{E71A62CB-4E1C-4DDE-B514-0956BA4B649A}"/>
    <cellStyle name="Percent 3 12 5" xfId="33642" xr:uid="{96121132-C65D-4EF2-A52E-0F7E6B82BD83}"/>
    <cellStyle name="Percent 3 12 5 2" xfId="33643" xr:uid="{150FDF19-10CD-490C-A7D9-0CA6DD0DF990}"/>
    <cellStyle name="Percent 3 12 6" xfId="33644" xr:uid="{61294073-CF47-4B80-92E5-BCB0EBDB991A}"/>
    <cellStyle name="Percent 3 13" xfId="33645" xr:uid="{1F51E1DB-F539-4765-B1A6-FEE3FB661F09}"/>
    <cellStyle name="Percent 3 13 2" xfId="33646" xr:uid="{6C94B815-6C92-4992-B3EA-3B6EE7A4B4EA}"/>
    <cellStyle name="Percent 3 13 2 2" xfId="33647" xr:uid="{162A89D8-4C0D-4EB6-86B6-5AEF81A21B3F}"/>
    <cellStyle name="Percent 3 13 2 2 2" xfId="33648" xr:uid="{44E20B8E-CE88-4138-8C2B-3E1F80B500F6}"/>
    <cellStyle name="Percent 3 13 2 3" xfId="33649" xr:uid="{7EF82C29-8AB2-4086-9893-45991C85DD90}"/>
    <cellStyle name="Percent 3 13 3" xfId="33650" xr:uid="{DEDF5827-BD10-470A-9E18-B82B0AFED04E}"/>
    <cellStyle name="Percent 3 13 3 2" xfId="33651" xr:uid="{089DCAEA-2E39-4482-9300-8BBAAA2B28D7}"/>
    <cellStyle name="Percent 3 13 3 2 2" xfId="33652" xr:uid="{91CEBCD7-3E5F-4A5F-88A2-982B1AE99A33}"/>
    <cellStyle name="Percent 3 13 3 3" xfId="33653" xr:uid="{AAB69EDE-5C07-49C9-95E1-EABAE1C8898C}"/>
    <cellStyle name="Percent 3 13 4" xfId="33654" xr:uid="{EEC4B330-5D86-43B7-A16F-17E553D08EDE}"/>
    <cellStyle name="Percent 3 13 4 2" xfId="33655" xr:uid="{7E55C50F-B69C-41E0-BC81-4E80209FDD48}"/>
    <cellStyle name="Percent 3 13 5" xfId="33656" xr:uid="{9F5A31EE-A0ED-475A-899D-E3FF1CAF8EB3}"/>
    <cellStyle name="Percent 3 14" xfId="33657" xr:uid="{051636A0-AAAA-4F92-B3A3-C20DB20E10DF}"/>
    <cellStyle name="Percent 3 14 2" xfId="33658" xr:uid="{2C02242E-0DC4-4D05-888C-AB7B1A8A8352}"/>
    <cellStyle name="Percent 3 14 2 2" xfId="33659" xr:uid="{60795594-7B60-4D2A-BFEA-697391D86030}"/>
    <cellStyle name="Percent 3 14 3" xfId="33660" xr:uid="{6A20A3EF-D2E3-4763-A767-5ADB8E2EE421}"/>
    <cellStyle name="Percent 3 15" xfId="33661" xr:uid="{97122E2E-F562-4750-BB08-12AE5C7D3D52}"/>
    <cellStyle name="Percent 3 15 2" xfId="33662" xr:uid="{464DC6BE-287A-4E55-B5DA-3B23C8339682}"/>
    <cellStyle name="Percent 3 15 2 2" xfId="33663" xr:uid="{94B6C92A-EB3A-4133-8D69-0F217BCE97AC}"/>
    <cellStyle name="Percent 3 15 3" xfId="33664" xr:uid="{54F8686A-3D79-42C3-B0C4-0B5E20ED7598}"/>
    <cellStyle name="Percent 3 16" xfId="33665" xr:uid="{CF689A21-6925-4140-8211-2C25AE8A7AE4}"/>
    <cellStyle name="Percent 3 16 2" xfId="33666" xr:uid="{6CC5147D-A75D-4EFA-AB9B-4E8C285B228A}"/>
    <cellStyle name="Percent 3 17" xfId="33667" xr:uid="{FED4A5CA-CF39-49FE-8D87-E512A4800EDB}"/>
    <cellStyle name="Percent 3 18" xfId="33668" xr:uid="{254F9410-0CCC-43BE-8465-788C43FA1A93}"/>
    <cellStyle name="Percent 3 19" xfId="39475" xr:uid="{C91EEB9E-4935-4DCD-8E11-FCDA90157291}"/>
    <cellStyle name="Percent 3 2" xfId="33669" xr:uid="{56371ABB-DE3A-4274-B019-EF9B12296A25}"/>
    <cellStyle name="Percent 3 2 10" xfId="33670" xr:uid="{8F24A87C-EE95-4B55-A2D6-FF868E7DF6EE}"/>
    <cellStyle name="Percent 3 2 10 2" xfId="33671" xr:uid="{80E17089-DEE5-4BEA-B156-DBB7BBF442B3}"/>
    <cellStyle name="Percent 3 2 10 2 2" xfId="33672" xr:uid="{5D6F88CD-9A5D-4736-9C55-203E634B6E7D}"/>
    <cellStyle name="Percent 3 2 10 2 2 2" xfId="33673" xr:uid="{9A537F02-6E84-486B-91C0-6180FD23B10B}"/>
    <cellStyle name="Percent 3 2 10 2 2 2 2" xfId="33674" xr:uid="{186A4AD2-06EF-4014-97A7-042E76DAEC67}"/>
    <cellStyle name="Percent 3 2 10 2 2 3" xfId="33675" xr:uid="{A522877C-CA88-47EF-BDBF-7393C35D7958}"/>
    <cellStyle name="Percent 3 2 10 2 3" xfId="33676" xr:uid="{2E796D8E-9586-4612-AA5C-69B96FBF4D10}"/>
    <cellStyle name="Percent 3 2 10 2 3 2" xfId="33677" xr:uid="{DB762334-5113-4094-9E6C-C2FBAB9B1B69}"/>
    <cellStyle name="Percent 3 2 10 2 3 2 2" xfId="33678" xr:uid="{DE262550-5079-4F08-BB07-E0A019EF3E73}"/>
    <cellStyle name="Percent 3 2 10 2 3 3" xfId="33679" xr:uid="{63A3CDC4-481F-426E-BB82-5130A8716169}"/>
    <cellStyle name="Percent 3 2 10 2 4" xfId="33680" xr:uid="{0A05F306-CCBE-4310-9864-8F240AD772F5}"/>
    <cellStyle name="Percent 3 2 10 2 4 2" xfId="33681" xr:uid="{00ABA91E-A00A-41B8-AB90-0C4F59A43390}"/>
    <cellStyle name="Percent 3 2 10 2 5" xfId="33682" xr:uid="{FD732C64-95A8-4B64-8606-5F50844FF146}"/>
    <cellStyle name="Percent 3 2 10 3" xfId="33683" xr:uid="{FD528EE0-A36A-43AC-9642-9B8F3EB778A8}"/>
    <cellStyle name="Percent 3 2 10 3 2" xfId="33684" xr:uid="{812DFC70-5C91-4C0C-8DEF-B5CF085823E4}"/>
    <cellStyle name="Percent 3 2 10 3 2 2" xfId="33685" xr:uid="{7635EB3A-D2EE-4F13-AAE2-90466FE3D134}"/>
    <cellStyle name="Percent 3 2 10 3 3" xfId="33686" xr:uid="{32101723-52E6-4BB7-9AAA-EC7925213F8B}"/>
    <cellStyle name="Percent 3 2 10 4" xfId="33687" xr:uid="{C44DC123-6561-4C4D-BFB8-2095BC7F5FD9}"/>
    <cellStyle name="Percent 3 2 10 4 2" xfId="33688" xr:uid="{8B653BC5-A6F5-4655-BAAD-7EAB733BAB9A}"/>
    <cellStyle name="Percent 3 2 10 4 2 2" xfId="33689" xr:uid="{87A7931D-C69A-433A-8E8B-8A1A2EFF7DD8}"/>
    <cellStyle name="Percent 3 2 10 4 3" xfId="33690" xr:uid="{D1EBF123-7B76-4CB0-ABEB-5D0BEF3363C1}"/>
    <cellStyle name="Percent 3 2 10 5" xfId="33691" xr:uid="{9ACA9746-C31B-4DC2-AD35-31128CE77205}"/>
    <cellStyle name="Percent 3 2 10 5 2" xfId="33692" xr:uid="{1FCE5139-B5B6-4BB6-855A-15E381B638CE}"/>
    <cellStyle name="Percent 3 2 10 6" xfId="33693" xr:uid="{DDE2FD5C-7055-4A47-B898-A84054BEA1C0}"/>
    <cellStyle name="Percent 3 2 11" xfId="33694" xr:uid="{2F50F433-EF2E-4D4C-BB9F-EBE7D3FD6470}"/>
    <cellStyle name="Percent 3 2 11 2" xfId="33695" xr:uid="{B22B6EF2-F327-416B-9D80-A9A3DE01E2E1}"/>
    <cellStyle name="Percent 3 2 11 2 2" xfId="33696" xr:uid="{188AA2C3-C0BE-4CD6-8081-08086314ACB7}"/>
    <cellStyle name="Percent 3 2 11 2 2 2" xfId="33697" xr:uid="{BB2DBB18-6BD2-42C3-BB7B-2CADB526B0D7}"/>
    <cellStyle name="Percent 3 2 11 2 3" xfId="33698" xr:uid="{4C2B5319-EFA8-454A-85AB-527E344D40B5}"/>
    <cellStyle name="Percent 3 2 11 3" xfId="33699" xr:uid="{7623A2BE-6A8C-4DDF-B9CA-FE23FC470555}"/>
    <cellStyle name="Percent 3 2 11 3 2" xfId="33700" xr:uid="{39703166-59A1-4062-A848-7B0DEE0A4704}"/>
    <cellStyle name="Percent 3 2 11 3 2 2" xfId="33701" xr:uid="{379A586D-A719-47AE-94FD-BA77BA278443}"/>
    <cellStyle name="Percent 3 2 11 3 3" xfId="33702" xr:uid="{5207BE11-30ED-44CA-9CDC-C82992BED08F}"/>
    <cellStyle name="Percent 3 2 11 4" xfId="33703" xr:uid="{C77DA29E-AB47-4A17-87A3-A21C64A84C49}"/>
    <cellStyle name="Percent 3 2 11 4 2" xfId="33704" xr:uid="{2A7464DA-258D-432B-BA54-EF7C26385A28}"/>
    <cellStyle name="Percent 3 2 11 5" xfId="33705" xr:uid="{0182A4F9-6AD9-423E-AF62-52E749627270}"/>
    <cellStyle name="Percent 3 2 12" xfId="33706" xr:uid="{BF1BA4C7-9D65-471F-B998-61A0390AFF84}"/>
    <cellStyle name="Percent 3 2 12 2" xfId="33707" xr:uid="{CCABF1B6-14FF-4AE1-816B-062292C0C9F4}"/>
    <cellStyle name="Percent 3 2 12 2 2" xfId="33708" xr:uid="{470D91F4-E6A9-4649-B592-0F837FE1336F}"/>
    <cellStyle name="Percent 3 2 12 3" xfId="33709" xr:uid="{31AAAC44-2212-4B08-9E04-DE0B14CF945A}"/>
    <cellStyle name="Percent 3 2 13" xfId="33710" xr:uid="{7596856B-D974-4922-947B-E0ED530D970B}"/>
    <cellStyle name="Percent 3 2 13 2" xfId="33711" xr:uid="{DB2BF278-0130-4014-82BD-140DFDB9D81C}"/>
    <cellStyle name="Percent 3 2 13 2 2" xfId="33712" xr:uid="{BF21CBA4-2559-435E-92AA-906C2E516DC3}"/>
    <cellStyle name="Percent 3 2 13 3" xfId="33713" xr:uid="{76651267-70BE-4974-A1B3-35CDC595214B}"/>
    <cellStyle name="Percent 3 2 14" xfId="33714" xr:uid="{E7BEEA15-F09B-463D-BC5C-920EE931F615}"/>
    <cellStyle name="Percent 3 2 14 2" xfId="33715" xr:uid="{077599B8-BF3C-401C-A1A3-A962041B6E93}"/>
    <cellStyle name="Percent 3 2 15" xfId="33716" xr:uid="{3F3F408D-65BF-46D1-A84B-195F86EFC526}"/>
    <cellStyle name="Percent 3 2 2" xfId="33717" xr:uid="{D1E7B0EE-04EB-4C5A-BEC6-135918BCFB62}"/>
    <cellStyle name="Percent 3 2 2 2" xfId="33718" xr:uid="{55B80090-C124-4B1C-82FF-CD59745E4BD9}"/>
    <cellStyle name="Percent 3 2 2 2 2" xfId="33719" xr:uid="{89134E37-F606-43B3-A90A-9EB469CC3198}"/>
    <cellStyle name="Percent 3 2 2 2 2 2" xfId="33720" xr:uid="{4B9450C2-8770-449B-A4ED-EE0E3A33A6A2}"/>
    <cellStyle name="Percent 3 2 2 2 2 2 2" xfId="33721" xr:uid="{37D29F78-7475-486B-ABB3-328B9EB71934}"/>
    <cellStyle name="Percent 3 2 2 2 2 3" xfId="33722" xr:uid="{007BD87E-190B-476A-B682-B56B715AF425}"/>
    <cellStyle name="Percent 3 2 2 2 3" xfId="33723" xr:uid="{3321ADC1-F3AE-42CF-9B23-6645A8CDB3D2}"/>
    <cellStyle name="Percent 3 2 2 2 3 2" xfId="33724" xr:uid="{7CD3456C-7BC9-405F-A8B9-DFA957A08F3E}"/>
    <cellStyle name="Percent 3 2 2 2 3 2 2" xfId="33725" xr:uid="{9AA08003-C00E-46C3-A5E0-8EEE635F85B3}"/>
    <cellStyle name="Percent 3 2 2 2 3 3" xfId="33726" xr:uid="{F6C6DFEB-9E32-4AB3-9C66-D60089EFB6E2}"/>
    <cellStyle name="Percent 3 2 2 2 4" xfId="33727" xr:uid="{4BBC71CD-ECDC-4E17-8BE7-5B035BD0E62C}"/>
    <cellStyle name="Percent 3 2 2 2 4 2" xfId="33728" xr:uid="{324828CA-8E34-4617-A7A0-A07FBB9FDB4B}"/>
    <cellStyle name="Percent 3 2 2 2 5" xfId="33729" xr:uid="{EE09CD7A-C1C9-42C8-AD28-6177BFC77E61}"/>
    <cellStyle name="Percent 3 2 2 3" xfId="33730" xr:uid="{2D4CA088-75CA-4BDB-8BE3-A9EEC6D153F5}"/>
    <cellStyle name="Percent 3 2 2 3 2" xfId="33731" xr:uid="{DC95C244-7B00-4404-9A1F-9160B985EDC4}"/>
    <cellStyle name="Percent 3 2 2 3 2 2" xfId="33732" xr:uid="{40C3206B-1F19-4FD5-A364-09A9EC2F46B0}"/>
    <cellStyle name="Percent 3 2 2 3 3" xfId="33733" xr:uid="{7419DA1B-6841-4EC3-B744-B5D1B7641514}"/>
    <cellStyle name="Percent 3 2 2 4" xfId="33734" xr:uid="{8D294DD1-C6DB-4B3A-9D93-E97BEB057D15}"/>
    <cellStyle name="Percent 3 2 2 4 2" xfId="33735" xr:uid="{DA83CA28-7D49-4B08-B9F7-2428C79B553D}"/>
    <cellStyle name="Percent 3 2 2 4 2 2" xfId="33736" xr:uid="{A93F865E-CAB3-43F0-B3A4-071D0FD95A37}"/>
    <cellStyle name="Percent 3 2 2 4 3" xfId="33737" xr:uid="{94F21920-459A-4598-A051-76B450F085AE}"/>
    <cellStyle name="Percent 3 2 2 5" xfId="33738" xr:uid="{710C08B4-042C-42A6-AE5E-2E663D5DF40D}"/>
    <cellStyle name="Percent 3 2 2 5 2" xfId="33739" xr:uid="{B2C63BCD-4C59-4673-8E06-4BDC50156CF9}"/>
    <cellStyle name="Percent 3 2 2 6" xfId="33740" xr:uid="{CFB3F1DD-8377-4D4B-B85E-DDF68D52EBFC}"/>
    <cellStyle name="Percent 3 2 3" xfId="33741" xr:uid="{AEBA2AE3-F0EF-4575-973E-92E6491596C0}"/>
    <cellStyle name="Percent 3 2 3 2" xfId="33742" xr:uid="{7B2D6E20-261D-4532-A02C-4D6D2BC19110}"/>
    <cellStyle name="Percent 3 2 3 2 2" xfId="33743" xr:uid="{AB299389-8524-4634-9652-E9E571754CF1}"/>
    <cellStyle name="Percent 3 2 3 2 2 2" xfId="33744" xr:uid="{C86ADA96-D998-4537-8003-7E569996337D}"/>
    <cellStyle name="Percent 3 2 3 2 2 2 2" xfId="33745" xr:uid="{FD2BD70C-B669-4C3C-9A8B-7BD3D1CAC76F}"/>
    <cellStyle name="Percent 3 2 3 2 2 3" xfId="33746" xr:uid="{00D20617-88DF-4800-AD61-ECF925DD91EB}"/>
    <cellStyle name="Percent 3 2 3 2 3" xfId="33747" xr:uid="{21C16C2E-38AF-435C-AD47-6967260232B6}"/>
    <cellStyle name="Percent 3 2 3 2 3 2" xfId="33748" xr:uid="{229F74D5-80AC-42CC-890C-562809EC7915}"/>
    <cellStyle name="Percent 3 2 3 2 3 2 2" xfId="33749" xr:uid="{EFA0CAC3-07BE-4837-9FA6-54AA099AE652}"/>
    <cellStyle name="Percent 3 2 3 2 3 3" xfId="33750" xr:uid="{5DBD0F10-BBB1-4F8B-BC25-98B165339222}"/>
    <cellStyle name="Percent 3 2 3 2 4" xfId="33751" xr:uid="{7E253C61-CFDB-4473-B145-9C02AB6B3375}"/>
    <cellStyle name="Percent 3 2 3 2 4 2" xfId="33752" xr:uid="{45DB8100-2558-41FF-AE43-917C6A3B731D}"/>
    <cellStyle name="Percent 3 2 3 2 5" xfId="33753" xr:uid="{E7A755F4-585D-4194-8A1A-86131822B0BF}"/>
    <cellStyle name="Percent 3 2 3 3" xfId="33754" xr:uid="{19EEDB3F-D940-4E8A-9747-0B5BDBB46CE0}"/>
    <cellStyle name="Percent 3 2 3 3 2" xfId="33755" xr:uid="{6781A1D3-6030-4BCA-BEEA-59668ED5FDC0}"/>
    <cellStyle name="Percent 3 2 3 3 2 2" xfId="33756" xr:uid="{088B257D-E2E1-4B54-B400-C023BD638A0E}"/>
    <cellStyle name="Percent 3 2 3 3 3" xfId="33757" xr:uid="{EE886A1B-E0DA-4CB6-82F4-BBF6D20D1331}"/>
    <cellStyle name="Percent 3 2 3 4" xfId="33758" xr:uid="{8223709F-4BFF-48B9-85B0-3F640D9087D5}"/>
    <cellStyle name="Percent 3 2 3 4 2" xfId="33759" xr:uid="{103CB285-9E9B-4AE9-9A70-D7EF6121DDBA}"/>
    <cellStyle name="Percent 3 2 3 4 2 2" xfId="33760" xr:uid="{E3D9479C-32EE-4096-98EE-862A789571BE}"/>
    <cellStyle name="Percent 3 2 3 4 3" xfId="33761" xr:uid="{6AAFAE59-5BE2-44A1-A43F-4C1A54478F12}"/>
    <cellStyle name="Percent 3 2 3 5" xfId="33762" xr:uid="{E2FDD743-8FCD-47D6-BD54-6F552929C55A}"/>
    <cellStyle name="Percent 3 2 3 5 2" xfId="33763" xr:uid="{58E3E021-2030-49CD-A951-6906CC6C95E0}"/>
    <cellStyle name="Percent 3 2 3 6" xfId="33764" xr:uid="{C5A8B649-8EAF-45B6-AC1D-7536E4B86748}"/>
    <cellStyle name="Percent 3 2 4" xfId="33765" xr:uid="{0C7AFB37-6D3C-49AF-806F-F16A0FC6EA8D}"/>
    <cellStyle name="Percent 3 2 4 2" xfId="33766" xr:uid="{52B63C1B-C8BB-4792-8A86-50187A83A3FA}"/>
    <cellStyle name="Percent 3 2 4 2 2" xfId="33767" xr:uid="{7A357965-4AC0-4AB4-B220-8ECBB7785CB9}"/>
    <cellStyle name="Percent 3 2 4 2 2 2" xfId="33768" xr:uid="{A0DE15DE-20D6-42A4-8B2A-14484D0C2FE5}"/>
    <cellStyle name="Percent 3 2 4 2 2 2 2" xfId="33769" xr:uid="{DB3974C0-8CB9-4044-9017-0F57E06D3E74}"/>
    <cellStyle name="Percent 3 2 4 2 2 3" xfId="33770" xr:uid="{A08A3F55-D8AE-4ACA-BC9B-E91F220B5CBD}"/>
    <cellStyle name="Percent 3 2 4 2 3" xfId="33771" xr:uid="{9AE9D4C0-4782-448B-B229-04C5F2C13C1A}"/>
    <cellStyle name="Percent 3 2 4 2 3 2" xfId="33772" xr:uid="{221A1B60-871D-43E9-8B57-0A2EA33862A0}"/>
    <cellStyle name="Percent 3 2 4 2 3 2 2" xfId="33773" xr:uid="{3487B79E-D1BB-4333-8526-DFD9269A5E9F}"/>
    <cellStyle name="Percent 3 2 4 2 3 3" xfId="33774" xr:uid="{0D0C6F87-2CDC-4B07-BEA5-91A96F0BBE5F}"/>
    <cellStyle name="Percent 3 2 4 2 4" xfId="33775" xr:uid="{DDEB7C98-2716-4FFE-84FC-854DEC139702}"/>
    <cellStyle name="Percent 3 2 4 2 4 2" xfId="33776" xr:uid="{67127899-F7CD-41F7-81D0-18FFD7071154}"/>
    <cellStyle name="Percent 3 2 4 2 5" xfId="33777" xr:uid="{4D9F22A2-44D8-4C17-B501-4C45C47DDD95}"/>
    <cellStyle name="Percent 3 2 4 3" xfId="33778" xr:uid="{9B9FA367-030C-4DAB-9E6D-2F8F7D538271}"/>
    <cellStyle name="Percent 3 2 4 3 2" xfId="33779" xr:uid="{43CEE120-1E90-4333-8895-698C539ED78F}"/>
    <cellStyle name="Percent 3 2 4 3 2 2" xfId="33780" xr:uid="{0EA79590-8935-4DEA-9333-869D853743B9}"/>
    <cellStyle name="Percent 3 2 4 3 3" xfId="33781" xr:uid="{6AE70A41-54BF-487C-871E-48897FC1DDFC}"/>
    <cellStyle name="Percent 3 2 4 4" xfId="33782" xr:uid="{8937462D-2C76-4C1D-AC8A-BEE5DCF7B193}"/>
    <cellStyle name="Percent 3 2 4 4 2" xfId="33783" xr:uid="{ADB8BE05-9D8C-4605-ACF1-8077C46D9CB8}"/>
    <cellStyle name="Percent 3 2 4 4 2 2" xfId="33784" xr:uid="{6CB75D73-EC08-4B96-A21C-99B377F468A7}"/>
    <cellStyle name="Percent 3 2 4 4 3" xfId="33785" xr:uid="{877C93E5-2297-4453-B6CD-0A9F3F6D3144}"/>
    <cellStyle name="Percent 3 2 4 5" xfId="33786" xr:uid="{01788412-3CE1-4AF4-9526-843E30C59E52}"/>
    <cellStyle name="Percent 3 2 4 5 2" xfId="33787" xr:uid="{9C5621CB-51D4-47F9-8337-B01BF91B9C82}"/>
    <cellStyle name="Percent 3 2 4 6" xfId="33788" xr:uid="{3DDF1542-C347-4A59-B855-CC6541BA6C7A}"/>
    <cellStyle name="Percent 3 2 5" xfId="33789" xr:uid="{D382A9EF-C046-410D-B285-AA8D13A2764F}"/>
    <cellStyle name="Percent 3 2 5 2" xfId="33790" xr:uid="{8A5160E4-FB09-4CE2-A956-7F0A5AF34012}"/>
    <cellStyle name="Percent 3 2 5 2 2" xfId="33791" xr:uid="{1053F75D-88BE-4DD4-BDDC-45F1A8B3B3F6}"/>
    <cellStyle name="Percent 3 2 5 2 2 2" xfId="33792" xr:uid="{D11A8955-C3FD-49F1-8CB7-104A7DC2343E}"/>
    <cellStyle name="Percent 3 2 5 2 2 2 2" xfId="33793" xr:uid="{99161CDF-E15C-406C-A10E-AD32AC0E0F7A}"/>
    <cellStyle name="Percent 3 2 5 2 2 3" xfId="33794" xr:uid="{5D450F8F-F4DE-4BAC-B9DA-B70EA8B48D47}"/>
    <cellStyle name="Percent 3 2 5 2 3" xfId="33795" xr:uid="{242770D2-55FD-4E53-9CBC-7C57DE50C1B3}"/>
    <cellStyle name="Percent 3 2 5 2 3 2" xfId="33796" xr:uid="{A7A686C7-B71F-4BA9-AFB5-6B181F421132}"/>
    <cellStyle name="Percent 3 2 5 2 3 2 2" xfId="33797" xr:uid="{9103FA54-A412-4DF3-BC7C-774E28EB513E}"/>
    <cellStyle name="Percent 3 2 5 2 3 3" xfId="33798" xr:uid="{86230E79-E8B6-4316-A5BD-E399864E531B}"/>
    <cellStyle name="Percent 3 2 5 2 4" xfId="33799" xr:uid="{FC70967A-2FA0-41E2-9648-AA00E3E4D01D}"/>
    <cellStyle name="Percent 3 2 5 2 4 2" xfId="33800" xr:uid="{3C3F6B11-1767-43E2-AE0E-9ADECBCA96C3}"/>
    <cellStyle name="Percent 3 2 5 2 5" xfId="33801" xr:uid="{A551EEA0-C764-422E-A12F-6A2AABDA7DBF}"/>
    <cellStyle name="Percent 3 2 5 3" xfId="33802" xr:uid="{8EBB04D7-E501-4B0D-85AE-162D6DADF5AB}"/>
    <cellStyle name="Percent 3 2 5 3 2" xfId="33803" xr:uid="{02A5C395-42BD-4A25-9974-5BF96DFB1F88}"/>
    <cellStyle name="Percent 3 2 5 3 2 2" xfId="33804" xr:uid="{2BB87C7B-B2CE-42A9-BDC4-EFA4DD926741}"/>
    <cellStyle name="Percent 3 2 5 3 3" xfId="33805" xr:uid="{C890A893-71C4-4B5A-8A2B-500EA283DEB2}"/>
    <cellStyle name="Percent 3 2 5 4" xfId="33806" xr:uid="{3F70B165-7EDE-4DC1-B5B2-462EC9FD797B}"/>
    <cellStyle name="Percent 3 2 5 4 2" xfId="33807" xr:uid="{64385A16-095B-44A5-A007-0D25787E0986}"/>
    <cellStyle name="Percent 3 2 5 4 2 2" xfId="33808" xr:uid="{A749CBDE-7CD5-4D99-AF92-1A2760D6B3DD}"/>
    <cellStyle name="Percent 3 2 5 4 3" xfId="33809" xr:uid="{C65697B1-C4F0-48B1-ABDD-7816189679F7}"/>
    <cellStyle name="Percent 3 2 5 5" xfId="33810" xr:uid="{1EAA3A59-29ED-42EB-9874-64EDD0311987}"/>
    <cellStyle name="Percent 3 2 5 5 2" xfId="33811" xr:uid="{42D97720-8014-4C50-9501-AF5386576312}"/>
    <cellStyle name="Percent 3 2 5 6" xfId="33812" xr:uid="{7B43F58B-3BFE-4434-B8E7-8E68151FC0CB}"/>
    <cellStyle name="Percent 3 2 6" xfId="33813" xr:uid="{84DFD47C-8A5C-46FD-89BD-7C018915CF58}"/>
    <cellStyle name="Percent 3 2 6 2" xfId="33814" xr:uid="{50A0CAFA-F22D-45F9-9D4F-26B80EFC00CB}"/>
    <cellStyle name="Percent 3 2 6 2 2" xfId="33815" xr:uid="{48C7449D-5BAB-470E-A2DD-3E4D78087231}"/>
    <cellStyle name="Percent 3 2 6 2 2 2" xfId="33816" xr:uid="{91E30E14-74FF-42BE-9820-5856A5D0C72D}"/>
    <cellStyle name="Percent 3 2 6 2 2 2 2" xfId="33817" xr:uid="{DD82CFAA-CFB4-4BE4-9ED9-9C13483FA85F}"/>
    <cellStyle name="Percent 3 2 6 2 2 3" xfId="33818" xr:uid="{F98259A3-C73A-46DD-8393-F5B53301632C}"/>
    <cellStyle name="Percent 3 2 6 2 3" xfId="33819" xr:uid="{655398C3-373C-460D-B69B-AB3A4D766275}"/>
    <cellStyle name="Percent 3 2 6 2 3 2" xfId="33820" xr:uid="{CA27CD85-B8E7-4E5F-AB46-3A3BE6DAD2ED}"/>
    <cellStyle name="Percent 3 2 6 2 3 2 2" xfId="33821" xr:uid="{97D5BBFC-74A7-4395-96FA-660B295F9CC5}"/>
    <cellStyle name="Percent 3 2 6 2 3 3" xfId="33822" xr:uid="{96A62E7E-D6DC-4698-A7EF-1D818539F68B}"/>
    <cellStyle name="Percent 3 2 6 2 4" xfId="33823" xr:uid="{82D6FCDA-2AB3-4798-B312-6B37608D282E}"/>
    <cellStyle name="Percent 3 2 6 2 4 2" xfId="33824" xr:uid="{A3B563B1-DD6B-4BAD-87F2-3BBAEC083EEA}"/>
    <cellStyle name="Percent 3 2 6 2 5" xfId="33825" xr:uid="{FF8EAAD4-7064-4277-8151-E3B907071920}"/>
    <cellStyle name="Percent 3 2 6 3" xfId="33826" xr:uid="{E95C2DBE-6B2A-4E00-8E48-3851FADD218F}"/>
    <cellStyle name="Percent 3 2 6 3 2" xfId="33827" xr:uid="{31B6043D-78A9-4239-882B-D53323149E56}"/>
    <cellStyle name="Percent 3 2 6 3 2 2" xfId="33828" xr:uid="{3125E366-BDFC-4443-A802-673220F312BB}"/>
    <cellStyle name="Percent 3 2 6 3 3" xfId="33829" xr:uid="{AD001940-0A88-44A5-9820-B489D9B39012}"/>
    <cellStyle name="Percent 3 2 6 4" xfId="33830" xr:uid="{C7E3E7AB-A761-47F8-9C9C-CFD2AB64C1F1}"/>
    <cellStyle name="Percent 3 2 6 4 2" xfId="33831" xr:uid="{36458889-05BF-4423-87B2-041D45CE5D7B}"/>
    <cellStyle name="Percent 3 2 6 4 2 2" xfId="33832" xr:uid="{4458EE39-C88E-4151-840A-D9EE87C0B4E9}"/>
    <cellStyle name="Percent 3 2 6 4 3" xfId="33833" xr:uid="{18CBF426-7174-487E-B84B-78033AF321A0}"/>
    <cellStyle name="Percent 3 2 6 5" xfId="33834" xr:uid="{FEEFAC6A-3458-4CC3-AB84-DBBC049F7D62}"/>
    <cellStyle name="Percent 3 2 6 5 2" xfId="33835" xr:uid="{744C70A5-2C0C-496A-925A-148FBD500520}"/>
    <cellStyle name="Percent 3 2 6 6" xfId="33836" xr:uid="{CC84A44A-DD7C-4A90-A681-F4CF02D6C88E}"/>
    <cellStyle name="Percent 3 2 7" xfId="33837" xr:uid="{BF4A1F8A-4028-4365-B27A-ED59CAA2F84F}"/>
    <cellStyle name="Percent 3 2 7 2" xfId="33838" xr:uid="{CBD62C1B-5269-401F-BB5E-462EC1A9B97E}"/>
    <cellStyle name="Percent 3 2 7 2 2" xfId="33839" xr:uid="{761340A4-7DEC-49F8-9DDF-62CEEF076FF4}"/>
    <cellStyle name="Percent 3 2 7 2 2 2" xfId="33840" xr:uid="{9C7B321D-34BD-4CA4-9C92-1989B3C50075}"/>
    <cellStyle name="Percent 3 2 7 2 2 2 2" xfId="33841" xr:uid="{3D9B197B-A71E-449A-AB3C-A8B156187875}"/>
    <cellStyle name="Percent 3 2 7 2 2 3" xfId="33842" xr:uid="{7A5BE83F-3A56-4564-A5A8-F6B0240C137A}"/>
    <cellStyle name="Percent 3 2 7 2 3" xfId="33843" xr:uid="{DE59DE1A-04B4-48A2-9CFA-2C96EF3BA44C}"/>
    <cellStyle name="Percent 3 2 7 2 3 2" xfId="33844" xr:uid="{969EE636-BD70-4F50-8798-DB3B2A3482DC}"/>
    <cellStyle name="Percent 3 2 7 2 3 2 2" xfId="33845" xr:uid="{45B3FD6A-1A01-477E-8C98-106AA451FAA5}"/>
    <cellStyle name="Percent 3 2 7 2 3 3" xfId="33846" xr:uid="{E32687B5-5034-48E6-A1CE-F6BAFAEF476D}"/>
    <cellStyle name="Percent 3 2 7 2 4" xfId="33847" xr:uid="{E44E04B9-6BEE-4D29-97A6-63110EFF987E}"/>
    <cellStyle name="Percent 3 2 7 2 4 2" xfId="33848" xr:uid="{E18948E5-62D2-4E71-8C87-C624717627CC}"/>
    <cellStyle name="Percent 3 2 7 2 5" xfId="33849" xr:uid="{7CD0A55F-1A85-4D0C-ABE6-9DBE01A489E5}"/>
    <cellStyle name="Percent 3 2 7 3" xfId="33850" xr:uid="{E44FEC8C-FAD6-4CC7-8F63-AD9BE4908999}"/>
    <cellStyle name="Percent 3 2 7 3 2" xfId="33851" xr:uid="{DBD25DBA-9C00-482F-A30C-9A62A911E4BD}"/>
    <cellStyle name="Percent 3 2 7 3 2 2" xfId="33852" xr:uid="{7C0A84C1-DBD3-49E6-9D82-EC1BDD4B1609}"/>
    <cellStyle name="Percent 3 2 7 3 3" xfId="33853" xr:uid="{7C1755DA-0CC0-40AD-941F-1B51D866F97D}"/>
    <cellStyle name="Percent 3 2 7 4" xfId="33854" xr:uid="{60164AD6-AAA0-4BF1-844E-F63971080EA6}"/>
    <cellStyle name="Percent 3 2 7 4 2" xfId="33855" xr:uid="{07FFA561-134C-44EE-84D0-CC746494A38E}"/>
    <cellStyle name="Percent 3 2 7 4 2 2" xfId="33856" xr:uid="{0EDB82EC-96F0-4B2A-9B33-3DC9CF6C068F}"/>
    <cellStyle name="Percent 3 2 7 4 3" xfId="33857" xr:uid="{79077B72-7B5A-469A-90FC-3AC7A40F41C6}"/>
    <cellStyle name="Percent 3 2 7 5" xfId="33858" xr:uid="{17723D94-4EF2-43ED-B416-9D1215FA085A}"/>
    <cellStyle name="Percent 3 2 7 5 2" xfId="33859" xr:uid="{4D9AB5A8-768A-4355-817B-3157253310EF}"/>
    <cellStyle name="Percent 3 2 7 6" xfId="33860" xr:uid="{1C467EE7-42FD-45CE-8AAF-5CB9DAECC1C5}"/>
    <cellStyle name="Percent 3 2 8" xfId="33861" xr:uid="{6455BD9C-35BA-400F-886E-66A2F0A0E186}"/>
    <cellStyle name="Percent 3 2 8 2" xfId="33862" xr:uid="{841DF408-BD54-4263-B35D-C58710807021}"/>
    <cellStyle name="Percent 3 2 8 2 2" xfId="33863" xr:uid="{C54C90EE-F817-4FC8-B838-BCC6E709E653}"/>
    <cellStyle name="Percent 3 2 8 2 2 2" xfId="33864" xr:uid="{46AE3258-0929-42DE-80D0-FAF6C3D791BA}"/>
    <cellStyle name="Percent 3 2 8 2 2 2 2" xfId="33865" xr:uid="{CCBD1AEC-1536-4FE0-8F08-E2E2DFD51DC9}"/>
    <cellStyle name="Percent 3 2 8 2 2 3" xfId="33866" xr:uid="{A8CD3E40-C4DE-410D-A33D-394D4CAB4CA5}"/>
    <cellStyle name="Percent 3 2 8 2 3" xfId="33867" xr:uid="{59E03C3C-4A82-49DA-A41B-AAC1033EB0C9}"/>
    <cellStyle name="Percent 3 2 8 2 3 2" xfId="33868" xr:uid="{571CBE82-C81C-47C5-B857-06F0F65997D6}"/>
    <cellStyle name="Percent 3 2 8 2 3 2 2" xfId="33869" xr:uid="{102D5914-0791-47FA-9F43-6620A3B62661}"/>
    <cellStyle name="Percent 3 2 8 2 3 3" xfId="33870" xr:uid="{C72CA9D8-F596-4C57-84CC-40195A260F96}"/>
    <cellStyle name="Percent 3 2 8 2 4" xfId="33871" xr:uid="{0B19EA06-9F50-44FF-BEDC-FA262BBBF6CF}"/>
    <cellStyle name="Percent 3 2 8 2 4 2" xfId="33872" xr:uid="{38FA3F60-8AA9-49BB-85F8-B8AD5DFFCC04}"/>
    <cellStyle name="Percent 3 2 8 2 5" xfId="33873" xr:uid="{0FACEC27-0D0A-42CB-8C66-F614EB9DE763}"/>
    <cellStyle name="Percent 3 2 8 3" xfId="33874" xr:uid="{2B972D30-DD5F-467A-AA6E-FC14BB62A109}"/>
    <cellStyle name="Percent 3 2 8 3 2" xfId="33875" xr:uid="{C2FB64CC-4E01-47C0-9CE1-04830C2E6F51}"/>
    <cellStyle name="Percent 3 2 8 3 2 2" xfId="33876" xr:uid="{3846AACB-22CD-4066-B1E1-03FC3866DB6F}"/>
    <cellStyle name="Percent 3 2 8 3 3" xfId="33877" xr:uid="{64A7FF67-A237-49E9-A32D-3AB92F9A4FAC}"/>
    <cellStyle name="Percent 3 2 8 4" xfId="33878" xr:uid="{1598893D-D176-43EE-AFFA-AAE5C94E5BC3}"/>
    <cellStyle name="Percent 3 2 8 4 2" xfId="33879" xr:uid="{821D7005-F01B-47E9-9FFC-6EF522360DEB}"/>
    <cellStyle name="Percent 3 2 8 4 2 2" xfId="33880" xr:uid="{8A4E8B7E-8C82-4856-92F4-7606685793CE}"/>
    <cellStyle name="Percent 3 2 8 4 3" xfId="33881" xr:uid="{30A615FA-2349-4E46-8091-A711BE7B63A4}"/>
    <cellStyle name="Percent 3 2 8 5" xfId="33882" xr:uid="{4A12AFB5-E856-430E-86F3-9A5F4F62A1C0}"/>
    <cellStyle name="Percent 3 2 8 5 2" xfId="33883" xr:uid="{84E466F0-B638-423D-91B8-A00426DCF295}"/>
    <cellStyle name="Percent 3 2 8 6" xfId="33884" xr:uid="{D94D8B27-D903-478E-8F73-40D6B42D2065}"/>
    <cellStyle name="Percent 3 2 9" xfId="33885" xr:uid="{3F886EB9-E1BA-418C-8ED6-7126667EE1BA}"/>
    <cellStyle name="Percent 3 2 9 2" xfId="33886" xr:uid="{8063AEF6-C553-4CD3-BF3B-73BDA30460B0}"/>
    <cellStyle name="Percent 3 2 9 2 2" xfId="33887" xr:uid="{91332B82-1C57-4450-9C08-1451FC238502}"/>
    <cellStyle name="Percent 3 2 9 2 2 2" xfId="33888" xr:uid="{DA66CE2B-4DE7-4E4C-89CC-2F501B9CD3E0}"/>
    <cellStyle name="Percent 3 2 9 2 2 2 2" xfId="33889" xr:uid="{A83FBA9B-C413-4A9A-A655-FD5D2089DF37}"/>
    <cellStyle name="Percent 3 2 9 2 2 3" xfId="33890" xr:uid="{6B870359-60F0-4BA0-8E66-AE2B2422CD05}"/>
    <cellStyle name="Percent 3 2 9 2 3" xfId="33891" xr:uid="{D66B484F-016D-461D-BAED-BFDEE3FEDFFB}"/>
    <cellStyle name="Percent 3 2 9 2 3 2" xfId="33892" xr:uid="{972FE978-12C8-4E91-A041-399BA0BE76E8}"/>
    <cellStyle name="Percent 3 2 9 2 3 2 2" xfId="33893" xr:uid="{DA3CA140-9AEB-4891-9782-331DE774E039}"/>
    <cellStyle name="Percent 3 2 9 2 3 3" xfId="33894" xr:uid="{9140602B-4109-4DF7-89F4-E33893628DF8}"/>
    <cellStyle name="Percent 3 2 9 2 4" xfId="33895" xr:uid="{7BA1885F-59D9-4AC8-B945-A8C1B5063296}"/>
    <cellStyle name="Percent 3 2 9 2 4 2" xfId="33896" xr:uid="{6580E0DD-71F7-40E9-BF5C-FBA620B394F2}"/>
    <cellStyle name="Percent 3 2 9 2 5" xfId="33897" xr:uid="{EFD08FE1-72BE-46D7-BE50-B101495744DC}"/>
    <cellStyle name="Percent 3 2 9 3" xfId="33898" xr:uid="{DE52A439-5F1E-482F-99CC-71C34FC29842}"/>
    <cellStyle name="Percent 3 2 9 3 2" xfId="33899" xr:uid="{16E85F4A-CEA2-4A52-B72C-378BF7AEBC3D}"/>
    <cellStyle name="Percent 3 2 9 3 2 2" xfId="33900" xr:uid="{11B28A36-6830-4FA2-B049-A2548CBCA7F2}"/>
    <cellStyle name="Percent 3 2 9 3 3" xfId="33901" xr:uid="{A44B1E8B-CD58-4759-889F-0CD60A1F2021}"/>
    <cellStyle name="Percent 3 2 9 4" xfId="33902" xr:uid="{89ECCE69-12B5-4572-B6FA-337655D34EDA}"/>
    <cellStyle name="Percent 3 2 9 4 2" xfId="33903" xr:uid="{CB99B96F-C8A2-4CA9-9F07-0BA7665D7E02}"/>
    <cellStyle name="Percent 3 2 9 4 2 2" xfId="33904" xr:uid="{99B83F28-6081-4D05-85F8-58C6AF924491}"/>
    <cellStyle name="Percent 3 2 9 4 3" xfId="33905" xr:uid="{3B9980E8-3A4C-41E4-B9AC-76D8C932A99D}"/>
    <cellStyle name="Percent 3 2 9 5" xfId="33906" xr:uid="{9F12E13D-0E81-4BD2-B588-6CA17E957CF1}"/>
    <cellStyle name="Percent 3 2 9 5 2" xfId="33907" xr:uid="{CD77F545-5E6B-49AC-A900-6C06E80B69EB}"/>
    <cellStyle name="Percent 3 2 9 6" xfId="33908" xr:uid="{7856DAE3-C306-47BE-8D58-5ECA72B96C50}"/>
    <cellStyle name="Percent 3 20" xfId="33572" xr:uid="{BA922D0F-CBA6-4546-95D2-19E3E70EAE4A}"/>
    <cellStyle name="Percent 3 3" xfId="33909" xr:uid="{D47F2227-C2FA-48E2-97A3-89D47354F6B3}"/>
    <cellStyle name="Percent 3 3 10" xfId="33910" xr:uid="{F7C03AA4-F8DB-48C0-86F3-3678C3496E78}"/>
    <cellStyle name="Percent 3 3 10 2" xfId="33911" xr:uid="{1AA32F3A-669F-4511-9719-396842581FBC}"/>
    <cellStyle name="Percent 3 3 10 2 2" xfId="33912" xr:uid="{CB97A8C8-CF2C-4FEE-B4E5-B4EB9D35849F}"/>
    <cellStyle name="Percent 3 3 10 2 2 2" xfId="33913" xr:uid="{21D890F8-C0BD-49C6-9D9C-6A881FBBB93C}"/>
    <cellStyle name="Percent 3 3 10 2 2 2 2" xfId="33914" xr:uid="{CE172C56-F003-4C18-8C9E-D5CFBB9AA164}"/>
    <cellStyle name="Percent 3 3 10 2 2 3" xfId="33915" xr:uid="{7762A40C-502E-4A01-8701-935AEDF3AF2F}"/>
    <cellStyle name="Percent 3 3 10 2 3" xfId="33916" xr:uid="{EED843AD-9E5A-464E-B10C-C7F3C33313D9}"/>
    <cellStyle name="Percent 3 3 10 2 3 2" xfId="33917" xr:uid="{C045E809-87A6-4114-AA1B-A56AF1E05F6F}"/>
    <cellStyle name="Percent 3 3 10 2 3 2 2" xfId="33918" xr:uid="{765DF48D-330D-4FC5-A089-31BFF81C9BF4}"/>
    <cellStyle name="Percent 3 3 10 2 3 3" xfId="33919" xr:uid="{7D6EBA4E-145D-4AB4-99F7-0794B873BDC4}"/>
    <cellStyle name="Percent 3 3 10 2 4" xfId="33920" xr:uid="{1314CBB7-E9E2-48E5-BB60-392CE88A8852}"/>
    <cellStyle name="Percent 3 3 10 2 4 2" xfId="33921" xr:uid="{3CD8D816-0182-44B5-B982-B13F7C7F47CC}"/>
    <cellStyle name="Percent 3 3 10 2 5" xfId="33922" xr:uid="{0B6614DD-AF6B-441B-87C8-671AAB0A1D46}"/>
    <cellStyle name="Percent 3 3 10 3" xfId="33923" xr:uid="{79698650-9577-471E-ACEA-7DED86C237ED}"/>
    <cellStyle name="Percent 3 3 10 3 2" xfId="33924" xr:uid="{DAF36BA5-71AE-4C83-937E-A7D452D6BBF1}"/>
    <cellStyle name="Percent 3 3 10 3 2 2" xfId="33925" xr:uid="{C99D7D39-15AC-4E54-B3B8-36047DEC13D5}"/>
    <cellStyle name="Percent 3 3 10 3 3" xfId="33926" xr:uid="{68894442-5A49-485E-B100-2F5A45CEA00A}"/>
    <cellStyle name="Percent 3 3 10 4" xfId="33927" xr:uid="{22F6A6EF-EE77-443E-8648-FFE53D135D9A}"/>
    <cellStyle name="Percent 3 3 10 4 2" xfId="33928" xr:uid="{A7D993C2-DC0D-4695-B7FF-74705D2F565E}"/>
    <cellStyle name="Percent 3 3 10 4 2 2" xfId="33929" xr:uid="{700D8A3B-C907-4EF8-8321-17062CF35005}"/>
    <cellStyle name="Percent 3 3 10 4 3" xfId="33930" xr:uid="{74F1ECC3-FBF6-426F-A443-224FE97FAE4D}"/>
    <cellStyle name="Percent 3 3 10 5" xfId="33931" xr:uid="{893EB16D-3870-4E6A-A70F-C34F5A78AABB}"/>
    <cellStyle name="Percent 3 3 10 5 2" xfId="33932" xr:uid="{456A6AD2-0A30-44A8-9F08-4336A8051158}"/>
    <cellStyle name="Percent 3 3 10 6" xfId="33933" xr:uid="{678D80EA-11A5-4BD9-9E29-FFE128A6FC46}"/>
    <cellStyle name="Percent 3 3 11" xfId="33934" xr:uid="{70B79C66-772C-4F23-9E4A-5C5BC9804A76}"/>
    <cellStyle name="Percent 3 3 11 2" xfId="33935" xr:uid="{75843C70-FF75-423A-B7A1-1819D79B86B3}"/>
    <cellStyle name="Percent 3 3 11 2 2" xfId="33936" xr:uid="{6255D57C-3DC1-416A-B8C7-79B850691939}"/>
    <cellStyle name="Percent 3 3 11 2 2 2" xfId="33937" xr:uid="{54C0010C-5314-4258-997A-CF0ED97897D1}"/>
    <cellStyle name="Percent 3 3 11 2 2 2 2" xfId="33938" xr:uid="{7BD5E800-E6E5-41DC-A200-D00345FBD0F1}"/>
    <cellStyle name="Percent 3 3 11 2 2 3" xfId="33939" xr:uid="{267BA8CD-59FB-4C94-87B3-E6B14EBF23D7}"/>
    <cellStyle name="Percent 3 3 11 2 3" xfId="33940" xr:uid="{2090EF03-F7FF-4CA9-8746-D7040FA16706}"/>
    <cellStyle name="Percent 3 3 11 2 3 2" xfId="33941" xr:uid="{79A570A2-A8DE-44E9-8D33-54C7A6E553B4}"/>
    <cellStyle name="Percent 3 3 11 2 3 2 2" xfId="33942" xr:uid="{D4CCED74-D102-458E-AFA1-018F34B06B54}"/>
    <cellStyle name="Percent 3 3 11 2 3 3" xfId="33943" xr:uid="{5B643E7B-DD38-4D45-A348-91810AAE7570}"/>
    <cellStyle name="Percent 3 3 11 2 4" xfId="33944" xr:uid="{0D99822D-1BB8-45B4-8B1A-99F39E7A15C4}"/>
    <cellStyle name="Percent 3 3 11 2 4 2" xfId="33945" xr:uid="{34091CAD-A04D-4AE7-8622-7508F6DB63A6}"/>
    <cellStyle name="Percent 3 3 11 2 5" xfId="33946" xr:uid="{EA6FE64C-A2AD-4249-BF49-7AD987C3AFAB}"/>
    <cellStyle name="Percent 3 3 11 3" xfId="33947" xr:uid="{EA4BAC66-9301-40C7-9329-D6074295CA46}"/>
    <cellStyle name="Percent 3 3 11 3 2" xfId="33948" xr:uid="{0C5D3882-35EF-4D0C-A866-C83ECBEF2526}"/>
    <cellStyle name="Percent 3 3 11 3 2 2" xfId="33949" xr:uid="{55DE8805-4AF8-4D6C-B5C2-D785E8671E10}"/>
    <cellStyle name="Percent 3 3 11 3 3" xfId="33950" xr:uid="{11976AA3-0A4F-46FA-B551-9645E8122CD9}"/>
    <cellStyle name="Percent 3 3 11 4" xfId="33951" xr:uid="{A2E428E3-D5B6-4E18-B4DD-6A54D845BF64}"/>
    <cellStyle name="Percent 3 3 11 4 2" xfId="33952" xr:uid="{CA03638D-8F95-45E9-A8DA-92E581533A9F}"/>
    <cellStyle name="Percent 3 3 11 4 2 2" xfId="33953" xr:uid="{90C91274-7C67-4E41-909B-A56B8D64A7AA}"/>
    <cellStyle name="Percent 3 3 11 4 3" xfId="33954" xr:uid="{CD2CB1EB-92A2-4B3F-A571-B5A00C6D3F16}"/>
    <cellStyle name="Percent 3 3 11 5" xfId="33955" xr:uid="{97839872-B8EB-4A81-A185-BDAF551EA03B}"/>
    <cellStyle name="Percent 3 3 11 5 2" xfId="33956" xr:uid="{22E5B874-BDBA-4BB3-95A5-F56076E85795}"/>
    <cellStyle name="Percent 3 3 11 6" xfId="33957" xr:uid="{4D1749CA-0926-4BB9-9F38-2D7704390322}"/>
    <cellStyle name="Percent 3 3 12" xfId="33958" xr:uid="{5F43FE2D-6C7E-438B-A0E5-06536A86DE7B}"/>
    <cellStyle name="Percent 3 3 12 2" xfId="33959" xr:uid="{5CF686AD-2E7F-47DC-BD8A-A52B4A5D5825}"/>
    <cellStyle name="Percent 3 3 12 2 2" xfId="33960" xr:uid="{09FE735D-65BD-426A-B92B-8C248EC68511}"/>
    <cellStyle name="Percent 3 3 12 2 2 2" xfId="33961" xr:uid="{25D4809E-4AA8-4FF9-A62F-87F6CABD9D66}"/>
    <cellStyle name="Percent 3 3 12 2 3" xfId="33962" xr:uid="{1918EA2A-AA8F-43AB-BE19-5743FDCABC40}"/>
    <cellStyle name="Percent 3 3 12 3" xfId="33963" xr:uid="{042A4FDF-0AFD-4C50-AF1D-B596D8831004}"/>
    <cellStyle name="Percent 3 3 12 3 2" xfId="33964" xr:uid="{CF07DFA5-4939-4CE6-B534-D9BEF17611E8}"/>
    <cellStyle name="Percent 3 3 12 3 2 2" xfId="33965" xr:uid="{58C53F3C-520F-40E5-975A-6B851A815D75}"/>
    <cellStyle name="Percent 3 3 12 3 3" xfId="33966" xr:uid="{C0D7A079-836E-41D5-95CA-77C81081B24D}"/>
    <cellStyle name="Percent 3 3 12 4" xfId="33967" xr:uid="{E9A8280E-13E1-4D19-B339-3DD9C3D2BA64}"/>
    <cellStyle name="Percent 3 3 12 4 2" xfId="33968" xr:uid="{CEF128AD-0485-428E-BFF4-66FD0DCCADE1}"/>
    <cellStyle name="Percent 3 3 12 5" xfId="33969" xr:uid="{15055DCA-330E-443A-BB06-89DF939437AE}"/>
    <cellStyle name="Percent 3 3 13" xfId="33970" xr:uid="{A7F13948-392D-4F87-8A52-D62957EB9209}"/>
    <cellStyle name="Percent 3 3 13 2" xfId="33971" xr:uid="{F161F9F4-48EC-4C09-B825-8F63396B8443}"/>
    <cellStyle name="Percent 3 3 13 2 2" xfId="33972" xr:uid="{7E3EC7DB-AF37-4482-8A52-EE11D6C2C2B7}"/>
    <cellStyle name="Percent 3 3 13 3" xfId="33973" xr:uid="{1B66A60F-E591-4AA0-822B-05A24632AB90}"/>
    <cellStyle name="Percent 3 3 14" xfId="33974" xr:uid="{2BD4A5C5-B0B7-416D-A9FD-FABA99DBA9E0}"/>
    <cellStyle name="Percent 3 3 14 2" xfId="33975" xr:uid="{A8F4333E-7032-4BB1-8E1C-E709FC66D71B}"/>
    <cellStyle name="Percent 3 3 14 2 2" xfId="33976" xr:uid="{66552968-E023-4BDC-9B2D-83FC6F47A875}"/>
    <cellStyle name="Percent 3 3 14 3" xfId="33977" xr:uid="{A2728F48-1161-4939-B63A-80CDDCAD34C0}"/>
    <cellStyle name="Percent 3 3 15" xfId="33978" xr:uid="{A1D6C528-424E-41DD-BB7D-76FF4DA2A471}"/>
    <cellStyle name="Percent 3 3 15 2" xfId="33979" xr:uid="{FDE32FE1-98EA-4B2A-98DE-21030537C275}"/>
    <cellStyle name="Percent 3 3 16" xfId="33980" xr:uid="{FB38A329-702C-40B8-A744-5277F40C19FC}"/>
    <cellStyle name="Percent 3 3 17" xfId="33981" xr:uid="{54A91EC3-C383-4638-AF32-2475D31BE34A}"/>
    <cellStyle name="Percent 3 3 2" xfId="33982" xr:uid="{D8C84CC3-6964-4335-9C88-F37055866FFC}"/>
    <cellStyle name="Percent 3 3 2 2" xfId="33983" xr:uid="{A49F1CAC-C0F7-409C-BD37-7ED732D480EE}"/>
    <cellStyle name="Percent 3 3 2 2 2" xfId="33984" xr:uid="{8B170B56-E581-4B6B-9A55-2D4D21C328A7}"/>
    <cellStyle name="Percent 3 3 2 2 2 2" xfId="33985" xr:uid="{A69B3302-5C1E-4530-90CA-0CAE0DBBF68C}"/>
    <cellStyle name="Percent 3 3 2 2 2 2 2" xfId="33986" xr:uid="{6F6B9638-AA63-4D92-8A0F-CE3DF2C6B455}"/>
    <cellStyle name="Percent 3 3 2 2 2 3" xfId="33987" xr:uid="{92D5E33F-3B68-4CE3-B19F-1E28AE897DC9}"/>
    <cellStyle name="Percent 3 3 2 2 3" xfId="33988" xr:uid="{9BAC80FC-7769-4EB5-83F8-884CA564A510}"/>
    <cellStyle name="Percent 3 3 2 2 3 2" xfId="33989" xr:uid="{ECE74F95-9EA4-480D-A8BB-EEBAEE1EF2DC}"/>
    <cellStyle name="Percent 3 3 2 2 3 2 2" xfId="33990" xr:uid="{C14C3688-38C1-4D72-A7A5-4FE20BE526C3}"/>
    <cellStyle name="Percent 3 3 2 2 3 3" xfId="33991" xr:uid="{8396FE45-4543-456E-B43B-A03BD6718B24}"/>
    <cellStyle name="Percent 3 3 2 2 4" xfId="33992" xr:uid="{4618F9D8-1D48-4404-9413-0C1FD4847EE7}"/>
    <cellStyle name="Percent 3 3 2 2 4 2" xfId="33993" xr:uid="{420C1F12-D1D5-4C0C-B96F-7BA2646B3B90}"/>
    <cellStyle name="Percent 3 3 2 2 5" xfId="33994" xr:uid="{7F3B0901-C591-4EBF-9AEB-4A1F2A3EDAB7}"/>
    <cellStyle name="Percent 3 3 2 3" xfId="33995" xr:uid="{EA0AAF98-F344-44C2-B970-8BB87B11269A}"/>
    <cellStyle name="Percent 3 3 2 3 2" xfId="33996" xr:uid="{8E5EB6DB-06E4-482D-AAE4-73760EF201ED}"/>
    <cellStyle name="Percent 3 3 2 3 2 2" xfId="33997" xr:uid="{832DF668-460B-4DF7-8E4C-D4C3B1C277AA}"/>
    <cellStyle name="Percent 3 3 2 3 3" xfId="33998" xr:uid="{AEFE95DA-B823-4621-85B9-53997696F74B}"/>
    <cellStyle name="Percent 3 3 2 4" xfId="33999" xr:uid="{51A9801C-41B8-4AAE-9C13-244F4C4FD54F}"/>
    <cellStyle name="Percent 3 3 2 4 2" xfId="34000" xr:uid="{B4AC0BC5-F864-492E-8E32-F3DF2FA7F9BB}"/>
    <cellStyle name="Percent 3 3 2 4 2 2" xfId="34001" xr:uid="{829FA3F1-5D13-4FFA-8EAF-4F24A15EBF53}"/>
    <cellStyle name="Percent 3 3 2 4 3" xfId="34002" xr:uid="{057B07B1-7765-4329-A57D-82023C74A297}"/>
    <cellStyle name="Percent 3 3 2 5" xfId="34003" xr:uid="{02C7FE65-67E2-40CC-9D90-08F1969E8A94}"/>
    <cellStyle name="Percent 3 3 2 5 2" xfId="34004" xr:uid="{1AA0B396-7BF3-4C84-BFBD-C89C8214A30B}"/>
    <cellStyle name="Percent 3 3 2 6" xfId="34005" xr:uid="{53CEB141-4193-4EC0-8C0B-72307B3C09D3}"/>
    <cellStyle name="Percent 3 3 3" xfId="34006" xr:uid="{98D9930F-FA84-4822-AF6E-BCC704FBB89F}"/>
    <cellStyle name="Percent 3 3 3 2" xfId="34007" xr:uid="{A7B419AB-84C2-4A6D-86BC-0ABBE26F42CD}"/>
    <cellStyle name="Percent 3 3 3 2 2" xfId="34008" xr:uid="{F7A7AFDA-AA64-491E-BA5B-E54E0391C778}"/>
    <cellStyle name="Percent 3 3 3 2 2 2" xfId="34009" xr:uid="{698D7CA9-5551-4237-9966-D20386154E6E}"/>
    <cellStyle name="Percent 3 3 3 2 2 2 2" xfId="34010" xr:uid="{149DB4E1-2E66-4152-A34E-27B8398FDBCE}"/>
    <cellStyle name="Percent 3 3 3 2 2 3" xfId="34011" xr:uid="{5EAAB209-1520-4050-AA0D-E87247DDC9C1}"/>
    <cellStyle name="Percent 3 3 3 2 3" xfId="34012" xr:uid="{A570D4C3-E0A7-41D8-A1FE-F69C1C97AE34}"/>
    <cellStyle name="Percent 3 3 3 2 3 2" xfId="34013" xr:uid="{B060B5B4-0B86-4632-A23C-E1036AE3B3BF}"/>
    <cellStyle name="Percent 3 3 3 2 3 2 2" xfId="34014" xr:uid="{AB4E769E-890A-4F12-A755-1F4EAB42C70E}"/>
    <cellStyle name="Percent 3 3 3 2 3 3" xfId="34015" xr:uid="{D1DCBA47-DD43-4C0B-8CE6-3A134D49CA42}"/>
    <cellStyle name="Percent 3 3 3 2 4" xfId="34016" xr:uid="{84EECD9A-945E-4F44-B36D-F6CCA2076A67}"/>
    <cellStyle name="Percent 3 3 3 2 4 2" xfId="34017" xr:uid="{915A6567-4DC8-490A-BD52-C5DD5D208328}"/>
    <cellStyle name="Percent 3 3 3 2 5" xfId="34018" xr:uid="{3BF9BFF7-1E73-4BBF-9468-6B2C80F064C6}"/>
    <cellStyle name="Percent 3 3 3 3" xfId="34019" xr:uid="{527A024B-EDC5-4A4E-A96D-E7AAFDFE87ED}"/>
    <cellStyle name="Percent 3 3 3 3 2" xfId="34020" xr:uid="{49693183-52F6-43FA-BCB9-43D4A2CBF641}"/>
    <cellStyle name="Percent 3 3 3 3 2 2" xfId="34021" xr:uid="{88098D10-3365-411E-86E4-02FABCAB5F6E}"/>
    <cellStyle name="Percent 3 3 3 3 3" xfId="34022" xr:uid="{0E75A681-1B2A-4C75-A02B-8020DDEA6D4E}"/>
    <cellStyle name="Percent 3 3 3 4" xfId="34023" xr:uid="{AF00265A-0B55-441E-9086-2B998359C57B}"/>
    <cellStyle name="Percent 3 3 3 4 2" xfId="34024" xr:uid="{C78F3101-6ECD-46BA-AE7D-70456CD2990D}"/>
    <cellStyle name="Percent 3 3 3 4 2 2" xfId="34025" xr:uid="{EDA630B6-FD9F-4D3E-8D83-2D38E1575D5F}"/>
    <cellStyle name="Percent 3 3 3 4 3" xfId="34026" xr:uid="{78EC4128-63F4-4DFB-901D-F9616E037871}"/>
    <cellStyle name="Percent 3 3 3 5" xfId="34027" xr:uid="{7EFFD7DA-B712-4CB0-96E5-3AE77806045E}"/>
    <cellStyle name="Percent 3 3 3 5 2" xfId="34028" xr:uid="{255FA32A-B5C1-43BB-8E57-71584E20C28E}"/>
    <cellStyle name="Percent 3 3 3 6" xfId="34029" xr:uid="{C8D120EF-8429-4139-96E4-364303657DF6}"/>
    <cellStyle name="Percent 3 3 4" xfId="34030" xr:uid="{1C74C011-ED2A-4FD4-9105-F9A4086B11DE}"/>
    <cellStyle name="Percent 3 3 4 2" xfId="34031" xr:uid="{BB93A9B3-C6AF-4D3B-BA11-F08E702D56E7}"/>
    <cellStyle name="Percent 3 3 4 2 2" xfId="34032" xr:uid="{28F3B3EE-F72A-4BD7-97E4-3038D1A06E55}"/>
    <cellStyle name="Percent 3 3 4 2 2 2" xfId="34033" xr:uid="{C4559B47-D6E4-4B9F-B2B3-06AF5754D6D2}"/>
    <cellStyle name="Percent 3 3 4 2 2 2 2" xfId="34034" xr:uid="{04EDB53F-C16F-404B-89D8-884A93BB1F0A}"/>
    <cellStyle name="Percent 3 3 4 2 2 3" xfId="34035" xr:uid="{7AE8AAA1-B30D-4227-A0A5-517FCDCFA7A9}"/>
    <cellStyle name="Percent 3 3 4 2 3" xfId="34036" xr:uid="{E5E6B5FB-49AB-4E39-95D5-F7BAB05FF211}"/>
    <cellStyle name="Percent 3 3 4 2 3 2" xfId="34037" xr:uid="{5E8BF21F-A9FE-494F-8BD1-092A5B87CC48}"/>
    <cellStyle name="Percent 3 3 4 2 3 2 2" xfId="34038" xr:uid="{F35C4D4B-7CC5-4E6D-9402-64BEBC1D33F7}"/>
    <cellStyle name="Percent 3 3 4 2 3 3" xfId="34039" xr:uid="{81A7A1B2-2219-4524-8B00-1789C6D60978}"/>
    <cellStyle name="Percent 3 3 4 2 4" xfId="34040" xr:uid="{054EE6A2-4514-402C-8658-BA292B1D6688}"/>
    <cellStyle name="Percent 3 3 4 2 4 2" xfId="34041" xr:uid="{F3C9F03F-B6EA-452A-A23A-8CCD57993FF1}"/>
    <cellStyle name="Percent 3 3 4 2 5" xfId="34042" xr:uid="{2D17B4EE-2910-43FF-AB1E-3D8A585940C5}"/>
    <cellStyle name="Percent 3 3 4 3" xfId="34043" xr:uid="{4B4EF82E-28D7-4783-8D7B-333C817F5333}"/>
    <cellStyle name="Percent 3 3 4 3 2" xfId="34044" xr:uid="{E5351107-A496-4B83-B4DC-67218E2153C9}"/>
    <cellStyle name="Percent 3 3 4 3 2 2" xfId="34045" xr:uid="{6637146F-6873-4EE3-BADB-BC70F3ACE05F}"/>
    <cellStyle name="Percent 3 3 4 3 3" xfId="34046" xr:uid="{636A2647-63C9-478A-A99D-4F80EA41FAE7}"/>
    <cellStyle name="Percent 3 3 4 4" xfId="34047" xr:uid="{944713B9-A18C-42FB-B43B-71283523123D}"/>
    <cellStyle name="Percent 3 3 4 4 2" xfId="34048" xr:uid="{BA7F02B2-14FD-411F-BF9E-AF98BA0EB318}"/>
    <cellStyle name="Percent 3 3 4 4 2 2" xfId="34049" xr:uid="{5653C919-7858-4B38-AEBA-D850DF358305}"/>
    <cellStyle name="Percent 3 3 4 4 3" xfId="34050" xr:uid="{E5DA8475-B396-41E5-8DC7-298EFDB9F303}"/>
    <cellStyle name="Percent 3 3 4 5" xfId="34051" xr:uid="{C725CC33-F3A3-474E-9671-AD623A712377}"/>
    <cellStyle name="Percent 3 3 4 5 2" xfId="34052" xr:uid="{034540FB-A3A3-4BD1-BDD1-590639B22AF9}"/>
    <cellStyle name="Percent 3 3 4 6" xfId="34053" xr:uid="{EE498F8D-115C-4C97-A2F3-AC54E9500BBC}"/>
    <cellStyle name="Percent 3 3 5" xfId="34054" xr:uid="{27F8D39A-79A1-481C-BAA8-93159CAF2B63}"/>
    <cellStyle name="Percent 3 3 5 2" xfId="34055" xr:uid="{C91E9144-7D51-409E-BD76-66BF1414221A}"/>
    <cellStyle name="Percent 3 3 5 2 2" xfId="34056" xr:uid="{F863BD96-504C-436D-AB88-FE8D0201ADC3}"/>
    <cellStyle name="Percent 3 3 5 2 2 2" xfId="34057" xr:uid="{9FDBD942-C9AA-4CA4-AE5E-0B0A3D13D6FD}"/>
    <cellStyle name="Percent 3 3 5 2 2 2 2" xfId="34058" xr:uid="{2B5EBB25-7454-4030-99E6-B7F028804F2D}"/>
    <cellStyle name="Percent 3 3 5 2 2 3" xfId="34059" xr:uid="{901904EE-12C3-4180-A65B-8F867D1A2209}"/>
    <cellStyle name="Percent 3 3 5 2 3" xfId="34060" xr:uid="{697CDAFC-9758-4866-8818-E6A4F1DF7296}"/>
    <cellStyle name="Percent 3 3 5 2 3 2" xfId="34061" xr:uid="{90206452-8C40-411D-922A-B7A2968EEF71}"/>
    <cellStyle name="Percent 3 3 5 2 3 2 2" xfId="34062" xr:uid="{25C2DD3E-1043-42DF-B1F6-CDF5849DEB11}"/>
    <cellStyle name="Percent 3 3 5 2 3 3" xfId="34063" xr:uid="{07639BD6-6449-4109-9148-ADAC04F82E8F}"/>
    <cellStyle name="Percent 3 3 5 2 4" xfId="34064" xr:uid="{DBF890B0-26CC-4BAE-9A29-EAF0D53C59DE}"/>
    <cellStyle name="Percent 3 3 5 2 4 2" xfId="34065" xr:uid="{4E3CE77B-5FF1-42B9-841A-807EC9C858E3}"/>
    <cellStyle name="Percent 3 3 5 2 5" xfId="34066" xr:uid="{011DF8BC-1C03-4E5E-BF68-6961ADD0F8DD}"/>
    <cellStyle name="Percent 3 3 5 3" xfId="34067" xr:uid="{54CFB9A7-B338-432B-A751-037065A9C62A}"/>
    <cellStyle name="Percent 3 3 5 3 2" xfId="34068" xr:uid="{DC88E649-D39F-4C0C-AF40-41185AD3C6E2}"/>
    <cellStyle name="Percent 3 3 5 3 2 2" xfId="34069" xr:uid="{58C8DC4B-F1DB-48C4-A402-E58CE0446630}"/>
    <cellStyle name="Percent 3 3 5 3 3" xfId="34070" xr:uid="{1ED975EA-D8C7-4FCA-A515-2DF98E40D898}"/>
    <cellStyle name="Percent 3 3 5 4" xfId="34071" xr:uid="{1DFCEAB9-3595-4CA0-8D48-CC6FB96DDF18}"/>
    <cellStyle name="Percent 3 3 5 4 2" xfId="34072" xr:uid="{065C5BA2-4C30-4168-8A06-3320080AC068}"/>
    <cellStyle name="Percent 3 3 5 4 2 2" xfId="34073" xr:uid="{25D657F5-023B-4C48-ACE7-CBE81811C22F}"/>
    <cellStyle name="Percent 3 3 5 4 3" xfId="34074" xr:uid="{C9793B48-DBC1-44AD-B29D-7976CB18453A}"/>
    <cellStyle name="Percent 3 3 5 5" xfId="34075" xr:uid="{FC0C7682-0661-47EE-B245-25C2829D6691}"/>
    <cellStyle name="Percent 3 3 5 5 2" xfId="34076" xr:uid="{EFCDB261-6F9E-492F-B3D0-01651CC88730}"/>
    <cellStyle name="Percent 3 3 5 6" xfId="34077" xr:uid="{6EC1CDB2-6F5D-4F55-871C-875919297155}"/>
    <cellStyle name="Percent 3 3 6" xfId="34078" xr:uid="{85764C61-1B4D-4C11-A7B2-6C8EA90ECA3D}"/>
    <cellStyle name="Percent 3 3 6 2" xfId="34079" xr:uid="{41CFAAE1-0269-4FF5-90FB-6D2C59556CF6}"/>
    <cellStyle name="Percent 3 3 6 2 2" xfId="34080" xr:uid="{1ECCED2A-260C-4822-86B8-D5279D7A5EEA}"/>
    <cellStyle name="Percent 3 3 6 2 2 2" xfId="34081" xr:uid="{A1E1C639-0FC3-4008-A093-9DC2B5587FFC}"/>
    <cellStyle name="Percent 3 3 6 2 2 2 2" xfId="34082" xr:uid="{49CE1D76-D3C2-4E01-93C6-44B06222E7B2}"/>
    <cellStyle name="Percent 3 3 6 2 2 3" xfId="34083" xr:uid="{4C5503CB-8184-40D2-BABC-EDA152E47E87}"/>
    <cellStyle name="Percent 3 3 6 2 3" xfId="34084" xr:uid="{8CD80270-AFC4-44E1-B6B7-A210C9B3FE8B}"/>
    <cellStyle name="Percent 3 3 6 2 3 2" xfId="34085" xr:uid="{661056FC-6885-455B-85BC-7BAEE94E521B}"/>
    <cellStyle name="Percent 3 3 6 2 3 2 2" xfId="34086" xr:uid="{BFDAA853-AEE6-4735-BE2D-A7E9F2413D02}"/>
    <cellStyle name="Percent 3 3 6 2 3 3" xfId="34087" xr:uid="{93B00237-8CC2-4CFF-8F4D-B41025DFE007}"/>
    <cellStyle name="Percent 3 3 6 2 4" xfId="34088" xr:uid="{E788C88C-8346-4ADE-AAEC-E6383C01336B}"/>
    <cellStyle name="Percent 3 3 6 2 4 2" xfId="34089" xr:uid="{FD0CA199-DF86-4FC3-AEAC-C25A971DAA3F}"/>
    <cellStyle name="Percent 3 3 6 2 5" xfId="34090" xr:uid="{B26A568A-E2F5-4AED-B5A7-69870A51AA92}"/>
    <cellStyle name="Percent 3 3 6 3" xfId="34091" xr:uid="{0174097C-779F-4954-BA1A-AB34D7B5ECB7}"/>
    <cellStyle name="Percent 3 3 6 3 2" xfId="34092" xr:uid="{F448609F-F375-4652-A6C6-D3E63A87671E}"/>
    <cellStyle name="Percent 3 3 6 3 2 2" xfId="34093" xr:uid="{342FAC7D-BE83-4F50-9EF5-3DC8F192CC6E}"/>
    <cellStyle name="Percent 3 3 6 3 3" xfId="34094" xr:uid="{110F6166-BE09-47B6-8CE4-27F502C1CCE3}"/>
    <cellStyle name="Percent 3 3 6 4" xfId="34095" xr:uid="{32063168-ED4E-4A29-B184-E212A9851D42}"/>
    <cellStyle name="Percent 3 3 6 4 2" xfId="34096" xr:uid="{A3DE2126-82F0-4AE0-B2EC-AF61358C1AAB}"/>
    <cellStyle name="Percent 3 3 6 4 2 2" xfId="34097" xr:uid="{7DCA213A-83F3-4FE6-924B-36DABBE300EA}"/>
    <cellStyle name="Percent 3 3 6 4 3" xfId="34098" xr:uid="{0E5114B2-61E8-4989-8285-19DDB0A69B2C}"/>
    <cellStyle name="Percent 3 3 6 5" xfId="34099" xr:uid="{50ED085E-DAFA-49BA-BFF7-D2A0B499CF4E}"/>
    <cellStyle name="Percent 3 3 6 5 2" xfId="34100" xr:uid="{BCC79E8F-0CFC-43C9-80D5-A5830BC8D69C}"/>
    <cellStyle name="Percent 3 3 6 6" xfId="34101" xr:uid="{3E33A552-F98C-46DC-A6EB-B8C51E0B9854}"/>
    <cellStyle name="Percent 3 3 7" xfId="34102" xr:uid="{6719E4E1-582F-49AE-8D81-CD724EFA63E5}"/>
    <cellStyle name="Percent 3 3 7 2" xfId="34103" xr:uid="{05B14AF1-5CA0-4EBA-BD53-5F85E8E231A1}"/>
    <cellStyle name="Percent 3 3 7 2 2" xfId="34104" xr:uid="{D15EAB4A-E149-4ACD-B016-C4148A393083}"/>
    <cellStyle name="Percent 3 3 7 2 2 2" xfId="34105" xr:uid="{8B93CF4F-01BC-4759-8E9C-6AE63E4E1B0B}"/>
    <cellStyle name="Percent 3 3 7 2 2 2 2" xfId="34106" xr:uid="{1C18DBEF-2549-48A4-8723-25F9BF9BF4BE}"/>
    <cellStyle name="Percent 3 3 7 2 2 3" xfId="34107" xr:uid="{1FC6C8F5-885C-481B-9B3D-6EC92208CE9B}"/>
    <cellStyle name="Percent 3 3 7 2 3" xfId="34108" xr:uid="{1FC41D48-0A40-4671-B42E-1CEA97F25E89}"/>
    <cellStyle name="Percent 3 3 7 2 3 2" xfId="34109" xr:uid="{9A88E135-3424-4160-B1A9-5D2E9C809FBC}"/>
    <cellStyle name="Percent 3 3 7 2 3 2 2" xfId="34110" xr:uid="{B65F6A6F-7789-44E7-A946-39EE40633CF1}"/>
    <cellStyle name="Percent 3 3 7 2 3 3" xfId="34111" xr:uid="{76D79F39-8158-4600-B692-254ECC0E0327}"/>
    <cellStyle name="Percent 3 3 7 2 4" xfId="34112" xr:uid="{C4B0297A-5B82-4BBE-BE09-918E2BDFAD2B}"/>
    <cellStyle name="Percent 3 3 7 2 4 2" xfId="34113" xr:uid="{7A33E349-D3B4-40B8-A842-0FDBD90C5154}"/>
    <cellStyle name="Percent 3 3 7 2 5" xfId="34114" xr:uid="{095DCC92-C2E4-4CA6-AAAF-672FAD8D9234}"/>
    <cellStyle name="Percent 3 3 7 3" xfId="34115" xr:uid="{65CA05D3-8611-480C-940C-0DA9DFA909CC}"/>
    <cellStyle name="Percent 3 3 7 3 2" xfId="34116" xr:uid="{D78FF99B-4DEF-429B-BAF7-E98384C8EFC4}"/>
    <cellStyle name="Percent 3 3 7 3 2 2" xfId="34117" xr:uid="{86C9A6B0-0594-4C0D-B3F5-13532EBE6E75}"/>
    <cellStyle name="Percent 3 3 7 3 3" xfId="34118" xr:uid="{1D99EC46-9F13-4741-94FB-96E0CD56F80D}"/>
    <cellStyle name="Percent 3 3 7 4" xfId="34119" xr:uid="{65447405-3AC9-48E4-AF17-67E06C894807}"/>
    <cellStyle name="Percent 3 3 7 4 2" xfId="34120" xr:uid="{8EE1BEA2-9CD1-4142-978C-45813CE17AF9}"/>
    <cellStyle name="Percent 3 3 7 4 2 2" xfId="34121" xr:uid="{77249700-E222-4CE6-9DAB-76C7BDE6FBEE}"/>
    <cellStyle name="Percent 3 3 7 4 3" xfId="34122" xr:uid="{8C14C614-E138-4C90-8964-C7553D87E499}"/>
    <cellStyle name="Percent 3 3 7 5" xfId="34123" xr:uid="{C4486D37-49D3-4645-9CAD-B234E4BC57A4}"/>
    <cellStyle name="Percent 3 3 7 5 2" xfId="34124" xr:uid="{EA3C46D8-99A4-49DA-8ACD-F21C0BC1E2BB}"/>
    <cellStyle name="Percent 3 3 7 6" xfId="34125" xr:uid="{10C19E4F-75C3-4D76-8F7E-0E425358FDB8}"/>
    <cellStyle name="Percent 3 3 8" xfId="34126" xr:uid="{D83F1AEE-D4B8-4519-A022-A49C1A603AAB}"/>
    <cellStyle name="Percent 3 3 8 2" xfId="34127" xr:uid="{1A0A36B2-B2C7-4F8F-B3DD-2DBF79B1E774}"/>
    <cellStyle name="Percent 3 3 8 2 2" xfId="34128" xr:uid="{59FCE879-B220-4DFB-831D-7CE3F232586B}"/>
    <cellStyle name="Percent 3 3 8 2 2 2" xfId="34129" xr:uid="{71B3C4A3-4A3A-40A0-AA7B-61493B389CD3}"/>
    <cellStyle name="Percent 3 3 8 2 2 2 2" xfId="34130" xr:uid="{B5E0B1AF-6859-4495-B517-FD4DF9DB551C}"/>
    <cellStyle name="Percent 3 3 8 2 2 3" xfId="34131" xr:uid="{1895B7EC-7FB9-4D32-811F-4A8FF74D9606}"/>
    <cellStyle name="Percent 3 3 8 2 3" xfId="34132" xr:uid="{A0E0DF66-4E0B-460F-956A-8B88BA79AE5C}"/>
    <cellStyle name="Percent 3 3 8 2 3 2" xfId="34133" xr:uid="{E5B508EE-2F53-4598-BD69-8027AF780AB9}"/>
    <cellStyle name="Percent 3 3 8 2 3 2 2" xfId="34134" xr:uid="{D5B5C119-A07D-4D2C-85B6-89D46155A01B}"/>
    <cellStyle name="Percent 3 3 8 2 3 3" xfId="34135" xr:uid="{0437EFE3-E050-4B38-AAC4-AD0228951B12}"/>
    <cellStyle name="Percent 3 3 8 2 4" xfId="34136" xr:uid="{4343CBE3-36C0-4B18-BBA9-9E36C484D95A}"/>
    <cellStyle name="Percent 3 3 8 2 4 2" xfId="34137" xr:uid="{AA7BD561-BD1C-4F6E-9F8F-9E165780B1B5}"/>
    <cellStyle name="Percent 3 3 8 2 5" xfId="34138" xr:uid="{8438C491-0313-45F9-9DBD-A258B04C148C}"/>
    <cellStyle name="Percent 3 3 8 3" xfId="34139" xr:uid="{89D8ED89-07DD-4A3C-A8E5-E6D031D47B96}"/>
    <cellStyle name="Percent 3 3 8 3 2" xfId="34140" xr:uid="{F98654AE-D213-4D33-A8EF-1122E3440227}"/>
    <cellStyle name="Percent 3 3 8 3 2 2" xfId="34141" xr:uid="{17678D94-0E9E-4C2C-ACD7-01CB7A4B1F54}"/>
    <cellStyle name="Percent 3 3 8 3 3" xfId="34142" xr:uid="{D4D5F876-1B11-4059-B481-2688B85E3D41}"/>
    <cellStyle name="Percent 3 3 8 4" xfId="34143" xr:uid="{47D73FC7-0F49-43BF-9434-659F210D2E0C}"/>
    <cellStyle name="Percent 3 3 8 4 2" xfId="34144" xr:uid="{E8B397CA-84D3-407A-8119-D914B69362B2}"/>
    <cellStyle name="Percent 3 3 8 4 2 2" xfId="34145" xr:uid="{DE8DC550-13A6-42B4-8DD3-2EF8D98203C8}"/>
    <cellStyle name="Percent 3 3 8 4 3" xfId="34146" xr:uid="{F3BF14A1-A41B-42E2-8EC2-DC604C3C0F78}"/>
    <cellStyle name="Percent 3 3 8 5" xfId="34147" xr:uid="{4BD5A96E-402A-4685-96BC-43FFDEF17F01}"/>
    <cellStyle name="Percent 3 3 8 5 2" xfId="34148" xr:uid="{32740D14-B8FC-46E6-AD2A-27A6500B86ED}"/>
    <cellStyle name="Percent 3 3 8 6" xfId="34149" xr:uid="{225694EB-8F1E-4C72-99F4-A8C72D16D257}"/>
    <cellStyle name="Percent 3 3 9" xfId="34150" xr:uid="{4B2DAD11-E9B9-4C37-BB5E-18F565B72904}"/>
    <cellStyle name="Percent 3 3 9 2" xfId="34151" xr:uid="{6D8A118C-2699-41F5-8D2A-676CB3ED93B2}"/>
    <cellStyle name="Percent 3 3 9 2 2" xfId="34152" xr:uid="{A3B0EB6B-86D3-4DE6-B60B-D50AAF341DFD}"/>
    <cellStyle name="Percent 3 3 9 2 2 2" xfId="34153" xr:uid="{C5FCF51D-591D-4F7D-AC3F-EF5E8E2CBE90}"/>
    <cellStyle name="Percent 3 3 9 2 2 2 2" xfId="34154" xr:uid="{67EBEE00-E7D6-4912-A7CF-B70ADB6E664A}"/>
    <cellStyle name="Percent 3 3 9 2 2 3" xfId="34155" xr:uid="{CAEDACDD-BADF-4ECD-A899-6F05F3968CC6}"/>
    <cellStyle name="Percent 3 3 9 2 3" xfId="34156" xr:uid="{1B19C3F0-1B42-4F25-925E-6B8033F102A9}"/>
    <cellStyle name="Percent 3 3 9 2 3 2" xfId="34157" xr:uid="{E93343C6-8931-41D7-85E8-D29D62FB221B}"/>
    <cellStyle name="Percent 3 3 9 2 3 2 2" xfId="34158" xr:uid="{D684A6EC-0200-4726-9E9D-71B2D68C31D9}"/>
    <cellStyle name="Percent 3 3 9 2 3 3" xfId="34159" xr:uid="{30E82550-F5A7-44E3-839B-D27144F6D32B}"/>
    <cellStyle name="Percent 3 3 9 2 4" xfId="34160" xr:uid="{DBA26AFC-8CBC-4DD7-BE88-8C2F549431C7}"/>
    <cellStyle name="Percent 3 3 9 2 4 2" xfId="34161" xr:uid="{530ED3F0-5F22-4C87-86E0-968729D659F8}"/>
    <cellStyle name="Percent 3 3 9 2 5" xfId="34162" xr:uid="{17439932-F364-419D-B10D-8F1B84730CF7}"/>
    <cellStyle name="Percent 3 3 9 3" xfId="34163" xr:uid="{ABAC9F19-6BE2-4767-9006-BD8E151461DC}"/>
    <cellStyle name="Percent 3 3 9 3 2" xfId="34164" xr:uid="{A02906BC-9457-4B6C-A4D0-17CF672D5E45}"/>
    <cellStyle name="Percent 3 3 9 3 2 2" xfId="34165" xr:uid="{FDEBBD39-D235-42C1-BFC8-0C27B4740C15}"/>
    <cellStyle name="Percent 3 3 9 3 3" xfId="34166" xr:uid="{030AC2E2-D99F-4D36-A952-05154052FA01}"/>
    <cellStyle name="Percent 3 3 9 4" xfId="34167" xr:uid="{97587393-CFDB-457C-96B9-933A6FFB7B53}"/>
    <cellStyle name="Percent 3 3 9 4 2" xfId="34168" xr:uid="{F04F2481-6262-41E6-926E-3F22806F2554}"/>
    <cellStyle name="Percent 3 3 9 4 2 2" xfId="34169" xr:uid="{5D5898C1-D0FB-4F5A-8627-DFD6761E2D8A}"/>
    <cellStyle name="Percent 3 3 9 4 3" xfId="34170" xr:uid="{2D2C4418-366B-4343-B624-86258356076F}"/>
    <cellStyle name="Percent 3 3 9 5" xfId="34171" xr:uid="{C7C24202-812A-4898-B8BD-051CEC7FF290}"/>
    <cellStyle name="Percent 3 3 9 5 2" xfId="34172" xr:uid="{560C27AC-09BB-4F24-BB94-A6DE6BC01095}"/>
    <cellStyle name="Percent 3 3 9 6" xfId="34173" xr:uid="{07B5FA87-422C-4985-8DAC-C1D5DB7EF7F1}"/>
    <cellStyle name="Percent 3 4" xfId="34174" xr:uid="{A739F1E5-9621-4BF7-95DC-D7FD737D374D}"/>
    <cellStyle name="Percent 3 4 2" xfId="34175" xr:uid="{D4680C5C-1A82-414B-AA92-6EC51984A074}"/>
    <cellStyle name="Percent 3 4 2 2" xfId="34176" xr:uid="{4847DCF1-331F-4F79-8FC6-DCBF5F128ED5}"/>
    <cellStyle name="Percent 3 4 2 2 2" xfId="34177" xr:uid="{99D40D7F-E8E7-4D39-B120-34F53B02C39C}"/>
    <cellStyle name="Percent 3 4 2 2 2 2" xfId="34178" xr:uid="{64D48C23-A594-4FE6-A8DD-7BA840DC76AB}"/>
    <cellStyle name="Percent 3 4 2 2 3" xfId="34179" xr:uid="{F2021007-9CED-4718-A412-A1A4E452F882}"/>
    <cellStyle name="Percent 3 4 2 3" xfId="34180" xr:uid="{CC10A22A-A9ED-4578-9C45-9ED0701571ED}"/>
    <cellStyle name="Percent 3 4 2 3 2" xfId="34181" xr:uid="{BAE74004-DBF1-4BB5-B58D-E95DC4C6B75A}"/>
    <cellStyle name="Percent 3 4 2 3 2 2" xfId="34182" xr:uid="{074A1020-B07A-4F1B-AD79-7B13B7615DBE}"/>
    <cellStyle name="Percent 3 4 2 3 3" xfId="34183" xr:uid="{2D4A6CB0-C60E-41E4-B743-E22B44D5F905}"/>
    <cellStyle name="Percent 3 4 2 4" xfId="34184" xr:uid="{5ED3B3F4-53D9-40B5-9758-957849708C4B}"/>
    <cellStyle name="Percent 3 4 2 4 2" xfId="34185" xr:uid="{B3A30637-2E27-4B53-A9AF-367FA67CC790}"/>
    <cellStyle name="Percent 3 4 2 5" xfId="34186" xr:uid="{DFB12B99-6EF2-4668-9454-4F1C5161C4E2}"/>
    <cellStyle name="Percent 3 4 3" xfId="34187" xr:uid="{6848B9DB-98BA-4F70-9BD8-33A1B38E3683}"/>
    <cellStyle name="Percent 3 4 3 2" xfId="34188" xr:uid="{D35A4FC1-F39B-4EC2-853C-5AA1B35E029F}"/>
    <cellStyle name="Percent 3 4 3 2 2" xfId="34189" xr:uid="{2148D387-5BF0-45B0-A488-E270CF579237}"/>
    <cellStyle name="Percent 3 4 3 3" xfId="34190" xr:uid="{9A8B2FC8-186C-4D57-A348-06DBEB20109F}"/>
    <cellStyle name="Percent 3 4 4" xfId="34191" xr:uid="{EB1B35BF-5B1C-4879-9623-6586B5BB936D}"/>
    <cellStyle name="Percent 3 4 4 2" xfId="34192" xr:uid="{AEC48474-3415-4B3D-BC4B-1056045418B6}"/>
    <cellStyle name="Percent 3 4 4 2 2" xfId="34193" xr:uid="{93D5F9AD-786A-4DAE-9226-D52BA96FC0E2}"/>
    <cellStyle name="Percent 3 4 4 3" xfId="34194" xr:uid="{7925B210-FE9F-4F9E-8C26-D208D10CB729}"/>
    <cellStyle name="Percent 3 4 5" xfId="34195" xr:uid="{7E1278D9-D1FE-4585-BF60-71B67C27A085}"/>
    <cellStyle name="Percent 3 4 5 2" xfId="34196" xr:uid="{91AAF04D-A073-4343-ADFF-ED0E43C6A9F4}"/>
    <cellStyle name="Percent 3 4 6" xfId="34197" xr:uid="{786E0BAC-6118-4377-9FD2-007D76C3C885}"/>
    <cellStyle name="Percent 3 5" xfId="34198" xr:uid="{A5FC49EE-6A0A-4D2B-9F86-0C22B5022501}"/>
    <cellStyle name="Percent 3 5 2" xfId="34199" xr:uid="{DF203745-639F-456E-81A3-C40D1DBC01B9}"/>
    <cellStyle name="Percent 3 5 2 2" xfId="34200" xr:uid="{88DD1346-E7CB-488B-A536-1FF3E91FCC7A}"/>
    <cellStyle name="Percent 3 5 2 2 2" xfId="34201" xr:uid="{9311B823-3F0E-4A5D-936A-1D07DEB5D04E}"/>
    <cellStyle name="Percent 3 5 2 2 2 2" xfId="34202" xr:uid="{9AD18C61-12A2-4529-8AA2-D8567C82AD00}"/>
    <cellStyle name="Percent 3 5 2 2 3" xfId="34203" xr:uid="{A7C50BF4-9CF5-422A-B0B7-874744C176D2}"/>
    <cellStyle name="Percent 3 5 2 3" xfId="34204" xr:uid="{3B67C1DF-92A0-47BC-ACD5-F8E8037C76D0}"/>
    <cellStyle name="Percent 3 5 2 3 2" xfId="34205" xr:uid="{EBF2F40D-5E45-4120-8B11-6FDC94E36635}"/>
    <cellStyle name="Percent 3 5 2 3 2 2" xfId="34206" xr:uid="{372E9C9D-6845-422E-A2D6-B2F96BDE0A34}"/>
    <cellStyle name="Percent 3 5 2 3 3" xfId="34207" xr:uid="{18F60F44-1463-4E3D-9771-A16249932B8B}"/>
    <cellStyle name="Percent 3 5 2 4" xfId="34208" xr:uid="{B023CDED-FC3E-41FB-882D-5E86832AABC2}"/>
    <cellStyle name="Percent 3 5 2 4 2" xfId="34209" xr:uid="{26D2933F-26AB-40A5-9BD6-F1C06A7C4D40}"/>
    <cellStyle name="Percent 3 5 2 5" xfId="34210" xr:uid="{D8AE621E-63F3-42EB-ABC0-CBB27AB460D6}"/>
    <cellStyle name="Percent 3 5 3" xfId="34211" xr:uid="{A06053C9-DBEC-487B-9A51-00AF6D4D0FD1}"/>
    <cellStyle name="Percent 3 5 3 2" xfId="34212" xr:uid="{22B4458F-E06C-456E-8A8F-B2BCE00EB3F5}"/>
    <cellStyle name="Percent 3 5 3 2 2" xfId="34213" xr:uid="{06E7430F-B79E-4456-9879-BD5D2E1BDF69}"/>
    <cellStyle name="Percent 3 5 3 3" xfId="34214" xr:uid="{94FE0F29-5F0A-44F5-AED1-3D126589566B}"/>
    <cellStyle name="Percent 3 5 4" xfId="34215" xr:uid="{85F31B6E-5516-4848-8832-4681345FAF28}"/>
    <cellStyle name="Percent 3 5 4 2" xfId="34216" xr:uid="{002FD6BC-8B71-4DCF-BFCE-001F1CA31517}"/>
    <cellStyle name="Percent 3 5 4 2 2" xfId="34217" xr:uid="{00101146-F5D1-406F-8901-D4C224E9D88E}"/>
    <cellStyle name="Percent 3 5 4 3" xfId="34218" xr:uid="{21421524-107B-41EF-9AD8-42C7988C7011}"/>
    <cellStyle name="Percent 3 5 5" xfId="34219" xr:uid="{54CF886B-043B-4546-9960-505039C8DA5A}"/>
    <cellStyle name="Percent 3 5 5 2" xfId="34220" xr:uid="{0393AF62-0B08-44E4-B617-815052E0345C}"/>
    <cellStyle name="Percent 3 5 6" xfId="34221" xr:uid="{7113855A-C754-4BCF-A60A-6F1AB38EA60A}"/>
    <cellStyle name="Percent 3 6" xfId="34222" xr:uid="{AAF01646-D19E-4D2A-B97A-595CE1A3ADF0}"/>
    <cellStyle name="Percent 3 6 2" xfId="34223" xr:uid="{D84756AB-6CFC-41E3-8A53-65E5F9C2B23C}"/>
    <cellStyle name="Percent 3 6 2 2" xfId="34224" xr:uid="{90E28E80-91B4-4F59-BD22-490734C3A2E5}"/>
    <cellStyle name="Percent 3 6 2 2 2" xfId="34225" xr:uid="{D8CBB142-873E-457A-A131-5D6BE61A9C30}"/>
    <cellStyle name="Percent 3 6 2 2 2 2" xfId="34226" xr:uid="{553B4EB6-E1EB-4452-91E4-605577A84EEE}"/>
    <cellStyle name="Percent 3 6 2 2 3" xfId="34227" xr:uid="{C77A2D34-DD77-4461-8DD4-F53055E09420}"/>
    <cellStyle name="Percent 3 6 2 3" xfId="34228" xr:uid="{D10AF5A5-AA13-458B-BE13-12F37D46A9AD}"/>
    <cellStyle name="Percent 3 6 2 3 2" xfId="34229" xr:uid="{5F1A12C4-1D01-498D-9787-58E4F0846722}"/>
    <cellStyle name="Percent 3 6 2 3 2 2" xfId="34230" xr:uid="{3A0CFC99-E221-4EFC-8626-84955247448D}"/>
    <cellStyle name="Percent 3 6 2 3 3" xfId="34231" xr:uid="{970A724C-7C15-4057-9516-F55232E6FC63}"/>
    <cellStyle name="Percent 3 6 2 4" xfId="34232" xr:uid="{18ADAB9E-DB6E-4045-B861-DFD290A225AC}"/>
    <cellStyle name="Percent 3 6 2 4 2" xfId="34233" xr:uid="{A12868E5-BB83-49EC-9865-13F9E1C36B7A}"/>
    <cellStyle name="Percent 3 6 2 5" xfId="34234" xr:uid="{DAC86072-6F31-412D-84DC-F3B1FB1BEF32}"/>
    <cellStyle name="Percent 3 6 3" xfId="34235" xr:uid="{A62E5414-0B7B-4D1F-82C0-D81BAA73A6B3}"/>
    <cellStyle name="Percent 3 6 3 2" xfId="34236" xr:uid="{79948645-B796-4E40-982E-A030D35ABEFB}"/>
    <cellStyle name="Percent 3 6 3 2 2" xfId="34237" xr:uid="{61509EB0-4BC5-4F47-9710-07D3B07D96AD}"/>
    <cellStyle name="Percent 3 6 3 3" xfId="34238" xr:uid="{3D582EB9-E625-41CA-A613-C7520E1168AF}"/>
    <cellStyle name="Percent 3 6 4" xfId="34239" xr:uid="{3A2E792F-C15F-4DA5-B910-C6E0A9231039}"/>
    <cellStyle name="Percent 3 6 4 2" xfId="34240" xr:uid="{CCBD27B9-54DD-4898-ABB5-4E51DB727E12}"/>
    <cellStyle name="Percent 3 6 4 2 2" xfId="34241" xr:uid="{A12BDAA2-37DC-4D09-96F1-695BDE776251}"/>
    <cellStyle name="Percent 3 6 4 3" xfId="34242" xr:uid="{69BE4F30-2556-48FA-8FCD-1835B9AB7D72}"/>
    <cellStyle name="Percent 3 6 5" xfId="34243" xr:uid="{80ABDC6F-C9F9-4C27-8F66-21103774EC33}"/>
    <cellStyle name="Percent 3 6 5 2" xfId="34244" xr:uid="{0224D0FE-6419-4877-9D9C-9C8E43190118}"/>
    <cellStyle name="Percent 3 6 6" xfId="34245" xr:uid="{541FAF29-66F9-4A04-BB6B-25CD5F381975}"/>
    <cellStyle name="Percent 3 7" xfId="34246" xr:uid="{886CFE2B-2D87-41AA-88F5-65071EC8AD2C}"/>
    <cellStyle name="Percent 3 7 2" xfId="34247" xr:uid="{91ABD794-2D39-4FED-AE34-43255D4F1A48}"/>
    <cellStyle name="Percent 3 7 2 2" xfId="34248" xr:uid="{74728EEE-48DA-4581-8968-200E40C7EC29}"/>
    <cellStyle name="Percent 3 7 2 2 2" xfId="34249" xr:uid="{2E3D4DCE-E45A-4607-B147-8C5EE0BFF34B}"/>
    <cellStyle name="Percent 3 7 2 2 2 2" xfId="34250" xr:uid="{90EBD448-CE4A-46F8-9DDB-8B803D2667E8}"/>
    <cellStyle name="Percent 3 7 2 2 3" xfId="34251" xr:uid="{76164DEF-7C61-4ACA-9812-C1B25CB257DB}"/>
    <cellStyle name="Percent 3 7 2 3" xfId="34252" xr:uid="{1E515F4D-7DC9-4D1D-9982-2C86355D99E7}"/>
    <cellStyle name="Percent 3 7 2 3 2" xfId="34253" xr:uid="{077412F8-AFDF-49B6-9685-85E3BA4FB750}"/>
    <cellStyle name="Percent 3 7 2 3 2 2" xfId="34254" xr:uid="{C5083915-CDE6-4327-BF73-CDBF5CF45899}"/>
    <cellStyle name="Percent 3 7 2 3 3" xfId="34255" xr:uid="{88033956-CB53-4310-A132-AEFACDD101D4}"/>
    <cellStyle name="Percent 3 7 2 4" xfId="34256" xr:uid="{F145F019-5FF1-45A4-A0E3-C80EAE06A997}"/>
    <cellStyle name="Percent 3 7 2 4 2" xfId="34257" xr:uid="{FC5BF976-0C16-49F6-9529-8749ADE295A9}"/>
    <cellStyle name="Percent 3 7 2 5" xfId="34258" xr:uid="{65C244C3-2F67-4458-A4C5-6CF0E683CAA3}"/>
    <cellStyle name="Percent 3 7 3" xfId="34259" xr:uid="{D99E1A37-53DA-4062-812C-A3EB982C9939}"/>
    <cellStyle name="Percent 3 7 3 2" xfId="34260" xr:uid="{2BA95AEE-E1AB-433E-8705-5CEC011F7C3A}"/>
    <cellStyle name="Percent 3 7 3 2 2" xfId="34261" xr:uid="{ED4CBE34-3607-4544-AFBF-59DB5A19317F}"/>
    <cellStyle name="Percent 3 7 3 3" xfId="34262" xr:uid="{8213B073-BF89-4435-B308-751E4A1F5A3F}"/>
    <cellStyle name="Percent 3 7 4" xfId="34263" xr:uid="{0E5903A6-EA2C-42C9-AB0F-61BEB35FC47A}"/>
    <cellStyle name="Percent 3 7 4 2" xfId="34264" xr:uid="{C2814993-82DE-4D51-BD9F-57B616440C89}"/>
    <cellStyle name="Percent 3 7 4 2 2" xfId="34265" xr:uid="{7943A53E-C5E1-45BE-9BCC-08F3DDF83F12}"/>
    <cellStyle name="Percent 3 7 4 3" xfId="34266" xr:uid="{C42F39D7-B1BD-4D75-B8B2-D9FB631D4670}"/>
    <cellStyle name="Percent 3 7 5" xfId="34267" xr:uid="{4D060E42-067F-4645-8770-059889CC8646}"/>
    <cellStyle name="Percent 3 7 5 2" xfId="34268" xr:uid="{FC05904F-2E2E-4BB3-AE97-4375ED816478}"/>
    <cellStyle name="Percent 3 7 6" xfId="34269" xr:uid="{37FDF99D-4B4C-4CD5-93BE-F10755EB78EC}"/>
    <cellStyle name="Percent 3 8" xfId="34270" xr:uid="{985CA219-1517-4558-A19B-08F2FF9A30C9}"/>
    <cellStyle name="Percent 3 8 2" xfId="34271" xr:uid="{3E625FEE-8D6E-41AC-A135-2B65ADDDE2AD}"/>
    <cellStyle name="Percent 3 8 2 2" xfId="34272" xr:uid="{14A1FB08-236D-4858-BCE7-F4C3FAD0A749}"/>
    <cellStyle name="Percent 3 8 2 2 2" xfId="34273" xr:uid="{A08174D6-9474-4410-B0E7-349ED53092A4}"/>
    <cellStyle name="Percent 3 8 2 2 2 2" xfId="34274" xr:uid="{333B5AFC-7D9F-4A1B-B385-21900AD589DE}"/>
    <cellStyle name="Percent 3 8 2 2 3" xfId="34275" xr:uid="{006CDA74-0EDD-46DC-AF92-D0D10ABB0EFD}"/>
    <cellStyle name="Percent 3 8 2 3" xfId="34276" xr:uid="{FA7CBE45-AA24-429A-B7A2-F2D64A36D032}"/>
    <cellStyle name="Percent 3 8 2 3 2" xfId="34277" xr:uid="{68FEB51A-93A6-40D1-9A18-DB252C778EF2}"/>
    <cellStyle name="Percent 3 8 2 3 2 2" xfId="34278" xr:uid="{506FA495-2589-47AF-8662-6CA13EFCD9B7}"/>
    <cellStyle name="Percent 3 8 2 3 3" xfId="34279" xr:uid="{966FD6A4-F8C8-4198-A07A-2F46D231E302}"/>
    <cellStyle name="Percent 3 8 2 4" xfId="34280" xr:uid="{C0C47F05-A3D2-44F0-9C1B-33710CF44ED7}"/>
    <cellStyle name="Percent 3 8 2 4 2" xfId="34281" xr:uid="{20AA6CCD-71B9-43FA-B95A-DB087409B168}"/>
    <cellStyle name="Percent 3 8 2 5" xfId="34282" xr:uid="{52FBCF22-F51A-4A45-8B37-9C340244CC96}"/>
    <cellStyle name="Percent 3 8 3" xfId="34283" xr:uid="{F02FF24C-0D3B-4D7B-AC79-FB233A770A50}"/>
    <cellStyle name="Percent 3 8 3 2" xfId="34284" xr:uid="{798887E8-D72B-42CE-8CC1-11D0590621CA}"/>
    <cellStyle name="Percent 3 8 3 2 2" xfId="34285" xr:uid="{0E819EC1-AA92-43B8-A3E0-6D5948B499B3}"/>
    <cellStyle name="Percent 3 8 3 3" xfId="34286" xr:uid="{476C0342-DA73-4458-BEA0-091BC17BBEB1}"/>
    <cellStyle name="Percent 3 8 4" xfId="34287" xr:uid="{06392799-E02D-4782-B824-2A82E61ACF78}"/>
    <cellStyle name="Percent 3 8 4 2" xfId="34288" xr:uid="{ED19B7DF-4FAF-4F8A-9330-CF4792AF8856}"/>
    <cellStyle name="Percent 3 8 4 2 2" xfId="34289" xr:uid="{180DEDC7-A6C5-4A7B-B802-DE7384976C8B}"/>
    <cellStyle name="Percent 3 8 4 3" xfId="34290" xr:uid="{0B165D2D-A755-49B4-94F0-D2D2DF4EDBB6}"/>
    <cellStyle name="Percent 3 8 5" xfId="34291" xr:uid="{2D1DC158-625B-4AE1-BA04-48EC3FE5285D}"/>
    <cellStyle name="Percent 3 8 5 2" xfId="34292" xr:uid="{6BF300AA-0D57-49C4-A947-38C95F8F1E2B}"/>
    <cellStyle name="Percent 3 8 6" xfId="34293" xr:uid="{EA1FFE4A-1E40-4E0F-809C-82B262395657}"/>
    <cellStyle name="Percent 3 9" xfId="34294" xr:uid="{09E88BF3-7529-4B15-9535-B1AACF5CDDCF}"/>
    <cellStyle name="Percent 3 9 2" xfId="34295" xr:uid="{020ABFD8-3DDD-44A5-84CE-42459CACEE69}"/>
    <cellStyle name="Percent 3 9 2 2" xfId="34296" xr:uid="{E070C299-62FE-4465-A58A-D3F2C891E554}"/>
    <cellStyle name="Percent 3 9 2 2 2" xfId="34297" xr:uid="{2F23BD54-34E3-4D43-AEC5-A734CDE9298F}"/>
    <cellStyle name="Percent 3 9 2 2 2 2" xfId="34298" xr:uid="{64C3C13A-3013-438D-989A-778B704FA7FE}"/>
    <cellStyle name="Percent 3 9 2 2 3" xfId="34299" xr:uid="{990DAF9E-3B22-4DF8-9943-BA3E919F5C20}"/>
    <cellStyle name="Percent 3 9 2 3" xfId="34300" xr:uid="{878CB73F-FC71-4304-90D5-995280C261FC}"/>
    <cellStyle name="Percent 3 9 2 3 2" xfId="34301" xr:uid="{D0E28884-A36D-4983-8920-46B2BF1F13CE}"/>
    <cellStyle name="Percent 3 9 2 3 2 2" xfId="34302" xr:uid="{CB78F1EA-8923-43CF-92D7-49D2A7295139}"/>
    <cellStyle name="Percent 3 9 2 3 3" xfId="34303" xr:uid="{7B3A90EF-0F77-4512-8E44-E05440DBF2C3}"/>
    <cellStyle name="Percent 3 9 2 4" xfId="34304" xr:uid="{5693474B-001D-41E2-BC08-321A86AC6EF6}"/>
    <cellStyle name="Percent 3 9 2 4 2" xfId="34305" xr:uid="{BCE56161-6A3B-40BB-B787-64B7F327F7C0}"/>
    <cellStyle name="Percent 3 9 2 5" xfId="34306" xr:uid="{82DE5868-528F-474D-923C-35CD871A3803}"/>
    <cellStyle name="Percent 3 9 3" xfId="34307" xr:uid="{977DE4B1-E482-49B7-AAE0-2E1C39A15391}"/>
    <cellStyle name="Percent 3 9 3 2" xfId="34308" xr:uid="{709E070C-488E-45E0-8B90-5BC8A417BB41}"/>
    <cellStyle name="Percent 3 9 3 2 2" xfId="34309" xr:uid="{B61DA45E-2A73-4393-A7FD-3E6A0255FA85}"/>
    <cellStyle name="Percent 3 9 3 3" xfId="34310" xr:uid="{BA07C373-9328-47F5-8A7B-59606C4A8A54}"/>
    <cellStyle name="Percent 3 9 4" xfId="34311" xr:uid="{CF4DD7FF-3B16-4B37-BB1B-73A860AA6DC2}"/>
    <cellStyle name="Percent 3 9 4 2" xfId="34312" xr:uid="{798FE7BC-C38D-48EA-AA90-D810C3C00267}"/>
    <cellStyle name="Percent 3 9 4 2 2" xfId="34313" xr:uid="{9C0F7748-492A-4EAE-8F34-D44368306C26}"/>
    <cellStyle name="Percent 3 9 4 3" xfId="34314" xr:uid="{BA69FD32-639A-49FE-9FFA-8223A42F01DC}"/>
    <cellStyle name="Percent 3 9 5" xfId="34315" xr:uid="{DB91CEAF-F555-43E2-90B8-773DD0981314}"/>
    <cellStyle name="Percent 3 9 5 2" xfId="34316" xr:uid="{154935A1-BACB-411B-BAA4-A7D5EA2DD734}"/>
    <cellStyle name="Percent 3 9 6" xfId="34317" xr:uid="{B58F2DF6-1354-405F-9007-C4CE04AE4E16}"/>
    <cellStyle name="Percent 30" xfId="34318" xr:uid="{94011390-3057-4DC7-9E06-2836F203FF71}"/>
    <cellStyle name="Percent 30 2" xfId="34319" xr:uid="{B5456381-9A78-4E30-91D7-DD9F434E0D77}"/>
    <cellStyle name="Percent 31" xfId="34320" xr:uid="{00FD547E-EF89-4273-95FA-89AB50BB7460}"/>
    <cellStyle name="Percent 31 2" xfId="34321" xr:uid="{80CD8D04-EBEF-4FB2-A568-F643BD50791D}"/>
    <cellStyle name="Percent 32" xfId="34322" xr:uid="{25EB8821-18CC-4078-BF1C-4D50FE0CF9D5}"/>
    <cellStyle name="Percent 32 2" xfId="34323" xr:uid="{E76066FE-3048-4E59-8AD9-ECD6B6A2FB5F}"/>
    <cellStyle name="Percent 33" xfId="34324" xr:uid="{BF1DCE72-3102-452E-98DA-9328FD4C6A06}"/>
    <cellStyle name="Percent 33 2" xfId="34325" xr:uid="{B439E975-C0C0-41E7-B3B9-0CBA5959DDCC}"/>
    <cellStyle name="Percent 34" xfId="34326" xr:uid="{055C73C4-1578-4172-9E4E-8E1D9A55913D}"/>
    <cellStyle name="Percent 34 2" xfId="34327" xr:uid="{EBAD9A5C-AB4B-406A-B42A-5B719639824A}"/>
    <cellStyle name="Percent 35" xfId="34328" xr:uid="{1BD9D30A-6CD2-4321-9B95-F6FC99872C5C}"/>
    <cellStyle name="Percent 35 2" xfId="34329" xr:uid="{DC4DD164-53CD-4481-A892-8EF8D00D1CE9}"/>
    <cellStyle name="Percent 36" xfId="34330" xr:uid="{3004908C-DAE6-43FA-BC93-E1ED737138AD}"/>
    <cellStyle name="Percent 36 2" xfId="34331" xr:uid="{DE441887-253D-44ED-9193-A07AEC5EAB1B}"/>
    <cellStyle name="Percent 37" xfId="34332" xr:uid="{B081DAB9-5158-467D-88FD-A7C8799118BA}"/>
    <cellStyle name="Percent 37 2" xfId="34333" xr:uid="{58294A64-3E40-4B9D-ADB6-EE4B44BDC192}"/>
    <cellStyle name="Percent 38" xfId="34334" xr:uid="{A7C50CFD-CBA5-4DE6-9679-252FBA0985E5}"/>
    <cellStyle name="Percent 38 2" xfId="34335" xr:uid="{A32FA67D-DDF6-40B1-B600-3774D6522E5C}"/>
    <cellStyle name="Percent 39" xfId="34336" xr:uid="{AC7E90C2-B50C-4CA9-A5FF-27CF2F70BD67}"/>
    <cellStyle name="Percent 39 2" xfId="34337" xr:uid="{8A1FB8F8-FC9A-45EC-9891-F1FCC1F7B030}"/>
    <cellStyle name="Percent 4" xfId="34338" xr:uid="{232CBDCA-86A1-4489-A370-F036F9C3511B}"/>
    <cellStyle name="Percent 4 10" xfId="34339" xr:uid="{DBE6C258-3553-4628-B6AC-5528858329C2}"/>
    <cellStyle name="Percent 4 11" xfId="34340" xr:uid="{3DA9B66B-C333-4ED6-94D2-438381D0656D}"/>
    <cellStyle name="Percent 4 11 2" xfId="34341" xr:uid="{9C81B5C9-066D-4D5B-A337-468386408A49}"/>
    <cellStyle name="Percent 4 11 2 2" xfId="34342" xr:uid="{EB77B6FC-E404-4C1E-9F81-7CC297F4B9F5}"/>
    <cellStyle name="Percent 4 11 2 2 2" xfId="34343" xr:uid="{FB149A2A-3B09-4DA9-B5F0-51B52C9F38C0}"/>
    <cellStyle name="Percent 4 11 2 3" xfId="34344" xr:uid="{0A00F926-34E7-42AC-8AE4-AEE161959408}"/>
    <cellStyle name="Percent 4 11 3" xfId="34345" xr:uid="{598EDD34-B9C1-4ADE-873A-67D9C8CEB72E}"/>
    <cellStyle name="Percent 4 11 3 2" xfId="34346" xr:uid="{2B9FBAF2-5E11-4CE8-A76E-F6D4FC4BFC73}"/>
    <cellStyle name="Percent 4 11 3 2 2" xfId="34347" xr:uid="{9DA80506-A173-4014-AE3F-19AAA774623B}"/>
    <cellStyle name="Percent 4 11 3 3" xfId="34348" xr:uid="{3A5B991F-CC9C-4077-8E4B-ADFF095ED029}"/>
    <cellStyle name="Percent 4 11 4" xfId="34349" xr:uid="{88DD42D3-6443-40DA-923C-BD1F78996669}"/>
    <cellStyle name="Percent 4 11 4 2" xfId="34350" xr:uid="{020C9431-D3D7-4844-8D73-48EBA4D9F658}"/>
    <cellStyle name="Percent 4 11 5" xfId="34351" xr:uid="{7601581B-6D3B-4728-8FE7-181D2BE2AEA9}"/>
    <cellStyle name="Percent 4 12" xfId="34352" xr:uid="{557B60D3-89C5-4F0C-ADE6-BE26DC0FA812}"/>
    <cellStyle name="Percent 4 12 2" xfId="34353" xr:uid="{46738EC6-B103-42FD-ACEE-8FA4B465CACF}"/>
    <cellStyle name="Percent 4 12 2 2" xfId="34354" xr:uid="{7C6C5806-9B25-476C-B062-BAD039031016}"/>
    <cellStyle name="Percent 4 12 3" xfId="34355" xr:uid="{0BBB4AD6-10E4-450D-82FD-3FFC6598AC7D}"/>
    <cellStyle name="Percent 4 13" xfId="34356" xr:uid="{3979C8AF-C947-412B-A87A-BEBEF7DA43C5}"/>
    <cellStyle name="Percent 4 13 2" xfId="34357" xr:uid="{D12199FE-A655-4699-8065-DDF82E36587D}"/>
    <cellStyle name="Percent 4 13 2 2" xfId="34358" xr:uid="{DC233A6F-2A1B-4209-9965-A7B64C46A241}"/>
    <cellStyle name="Percent 4 13 3" xfId="34359" xr:uid="{7BB9DEBB-5070-47B3-AAFB-A8BF545AE507}"/>
    <cellStyle name="Percent 4 14" xfId="34360" xr:uid="{4BB83398-79B0-46DB-9C20-B23D55CB519C}"/>
    <cellStyle name="Percent 4 14 2" xfId="34361" xr:uid="{DA604E63-44CF-472A-8061-A096F8B84D99}"/>
    <cellStyle name="Percent 4 15" xfId="34362" xr:uid="{2339FDE7-BB31-40E1-8D78-776D593EB155}"/>
    <cellStyle name="Percent 4 2" xfId="34363" xr:uid="{3C9FC010-A4C6-42C9-8AA0-DF1366BC9B4E}"/>
    <cellStyle name="Percent 4 2 2" xfId="34364" xr:uid="{C8AB5EA6-4F12-4667-BB2E-18767102A901}"/>
    <cellStyle name="Percent 4 3" xfId="34365" xr:uid="{7B9E14E5-E16C-4DDD-9844-EAA4944B036D}"/>
    <cellStyle name="Percent 4 3 2" xfId="34366" xr:uid="{68DC2579-E0CA-4014-8790-B96E8E1FDA6E}"/>
    <cellStyle name="Percent 4 3 2 2" xfId="34367" xr:uid="{877E6736-E35C-480C-90CA-6355543C8370}"/>
    <cellStyle name="Percent 4 3 2 2 2" xfId="34368" xr:uid="{72D01000-A004-4304-8227-C4FC056268B3}"/>
    <cellStyle name="Percent 4 3 2 3" xfId="34369" xr:uid="{1FD6CAF7-3749-414D-8478-26911AF88CBE}"/>
    <cellStyle name="Percent 4 3 3" xfId="34370" xr:uid="{2234E04A-F175-4F05-902D-CDD6CE06875C}"/>
    <cellStyle name="Percent 4 3 3 2" xfId="34371" xr:uid="{0B7EE6ED-92A8-4452-9E96-116808976FA4}"/>
    <cellStyle name="Percent 4 3 3 2 2" xfId="34372" xr:uid="{BDD14FBE-F5CA-497D-B7CD-5B334176519D}"/>
    <cellStyle name="Percent 4 3 3 3" xfId="34373" xr:uid="{CE0A2B49-8B3B-4FF5-8506-A43C8A18A538}"/>
    <cellStyle name="Percent 4 3 4" xfId="34374" xr:uid="{3F0FDE80-F8E8-49A0-B541-4727EAE048E3}"/>
    <cellStyle name="Percent 4 3 4 2" xfId="34375" xr:uid="{5E0BC5B1-B300-4589-AE15-2319078CADAB}"/>
    <cellStyle name="Percent 4 3 5" xfId="34376" xr:uid="{7119B39B-D4CC-467A-A53E-87836D57E116}"/>
    <cellStyle name="Percent 4 4" xfId="34377" xr:uid="{42474A86-F8A5-4160-8470-0BD056BD6CAB}"/>
    <cellStyle name="Percent 4 4 2" xfId="34378" xr:uid="{1CF486C7-1D3F-42ED-BFDD-A11EDB61F649}"/>
    <cellStyle name="Percent 4 4 2 2" xfId="34379" xr:uid="{33A99EFD-05BF-4822-BF4D-93152BD07EBF}"/>
    <cellStyle name="Percent 4 4 3" xfId="34380" xr:uid="{06673681-37CE-4BAA-9FE9-B3675D251768}"/>
    <cellStyle name="Percent 4 5" xfId="34381" xr:uid="{02BBFC2A-4466-4D1C-B14F-17E1A99FF372}"/>
    <cellStyle name="Percent 4 5 2" xfId="34382" xr:uid="{644EBBB4-ECB5-4CF2-90FD-B6B203882054}"/>
    <cellStyle name="Percent 4 5 2 2" xfId="34383" xr:uid="{52CFC3B1-FA27-4808-B0AB-35DCE3217434}"/>
    <cellStyle name="Percent 4 5 3" xfId="34384" xr:uid="{D1156AFB-21E5-4B5E-AFED-F691EF70ECFB}"/>
    <cellStyle name="Percent 4 6" xfId="34385" xr:uid="{F31B85AF-916B-4C24-84E5-CE27BF3E6A55}"/>
    <cellStyle name="Percent 4 6 2" xfId="34386" xr:uid="{F554EFCE-BD73-410A-B85E-8E8621F1B46C}"/>
    <cellStyle name="Percent 4 7" xfId="34387" xr:uid="{0558BF7C-8D3C-462F-A2B4-D5E691474C28}"/>
    <cellStyle name="Percent 4 8" xfId="34388" xr:uid="{36BA018C-DA4E-4EEC-AD6B-A33AF132F4D5}"/>
    <cellStyle name="Percent 4 9" xfId="34389" xr:uid="{EC5502FE-551E-4451-9499-B28D9806181A}"/>
    <cellStyle name="Percent 40" xfId="34390" xr:uid="{F8AB9ECF-6957-4369-B1E5-ACB7FC60D2A7}"/>
    <cellStyle name="Percent 40 2" xfId="34391" xr:uid="{8F526DCD-E5ED-45DC-8E25-F32A7279CDFB}"/>
    <cellStyle name="Percent 41" xfId="34392" xr:uid="{827B8780-07C0-4954-BD22-3D8EFCF87087}"/>
    <cellStyle name="Percent 41 2" xfId="34393" xr:uid="{92B27542-971B-453C-B362-1E414BA63E47}"/>
    <cellStyle name="Percent 42" xfId="34394" xr:uid="{DCABFDBF-AD41-4CD0-A6F0-8C86986E28A3}"/>
    <cellStyle name="Percent 42 2" xfId="34395" xr:uid="{D92FB72B-101C-4617-BE34-DE95F121B394}"/>
    <cellStyle name="Percent 43" xfId="34396" xr:uid="{4602B076-425E-4F02-A8B0-B85E80AA7EF4}"/>
    <cellStyle name="Percent 43 2" xfId="34397" xr:uid="{FED4D606-A1CA-4E61-BCF1-6F107A2361DF}"/>
    <cellStyle name="Percent 44" xfId="34398" xr:uid="{E0CFADBE-C70B-4CC9-9963-B5FB80E39A2A}"/>
    <cellStyle name="Percent 44 2" xfId="34399" xr:uid="{00D51560-F731-4141-9207-306F977FF495}"/>
    <cellStyle name="Percent 45" xfId="34400" xr:uid="{CF03BFCE-6767-48EF-9E19-61581E5E72D9}"/>
    <cellStyle name="Percent 45 2" xfId="34401" xr:uid="{27F864CE-0FAF-407F-9048-674B3B93B2DD}"/>
    <cellStyle name="Percent 46" xfId="34402" xr:uid="{3D32D729-92D0-45F2-92D0-0B886ABB1928}"/>
    <cellStyle name="Percent 46 2" xfId="34403" xr:uid="{417CF255-293D-4FC9-BAF0-47A34E33D0A8}"/>
    <cellStyle name="Percent 47" xfId="34404" xr:uid="{A08DB705-B5DB-4419-AB17-A8C8AC70BE8C}"/>
    <cellStyle name="Percent 47 2" xfId="34405" xr:uid="{D7B8B66D-2B2C-48DB-8D8B-D18D83BE1D73}"/>
    <cellStyle name="Percent 48" xfId="34406" xr:uid="{1A313B53-ED7B-4B65-B7DE-AA1BC19B62E6}"/>
    <cellStyle name="Percent 48 2" xfId="34407" xr:uid="{33C6B9E4-FEE3-445A-8745-88EA2B52E03D}"/>
    <cellStyle name="Percent 49" xfId="34408" xr:uid="{5DD20CC8-F255-4F2E-B0A9-BAA126A84C53}"/>
    <cellStyle name="Percent 49 2" xfId="34409" xr:uid="{B9A1FBD4-1C01-465A-9C04-A76949F5B454}"/>
    <cellStyle name="Percent 5" xfId="34410" xr:uid="{73FE9591-2601-4FFB-BBE2-27A99BFE51ED}"/>
    <cellStyle name="Percent 5 10" xfId="34411" xr:uid="{1968456C-ABA3-451A-8B94-048801F9F928}"/>
    <cellStyle name="Percent 5 10 2" xfId="34412" xr:uid="{210D281C-15D3-44FC-9032-0D7ECA703DFC}"/>
    <cellStyle name="Percent 5 10 2 2" xfId="34413" xr:uid="{8FC99FC0-3DB2-43F9-A6CF-80DF66435418}"/>
    <cellStyle name="Percent 5 10 2 2 2" xfId="34414" xr:uid="{498264FB-69D5-4D2C-AE9D-EEFF5C94C4EA}"/>
    <cellStyle name="Percent 5 10 2 2 2 2" xfId="34415" xr:uid="{D956D574-8922-463D-A7F1-B92DDABC6BA2}"/>
    <cellStyle name="Percent 5 10 2 2 3" xfId="34416" xr:uid="{F3545572-DA5C-435E-862C-4C1A5DAFD0DF}"/>
    <cellStyle name="Percent 5 10 2 3" xfId="34417" xr:uid="{26A69CC3-206E-4C2F-AD93-628CCA9880B1}"/>
    <cellStyle name="Percent 5 10 2 3 2" xfId="34418" xr:uid="{02BFD91D-9B22-449C-9AF3-5C6C6FF934EF}"/>
    <cellStyle name="Percent 5 10 2 3 2 2" xfId="34419" xr:uid="{30BA58C3-208D-4647-93A9-120E46CB9A07}"/>
    <cellStyle name="Percent 5 10 2 3 3" xfId="34420" xr:uid="{E0948871-6C9A-43DA-9861-A235B7F7DE98}"/>
    <cellStyle name="Percent 5 10 2 4" xfId="34421" xr:uid="{BF1C1208-AA53-4574-910F-3B48CF79C08D}"/>
    <cellStyle name="Percent 5 10 2 4 2" xfId="34422" xr:uid="{D43ECE75-536B-4DD2-9509-E89ED6A3E60D}"/>
    <cellStyle name="Percent 5 10 2 5" xfId="34423" xr:uid="{96B586EE-DAD7-41E1-AC88-6AF0F73084AD}"/>
    <cellStyle name="Percent 5 10 3" xfId="34424" xr:uid="{2DD97DFC-574C-4539-BCBD-B8F935FB98C5}"/>
    <cellStyle name="Percent 5 10 3 2" xfId="34425" xr:uid="{EF0DAC08-1731-448A-BBF8-19BE865AA021}"/>
    <cellStyle name="Percent 5 10 3 2 2" xfId="34426" xr:uid="{AA89B42C-1EA7-4E01-AAB3-DD881DDB73F2}"/>
    <cellStyle name="Percent 5 10 3 3" xfId="34427" xr:uid="{CB9DD6C0-7AD0-4A20-B953-686E06A8F3F0}"/>
    <cellStyle name="Percent 5 10 4" xfId="34428" xr:uid="{586989FF-AD2C-42B2-849E-10A8CA544CF6}"/>
    <cellStyle name="Percent 5 10 4 2" xfId="34429" xr:uid="{98B3D00D-56BB-4207-BBE0-12239B07F664}"/>
    <cellStyle name="Percent 5 10 4 2 2" xfId="34430" xr:uid="{B447BEB6-3966-4315-BEEC-A571C366CD23}"/>
    <cellStyle name="Percent 5 10 4 3" xfId="34431" xr:uid="{5BC68A4C-7E0D-45CE-B58F-FB2C85E39FF1}"/>
    <cellStyle name="Percent 5 10 5" xfId="34432" xr:uid="{1541A4E2-C3DD-4DA5-8A5F-D4D5E001F14F}"/>
    <cellStyle name="Percent 5 10 5 2" xfId="34433" xr:uid="{9A61E073-7DD9-460A-BBD0-751E31E9D683}"/>
    <cellStyle name="Percent 5 10 6" xfId="34434" xr:uid="{86EB7E50-AB80-4EAF-8005-E9DB6DBF5C59}"/>
    <cellStyle name="Percent 5 11" xfId="34435" xr:uid="{BA3DA084-8E0D-417E-80F6-C41A50A44F59}"/>
    <cellStyle name="Percent 5 11 2" xfId="34436" xr:uid="{47430308-6216-40AD-A90C-0D3A97C8407F}"/>
    <cellStyle name="Percent 5 11 2 2" xfId="34437" xr:uid="{832A0E2B-AF66-454F-AAE3-CC97E88DC1B6}"/>
    <cellStyle name="Percent 5 11 2 2 2" xfId="34438" xr:uid="{539B573E-BCB8-4D7B-B1A9-BF9CBEEC2BAE}"/>
    <cellStyle name="Percent 5 11 2 2 2 2" xfId="34439" xr:uid="{7A3D8DE9-BD3E-4431-8380-39F901B75759}"/>
    <cellStyle name="Percent 5 11 2 2 3" xfId="34440" xr:uid="{BA37ED0B-6420-4E4C-A01B-1E168BCE98CD}"/>
    <cellStyle name="Percent 5 11 2 3" xfId="34441" xr:uid="{8B93CCDF-29FC-4945-BFA7-4B713D11E125}"/>
    <cellStyle name="Percent 5 11 2 3 2" xfId="34442" xr:uid="{4251321D-A330-4C60-ACCF-35DF7C82E030}"/>
    <cellStyle name="Percent 5 11 2 3 2 2" xfId="34443" xr:uid="{6445A446-525E-41A6-8504-10CC5C93240F}"/>
    <cellStyle name="Percent 5 11 2 3 3" xfId="34444" xr:uid="{F3DA5D1E-F02F-4BC5-8568-11C731BD88CF}"/>
    <cellStyle name="Percent 5 11 2 4" xfId="34445" xr:uid="{EC0AA563-4978-4680-9A0A-B5AFB190AF72}"/>
    <cellStyle name="Percent 5 11 2 4 2" xfId="34446" xr:uid="{762C5DA5-FC08-416D-BE2A-D35AB99682CB}"/>
    <cellStyle name="Percent 5 11 2 5" xfId="34447" xr:uid="{EAA7FB83-9AEA-4E1E-A369-DE451312C8A6}"/>
    <cellStyle name="Percent 5 11 3" xfId="34448" xr:uid="{0747CB67-D4E7-4968-8C0B-D55AC1D5EED4}"/>
    <cellStyle name="Percent 5 11 3 2" xfId="34449" xr:uid="{AA977D79-AB73-4370-903D-581FE2914B60}"/>
    <cellStyle name="Percent 5 11 3 2 2" xfId="34450" xr:uid="{1A6EEE02-3900-4F90-9B72-E443E707469A}"/>
    <cellStyle name="Percent 5 11 3 3" xfId="34451" xr:uid="{106F1DCE-072B-4690-9998-DBD4AC5A5B37}"/>
    <cellStyle name="Percent 5 11 4" xfId="34452" xr:uid="{FB1E3661-DE09-49D6-91A2-918AFD81394C}"/>
    <cellStyle name="Percent 5 11 4 2" xfId="34453" xr:uid="{3A13BEC9-3478-45F5-B655-E59419012890}"/>
    <cellStyle name="Percent 5 11 4 2 2" xfId="34454" xr:uid="{FBA1E38C-B6E1-4CDA-94AF-1A6337E3C9DC}"/>
    <cellStyle name="Percent 5 11 4 3" xfId="34455" xr:uid="{49D01410-2D98-40CF-A987-0A8CD166721F}"/>
    <cellStyle name="Percent 5 11 5" xfId="34456" xr:uid="{379B2AEB-E785-417B-B1EF-634D94DC96D2}"/>
    <cellStyle name="Percent 5 11 5 2" xfId="34457" xr:uid="{2D63643B-2844-4079-8271-646249C41049}"/>
    <cellStyle name="Percent 5 11 6" xfId="34458" xr:uid="{AE597D02-421D-4823-B269-9B5A8B7D2D97}"/>
    <cellStyle name="Percent 5 12" xfId="34459" xr:uid="{6A5A810F-F10F-449C-BFE8-05A98CAAF48D}"/>
    <cellStyle name="Percent 5 12 2" xfId="34460" xr:uid="{8E560FF7-6D6C-47AA-B0A4-AF436BDA548A}"/>
    <cellStyle name="Percent 5 12 2 2" xfId="34461" xr:uid="{3D7A587B-A5D4-41D2-830E-DA09E2AFFAA5}"/>
    <cellStyle name="Percent 5 12 2 2 2" xfId="34462" xr:uid="{F7A6F316-C48B-4A7C-9ADE-5F2EEB9D999F}"/>
    <cellStyle name="Percent 5 12 2 3" xfId="34463" xr:uid="{67580C57-443A-4980-A78B-1210CF717319}"/>
    <cellStyle name="Percent 5 12 3" xfId="34464" xr:uid="{BEFCB47C-182A-4CE4-938D-3C80689A31EC}"/>
    <cellStyle name="Percent 5 12 3 2" xfId="34465" xr:uid="{D8E3789F-4FDA-4AEE-AFDD-F8D087B2640C}"/>
    <cellStyle name="Percent 5 12 3 2 2" xfId="34466" xr:uid="{40BCF8BB-E0E3-496E-A179-0D712D3D0072}"/>
    <cellStyle name="Percent 5 12 3 3" xfId="34467" xr:uid="{06E92AB2-990D-4876-89FA-091F9F1F0116}"/>
    <cellStyle name="Percent 5 12 4" xfId="34468" xr:uid="{ABED61CA-01E3-42E7-B37A-31088947AA3D}"/>
    <cellStyle name="Percent 5 12 4 2" xfId="34469" xr:uid="{278CE7CD-8F49-4BC1-8682-0EDB1AB7D45F}"/>
    <cellStyle name="Percent 5 12 5" xfId="34470" xr:uid="{C8340A71-F331-4975-8ABC-B3E0F935EC40}"/>
    <cellStyle name="Percent 5 13" xfId="34471" xr:uid="{F3E9694E-B3B9-4BCF-9F59-6CA31B4E181A}"/>
    <cellStyle name="Percent 5 13 2" xfId="34472" xr:uid="{C6226279-16F0-41AD-B755-7F8D49EFAE31}"/>
    <cellStyle name="Percent 5 13 2 2" xfId="34473" xr:uid="{167A6D34-FA04-4A25-9650-2DF683CE15B8}"/>
    <cellStyle name="Percent 5 13 3" xfId="34474" xr:uid="{513D7135-4741-407E-A8E5-D3CF16197592}"/>
    <cellStyle name="Percent 5 14" xfId="34475" xr:uid="{B2D59B0B-2B24-41CE-B41A-8DD342E63252}"/>
    <cellStyle name="Percent 5 14 2" xfId="34476" xr:uid="{344FF218-BCEE-4B22-A791-507CDE8D7247}"/>
    <cellStyle name="Percent 5 14 2 2" xfId="34477" xr:uid="{92BA71D6-7D5C-42D4-A2D3-A3D9C66F5FFE}"/>
    <cellStyle name="Percent 5 14 3" xfId="34478" xr:uid="{3BCB0509-C707-4E18-A4EB-3DE19CC9161D}"/>
    <cellStyle name="Percent 5 15" xfId="34479" xr:uid="{3AFFDEE1-702B-4971-B097-630BD05BF6C7}"/>
    <cellStyle name="Percent 5 15 2" xfId="34480" xr:uid="{C0FA9109-24DE-42B8-9BA9-975574B3CAF4}"/>
    <cellStyle name="Percent 5 16" xfId="34481" xr:uid="{1574758C-F576-4C2A-B5DF-0A969013B60C}"/>
    <cellStyle name="Percent 5 2" xfId="34482" xr:uid="{8BB5A64E-EFF1-4BDC-A6D7-224CFDA24A1E}"/>
    <cellStyle name="Percent 5 2 10" xfId="34483" xr:uid="{83FD8D59-DEF0-4E5E-AD19-91579095701C}"/>
    <cellStyle name="Percent 5 2 10 2" xfId="34484" xr:uid="{5484CA57-1942-423D-BFAE-2A134D85C3D3}"/>
    <cellStyle name="Percent 5 2 10 2 2" xfId="34485" xr:uid="{20D557CE-A524-4158-969A-E758FEC5850F}"/>
    <cellStyle name="Percent 5 2 10 2 2 2" xfId="34486" xr:uid="{3BCAF11B-4DBB-43AF-8479-BB50CC7AD7E1}"/>
    <cellStyle name="Percent 5 2 10 2 2 2 2" xfId="34487" xr:uid="{C6156B47-919A-45D0-8C3F-78D88F82E3F9}"/>
    <cellStyle name="Percent 5 2 10 2 2 3" xfId="34488" xr:uid="{E93D7FAE-2FE1-4E9E-B60F-77EB305A08C6}"/>
    <cellStyle name="Percent 5 2 10 2 3" xfId="34489" xr:uid="{3FB248BD-525C-4471-83E2-6E84DCA97058}"/>
    <cellStyle name="Percent 5 2 10 2 3 2" xfId="34490" xr:uid="{5C9A6AED-1A9D-4ED7-87EB-5A53199FE61C}"/>
    <cellStyle name="Percent 5 2 10 2 3 2 2" xfId="34491" xr:uid="{415AB180-4058-412C-9CE0-26D72B2CB088}"/>
    <cellStyle name="Percent 5 2 10 2 3 3" xfId="34492" xr:uid="{159BB04D-E161-47F6-8FE2-F28B62A1D994}"/>
    <cellStyle name="Percent 5 2 10 2 4" xfId="34493" xr:uid="{2088F3D6-1679-4C60-9B66-017FA8973D57}"/>
    <cellStyle name="Percent 5 2 10 2 4 2" xfId="34494" xr:uid="{627DB775-125B-40CA-99E3-7EFFAA3A5435}"/>
    <cellStyle name="Percent 5 2 10 2 5" xfId="34495" xr:uid="{89101C74-FBFB-4E9D-8CC5-CD7D9F94A036}"/>
    <cellStyle name="Percent 5 2 10 3" xfId="34496" xr:uid="{5197E2C9-1EC7-4C22-A14A-445B6A4D7522}"/>
    <cellStyle name="Percent 5 2 10 3 2" xfId="34497" xr:uid="{3B050D81-18E2-478F-B63E-79F26760B1C7}"/>
    <cellStyle name="Percent 5 2 10 3 2 2" xfId="34498" xr:uid="{7A3650AD-8390-4315-A27B-B7248DF6B38A}"/>
    <cellStyle name="Percent 5 2 10 3 3" xfId="34499" xr:uid="{EB6434F5-B79A-4221-BC6F-52197B71F858}"/>
    <cellStyle name="Percent 5 2 10 4" xfId="34500" xr:uid="{E3C9E98E-10F1-4157-8215-7D9C62343039}"/>
    <cellStyle name="Percent 5 2 10 4 2" xfId="34501" xr:uid="{452140EC-5461-464F-8BA5-871DEBE7BC74}"/>
    <cellStyle name="Percent 5 2 10 4 2 2" xfId="34502" xr:uid="{6BB192E7-006F-471D-87AA-6A74938D4543}"/>
    <cellStyle name="Percent 5 2 10 4 3" xfId="34503" xr:uid="{01040A3D-04CD-4690-BF1A-858AB74C2709}"/>
    <cellStyle name="Percent 5 2 10 5" xfId="34504" xr:uid="{D32D4431-AA31-45A8-96AA-5EDE03D8BD8F}"/>
    <cellStyle name="Percent 5 2 10 5 2" xfId="34505" xr:uid="{C0D1C466-9A74-478C-82D1-2C2D35F04B7E}"/>
    <cellStyle name="Percent 5 2 10 6" xfId="34506" xr:uid="{ABB438DF-07E8-4BA8-B821-D3B7DC6FA1BF}"/>
    <cellStyle name="Percent 5 2 11" xfId="34507" xr:uid="{5B2ED135-34B0-4FE8-A996-6969B57AD6B9}"/>
    <cellStyle name="Percent 5 2 11 2" xfId="34508" xr:uid="{19DEBB88-1FC4-49E3-A3D4-6C2238042BEA}"/>
    <cellStyle name="Percent 5 2 11 2 2" xfId="34509" xr:uid="{46175307-4C08-4EA2-91C4-87D81ACBE365}"/>
    <cellStyle name="Percent 5 2 11 2 2 2" xfId="34510" xr:uid="{3F4EF8E0-90DB-4EC5-A4DE-B7A28F5457EF}"/>
    <cellStyle name="Percent 5 2 11 2 2 2 2" xfId="34511" xr:uid="{4D4372DE-EE31-4095-87E9-9D715A66B91C}"/>
    <cellStyle name="Percent 5 2 11 2 2 3" xfId="34512" xr:uid="{30DCA433-6D2E-4DC7-9946-843A051FB9B6}"/>
    <cellStyle name="Percent 5 2 11 2 3" xfId="34513" xr:uid="{EAAB966C-F39E-46B2-AA5A-9779EA65BCAD}"/>
    <cellStyle name="Percent 5 2 11 2 3 2" xfId="34514" xr:uid="{600AEDC1-0E84-4649-99B4-65CED7C2DBCC}"/>
    <cellStyle name="Percent 5 2 11 2 3 2 2" xfId="34515" xr:uid="{667C1A21-10DC-472D-A7CC-7D810D2A6144}"/>
    <cellStyle name="Percent 5 2 11 2 3 3" xfId="34516" xr:uid="{6990EDFF-AFCA-430D-84F7-92588A2AC943}"/>
    <cellStyle name="Percent 5 2 11 2 4" xfId="34517" xr:uid="{70D51861-4BE2-4631-923E-77915A2278A8}"/>
    <cellStyle name="Percent 5 2 11 2 4 2" xfId="34518" xr:uid="{7177742C-2C1E-490D-80C9-ECB0706E76F1}"/>
    <cellStyle name="Percent 5 2 11 2 5" xfId="34519" xr:uid="{755512CE-5925-48B6-93B8-80D08E4BD931}"/>
    <cellStyle name="Percent 5 2 11 3" xfId="34520" xr:uid="{C05C5FE0-BA2D-44EB-A959-DC275E374A6D}"/>
    <cellStyle name="Percent 5 2 11 3 2" xfId="34521" xr:uid="{C2CF84E8-8FE6-41C6-ADFB-0C8FCC6D428C}"/>
    <cellStyle name="Percent 5 2 11 3 2 2" xfId="34522" xr:uid="{C67227C1-A9F8-4E34-AE67-D698A185B58C}"/>
    <cellStyle name="Percent 5 2 11 3 3" xfId="34523" xr:uid="{ACD0FE6F-6D4C-4763-BC1C-4070D3CDCFAF}"/>
    <cellStyle name="Percent 5 2 11 4" xfId="34524" xr:uid="{377AABE6-E0CC-48C4-9388-159C7B9DA3C2}"/>
    <cellStyle name="Percent 5 2 11 4 2" xfId="34525" xr:uid="{CDD0F6C1-36B9-4693-86A5-692CBABFE48B}"/>
    <cellStyle name="Percent 5 2 11 4 2 2" xfId="34526" xr:uid="{D8B46770-1D20-4B8F-9DAF-7CC1BDAAA401}"/>
    <cellStyle name="Percent 5 2 11 4 3" xfId="34527" xr:uid="{F996C807-2FE6-477E-891C-496B01723747}"/>
    <cellStyle name="Percent 5 2 11 5" xfId="34528" xr:uid="{C0E0B4B1-6685-48D7-AE28-F193BE2C47D1}"/>
    <cellStyle name="Percent 5 2 11 5 2" xfId="34529" xr:uid="{5AB6ABF4-73A8-45D2-83E5-FBD4AF86AC61}"/>
    <cellStyle name="Percent 5 2 11 6" xfId="34530" xr:uid="{DBFB930F-7AAF-40A2-8EA1-330283D0AF6D}"/>
    <cellStyle name="Percent 5 2 12" xfId="34531" xr:uid="{7B903335-34CA-476A-AA02-1848D29F58D3}"/>
    <cellStyle name="Percent 5 2 12 2" xfId="34532" xr:uid="{82E34BE2-3AF7-4375-A643-3118C5635E9E}"/>
    <cellStyle name="Percent 5 2 12 2 2" xfId="34533" xr:uid="{17D7A2B8-62C2-4462-8C69-2E5BF491D71C}"/>
    <cellStyle name="Percent 5 2 12 2 2 2" xfId="34534" xr:uid="{F3EB07B3-4C5E-4BF1-970E-E65F61BB6B36}"/>
    <cellStyle name="Percent 5 2 12 2 3" xfId="34535" xr:uid="{96BAA055-CF5A-4A88-ABEA-86FA46FEDD8F}"/>
    <cellStyle name="Percent 5 2 12 3" xfId="34536" xr:uid="{E775F4F9-161E-4B00-88B0-5B8D48849A3E}"/>
    <cellStyle name="Percent 5 2 12 3 2" xfId="34537" xr:uid="{7FC4EA49-7625-4AFE-9D67-00EC1E6258B0}"/>
    <cellStyle name="Percent 5 2 12 3 2 2" xfId="34538" xr:uid="{C575CB6D-AA02-4ED4-A705-495A55005B97}"/>
    <cellStyle name="Percent 5 2 12 3 3" xfId="34539" xr:uid="{BFBC57C4-13B9-494B-BB24-F8B1AE3A12B1}"/>
    <cellStyle name="Percent 5 2 12 4" xfId="34540" xr:uid="{582B39AB-9F51-4219-9EAD-0F0E1F54EA1D}"/>
    <cellStyle name="Percent 5 2 12 4 2" xfId="34541" xr:uid="{45647F2A-FD5F-4DD4-AD99-A2473A5650CA}"/>
    <cellStyle name="Percent 5 2 12 5" xfId="34542" xr:uid="{583CF8BE-4830-49EB-8BD1-BE0071411706}"/>
    <cellStyle name="Percent 5 2 13" xfId="34543" xr:uid="{D7F0D5DB-D9FC-4E06-93C2-85F8804CEEA8}"/>
    <cellStyle name="Percent 5 2 13 2" xfId="34544" xr:uid="{9A1F11B9-EEB1-4E3A-A5DE-6E482CBC0D67}"/>
    <cellStyle name="Percent 5 2 13 2 2" xfId="34545" xr:uid="{C0A5E695-99F1-476F-A113-DFD43AF61B82}"/>
    <cellStyle name="Percent 5 2 13 3" xfId="34546" xr:uid="{46185AC0-C437-4DE1-A74D-C3C2F0AE5504}"/>
    <cellStyle name="Percent 5 2 14" xfId="34547" xr:uid="{4337C254-634A-4434-8467-5D69184CF0CE}"/>
    <cellStyle name="Percent 5 2 14 2" xfId="34548" xr:uid="{0D12678D-0245-47DB-BD32-31436A8F7050}"/>
    <cellStyle name="Percent 5 2 14 2 2" xfId="34549" xr:uid="{EE5124D6-FCB0-4163-A3A4-408E8CCBC398}"/>
    <cellStyle name="Percent 5 2 14 3" xfId="34550" xr:uid="{BBD8FD64-585D-434D-892F-A4E71BAFAFD0}"/>
    <cellStyle name="Percent 5 2 15" xfId="34551" xr:uid="{0AF30F42-9BCC-4352-8578-61CDAB5B0098}"/>
    <cellStyle name="Percent 5 2 15 2" xfId="34552" xr:uid="{1D54775C-E2E8-4412-A0FC-648B3626D89E}"/>
    <cellStyle name="Percent 5 2 16" xfId="34553" xr:uid="{67226786-38CD-43AF-B0AA-0BA547DB8D04}"/>
    <cellStyle name="Percent 5 2 2" xfId="34554" xr:uid="{31B40806-291B-461D-8AC8-148A6B7FCE76}"/>
    <cellStyle name="Percent 5 2 2 2" xfId="34555" xr:uid="{010095CF-86D7-4D1D-8B39-8A3C8CC3C28E}"/>
    <cellStyle name="Percent 5 2 2 2 2" xfId="34556" xr:uid="{E40E4B99-8CE7-4B5F-B8A3-80A7EE3AA989}"/>
    <cellStyle name="Percent 5 2 2 2 2 2" xfId="34557" xr:uid="{0C531C79-03B7-4597-9F8E-2CC14DC1D21C}"/>
    <cellStyle name="Percent 5 2 2 2 2 2 2" xfId="34558" xr:uid="{F6A9692A-5F49-4F40-9EC3-292F0984CA52}"/>
    <cellStyle name="Percent 5 2 2 2 2 3" xfId="34559" xr:uid="{B75C9BB2-2425-429C-9033-51EEC3193309}"/>
    <cellStyle name="Percent 5 2 2 2 3" xfId="34560" xr:uid="{BF6872D7-86BE-41B9-A4CE-9858FFECF3CA}"/>
    <cellStyle name="Percent 5 2 2 2 3 2" xfId="34561" xr:uid="{C4B2BF11-AD31-4459-8A6A-64692757D82D}"/>
    <cellStyle name="Percent 5 2 2 2 3 2 2" xfId="34562" xr:uid="{4DCEC51B-A9E5-4D38-AB44-AC472213FF44}"/>
    <cellStyle name="Percent 5 2 2 2 3 3" xfId="34563" xr:uid="{2BB98C7A-1563-42D4-9F52-21243A8C69C4}"/>
    <cellStyle name="Percent 5 2 2 2 4" xfId="34564" xr:uid="{A8D0B9F7-8A90-4007-BD79-11DD2B90569E}"/>
    <cellStyle name="Percent 5 2 2 2 4 2" xfId="34565" xr:uid="{FF7FC170-2274-4C79-AAFE-5F2940A027C6}"/>
    <cellStyle name="Percent 5 2 2 2 5" xfId="34566" xr:uid="{71C6F8BA-32A4-4E45-97FF-87FBB913A9FA}"/>
    <cellStyle name="Percent 5 2 2 3" xfId="34567" xr:uid="{C5762D5E-5109-4080-93DD-0D42685C5455}"/>
    <cellStyle name="Percent 5 2 2 3 2" xfId="34568" xr:uid="{B21A0967-5D19-4175-9C63-E733A6380BAA}"/>
    <cellStyle name="Percent 5 2 2 3 2 2" xfId="34569" xr:uid="{69A5591D-813C-4AC3-BCF5-2B02BA0D08DE}"/>
    <cellStyle name="Percent 5 2 2 3 3" xfId="34570" xr:uid="{41D31C86-E53D-46D7-9AE6-D8EBA7482947}"/>
    <cellStyle name="Percent 5 2 2 4" xfId="34571" xr:uid="{AD92C978-B7E9-459D-8872-ADC4FA9ACA37}"/>
    <cellStyle name="Percent 5 2 2 4 2" xfId="34572" xr:uid="{ED5E890B-4FC3-4C0F-8176-DDBB1FE72F6D}"/>
    <cellStyle name="Percent 5 2 2 4 2 2" xfId="34573" xr:uid="{87763F37-621B-4571-8C5C-74616C515C28}"/>
    <cellStyle name="Percent 5 2 2 4 3" xfId="34574" xr:uid="{1CEA56A5-CEBF-43CD-8E33-B5660F21FEAA}"/>
    <cellStyle name="Percent 5 2 2 5" xfId="34575" xr:uid="{02810FE8-2498-45FE-9010-E57A9A4075CA}"/>
    <cellStyle name="Percent 5 2 2 5 2" xfId="34576" xr:uid="{1A67492F-A5B3-4F02-9788-DEE0D0C4D359}"/>
    <cellStyle name="Percent 5 2 2 6" xfId="34577" xr:uid="{75BD006D-B1BA-4032-B0B9-D73079E18B3D}"/>
    <cellStyle name="Percent 5 2 3" xfId="34578" xr:uid="{913EF0BA-8B07-4FE1-ACC2-B0E822B23CFE}"/>
    <cellStyle name="Percent 5 2 3 2" xfId="34579" xr:uid="{0AEE08A5-5D14-4089-B610-D696755BD33C}"/>
    <cellStyle name="Percent 5 2 3 2 2" xfId="34580" xr:uid="{853A7EF0-5383-4DA0-A96C-4D85C5ADE3AE}"/>
    <cellStyle name="Percent 5 2 3 2 2 2" xfId="34581" xr:uid="{7E495F58-89E2-46F0-92E4-C2E7D794F07D}"/>
    <cellStyle name="Percent 5 2 3 2 2 2 2" xfId="34582" xr:uid="{E7F5181F-B9B2-45CE-81E8-72AA746AFB4D}"/>
    <cellStyle name="Percent 5 2 3 2 2 3" xfId="34583" xr:uid="{0712DFD5-E9E8-4507-8B02-A3394461C9BC}"/>
    <cellStyle name="Percent 5 2 3 2 3" xfId="34584" xr:uid="{51DC0B9F-E12D-4455-BE38-CA9252C10FA6}"/>
    <cellStyle name="Percent 5 2 3 2 3 2" xfId="34585" xr:uid="{AEE7AD50-3A6C-4458-A2E1-31B1DB3357F9}"/>
    <cellStyle name="Percent 5 2 3 2 3 2 2" xfId="34586" xr:uid="{204C87E1-882C-453B-9E66-3D14AF18335E}"/>
    <cellStyle name="Percent 5 2 3 2 3 3" xfId="34587" xr:uid="{E2D79992-4480-447A-9369-702E87475FD7}"/>
    <cellStyle name="Percent 5 2 3 2 4" xfId="34588" xr:uid="{545BE02E-96B9-42C7-BE7F-D4E560ACA41E}"/>
    <cellStyle name="Percent 5 2 3 2 4 2" xfId="34589" xr:uid="{66E013E0-E610-46CF-8E05-6EC87399DCBA}"/>
    <cellStyle name="Percent 5 2 3 2 5" xfId="34590" xr:uid="{CBD4B9C3-E724-486C-8354-E4BC34231D4F}"/>
    <cellStyle name="Percent 5 2 3 3" xfId="34591" xr:uid="{1A582EB2-EA48-46A1-BD32-C99E1A96BEC4}"/>
    <cellStyle name="Percent 5 2 3 3 2" xfId="34592" xr:uid="{1D757172-3270-4852-BDCB-F94130051057}"/>
    <cellStyle name="Percent 5 2 3 3 2 2" xfId="34593" xr:uid="{7E092E17-337C-4E29-A8B4-E933824BB503}"/>
    <cellStyle name="Percent 5 2 3 3 3" xfId="34594" xr:uid="{D113E942-FD08-4E40-9F53-388C200D5874}"/>
    <cellStyle name="Percent 5 2 3 4" xfId="34595" xr:uid="{D1ADB84F-79A6-4D98-8A69-621DFC72E9A4}"/>
    <cellStyle name="Percent 5 2 3 4 2" xfId="34596" xr:uid="{A918347E-EFD6-41A8-9FFE-99B3D8B2B558}"/>
    <cellStyle name="Percent 5 2 3 4 2 2" xfId="34597" xr:uid="{D56F5490-FCDD-49FB-8CBE-35C71AE6C01B}"/>
    <cellStyle name="Percent 5 2 3 4 3" xfId="34598" xr:uid="{3A4D6B76-4463-4DC0-A75C-4FBF39CBC964}"/>
    <cellStyle name="Percent 5 2 3 5" xfId="34599" xr:uid="{B98DE1AF-8444-4C7F-96BA-C1190683D10C}"/>
    <cellStyle name="Percent 5 2 3 5 2" xfId="34600" xr:uid="{0D30CC18-E42A-4215-BCC4-23C7DAF361F8}"/>
    <cellStyle name="Percent 5 2 3 6" xfId="34601" xr:uid="{D2DB9BB6-DBC4-4CBC-9049-C1927F88D29D}"/>
    <cellStyle name="Percent 5 2 4" xfId="34602" xr:uid="{4406E0B2-E724-4231-A17D-7FC727F5AB22}"/>
    <cellStyle name="Percent 5 2 4 2" xfId="34603" xr:uid="{809AE370-A5FD-4408-9C00-C0EAAF7E07DE}"/>
    <cellStyle name="Percent 5 2 4 2 2" xfId="34604" xr:uid="{5CE0ECB0-C194-441A-93EA-ED59D753582E}"/>
    <cellStyle name="Percent 5 2 4 2 2 2" xfId="34605" xr:uid="{50A761B7-9660-4604-B054-75A405954B2D}"/>
    <cellStyle name="Percent 5 2 4 2 2 2 2" xfId="34606" xr:uid="{FD04A3D1-C948-4BAE-A4C4-40C92760CB4E}"/>
    <cellStyle name="Percent 5 2 4 2 2 3" xfId="34607" xr:uid="{61F746B4-8C3A-409B-8AEA-032573348492}"/>
    <cellStyle name="Percent 5 2 4 2 3" xfId="34608" xr:uid="{091F65BC-3753-4052-A966-8D40FB1799A3}"/>
    <cellStyle name="Percent 5 2 4 2 3 2" xfId="34609" xr:uid="{555685EF-C059-49DE-91E0-7FE5F3E13F7F}"/>
    <cellStyle name="Percent 5 2 4 2 3 2 2" xfId="34610" xr:uid="{060E26EF-11B3-435D-B8EC-9C1DA938038F}"/>
    <cellStyle name="Percent 5 2 4 2 3 3" xfId="34611" xr:uid="{4FB6862A-55B6-4EBC-B291-CB0D9D54E683}"/>
    <cellStyle name="Percent 5 2 4 2 4" xfId="34612" xr:uid="{4DBB1533-6220-4B69-8A82-158978B947A6}"/>
    <cellStyle name="Percent 5 2 4 2 4 2" xfId="34613" xr:uid="{6FEF9614-E2BC-4A46-B0DB-268ADE502093}"/>
    <cellStyle name="Percent 5 2 4 2 5" xfId="34614" xr:uid="{48A378E7-B439-46C1-9464-4D0054DEE716}"/>
    <cellStyle name="Percent 5 2 4 3" xfId="34615" xr:uid="{E16D2B29-3F24-4AFC-B2BF-5BD1157F4C21}"/>
    <cellStyle name="Percent 5 2 4 3 2" xfId="34616" xr:uid="{22788023-F984-426F-9641-FCB02AB83A3C}"/>
    <cellStyle name="Percent 5 2 4 3 2 2" xfId="34617" xr:uid="{4C19F904-615A-4BBF-81C5-044678641A13}"/>
    <cellStyle name="Percent 5 2 4 3 3" xfId="34618" xr:uid="{53A5C88A-1E17-48CC-BBC7-5BF8AC30B588}"/>
    <cellStyle name="Percent 5 2 4 4" xfId="34619" xr:uid="{EFDFEF62-D7DA-432D-95D7-5D5116398EBB}"/>
    <cellStyle name="Percent 5 2 4 4 2" xfId="34620" xr:uid="{3A4D9DB2-AF73-4957-8E7F-5C88572E8202}"/>
    <cellStyle name="Percent 5 2 4 4 2 2" xfId="34621" xr:uid="{36F684BE-791A-40FE-933A-D342042F0140}"/>
    <cellStyle name="Percent 5 2 4 4 3" xfId="34622" xr:uid="{2C998F60-6081-4BB2-8EAB-5B7D27B7C3D9}"/>
    <cellStyle name="Percent 5 2 4 5" xfId="34623" xr:uid="{040ADBC2-53CE-4D39-BB00-D02ED069132B}"/>
    <cellStyle name="Percent 5 2 4 5 2" xfId="34624" xr:uid="{7956C42C-B02C-493B-9B68-3C8A6E8B5F1B}"/>
    <cellStyle name="Percent 5 2 4 6" xfId="34625" xr:uid="{694DBD3C-2D04-487C-801C-950F09A48458}"/>
    <cellStyle name="Percent 5 2 5" xfId="34626" xr:uid="{042C2D7C-D889-4956-8843-02F3F5C77FF7}"/>
    <cellStyle name="Percent 5 2 5 2" xfId="34627" xr:uid="{FEDC95C5-1941-4521-A86A-0D19EC7C1D5B}"/>
    <cellStyle name="Percent 5 2 5 2 2" xfId="34628" xr:uid="{B3EBCB91-0866-4808-B828-FAEDEB3E4B0D}"/>
    <cellStyle name="Percent 5 2 5 2 2 2" xfId="34629" xr:uid="{D39B5649-71DD-47E0-A457-AF4F7AAA7FA6}"/>
    <cellStyle name="Percent 5 2 5 2 2 2 2" xfId="34630" xr:uid="{DF639EED-8AB8-4E48-A45F-9A10AF755A12}"/>
    <cellStyle name="Percent 5 2 5 2 2 3" xfId="34631" xr:uid="{864EA3CC-27C2-41D9-8F05-F72F2B97A159}"/>
    <cellStyle name="Percent 5 2 5 2 3" xfId="34632" xr:uid="{27D1859A-31CC-4F22-A446-DDF63F8D6028}"/>
    <cellStyle name="Percent 5 2 5 2 3 2" xfId="34633" xr:uid="{E3AEC893-6DD7-43F2-BAF8-4121BA958D7D}"/>
    <cellStyle name="Percent 5 2 5 2 3 2 2" xfId="34634" xr:uid="{06C4FAAB-9E16-4BA0-9693-B2D42631D0B8}"/>
    <cellStyle name="Percent 5 2 5 2 3 3" xfId="34635" xr:uid="{5FAD7DF5-0464-4538-AC6A-7ED8875AA389}"/>
    <cellStyle name="Percent 5 2 5 2 4" xfId="34636" xr:uid="{59456CDE-98FA-4D8C-85FB-B1904627096C}"/>
    <cellStyle name="Percent 5 2 5 2 4 2" xfId="34637" xr:uid="{475A52D3-C395-4020-B5ED-DEB4C72F7FA9}"/>
    <cellStyle name="Percent 5 2 5 2 5" xfId="34638" xr:uid="{1F3A784E-5CDF-4CFB-B5A5-6CF9DFC44A76}"/>
    <cellStyle name="Percent 5 2 5 3" xfId="34639" xr:uid="{446343E6-8839-435D-BED2-FCE1F04371BC}"/>
    <cellStyle name="Percent 5 2 5 3 2" xfId="34640" xr:uid="{EBF71237-AE05-465D-874F-B61858023F25}"/>
    <cellStyle name="Percent 5 2 5 3 2 2" xfId="34641" xr:uid="{01D7B495-50AD-4748-BF59-CA16AC9F03F3}"/>
    <cellStyle name="Percent 5 2 5 3 3" xfId="34642" xr:uid="{100E3B35-82BF-4FE9-8A1D-8AC6969B2C16}"/>
    <cellStyle name="Percent 5 2 5 4" xfId="34643" xr:uid="{57F4862E-867D-4F61-9F0C-65040EF4684D}"/>
    <cellStyle name="Percent 5 2 5 4 2" xfId="34644" xr:uid="{0E4581B6-2E71-4EA3-9E70-43850D63A995}"/>
    <cellStyle name="Percent 5 2 5 4 2 2" xfId="34645" xr:uid="{6A430D95-9CED-4F6C-B90A-D753BD93C169}"/>
    <cellStyle name="Percent 5 2 5 4 3" xfId="34646" xr:uid="{6E3DD1E2-CE86-4AFF-9813-F7F75E530C87}"/>
    <cellStyle name="Percent 5 2 5 5" xfId="34647" xr:uid="{242FF569-1C66-4B0C-B0BF-6F14E0ADF652}"/>
    <cellStyle name="Percent 5 2 5 5 2" xfId="34648" xr:uid="{1FBBA522-FCD9-4CF4-B926-0AAB200C603D}"/>
    <cellStyle name="Percent 5 2 5 6" xfId="34649" xr:uid="{0DF24C4E-9852-4786-BB0E-7A32A9BAA4A5}"/>
    <cellStyle name="Percent 5 2 6" xfId="34650" xr:uid="{ABBF7E1A-97A4-459F-A5DE-E0A7C3B15E32}"/>
    <cellStyle name="Percent 5 2 6 2" xfId="34651" xr:uid="{C1BA703B-D660-433D-8519-A75BC13545C4}"/>
    <cellStyle name="Percent 5 2 6 2 2" xfId="34652" xr:uid="{C5DD21C8-A7BB-4BEF-96D0-F7F91694D136}"/>
    <cellStyle name="Percent 5 2 6 2 2 2" xfId="34653" xr:uid="{031F9AF6-AED4-4DD7-BA81-1B99D9439C07}"/>
    <cellStyle name="Percent 5 2 6 2 2 2 2" xfId="34654" xr:uid="{D044C4CD-9A82-41AC-B212-9130604ED127}"/>
    <cellStyle name="Percent 5 2 6 2 2 3" xfId="34655" xr:uid="{EF88AF5C-5440-4AE0-82A6-063292450D51}"/>
    <cellStyle name="Percent 5 2 6 2 3" xfId="34656" xr:uid="{320FA3B0-95B1-4B13-9D02-03470F0F82A0}"/>
    <cellStyle name="Percent 5 2 6 2 3 2" xfId="34657" xr:uid="{CCBC2EF0-DBCF-4936-81B2-F8871AA74BA2}"/>
    <cellStyle name="Percent 5 2 6 2 3 2 2" xfId="34658" xr:uid="{746D5149-A65D-4B21-93DB-2F161D6EBB57}"/>
    <cellStyle name="Percent 5 2 6 2 3 3" xfId="34659" xr:uid="{3C7B0500-470F-48D0-A91B-C637E119F3F1}"/>
    <cellStyle name="Percent 5 2 6 2 4" xfId="34660" xr:uid="{AD39429B-0DD3-47F0-83B8-0EFF788B0C0B}"/>
    <cellStyle name="Percent 5 2 6 2 4 2" xfId="34661" xr:uid="{6364E219-8E98-4D90-A82F-2BE223783D3C}"/>
    <cellStyle name="Percent 5 2 6 2 5" xfId="34662" xr:uid="{C46FD7C0-7A0E-4A55-8DD2-03B3929668E4}"/>
    <cellStyle name="Percent 5 2 6 3" xfId="34663" xr:uid="{FC8E4DDA-EDB9-4544-BCBA-B3DEDF188385}"/>
    <cellStyle name="Percent 5 2 6 3 2" xfId="34664" xr:uid="{2452CA6F-CC49-49DD-A725-239AA01B9CD4}"/>
    <cellStyle name="Percent 5 2 6 3 2 2" xfId="34665" xr:uid="{9FD2A5C5-45D8-4D5E-B491-5E0FB6940269}"/>
    <cellStyle name="Percent 5 2 6 3 3" xfId="34666" xr:uid="{01330BA9-C55B-4B5E-8E06-CF458F561032}"/>
    <cellStyle name="Percent 5 2 6 4" xfId="34667" xr:uid="{F5712795-3B85-4A64-836E-C8CA0DA1B5A8}"/>
    <cellStyle name="Percent 5 2 6 4 2" xfId="34668" xr:uid="{3285D6F6-9C05-4898-A0D2-CC8E91C3AF16}"/>
    <cellStyle name="Percent 5 2 6 4 2 2" xfId="34669" xr:uid="{3A57867D-BE19-434A-86DB-55F8B38C54F8}"/>
    <cellStyle name="Percent 5 2 6 4 3" xfId="34670" xr:uid="{4A4D9312-52EB-4B40-844B-AB15470ADB08}"/>
    <cellStyle name="Percent 5 2 6 5" xfId="34671" xr:uid="{2F358E6E-B7FC-4AA4-8714-2799BB2843B6}"/>
    <cellStyle name="Percent 5 2 6 5 2" xfId="34672" xr:uid="{00041052-E1C7-42E4-88A0-66FA2F0D64E8}"/>
    <cellStyle name="Percent 5 2 6 6" xfId="34673" xr:uid="{132683AB-0284-4360-A55F-F24DB885472A}"/>
    <cellStyle name="Percent 5 2 7" xfId="34674" xr:uid="{7633E73B-63CD-4318-974F-704ECC3A8149}"/>
    <cellStyle name="Percent 5 2 7 2" xfId="34675" xr:uid="{F81AAC8C-D89B-4771-A082-DCCD68EED1FA}"/>
    <cellStyle name="Percent 5 2 7 2 2" xfId="34676" xr:uid="{B873D60D-B3B6-4342-A9F1-EA778BF311F8}"/>
    <cellStyle name="Percent 5 2 7 2 2 2" xfId="34677" xr:uid="{EB322AEC-8944-4006-B76F-07EBCC6A260C}"/>
    <cellStyle name="Percent 5 2 7 2 2 2 2" xfId="34678" xr:uid="{2F48C4C2-8260-4B71-919E-F25D0BBF54FD}"/>
    <cellStyle name="Percent 5 2 7 2 2 3" xfId="34679" xr:uid="{CE50C4D8-22F5-4DB6-8DDE-19DD2B271FB8}"/>
    <cellStyle name="Percent 5 2 7 2 3" xfId="34680" xr:uid="{A49DAB85-DFFC-4920-AF90-30521832272F}"/>
    <cellStyle name="Percent 5 2 7 2 3 2" xfId="34681" xr:uid="{06BC7AE7-26A0-41FD-962D-5B93ED5EBDF1}"/>
    <cellStyle name="Percent 5 2 7 2 3 2 2" xfId="34682" xr:uid="{095B7063-AAE0-4F49-97A8-9933D7FB4111}"/>
    <cellStyle name="Percent 5 2 7 2 3 3" xfId="34683" xr:uid="{E67D7119-32AA-4CC7-A2CA-A3A10DFA6F87}"/>
    <cellStyle name="Percent 5 2 7 2 4" xfId="34684" xr:uid="{A8821D61-AAB8-4636-9185-9EA3F3FFF55C}"/>
    <cellStyle name="Percent 5 2 7 2 4 2" xfId="34685" xr:uid="{25ECC390-5F69-4D4C-A113-D1CCE654039D}"/>
    <cellStyle name="Percent 5 2 7 2 5" xfId="34686" xr:uid="{015D92BB-54EB-423E-AD1E-A5EF696E1565}"/>
    <cellStyle name="Percent 5 2 7 3" xfId="34687" xr:uid="{FDDAD923-E70B-4A8A-81E3-919773030EF7}"/>
    <cellStyle name="Percent 5 2 7 3 2" xfId="34688" xr:uid="{7FC9C9AC-BB1F-46E6-AE43-523E2B5DCA16}"/>
    <cellStyle name="Percent 5 2 7 3 2 2" xfId="34689" xr:uid="{51CD565E-BABE-49D3-A5AC-539D135EDF27}"/>
    <cellStyle name="Percent 5 2 7 3 3" xfId="34690" xr:uid="{997C9BA2-D2E1-48B2-8E2B-83DFD6053A2F}"/>
    <cellStyle name="Percent 5 2 7 4" xfId="34691" xr:uid="{7A92576D-4EA1-4466-927A-3F076EA2E9DD}"/>
    <cellStyle name="Percent 5 2 7 4 2" xfId="34692" xr:uid="{0996F7CD-15D4-46C2-9231-425D60D53060}"/>
    <cellStyle name="Percent 5 2 7 4 2 2" xfId="34693" xr:uid="{D167A8CE-00AF-416D-AF6E-6C17A3D5CBBA}"/>
    <cellStyle name="Percent 5 2 7 4 3" xfId="34694" xr:uid="{1961C8F1-B85F-42E7-A691-D48D1382CBF1}"/>
    <cellStyle name="Percent 5 2 7 5" xfId="34695" xr:uid="{D3B0CE8E-92AC-4674-9F81-ABF0E140A06F}"/>
    <cellStyle name="Percent 5 2 7 5 2" xfId="34696" xr:uid="{15D814EF-64D8-431C-9476-6BDA07697D28}"/>
    <cellStyle name="Percent 5 2 7 6" xfId="34697" xr:uid="{5013434C-63AD-4AEC-BDD3-778EB5857DD2}"/>
    <cellStyle name="Percent 5 2 8" xfId="34698" xr:uid="{F71F7F45-BDF0-48DB-8070-5944AE48A009}"/>
    <cellStyle name="Percent 5 2 8 2" xfId="34699" xr:uid="{9BAA91E8-8D15-45DE-A371-6DA3E546F5F5}"/>
    <cellStyle name="Percent 5 2 8 2 2" xfId="34700" xr:uid="{06BF92A7-3996-409B-88A4-5EDD432ED3CC}"/>
    <cellStyle name="Percent 5 2 8 2 2 2" xfId="34701" xr:uid="{DF791706-C7A6-45C6-973E-C5F04AA70E7B}"/>
    <cellStyle name="Percent 5 2 8 2 2 2 2" xfId="34702" xr:uid="{F88EE866-4F5A-43AC-909B-DDC02A7F499B}"/>
    <cellStyle name="Percent 5 2 8 2 2 3" xfId="34703" xr:uid="{D7B51361-F9F4-4F6E-B1A4-F04041857DB2}"/>
    <cellStyle name="Percent 5 2 8 2 3" xfId="34704" xr:uid="{63C95C10-28EE-4233-ADE1-2C70BB4A2AE4}"/>
    <cellStyle name="Percent 5 2 8 2 3 2" xfId="34705" xr:uid="{CFF2FBFF-F6B0-4341-A5BE-2D2C6517D54D}"/>
    <cellStyle name="Percent 5 2 8 2 3 2 2" xfId="34706" xr:uid="{E9C0AF4F-8311-47C0-9472-ADB469271D89}"/>
    <cellStyle name="Percent 5 2 8 2 3 3" xfId="34707" xr:uid="{45312634-2490-405B-945D-79F43F55FA7B}"/>
    <cellStyle name="Percent 5 2 8 2 4" xfId="34708" xr:uid="{163879DF-FB1B-4EE8-B79F-70BDA2E8AD1A}"/>
    <cellStyle name="Percent 5 2 8 2 4 2" xfId="34709" xr:uid="{90838C97-D500-4B0B-B2C6-417268EB9044}"/>
    <cellStyle name="Percent 5 2 8 2 5" xfId="34710" xr:uid="{A283D765-5634-4106-AABF-A196ED514A5E}"/>
    <cellStyle name="Percent 5 2 8 3" xfId="34711" xr:uid="{91E0ACDE-1FE3-4DBF-A241-70A069508EF6}"/>
    <cellStyle name="Percent 5 2 8 3 2" xfId="34712" xr:uid="{3696B0BF-4AE3-4C65-865B-A89AB1A599EC}"/>
    <cellStyle name="Percent 5 2 8 3 2 2" xfId="34713" xr:uid="{0F44AD47-F533-4905-86AD-7E02E3A487AC}"/>
    <cellStyle name="Percent 5 2 8 3 3" xfId="34714" xr:uid="{57BAADAE-E93D-4D52-93F9-2B1E107A4656}"/>
    <cellStyle name="Percent 5 2 8 4" xfId="34715" xr:uid="{372947AD-11D4-4BFA-8B59-D11E4B24967D}"/>
    <cellStyle name="Percent 5 2 8 4 2" xfId="34716" xr:uid="{5B7933B5-E74A-4CB7-9FCD-A639D4324F07}"/>
    <cellStyle name="Percent 5 2 8 4 2 2" xfId="34717" xr:uid="{C67BD8A9-74B2-4253-BE29-11C8C21296E5}"/>
    <cellStyle name="Percent 5 2 8 4 3" xfId="34718" xr:uid="{917A6FDC-4017-411A-812A-E05DC4DCA044}"/>
    <cellStyle name="Percent 5 2 8 5" xfId="34719" xr:uid="{C46247BB-2D86-43E6-8B0E-B45A09D13FAF}"/>
    <cellStyle name="Percent 5 2 8 5 2" xfId="34720" xr:uid="{6B5CE8EC-9DB1-4108-90A7-84B397B46A9B}"/>
    <cellStyle name="Percent 5 2 8 6" xfId="34721" xr:uid="{A1BE532D-B522-47AA-8234-B1DB9C4E9AB2}"/>
    <cellStyle name="Percent 5 2 9" xfId="34722" xr:uid="{2D39221A-1F1A-445E-B958-5D79A5406150}"/>
    <cellStyle name="Percent 5 2 9 2" xfId="34723" xr:uid="{6FBB51D7-AF48-4A8C-8793-D6C0C6B600E5}"/>
    <cellStyle name="Percent 5 2 9 2 2" xfId="34724" xr:uid="{CD39B74E-D9DF-4481-9501-B320E1643768}"/>
    <cellStyle name="Percent 5 2 9 2 2 2" xfId="34725" xr:uid="{B582DEE8-10B9-4ABD-9484-5BF5E425A5DF}"/>
    <cellStyle name="Percent 5 2 9 2 2 2 2" xfId="34726" xr:uid="{7FFE09E6-9C2C-403D-9942-779D8DA7856B}"/>
    <cellStyle name="Percent 5 2 9 2 2 3" xfId="34727" xr:uid="{C060341A-A6FB-4BAB-B414-9C1F1EDF5604}"/>
    <cellStyle name="Percent 5 2 9 2 3" xfId="34728" xr:uid="{92DE71AF-B282-4161-8D6C-2719D15AF488}"/>
    <cellStyle name="Percent 5 2 9 2 3 2" xfId="34729" xr:uid="{B44104BE-13C7-485E-9F01-516B05E51B32}"/>
    <cellStyle name="Percent 5 2 9 2 3 2 2" xfId="34730" xr:uid="{74990B07-956B-4DDA-B47F-8905B931EB9D}"/>
    <cellStyle name="Percent 5 2 9 2 3 3" xfId="34731" xr:uid="{AE51A866-EB01-4497-96C1-8E4AA66EF8A8}"/>
    <cellStyle name="Percent 5 2 9 2 4" xfId="34732" xr:uid="{2119D041-1B9E-49AB-9EB7-8A74A4B36ACE}"/>
    <cellStyle name="Percent 5 2 9 2 4 2" xfId="34733" xr:uid="{97BDD6E2-49F1-446D-9770-FE47149D6CF4}"/>
    <cellStyle name="Percent 5 2 9 2 5" xfId="34734" xr:uid="{3DA7A35D-5197-44EB-90BD-8EB104F9BEDB}"/>
    <cellStyle name="Percent 5 2 9 3" xfId="34735" xr:uid="{D5421760-D755-4420-8363-254530600525}"/>
    <cellStyle name="Percent 5 2 9 3 2" xfId="34736" xr:uid="{675AF549-3728-47C1-9071-72A73A4F5C8D}"/>
    <cellStyle name="Percent 5 2 9 3 2 2" xfId="34737" xr:uid="{D60DFEF8-178D-4448-AA7B-6D755CA59307}"/>
    <cellStyle name="Percent 5 2 9 3 3" xfId="34738" xr:uid="{8790BD32-980B-4509-B923-F79E38572D24}"/>
    <cellStyle name="Percent 5 2 9 4" xfId="34739" xr:uid="{BBC1493B-84E3-448C-BEB5-FCE934B41B06}"/>
    <cellStyle name="Percent 5 2 9 4 2" xfId="34740" xr:uid="{4DB3C7A0-5524-4BF5-AD77-E6A4988BCA73}"/>
    <cellStyle name="Percent 5 2 9 4 2 2" xfId="34741" xr:uid="{7CB41091-F0C9-45B9-9720-2518B86546E5}"/>
    <cellStyle name="Percent 5 2 9 4 3" xfId="34742" xr:uid="{7C8710AC-CF57-435F-8629-47205C4922C2}"/>
    <cellStyle name="Percent 5 2 9 5" xfId="34743" xr:uid="{EAD1F6B2-311B-4213-8D19-7376FE8A5559}"/>
    <cellStyle name="Percent 5 2 9 5 2" xfId="34744" xr:uid="{39EBCA4A-8556-45B2-9137-62BB078CA048}"/>
    <cellStyle name="Percent 5 2 9 6" xfId="34745" xr:uid="{0C0A1144-0312-4400-A193-8A8EF5CC1422}"/>
    <cellStyle name="Percent 5 3" xfId="34746" xr:uid="{72C140C7-F49A-4C7D-97B3-0A9E1E33A21D}"/>
    <cellStyle name="Percent 5 3 2" xfId="34747" xr:uid="{393FE129-B77B-4D14-BE79-B4C4A6DB09CA}"/>
    <cellStyle name="Percent 5 3 2 2" xfId="34748" xr:uid="{8DA74F77-E8E1-4661-8AB2-70541B829661}"/>
    <cellStyle name="Percent 5 3 2 2 2" xfId="34749" xr:uid="{9DC63D71-7246-4B75-8E35-039D95A349AE}"/>
    <cellStyle name="Percent 5 3 2 2 2 2" xfId="34750" xr:uid="{439C401E-8093-401F-B81A-5F945727F7F0}"/>
    <cellStyle name="Percent 5 3 2 2 3" xfId="34751" xr:uid="{67B6EE22-C395-46F4-9290-63F2877F51A4}"/>
    <cellStyle name="Percent 5 3 2 3" xfId="34752" xr:uid="{6DF6B394-11C0-4C95-B43B-C56CA886588A}"/>
    <cellStyle name="Percent 5 3 2 3 2" xfId="34753" xr:uid="{E880FCC1-1B5D-4336-BBC1-67B6C25889D1}"/>
    <cellStyle name="Percent 5 3 2 3 2 2" xfId="34754" xr:uid="{84D41428-EBEB-48FB-AF93-70DFB691F1B7}"/>
    <cellStyle name="Percent 5 3 2 3 3" xfId="34755" xr:uid="{00A7A6D4-04A2-4B43-BD56-EB3F7CFEDB9B}"/>
    <cellStyle name="Percent 5 3 2 4" xfId="34756" xr:uid="{6E9962CA-520C-4F15-976A-68D0C4F4843C}"/>
    <cellStyle name="Percent 5 3 2 4 2" xfId="34757" xr:uid="{1E59AFA4-9429-4874-90F2-D7290FB11C06}"/>
    <cellStyle name="Percent 5 3 2 5" xfId="34758" xr:uid="{43282F57-82E2-42B1-BC95-2F524900DFF7}"/>
    <cellStyle name="Percent 5 3 3" xfId="34759" xr:uid="{6F76FF00-9068-4379-AA54-8BFB93D26236}"/>
    <cellStyle name="Percent 5 3 3 2" xfId="34760" xr:uid="{0690E8B5-6A08-41FE-861C-26251259F0B4}"/>
    <cellStyle name="Percent 5 3 3 2 2" xfId="34761" xr:uid="{5E602B54-3C37-430E-80EB-B4EBFE984D44}"/>
    <cellStyle name="Percent 5 3 3 3" xfId="34762" xr:uid="{720F4703-D1A3-453C-813F-87D84634DF69}"/>
    <cellStyle name="Percent 5 3 4" xfId="34763" xr:uid="{33827FF9-EA40-43C6-BDFE-391204A50836}"/>
    <cellStyle name="Percent 5 3 4 2" xfId="34764" xr:uid="{6C5BA344-FAA6-4D71-8E63-D70DA4AA5227}"/>
    <cellStyle name="Percent 5 3 4 2 2" xfId="34765" xr:uid="{3EE8CAC7-E4DF-4CBA-BC04-A18202F1B76D}"/>
    <cellStyle name="Percent 5 3 4 3" xfId="34766" xr:uid="{1D1D056C-03AA-487D-A1A8-47FE7590B5D5}"/>
    <cellStyle name="Percent 5 3 5" xfId="34767" xr:uid="{FB5B5FDA-3140-4730-92EA-2CA7F01FCA66}"/>
    <cellStyle name="Percent 5 3 5 2" xfId="34768" xr:uid="{B1CFFA95-6EAE-4557-8DC9-8E685258085B}"/>
    <cellStyle name="Percent 5 3 6" xfId="34769" xr:uid="{3069B1BC-0748-4103-A7EC-3AFB93053EA4}"/>
    <cellStyle name="Percent 5 4" xfId="34770" xr:uid="{B08E5681-6994-40CB-A4FA-5AD141E9CBC3}"/>
    <cellStyle name="Percent 5 4 2" xfId="34771" xr:uid="{9D504FAE-576C-4D82-9442-FA4699633156}"/>
    <cellStyle name="Percent 5 4 2 2" xfId="34772" xr:uid="{70730BE7-CC6E-49FC-98FA-1F7CC696EDB7}"/>
    <cellStyle name="Percent 5 4 2 2 2" xfId="34773" xr:uid="{097A5382-6083-4248-8AB9-F9A73AFC8184}"/>
    <cellStyle name="Percent 5 4 2 2 2 2" xfId="34774" xr:uid="{2D543E28-622A-44E1-831C-C38C1CA28885}"/>
    <cellStyle name="Percent 5 4 2 2 3" xfId="34775" xr:uid="{9308AEA2-DE16-4971-9A76-392F8345339D}"/>
    <cellStyle name="Percent 5 4 2 3" xfId="34776" xr:uid="{DCE67454-BBC2-4905-AE25-819E1A2943B6}"/>
    <cellStyle name="Percent 5 4 2 3 2" xfId="34777" xr:uid="{FFA34810-D283-4551-AA1A-FEF7E3296398}"/>
    <cellStyle name="Percent 5 4 2 3 2 2" xfId="34778" xr:uid="{A023C12B-6E2A-4848-AC89-8F7DEB55A5FF}"/>
    <cellStyle name="Percent 5 4 2 3 3" xfId="34779" xr:uid="{1E8A9001-539B-431A-BC09-9F31A48CDA0E}"/>
    <cellStyle name="Percent 5 4 2 4" xfId="34780" xr:uid="{E140F6CA-A8DC-4C22-A1A9-0D6C5255DE30}"/>
    <cellStyle name="Percent 5 4 2 4 2" xfId="34781" xr:uid="{96D4146D-4DEC-4D3B-B43D-4753B80A5487}"/>
    <cellStyle name="Percent 5 4 2 5" xfId="34782" xr:uid="{F7E9359D-D84C-4287-BBA9-4EF059B52983}"/>
    <cellStyle name="Percent 5 4 3" xfId="34783" xr:uid="{B70B7B41-D7DF-4191-83AA-007BE0781EE9}"/>
    <cellStyle name="Percent 5 4 3 2" xfId="34784" xr:uid="{57C5C482-088D-4AEF-AF9A-19B2E9218D7D}"/>
    <cellStyle name="Percent 5 4 3 2 2" xfId="34785" xr:uid="{078D43B5-3CB9-45E9-9F36-C7F3A77DC80A}"/>
    <cellStyle name="Percent 5 4 3 3" xfId="34786" xr:uid="{98C250B5-47C7-4E88-8BB2-ADEBCEE9AF35}"/>
    <cellStyle name="Percent 5 4 4" xfId="34787" xr:uid="{1C4C2CAA-3304-49EA-97FA-91B6C3A59537}"/>
    <cellStyle name="Percent 5 4 4 2" xfId="34788" xr:uid="{DB83AC3C-DCB6-4290-B3E9-F7946D9B3ABD}"/>
    <cellStyle name="Percent 5 4 4 2 2" xfId="34789" xr:uid="{A2DA0B60-1F76-4CEF-B12D-6C3886C81CE2}"/>
    <cellStyle name="Percent 5 4 4 3" xfId="34790" xr:uid="{4BCF3119-C77F-4D93-B71B-3D11186F31D9}"/>
    <cellStyle name="Percent 5 4 5" xfId="34791" xr:uid="{C4EE3259-3803-4C33-A6E2-4010CA816908}"/>
    <cellStyle name="Percent 5 4 5 2" xfId="34792" xr:uid="{067B87C8-133F-4939-958C-65A16F97FA1C}"/>
    <cellStyle name="Percent 5 4 6" xfId="34793" xr:uid="{0538842F-409B-47F3-B8D0-8EC659E7828A}"/>
    <cellStyle name="Percent 5 5" xfId="34794" xr:uid="{F08D7181-5D8F-4828-BA6A-CDDB6DCB1DCA}"/>
    <cellStyle name="Percent 5 5 2" xfId="34795" xr:uid="{1370EA12-3A45-448D-A527-8163CC17DEC6}"/>
    <cellStyle name="Percent 5 5 2 2" xfId="34796" xr:uid="{E76E81F4-E034-4BF1-8DC5-CC2F2AF64442}"/>
    <cellStyle name="Percent 5 5 2 2 2" xfId="34797" xr:uid="{360CA9D0-5864-4AC1-84A7-6B84F055170A}"/>
    <cellStyle name="Percent 5 5 2 2 2 2" xfId="34798" xr:uid="{FE36DB7B-D12F-4840-90CE-5507336B0A9D}"/>
    <cellStyle name="Percent 5 5 2 2 3" xfId="34799" xr:uid="{C07364E4-4339-4E24-910E-1A0E94BA7E91}"/>
    <cellStyle name="Percent 5 5 2 3" xfId="34800" xr:uid="{93AC164D-BDCE-4EBC-876D-7D924BB3C3F5}"/>
    <cellStyle name="Percent 5 5 2 3 2" xfId="34801" xr:uid="{20F9BBEB-510F-40E3-AC95-93F6CCFD332C}"/>
    <cellStyle name="Percent 5 5 2 3 2 2" xfId="34802" xr:uid="{83B256B4-8B20-4F54-97D1-2F1AD3E39425}"/>
    <cellStyle name="Percent 5 5 2 3 3" xfId="34803" xr:uid="{F872DB90-0E0D-4F88-BAC6-946DC1C4E879}"/>
    <cellStyle name="Percent 5 5 2 4" xfId="34804" xr:uid="{C9733924-80AA-41D5-99FD-D3D43C1EAEE9}"/>
    <cellStyle name="Percent 5 5 2 4 2" xfId="34805" xr:uid="{325B8ED0-D338-462B-BF74-501186EDC089}"/>
    <cellStyle name="Percent 5 5 2 5" xfId="34806" xr:uid="{157C3CB9-D5CC-4482-8DBD-1F3DAF3D9AAC}"/>
    <cellStyle name="Percent 5 5 3" xfId="34807" xr:uid="{C353EABE-BC67-4578-BE07-04E124D37977}"/>
    <cellStyle name="Percent 5 5 3 2" xfId="34808" xr:uid="{C48AC2EE-CEBA-4DB6-B260-088BABD5106D}"/>
    <cellStyle name="Percent 5 5 3 2 2" xfId="34809" xr:uid="{7CB395A3-02FF-4A8C-88DA-BE2FE3801EAC}"/>
    <cellStyle name="Percent 5 5 3 3" xfId="34810" xr:uid="{60C40627-437F-4CF9-A27C-C3FA5F45E8CC}"/>
    <cellStyle name="Percent 5 5 4" xfId="34811" xr:uid="{135A5916-CADC-4510-A706-3D067D080336}"/>
    <cellStyle name="Percent 5 5 4 2" xfId="34812" xr:uid="{D5D53946-203A-4E2E-BAD5-A0FB54651CB6}"/>
    <cellStyle name="Percent 5 5 4 2 2" xfId="34813" xr:uid="{267B6AE0-322B-4D9F-BB84-DED58564E07E}"/>
    <cellStyle name="Percent 5 5 4 3" xfId="34814" xr:uid="{21057652-7A3D-40A5-BFC5-81D4EEB57C11}"/>
    <cellStyle name="Percent 5 5 5" xfId="34815" xr:uid="{B2455A21-073D-4AAC-B8F9-9190F3915F3D}"/>
    <cellStyle name="Percent 5 5 5 2" xfId="34816" xr:uid="{966E1175-2B6A-4E48-A432-9C68AEA9728E}"/>
    <cellStyle name="Percent 5 5 6" xfId="34817" xr:uid="{3B95E050-1AAA-4196-B542-B42187300A09}"/>
    <cellStyle name="Percent 5 6" xfId="34818" xr:uid="{FA8F8F66-5DE1-4B53-83CF-189B15364F2B}"/>
    <cellStyle name="Percent 5 6 2" xfId="34819" xr:uid="{A3FE267D-4BDB-47DE-906D-87A486AF1697}"/>
    <cellStyle name="Percent 5 6 2 2" xfId="34820" xr:uid="{DB856DE2-9862-4F32-B440-81FE37A3BB94}"/>
    <cellStyle name="Percent 5 6 2 2 2" xfId="34821" xr:uid="{B59798B8-7E59-4040-BBF3-38F3C9BAA5A5}"/>
    <cellStyle name="Percent 5 6 2 2 2 2" xfId="34822" xr:uid="{628CF30C-DC95-43EA-9D66-D7CDAA288578}"/>
    <cellStyle name="Percent 5 6 2 2 3" xfId="34823" xr:uid="{EA096B69-B6D2-4C17-A45A-D4C4E2AD1D2C}"/>
    <cellStyle name="Percent 5 6 2 3" xfId="34824" xr:uid="{B8F6EB63-D9DC-4495-BB4D-2D2D00CD4B87}"/>
    <cellStyle name="Percent 5 6 2 3 2" xfId="34825" xr:uid="{CF80CA94-B154-42FA-A8DD-1478037A4175}"/>
    <cellStyle name="Percent 5 6 2 3 2 2" xfId="34826" xr:uid="{C24D0F3B-1034-4A3F-9CC9-660DB21B9CA0}"/>
    <cellStyle name="Percent 5 6 2 3 3" xfId="34827" xr:uid="{95C0CB92-8A6A-46B9-B5CD-BD8BD2678FB3}"/>
    <cellStyle name="Percent 5 6 2 4" xfId="34828" xr:uid="{0D7BA71F-6795-45AE-BFC1-7A50FC018B3E}"/>
    <cellStyle name="Percent 5 6 2 4 2" xfId="34829" xr:uid="{71A8AA7E-3159-41B1-8A99-A541227167B0}"/>
    <cellStyle name="Percent 5 6 2 5" xfId="34830" xr:uid="{A28AA7C5-6DC4-4D34-8CB2-906E53277DAD}"/>
    <cellStyle name="Percent 5 6 3" xfId="34831" xr:uid="{17791ACB-8813-43A5-8071-C1C35676419A}"/>
    <cellStyle name="Percent 5 6 3 2" xfId="34832" xr:uid="{4EC59A74-2353-4D48-80E8-3D454263B757}"/>
    <cellStyle name="Percent 5 6 3 2 2" xfId="34833" xr:uid="{7FD99B6D-7D10-44BD-9E9F-162C3128960B}"/>
    <cellStyle name="Percent 5 6 3 3" xfId="34834" xr:uid="{026CB380-216E-45EF-A6EF-3F0D78E1BED8}"/>
    <cellStyle name="Percent 5 6 4" xfId="34835" xr:uid="{20B402AC-51E8-40DA-A227-7B84DB8980B0}"/>
    <cellStyle name="Percent 5 6 4 2" xfId="34836" xr:uid="{79379E67-37B0-4EC9-A6ED-3278B480D213}"/>
    <cellStyle name="Percent 5 6 4 2 2" xfId="34837" xr:uid="{2F6E731F-E26E-4A82-8517-83A5BC63CA4E}"/>
    <cellStyle name="Percent 5 6 4 3" xfId="34838" xr:uid="{5F296EAA-D88F-4EB3-AE9F-A29A961DEC83}"/>
    <cellStyle name="Percent 5 6 5" xfId="34839" xr:uid="{517F3F8F-674F-4685-8471-665EF2B7682A}"/>
    <cellStyle name="Percent 5 6 5 2" xfId="34840" xr:uid="{6359BDB3-A649-4BD6-966A-C09BC9611B47}"/>
    <cellStyle name="Percent 5 6 6" xfId="34841" xr:uid="{DD080DEB-9552-42E2-BB07-0D02B76DD964}"/>
    <cellStyle name="Percent 5 7" xfId="34842" xr:uid="{6EA022FD-4545-468E-8538-8C9DF1964918}"/>
    <cellStyle name="Percent 5 7 2" xfId="34843" xr:uid="{BCAE36A4-B810-421C-8805-D3A3C79E0BB3}"/>
    <cellStyle name="Percent 5 7 2 2" xfId="34844" xr:uid="{5C22404F-9E9E-4117-8911-551ACFC5023E}"/>
    <cellStyle name="Percent 5 7 2 2 2" xfId="34845" xr:uid="{0E86CFE0-FC33-49F7-BC58-42635464771D}"/>
    <cellStyle name="Percent 5 7 2 2 2 2" xfId="34846" xr:uid="{14E4FCFA-E5DE-4972-AED4-535E171B8169}"/>
    <cellStyle name="Percent 5 7 2 2 3" xfId="34847" xr:uid="{7B72F09C-270D-4D2E-8139-AE2BBD7BF537}"/>
    <cellStyle name="Percent 5 7 2 3" xfId="34848" xr:uid="{AD10C32F-0E4E-4C78-A85E-E198B6D48D5A}"/>
    <cellStyle name="Percent 5 7 2 3 2" xfId="34849" xr:uid="{D92EB50C-DCA9-4B1F-BE3F-BCB2FF78973C}"/>
    <cellStyle name="Percent 5 7 2 3 2 2" xfId="34850" xr:uid="{F753CE18-01E4-45B8-AFB1-2ACB292E0C85}"/>
    <cellStyle name="Percent 5 7 2 3 3" xfId="34851" xr:uid="{D3EFFFE7-C415-4501-91FF-CB098D820D59}"/>
    <cellStyle name="Percent 5 7 2 4" xfId="34852" xr:uid="{7B625045-6551-4EFF-8D83-02BE165DCEBB}"/>
    <cellStyle name="Percent 5 7 2 4 2" xfId="34853" xr:uid="{13A0F4C3-552F-4FB5-9CBD-CD703DD32C83}"/>
    <cellStyle name="Percent 5 7 2 5" xfId="34854" xr:uid="{1081BC77-7A80-4D00-963A-0C5D0C07691F}"/>
    <cellStyle name="Percent 5 7 3" xfId="34855" xr:uid="{117C4EC5-C33E-4DB5-A263-8CCF7DA188D4}"/>
    <cellStyle name="Percent 5 7 3 2" xfId="34856" xr:uid="{03B5B9C2-0AED-46D1-AA82-9780528D3667}"/>
    <cellStyle name="Percent 5 7 3 2 2" xfId="34857" xr:uid="{704D2D6E-3178-450A-99E6-074FB9CDF411}"/>
    <cellStyle name="Percent 5 7 3 3" xfId="34858" xr:uid="{8B9488A3-E801-40E6-A236-429608D9C724}"/>
    <cellStyle name="Percent 5 7 4" xfId="34859" xr:uid="{EC342B9B-92F4-4833-89F6-5ADCEDEF8A2D}"/>
    <cellStyle name="Percent 5 7 4 2" xfId="34860" xr:uid="{B81AA630-D963-4B06-93A0-C715D3447252}"/>
    <cellStyle name="Percent 5 7 4 2 2" xfId="34861" xr:uid="{83A572D6-C2F6-49D4-AD71-7EE9288BBFF8}"/>
    <cellStyle name="Percent 5 7 4 3" xfId="34862" xr:uid="{ED50CCBA-5E94-4BA7-AE96-1AFD868028CA}"/>
    <cellStyle name="Percent 5 7 5" xfId="34863" xr:uid="{8EB2C3B0-012D-4719-A52D-20F323265C31}"/>
    <cellStyle name="Percent 5 7 5 2" xfId="34864" xr:uid="{F7AB84BC-ACCC-4743-80D3-74E164207FAD}"/>
    <cellStyle name="Percent 5 7 6" xfId="34865" xr:uid="{D479F323-16E5-4707-8DB3-7082DC631E9C}"/>
    <cellStyle name="Percent 5 8" xfId="34866" xr:uid="{CF613D11-38D2-4522-AC17-56EE5D44EC2D}"/>
    <cellStyle name="Percent 5 8 2" xfId="34867" xr:uid="{A7C16B01-D547-46D1-8DA6-924FDF988BB1}"/>
    <cellStyle name="Percent 5 8 2 2" xfId="34868" xr:uid="{334F5D6E-99F9-4E3D-A307-3E1D26D33137}"/>
    <cellStyle name="Percent 5 8 2 2 2" xfId="34869" xr:uid="{12F62E6D-2F89-48CA-A843-2703B3187B56}"/>
    <cellStyle name="Percent 5 8 2 2 2 2" xfId="34870" xr:uid="{E7C3324A-5FC7-4064-A1B3-D4664F7C0623}"/>
    <cellStyle name="Percent 5 8 2 2 3" xfId="34871" xr:uid="{3FD249CB-5E9E-4748-8C9D-B4E0594925CC}"/>
    <cellStyle name="Percent 5 8 2 3" xfId="34872" xr:uid="{9622A873-0B31-4CD7-9EF7-3D06F2D74FC9}"/>
    <cellStyle name="Percent 5 8 2 3 2" xfId="34873" xr:uid="{BD6BA431-57B9-4995-851E-1A07457FA810}"/>
    <cellStyle name="Percent 5 8 2 3 2 2" xfId="34874" xr:uid="{90F9269E-A2F6-49B4-9919-968468D794D3}"/>
    <cellStyle name="Percent 5 8 2 3 3" xfId="34875" xr:uid="{A6AFB86D-E6D1-49E3-8AF0-3146BA63471A}"/>
    <cellStyle name="Percent 5 8 2 4" xfId="34876" xr:uid="{AE79B09B-7C6F-42F3-9942-38610398B1C7}"/>
    <cellStyle name="Percent 5 8 2 4 2" xfId="34877" xr:uid="{8746972B-D61B-4C7D-8B0F-B06FC63CDA8E}"/>
    <cellStyle name="Percent 5 8 2 5" xfId="34878" xr:uid="{A3C12148-A879-48C4-B12A-F81B84AC8C71}"/>
    <cellStyle name="Percent 5 8 3" xfId="34879" xr:uid="{0668035C-57A4-4F7B-BD5C-836F7AD40443}"/>
    <cellStyle name="Percent 5 8 3 2" xfId="34880" xr:uid="{86CF8A6E-E9E7-42FF-8650-C40D6327C06C}"/>
    <cellStyle name="Percent 5 8 3 2 2" xfId="34881" xr:uid="{83DD108C-BF36-4EF7-AB73-47C4685F4045}"/>
    <cellStyle name="Percent 5 8 3 3" xfId="34882" xr:uid="{3A36FC7D-1C9C-4C69-B118-B6CFB140C987}"/>
    <cellStyle name="Percent 5 8 4" xfId="34883" xr:uid="{BDD416DF-5760-4017-9A24-358632FE7B1E}"/>
    <cellStyle name="Percent 5 8 4 2" xfId="34884" xr:uid="{B862018D-2957-4C69-9792-39F930145DAE}"/>
    <cellStyle name="Percent 5 8 4 2 2" xfId="34885" xr:uid="{720376AF-3BD8-4A5C-ABF4-B8281036EB84}"/>
    <cellStyle name="Percent 5 8 4 3" xfId="34886" xr:uid="{1E8E5E12-4F24-4C86-9988-EA50E04987E2}"/>
    <cellStyle name="Percent 5 8 5" xfId="34887" xr:uid="{E0091C84-397A-48D6-88FE-D05C6EC72196}"/>
    <cellStyle name="Percent 5 8 5 2" xfId="34888" xr:uid="{5C74F685-2351-4AA8-BF20-40A83F44E215}"/>
    <cellStyle name="Percent 5 8 6" xfId="34889" xr:uid="{D2520BC1-43EF-4412-B23E-F70C2078E3D4}"/>
    <cellStyle name="Percent 5 9" xfId="34890" xr:uid="{B92669E4-B776-4A58-A197-BD338E8AD0D6}"/>
    <cellStyle name="Percent 5 9 2" xfId="34891" xr:uid="{6D9B3FEB-677E-47ED-868E-6D154D879162}"/>
    <cellStyle name="Percent 5 9 2 2" xfId="34892" xr:uid="{EEF1D1B3-2AA7-487E-8D17-825084472F5D}"/>
    <cellStyle name="Percent 5 9 2 2 2" xfId="34893" xr:uid="{63F1410E-F9F1-4B94-975F-05127449CCDB}"/>
    <cellStyle name="Percent 5 9 2 2 2 2" xfId="34894" xr:uid="{814E7A55-6972-4647-9266-2BE2F8B19D88}"/>
    <cellStyle name="Percent 5 9 2 2 3" xfId="34895" xr:uid="{250C483F-6750-45AD-9825-EDE4C0CB917D}"/>
    <cellStyle name="Percent 5 9 2 3" xfId="34896" xr:uid="{C80AA35D-639C-46C6-AFB9-2BF7D3F3DA38}"/>
    <cellStyle name="Percent 5 9 2 3 2" xfId="34897" xr:uid="{19E8D528-3378-4A0F-8F37-03C5E6D18A53}"/>
    <cellStyle name="Percent 5 9 2 3 2 2" xfId="34898" xr:uid="{21BCBFB3-6878-4459-88AC-A3815C5B1CD3}"/>
    <cellStyle name="Percent 5 9 2 3 3" xfId="34899" xr:uid="{3938F1E5-9C80-4C6B-A0A9-914965549F7A}"/>
    <cellStyle name="Percent 5 9 2 4" xfId="34900" xr:uid="{913E0C00-D78A-4705-8AA4-3598968F48C5}"/>
    <cellStyle name="Percent 5 9 2 4 2" xfId="34901" xr:uid="{46B8AF2B-0DFC-4B37-87C0-833FD6B1D504}"/>
    <cellStyle name="Percent 5 9 2 5" xfId="34902" xr:uid="{97843A3F-4F61-4F1B-9F96-864DB780DD25}"/>
    <cellStyle name="Percent 5 9 3" xfId="34903" xr:uid="{1E1C2797-D753-4A52-AFF7-59C8ED031894}"/>
    <cellStyle name="Percent 5 9 3 2" xfId="34904" xr:uid="{280DBFCB-6A19-4F3E-BD5E-CEF7C474B962}"/>
    <cellStyle name="Percent 5 9 3 2 2" xfId="34905" xr:uid="{73C430F6-FDA0-46E1-AF6D-260808386004}"/>
    <cellStyle name="Percent 5 9 3 3" xfId="34906" xr:uid="{916D0AD5-515B-4EFD-B2C5-1B0AE6478B63}"/>
    <cellStyle name="Percent 5 9 4" xfId="34907" xr:uid="{C39232DA-5B89-478B-8D92-31D9D5353710}"/>
    <cellStyle name="Percent 5 9 4 2" xfId="34908" xr:uid="{C4C32C97-4E79-47F6-B1BB-698E9ECA61D4}"/>
    <cellStyle name="Percent 5 9 4 2 2" xfId="34909" xr:uid="{E42B83C9-580A-47F6-848E-C5A2D80B38EB}"/>
    <cellStyle name="Percent 5 9 4 3" xfId="34910" xr:uid="{015D711D-992C-4300-A96B-937795839C03}"/>
    <cellStyle name="Percent 5 9 5" xfId="34911" xr:uid="{B2AA2B67-A5F0-497B-9550-7CD72F8FEEE3}"/>
    <cellStyle name="Percent 5 9 5 2" xfId="34912" xr:uid="{9412095C-4779-4F51-89FE-53279912B2D8}"/>
    <cellStyle name="Percent 5 9 6" xfId="34913" xr:uid="{25F757CC-0CE9-445A-BF51-0006EB44950A}"/>
    <cellStyle name="Percent 50" xfId="34914" xr:uid="{966925B3-87E3-4104-AAA1-79E5D4976C8B}"/>
    <cellStyle name="Percent 50 2" xfId="34915" xr:uid="{300C1483-173A-4ADE-A8D7-45BA336604B5}"/>
    <cellStyle name="Percent 51" xfId="34916" xr:uid="{2FFCFCAE-AFB5-4C8C-B4F3-3D311B4AA5E5}"/>
    <cellStyle name="Percent 51 2" xfId="34917" xr:uid="{935C4364-5DD9-44A8-A665-E99C316431B6}"/>
    <cellStyle name="Percent 52" xfId="34918" xr:uid="{043497C8-8D0C-4B6A-9E0E-F4551039C921}"/>
    <cellStyle name="Percent 52 2" xfId="34919" xr:uid="{8BC3D413-533D-46A1-B391-B3F4A1082F1A}"/>
    <cellStyle name="Percent 53" xfId="34920" xr:uid="{F38E1B72-A760-4916-A8EB-6D94C135536A}"/>
    <cellStyle name="Percent 53 2" xfId="34921" xr:uid="{05FC9B13-8A7C-45B2-B342-898DD0CE77DB}"/>
    <cellStyle name="Percent 54" xfId="34922" xr:uid="{DA1D3226-C932-41C9-AAD3-2620ACD0B519}"/>
    <cellStyle name="Percent 55" xfId="34923" xr:uid="{00D90536-863D-40C6-B117-707E3A1A97FC}"/>
    <cellStyle name="Percent 55 2" xfId="34924" xr:uid="{6C0AE29B-1711-4A5F-B951-CDC8F31AF052}"/>
    <cellStyle name="Percent 56" xfId="34925" xr:uid="{B3C0305C-B2C3-497A-88EE-B4880F5563BC}"/>
    <cellStyle name="Percent 57" xfId="34926" xr:uid="{4B4406D0-A04E-42F3-B2AD-567C53B1DB6E}"/>
    <cellStyle name="Percent 58" xfId="34927" xr:uid="{212BA8AB-51D9-4CFD-B255-575EEA63886F}"/>
    <cellStyle name="Percent 59" xfId="34928" xr:uid="{E1CF34C5-7C26-470E-80D7-1F733F3ABDA6}"/>
    <cellStyle name="Percent 6" xfId="34929" xr:uid="{9B2EA45A-BB4D-4DA2-ADB2-0EFA1399F7B8}"/>
    <cellStyle name="Percent 6 2" xfId="34930" xr:uid="{8181F2D4-F1CF-497C-BE8F-CF8753A79794}"/>
    <cellStyle name="Percent 6 2 2" xfId="34931" xr:uid="{969A144B-F6C4-4B89-B6CA-9B5B6A2A2D02}"/>
    <cellStyle name="Percent 6 2 2 2" xfId="34932" xr:uid="{E33C15D2-8C5B-4D8B-925C-5549DCDB20B9}"/>
    <cellStyle name="Percent 6 2 2 2 2" xfId="34933" xr:uid="{73617CDC-491B-4DA2-B5BF-B634C7121B00}"/>
    <cellStyle name="Percent 6 2 2 3" xfId="34934" xr:uid="{DA697187-53C0-4B55-A70A-E6A566EC9DFA}"/>
    <cellStyle name="Percent 6 2 3" xfId="34935" xr:uid="{D6719814-3E53-4E67-8126-4C73154FF79E}"/>
    <cellStyle name="Percent 6 2 3 2" xfId="34936" xr:uid="{0DF0597F-CBCB-4BC7-9320-9C8564ED6D69}"/>
    <cellStyle name="Percent 6 2 3 2 2" xfId="34937" xr:uid="{C339DAD8-6EB1-4529-952C-3C2D64647366}"/>
    <cellStyle name="Percent 6 2 3 3" xfId="34938" xr:uid="{34EAA2BE-7034-45D1-AB19-3810705B32A4}"/>
    <cellStyle name="Percent 6 2 4" xfId="34939" xr:uid="{1198235C-AA70-4D49-8E7F-EA6EA4AF69D2}"/>
    <cellStyle name="Percent 6 2 4 2" xfId="34940" xr:uid="{E7A1BEB4-7053-4712-AFCB-03A4B91407FF}"/>
    <cellStyle name="Percent 6 2 5" xfId="34941" xr:uid="{87B3407C-6FF0-4493-B7A0-7953EC306381}"/>
    <cellStyle name="Percent 6 3" xfId="34942" xr:uid="{BF3F7CA9-7851-4D53-BB6A-037594333738}"/>
    <cellStyle name="Percent 6 3 2" xfId="34943" xr:uid="{CC3D7CCE-0F0A-4042-A493-EA14649584C3}"/>
    <cellStyle name="Percent 6 3 2 2" xfId="34944" xr:uid="{3F8D374C-2EBC-401F-8A4C-C2A0574EDA70}"/>
    <cellStyle name="Percent 6 3 3" xfId="34945" xr:uid="{C57837D5-974F-4CB8-957A-14809D28C6F4}"/>
    <cellStyle name="Percent 6 4" xfId="34946" xr:uid="{C1B02C88-2107-4C8C-BFE8-63F3CB48FA0E}"/>
    <cellStyle name="Percent 6 4 2" xfId="34947" xr:uid="{A1E1B543-30CC-4F08-9906-F27B5BD67E11}"/>
    <cellStyle name="Percent 6 4 2 2" xfId="34948" xr:uid="{D3135730-A7E3-494E-9EF8-62F4F1B7F9AC}"/>
    <cellStyle name="Percent 6 4 3" xfId="34949" xr:uid="{E0D08B6B-5BE5-46FC-ACB8-CD6CD6AE3044}"/>
    <cellStyle name="Percent 6 5" xfId="34950" xr:uid="{CF850D4E-42C3-430C-BA27-9AD1EA864B11}"/>
    <cellStyle name="Percent 6 5 2" xfId="34951" xr:uid="{28B059A7-3CF3-4076-BCB8-73104F38BE19}"/>
    <cellStyle name="Percent 6 6" xfId="34952" xr:uid="{90156DD9-4206-4F38-A1EC-B11BDF627D71}"/>
    <cellStyle name="Percent 60" xfId="34953" xr:uid="{02C2D1B6-35E2-4C26-AF13-04586D39813B}"/>
    <cellStyle name="Percent 61" xfId="34954" xr:uid="{808802CE-3F58-46D1-80FB-59CADCE026A3}"/>
    <cellStyle name="Percent 62" xfId="34955" xr:uid="{58A2322F-E7A5-4984-8530-AAB546E1C3CD}"/>
    <cellStyle name="Percent 63" xfId="39476" xr:uid="{BDB9C8AC-10E2-48D4-A865-FDF2451E55D0}"/>
    <cellStyle name="Percent 64" xfId="146" xr:uid="{B6FFB2C1-00A1-4F63-BA05-F8FDC14153CE}"/>
    <cellStyle name="Percent 65" xfId="39592" xr:uid="{BC3D51EB-9DE6-4B51-A247-808C1AF049A6}"/>
    <cellStyle name="Percent 7" xfId="34956" xr:uid="{3E9083BF-B6AB-4654-B5F6-97647696255A}"/>
    <cellStyle name="Percent 7 2" xfId="34957" xr:uid="{C61947E3-9225-479B-8FD5-BA70BE26D466}"/>
    <cellStyle name="Percent 7 2 2" xfId="34958" xr:uid="{ABB35C23-CDE2-46D4-AC9B-1695E5B5BDBB}"/>
    <cellStyle name="Percent 7 2 2 2" xfId="34959" xr:uid="{9F36B477-F54A-4876-B3F8-579B0BCFBA7B}"/>
    <cellStyle name="Percent 7 2 2 2 2" xfId="34960" xr:uid="{B6B76C0F-D7FB-4473-9E39-05AC6434E349}"/>
    <cellStyle name="Percent 7 2 2 2 2 2" xfId="34961" xr:uid="{E9E0934F-2E28-4E8F-A153-4D2F7D4D6ADC}"/>
    <cellStyle name="Percent 7 2 2 2 3" xfId="34962" xr:uid="{9E08577E-7F8A-47CC-AFC8-9D339BD5840A}"/>
    <cellStyle name="Percent 7 2 2 3" xfId="34963" xr:uid="{2D9A4115-7487-4129-82DA-AFB7FF36A0A8}"/>
    <cellStyle name="Percent 7 2 2 3 2" xfId="34964" xr:uid="{77557343-628A-4F60-9266-38CA0C0D2F93}"/>
    <cellStyle name="Percent 7 2 2 3 2 2" xfId="34965" xr:uid="{827B4CDA-B293-4EF1-B679-91801B343D39}"/>
    <cellStyle name="Percent 7 2 2 3 3" xfId="34966" xr:uid="{2BF8D0F7-8DD9-41C7-A962-0AD81C2A3DE1}"/>
    <cellStyle name="Percent 7 2 2 4" xfId="34967" xr:uid="{B6783B76-A9D0-4F51-9DFB-E92F6247B0AF}"/>
    <cellStyle name="Percent 7 2 2 4 2" xfId="34968" xr:uid="{029022BC-F209-470B-9166-0BC06133EB33}"/>
    <cellStyle name="Percent 7 2 2 5" xfId="34969" xr:uid="{4C2B772C-33A3-4447-9158-8B73EBE092CD}"/>
    <cellStyle name="Percent 7 2 3" xfId="34970" xr:uid="{06980F08-68FE-478B-8275-FF9967B7304F}"/>
    <cellStyle name="Percent 7 2 3 2" xfId="34971" xr:uid="{638F8BDA-9864-4548-AFA4-7AA3246B91F2}"/>
    <cellStyle name="Percent 7 2 3 2 2" xfId="34972" xr:uid="{CBF04429-0E55-4405-9776-91FC0CD26FCC}"/>
    <cellStyle name="Percent 7 2 3 3" xfId="34973" xr:uid="{B155B688-E478-4B17-AD19-DD1CA681D9B9}"/>
    <cellStyle name="Percent 7 2 4" xfId="34974" xr:uid="{F900A432-85C4-4118-9C80-39C1A18DF741}"/>
    <cellStyle name="Percent 7 2 4 2" xfId="34975" xr:uid="{FB502C3C-1299-4241-A06B-FF42DE8876BC}"/>
    <cellStyle name="Percent 7 2 4 2 2" xfId="34976" xr:uid="{D75E80DF-6CDE-4607-80BE-CD744979A031}"/>
    <cellStyle name="Percent 7 2 4 3" xfId="34977" xr:uid="{D9698D4F-ECBF-483B-BC52-FE68B4A170D5}"/>
    <cellStyle name="Percent 7 2 5" xfId="34978" xr:uid="{53A8C5B9-A18A-4240-83CF-CB571078EFE3}"/>
    <cellStyle name="Percent 7 2 5 2" xfId="34979" xr:uid="{86893FFC-FC74-4EC4-BBD4-FC1A120B029A}"/>
    <cellStyle name="Percent 7 2 6" xfId="34980" xr:uid="{8AF0627B-1944-499F-BBEE-3ADF366D5411}"/>
    <cellStyle name="Percent 7 3" xfId="34981" xr:uid="{07C96187-7FDC-4183-889C-380114736BE7}"/>
    <cellStyle name="Percent 7 3 2" xfId="34982" xr:uid="{2B06EB95-5525-40A5-8143-D6A5DA3E16FC}"/>
    <cellStyle name="Percent 7 3 2 2" xfId="34983" xr:uid="{0D145F13-F55D-42A6-94AC-3A4AB1025653}"/>
    <cellStyle name="Percent 7 3 2 2 2" xfId="34984" xr:uid="{D26627F8-F8B1-47A5-B924-8826121B0AE2}"/>
    <cellStyle name="Percent 7 3 2 3" xfId="34985" xr:uid="{D6138AC2-A71A-4F4D-9DDB-1851C0151271}"/>
    <cellStyle name="Percent 7 3 3" xfId="34986" xr:uid="{0152432B-0A42-428D-9145-FE939717E377}"/>
    <cellStyle name="Percent 7 3 3 2" xfId="34987" xr:uid="{DE82CEA0-24B9-4EC4-AC21-B608267EC23A}"/>
    <cellStyle name="Percent 7 3 3 2 2" xfId="34988" xr:uid="{9526EA75-9E57-46D9-AC26-EC14F92B8C21}"/>
    <cellStyle name="Percent 7 3 3 3" xfId="34989" xr:uid="{47BC6E8E-FB83-4F34-A0EF-B81FA07D76F3}"/>
    <cellStyle name="Percent 7 3 4" xfId="34990" xr:uid="{5049F815-5499-4AF3-AC7C-4F9CC598F8DC}"/>
    <cellStyle name="Percent 7 3 4 2" xfId="34991" xr:uid="{CC8B5CAE-B3ED-420C-81CC-253EBA5E85D8}"/>
    <cellStyle name="Percent 7 3 5" xfId="34992" xr:uid="{B9FD3F28-C022-4C7E-91D3-02D7F09DE426}"/>
    <cellStyle name="Percent 7 4" xfId="34993" xr:uid="{9AC0C8A5-A97F-4B22-B844-D8B417E6D8C3}"/>
    <cellStyle name="Percent 7 4 2" xfId="34994" xr:uid="{CEE96628-0801-4AEE-85B8-C0C5C2B24157}"/>
    <cellStyle name="Percent 7 4 2 2" xfId="34995" xr:uid="{7922DEBC-F9A1-4C59-8EDA-E0C0555616D2}"/>
    <cellStyle name="Percent 7 4 3" xfId="34996" xr:uid="{68EF1EF0-86AC-4A53-BDF9-55FBA75969C3}"/>
    <cellStyle name="Percent 7 5" xfId="34997" xr:uid="{4752BB6E-F7A3-4309-9F08-D03A3817FC96}"/>
    <cellStyle name="Percent 7 5 2" xfId="34998" xr:uid="{B92B05A2-6B93-462C-8C82-12A34C8E03E0}"/>
    <cellStyle name="Percent 7 5 2 2" xfId="34999" xr:uid="{B673DA29-7369-46E5-A1F5-CA04707085ED}"/>
    <cellStyle name="Percent 7 5 3" xfId="35000" xr:uid="{4DE246D4-B1E7-4DD5-B2A7-FCEB9AC47F5B}"/>
    <cellStyle name="Percent 7 6" xfId="35001" xr:uid="{98F7D96B-4030-4EF5-886D-A7E8456E8FEB}"/>
    <cellStyle name="Percent 7 6 2" xfId="35002" xr:uid="{1C6BA57D-9F05-46CF-8B52-3077293D217C}"/>
    <cellStyle name="Percent 7 7" xfId="35003" xr:uid="{F4992B8C-7CDB-4E14-8008-A6E183931D7F}"/>
    <cellStyle name="Percent 8" xfId="35004" xr:uid="{9A7975F4-71AD-48BC-9865-5AC1A735BF85}"/>
    <cellStyle name="Percent 8 2" xfId="35005" xr:uid="{9217900D-2F82-4AF1-9205-4377E8208744}"/>
    <cellStyle name="Percent 8 2 2" xfId="35006" xr:uid="{A234EFA5-876D-484C-9F36-1C78B0EE5CCD}"/>
    <cellStyle name="Percent 8 2 2 2" xfId="35007" xr:uid="{CE1D0C7C-157D-48F7-A5C6-6EF375EF1791}"/>
    <cellStyle name="Percent 8 2 2 2 2" xfId="35008" xr:uid="{9F7AA165-0432-498E-803D-3AA6BED88E85}"/>
    <cellStyle name="Percent 8 2 3" xfId="35009" xr:uid="{2B1B7879-9E2A-448C-AA6B-42E1A86272CF}"/>
    <cellStyle name="Percent 8 2 3 2" xfId="35010" xr:uid="{99DE2B2D-75C5-4902-BC09-45505325BB6C}"/>
    <cellStyle name="Percent 8 2 3 2 2" xfId="35011" xr:uid="{7DF05F49-829A-4CD3-AE6D-DC8950942870}"/>
    <cellStyle name="Percent 8 2 3 3" xfId="35012" xr:uid="{7194005D-06BB-4E4F-B821-EF1A436EE32A}"/>
    <cellStyle name="Percent 8 2 4" xfId="35013" xr:uid="{3CE60B80-7ED1-4202-B92C-B24FB24FB5A0}"/>
    <cellStyle name="Percent 8 2 4 2" xfId="35014" xr:uid="{BE95C649-1951-4F56-8D65-FA36339B0AFA}"/>
    <cellStyle name="Percent 8 3" xfId="35015" xr:uid="{204BD792-DDB5-46FD-A491-F0BA6E396847}"/>
    <cellStyle name="Percent 8 3 2" xfId="35016" xr:uid="{5A9D7CAB-664D-4794-ACE9-E126747720BB}"/>
    <cellStyle name="Percent 8 3 2 2" xfId="35017" xr:uid="{DF65F22C-E0DA-4B99-9A6B-884C8BECE395}"/>
    <cellStyle name="Percent 8 3 3" xfId="35018" xr:uid="{71A7B5E6-CFA1-402B-BDF8-0D71081DF934}"/>
    <cellStyle name="Percent 8 4" xfId="35019" xr:uid="{AE1AD5BD-65BE-4C1E-A83E-45736D7E3C27}"/>
    <cellStyle name="Percent 8 4 2" xfId="35020" xr:uid="{CFF0BF42-FE8E-4FB8-9DC9-296DB07FDFC2}"/>
    <cellStyle name="Percent 8 4 2 2" xfId="35021" xr:uid="{C6644B6A-FD51-4FF0-910D-F065E4B615D9}"/>
    <cellStyle name="Percent 8 5" xfId="35022" xr:uid="{4ED2497F-73ED-40B5-96C2-03443B23BE66}"/>
    <cellStyle name="Percent 8 5 2" xfId="35023" xr:uid="{062EF2F3-8ED4-4376-A909-6AC3E8FC5092}"/>
    <cellStyle name="Percent 9" xfId="35024" xr:uid="{F4F8BB26-A4D2-4BA9-A9EA-E34AFD7C84EC}"/>
    <cellStyle name="Percent 9 2" xfId="35025" xr:uid="{82BFCB8D-FCAF-4E8B-BFCF-CAEA7A60245B}"/>
    <cellStyle name="Percent 9 2 2" xfId="35026" xr:uid="{91870711-C235-46BA-AA08-542CC5DA19CF}"/>
    <cellStyle name="Percent 9 2 2 2" xfId="35027" xr:uid="{E00A2A05-4644-4FD0-9B5E-54D250A3E325}"/>
    <cellStyle name="Percent 9 2 2 2 2" xfId="35028" xr:uid="{804C386A-96F4-459F-8E4E-DC502B62B3BD}"/>
    <cellStyle name="Percent 9 2 2 3" xfId="35029" xr:uid="{2EB35521-6B01-424D-90BA-801CFF8578E7}"/>
    <cellStyle name="Percent 9 2 3" xfId="35030" xr:uid="{DE8ED43B-332C-4BF4-AF48-AACD89BC5567}"/>
    <cellStyle name="Percent 9 2 3 2" xfId="35031" xr:uid="{46BE05DE-2507-432B-BF15-3197EC24AFF1}"/>
    <cellStyle name="Percent 9 2 3 2 2" xfId="35032" xr:uid="{029DDDD6-82E2-4FCC-9682-8A36005CE84A}"/>
    <cellStyle name="Percent 9 2 3 3" xfId="35033" xr:uid="{316EC0BC-DF3C-47E7-995B-6669AB449EDA}"/>
    <cellStyle name="Percent 9 2 4" xfId="35034" xr:uid="{118D5346-69E1-4357-B074-19A05EF384A7}"/>
    <cellStyle name="Percent 9 2 4 2" xfId="35035" xr:uid="{CFCA7F03-60F0-4EC7-B296-46F20E5E4AEA}"/>
    <cellStyle name="Percent 9 2 5" xfId="35036" xr:uid="{F967E83D-8025-46AB-A794-F79F21A21421}"/>
    <cellStyle name="Percent 9 3" xfId="35037" xr:uid="{75D4FBB7-E4BD-43F2-951C-A2240F2CCC8C}"/>
    <cellStyle name="Percent 9 3 2" xfId="35038" xr:uid="{41C039BA-C74B-4B1D-A705-65AE3E7AA455}"/>
    <cellStyle name="Percent 9 3 2 2" xfId="35039" xr:uid="{008F93E6-578C-4A28-B53F-774FB3296F11}"/>
    <cellStyle name="Percent 9 3 3" xfId="35040" xr:uid="{8A25F031-D553-45A4-A348-79C0B571E37C}"/>
    <cellStyle name="Percent 9 4" xfId="35041" xr:uid="{8E138F31-1FDD-493D-8F6E-A35296E46032}"/>
    <cellStyle name="Percent 9 4 2" xfId="35042" xr:uid="{CEA1588A-C73F-455D-9F15-A6E94E11D076}"/>
    <cellStyle name="Percent 9 4 2 2" xfId="35043" xr:uid="{A126935A-A90F-42B6-9297-8DB05E884DB4}"/>
    <cellStyle name="Percent 9 4 3" xfId="35044" xr:uid="{336E41E3-6A7D-4B0C-8F23-C1633E47F13B}"/>
    <cellStyle name="Percent 9 5" xfId="35045" xr:uid="{F901229C-4260-462B-B353-630509D26FAD}"/>
    <cellStyle name="Percent 9 5 2" xfId="35046" xr:uid="{6A21FADA-B93C-435F-B8F8-D9321B029354}"/>
    <cellStyle name="Percent 9 6" xfId="35047" xr:uid="{D246C9F3-37AC-4152-B9AF-D3EA6E4A8465}"/>
    <cellStyle name="Pilkku_RESULTS" xfId="35048" xr:uid="{5DF1CD28-F71F-4DCB-94F5-17A44B69D6A6}"/>
    <cellStyle name="Pourcentage_Presentation Deck FINAL v2 (version 2)" xfId="35049" xr:uid="{D960A9E1-4FA9-4D61-822F-8138176644CF}"/>
    <cellStyle name="Pourcentage0" xfId="35050" xr:uid="{99C8815E-19A7-4315-A5A1-41CE65735BB4}"/>
    <cellStyle name="Pourcentage1" xfId="35051" xr:uid="{29E49C21-7C55-483F-98F3-E108175E94C9}"/>
    <cellStyle name="Pourcentage2" xfId="35052" xr:uid="{A62ECC2C-5AE4-4DED-91F9-31BF97676C57}"/>
    <cellStyle name="PrePop Currency (0)" xfId="35053" xr:uid="{33373305-E9F1-4750-B9B6-D3C7B706241E}"/>
    <cellStyle name="PrePop Currency (2)" xfId="35054" xr:uid="{68337254-6C30-4506-BECD-584BCCDBB3F1}"/>
    <cellStyle name="PrePop Units (0)" xfId="35055" xr:uid="{4214AAF5-E042-4AF6-8202-25C4D27F8C63}"/>
    <cellStyle name="PrePop Units (1)" xfId="35056" xr:uid="{314A4766-4A31-487B-A712-D8E5BFB46FC5}"/>
    <cellStyle name="PrePop Units (2)" xfId="35057" xr:uid="{321BB795-DCCE-42AC-99D7-DDE858DAE825}"/>
    <cellStyle name="Ratio" xfId="13" xr:uid="{00000000-0005-0000-0000-000042000000}"/>
    <cellStyle name="Reset range style to defaults" xfId="35058" xr:uid="{53D2F477-B410-427C-967E-E4050C4E909C}"/>
    <cellStyle name="Saída" xfId="35059" xr:uid="{9EE360EB-0134-4241-90D3-3D4B32EE5AC7}"/>
    <cellStyle name="SAPBEXaggData" xfId="35060" xr:uid="{ADC420C0-731F-4D6E-91B1-639665DF2A67}"/>
    <cellStyle name="SAPBEXaggDataEmph" xfId="35061" xr:uid="{8025A6AB-7AED-4DA0-BE65-944204E0DDB9}"/>
    <cellStyle name="SAPBEXaggItem" xfId="35062" xr:uid="{47DAC10A-92C6-4CCD-B8AE-5DD50DDABC16}"/>
    <cellStyle name="SAPBEXaggItemX" xfId="35063" xr:uid="{E1440736-BFB6-41F0-B85F-586C95798EA6}"/>
    <cellStyle name="SAPBEXchaText" xfId="35064" xr:uid="{A2A500EE-4A6A-4A1F-A05B-8D21C2F61B2A}"/>
    <cellStyle name="SAPBEXexcBad7" xfId="35065" xr:uid="{597F30E7-A73A-43C5-9916-3FD945DACECB}"/>
    <cellStyle name="SAPBEXexcBad8" xfId="35066" xr:uid="{D60BB9E9-2B9A-4C91-BD6C-50936ACB5871}"/>
    <cellStyle name="SAPBEXexcBad9" xfId="35067" xr:uid="{BE19007D-1963-4B59-85EF-0827678712A0}"/>
    <cellStyle name="SAPBEXexcCritical4" xfId="35068" xr:uid="{AF398D93-F6A1-4485-BDCD-572C2189B9BB}"/>
    <cellStyle name="SAPBEXexcCritical5" xfId="35069" xr:uid="{BA19367B-4AAB-4C3B-ACD2-DB3D09197318}"/>
    <cellStyle name="SAPBEXexcCritical6" xfId="35070" xr:uid="{2014E0AB-A48D-4030-8C5A-1A8A86CFECD0}"/>
    <cellStyle name="SAPBEXexcGood1" xfId="35071" xr:uid="{19531650-BF29-4390-B725-3DECBAC58696}"/>
    <cellStyle name="SAPBEXexcGood2" xfId="35072" xr:uid="{8B9FE8BF-20A7-498C-9F53-925E2F2D499C}"/>
    <cellStyle name="SAPBEXexcGood3" xfId="35073" xr:uid="{79357546-29E4-47A9-AA9C-66B3D9DC7655}"/>
    <cellStyle name="SAPBEXfilterDrill" xfId="35074" xr:uid="{A945973F-5936-4D32-8A49-2E64F905C33F}"/>
    <cellStyle name="SAPBEXfilterItem" xfId="35075" xr:uid="{442AC0FD-A1D9-4713-8062-63B65E326B5C}"/>
    <cellStyle name="SAPBEXfilterText" xfId="35076" xr:uid="{C0F4D99D-5250-4C2F-A9EB-C49A1B729F1D}"/>
    <cellStyle name="SAPBEXformats" xfId="35077" xr:uid="{721CBF88-D960-44FF-AACC-2D88408E3F1D}"/>
    <cellStyle name="SAPBEXheaderItem" xfId="35078" xr:uid="{A1C8D1D0-5AC2-47BE-A309-E67108647DBD}"/>
    <cellStyle name="SAPBEXheaderText" xfId="35079" xr:uid="{16ADFD13-B502-4A34-A00C-7D6A5BC84275}"/>
    <cellStyle name="SAPBEXHLevel0" xfId="35080" xr:uid="{A27CEFCA-F6C8-41F2-9190-36EB45CC4C18}"/>
    <cellStyle name="SAPBEXHLevel0X" xfId="35081" xr:uid="{DFE699C0-3332-434A-8255-95CA50076847}"/>
    <cellStyle name="SAPBEXHLevel1" xfId="35082" xr:uid="{ECE56F28-5834-42C3-9991-470A1856ECCB}"/>
    <cellStyle name="SAPBEXHLevel1X" xfId="35083" xr:uid="{EF4829AE-3E6A-4AB8-9BE1-07581250503F}"/>
    <cellStyle name="SAPBEXHLevel2" xfId="35084" xr:uid="{2BAA4CA2-B229-4F28-AA0A-066CABDDBCE8}"/>
    <cellStyle name="SAPBEXHLevel2X" xfId="35085" xr:uid="{28B63330-A00F-4A89-97AD-8074EF7A4822}"/>
    <cellStyle name="SAPBEXHLevel3" xfId="35086" xr:uid="{E28D931A-BB62-4012-8DAD-B83BAE2F515A}"/>
    <cellStyle name="SAPBEXHLevel3X" xfId="35087" xr:uid="{80DF6E5E-DD48-47D7-8AEA-B335EF7FB814}"/>
    <cellStyle name="SAPBEXresData" xfId="35088" xr:uid="{6DA259CC-E63D-4E91-A6A2-F8DD40FF4CBB}"/>
    <cellStyle name="SAPBEXresDataEmph" xfId="35089" xr:uid="{6F7CFAC8-B53D-40B3-8C54-5426A7C65F3C}"/>
    <cellStyle name="SAPBEXresItem" xfId="35090" xr:uid="{170E9DCF-42DC-4D26-988F-0BE86A511A6A}"/>
    <cellStyle name="SAPBEXresItemX" xfId="35091" xr:uid="{650D845F-C555-408C-85CB-83283288A460}"/>
    <cellStyle name="SAPBEXstdData" xfId="35092" xr:uid="{49404733-EEC2-4C96-A0AE-7A78D0428764}"/>
    <cellStyle name="SAPBEXstdDataEmph" xfId="35093" xr:uid="{578518D7-4D9E-4303-B238-9EB2CD17730C}"/>
    <cellStyle name="SAPBEXstdItem" xfId="35094" xr:uid="{ADBE94A4-E2B3-40A3-BC06-6E28D8F30C4D}"/>
    <cellStyle name="SAPBEXstdItemX" xfId="35095" xr:uid="{32B3DE8C-8D6A-4517-9284-60D03D266C6C}"/>
    <cellStyle name="SAPBEXtitle" xfId="35096" xr:uid="{E469957F-A454-4A34-9BE4-FF7759B556D5}"/>
    <cellStyle name="SAPBEXundefined" xfId="35097" xr:uid="{55E4BE52-59F4-492F-BB8F-57E9FC36C03D}"/>
    <cellStyle name="Separador de milhares [0]_PRODBMS" xfId="35098" xr:uid="{9071D6AC-F376-4491-A2F5-3997F94BFCF7}"/>
    <cellStyle name="Separador de milhares_PRODBMS" xfId="35099" xr:uid="{2E29D96D-7C7F-43D4-A7CF-AA7DF09ADB50}"/>
    <cellStyle name="Shaded" xfId="35100" xr:uid="{3323CF8E-A1BA-4AB8-9EBF-69751D65A648}"/>
    <cellStyle name="Sheet_Header" xfId="71" xr:uid="{00000000-0005-0000-0000-000043000000}"/>
    <cellStyle name="Sheet_Header2" xfId="69" xr:uid="{00000000-0005-0000-0000-000044000000}"/>
    <cellStyle name="Standaard_BMUNITES" xfId="35101" xr:uid="{3FF48F99-8B10-4512-B99F-67EC1124D2F0}"/>
    <cellStyle name="Standard 2" xfId="35102" xr:uid="{E93DB4BB-891E-47F6-9000-0DA94105D69D}"/>
    <cellStyle name="Standard 3" xfId="35103" xr:uid="{ADC0E3A7-B27E-4FB5-94A4-A1985CF751D8}"/>
    <cellStyle name="Standard 4" xfId="35104" xr:uid="{C9350204-3165-4362-A4BC-FEB9EAD667F0}"/>
    <cellStyle name="Standard_2003 Headcount" xfId="35105" xr:uid="{456E5449-E43F-446B-A57E-849525C4A034}"/>
    <cellStyle name="Style 1" xfId="35106" xr:uid="{28AA687C-5BCC-46D3-B86E-0FB255FD2A8B}"/>
    <cellStyle name="Sub-title" xfId="35107" xr:uid="{85A7C0E1-1E97-46A8-A0E3-45A28865BBBB}"/>
    <cellStyle name="Table_Heading" xfId="14" xr:uid="{00000000-0005-0000-0000-000045000000}"/>
    <cellStyle name="Technical_Input 2" xfId="68" xr:uid="{00000000-0005-0000-0000-000046000000}"/>
    <cellStyle name="Text Indent A" xfId="35108" xr:uid="{88C886BC-E3A9-45A5-92C4-709F56456D9E}"/>
    <cellStyle name="Text Indent B" xfId="35109" xr:uid="{58EE10F7-09F3-4D23-B5B5-13C196E2673F}"/>
    <cellStyle name="Text Indent C" xfId="35110" xr:uid="{0C8EFAC0-123B-4FBA-82A4-67758F57B4B6}"/>
    <cellStyle name="Texto de Aviso" xfId="35111" xr:uid="{5FB9CFBB-13EC-4A24-8D0E-8E76ADD347A4}"/>
    <cellStyle name="Texto Explicativo" xfId="35112" xr:uid="{E1F417EE-DDED-49AC-A07B-165F452435A1}"/>
    <cellStyle name="þ" xfId="35113" xr:uid="{EA776D1E-54B8-43D3-9269-881362DADFFC}"/>
    <cellStyle name="þ_x001d_ð7_x000c_îþ_x0007__x000d_áþU_x0001__x0010__x0011_—" xfId="35114" xr:uid="{1AD80033-B515-4575-9DD1-786075EFA28C}"/>
    <cellStyle name="þ_x001d_ð7_x000c_îþ_x0007__x000d_áþU_x0001__x0010__x0011_—_x0016__x0007__x0001_" xfId="35115" xr:uid="{118B7014-51F9-4996-A771-49CB01DDDE61}"/>
    <cellStyle name="þ_x001d_ð7_x000c_îþ_x0007__x000d_áþU_x0001__x0010__x0011_—_x0016__x0007__x0001__x0001_" xfId="35116" xr:uid="{6910A5D3-A91D-48D5-A519-9C0316D47523}"/>
    <cellStyle name="Title" xfId="15" builtinId="15" hidden="1"/>
    <cellStyle name="Title" xfId="87" builtinId="15" customBuiltin="1"/>
    <cellStyle name="Title 1" xfId="35117" xr:uid="{0F6545F9-4B75-4550-AE44-E57D2B3F162B}"/>
    <cellStyle name="Title 10" xfId="35118" xr:uid="{F0BE071E-1460-4B61-A974-2830E14EF4E2}"/>
    <cellStyle name="Title 10 2" xfId="39477" xr:uid="{AE241A58-329C-4083-A959-843EB3CE8212}"/>
    <cellStyle name="Title 11" xfId="35119" xr:uid="{BB254607-4FD6-41DD-980C-3CE1BF50F81A}"/>
    <cellStyle name="Title 11 2" xfId="39478" xr:uid="{E33C2F92-7DC7-48EF-BD2D-B9B152F95160}"/>
    <cellStyle name="Title 12" xfId="35120" xr:uid="{F864E8B7-1E0C-41ED-9FDB-36DD797DBD5B}"/>
    <cellStyle name="Title 12 2" xfId="39479" xr:uid="{1957DF47-3C39-430E-9BE0-B50121D9FFBE}"/>
    <cellStyle name="Title 13" xfId="35121" xr:uid="{B5977D04-37D8-4E97-9215-4D39C0851190}"/>
    <cellStyle name="Title 13 2" xfId="39480" xr:uid="{1B52F5FB-2378-4278-844B-B8B646317A64}"/>
    <cellStyle name="Title 14" xfId="35122" xr:uid="{49C4C92C-CE0E-43B1-9AEA-F68F477420E2}"/>
    <cellStyle name="Title 14 2" xfId="39481" xr:uid="{A63DD0A6-E5AD-4D20-AF91-1B9C5370E1AC}"/>
    <cellStyle name="Title 15" xfId="35123" xr:uid="{AFA7DE63-4168-4656-9633-13254D44EDC6}"/>
    <cellStyle name="Title 15 2" xfId="39482" xr:uid="{A26CBD82-DEE0-49C6-A8BB-100BFAFA98D6}"/>
    <cellStyle name="Title 16" xfId="35124" xr:uid="{2A7B9858-C709-45FF-A73F-5E60043ED8E7}"/>
    <cellStyle name="Title 16 2" xfId="39483" xr:uid="{B5872FAD-2D21-402E-B97C-A769A9AA246D}"/>
    <cellStyle name="Title 17" xfId="35125" xr:uid="{C182B3DC-6010-4401-82D2-0B8E28D6A034}"/>
    <cellStyle name="Title 17 2" xfId="39484" xr:uid="{8D46F373-60DD-400C-8574-84E5A232D32B}"/>
    <cellStyle name="Title 18" xfId="35126" xr:uid="{853367BD-0DA4-4A51-BC18-CDF95F5BD04B}"/>
    <cellStyle name="Title 18 2" xfId="39485" xr:uid="{8697D1C9-9421-41A4-8697-97EE22E76E1D}"/>
    <cellStyle name="Title 19" xfId="35127" xr:uid="{3F2205EC-8FBF-41B3-8B3F-A4D1BBACC097}"/>
    <cellStyle name="Title 2" xfId="35128" xr:uid="{09554CBE-B80B-43B8-8012-8D79DE289526}"/>
    <cellStyle name="Title 2 2" xfId="39486" xr:uid="{095ECE21-757E-457D-9F74-4C060D2036F5}"/>
    <cellStyle name="Title 20" xfId="35129" xr:uid="{BC9CEEEC-42AD-4872-9964-3D3A1C2DC10C}"/>
    <cellStyle name="Title 21" xfId="35130" xr:uid="{8C043214-AE0D-413B-A746-026C1C45AADE}"/>
    <cellStyle name="Title 22" xfId="35131" xr:uid="{FDFF009E-316F-4C8C-A995-6D98FB48D68A}"/>
    <cellStyle name="Title 23" xfId="35132" xr:uid="{CF136EF8-40C2-41C9-9EC6-D6D095CD32E4}"/>
    <cellStyle name="Title 24" xfId="35133" xr:uid="{228406DD-CDD5-402F-94A3-CA7C18C9D2F3}"/>
    <cellStyle name="Title 25" xfId="35134" xr:uid="{12F6928B-7649-493D-ADDB-1727E13E8E58}"/>
    <cellStyle name="Title 26" xfId="35135" xr:uid="{160834BE-FA22-4BE0-B495-EE8B57E8C6C1}"/>
    <cellStyle name="Title 27" xfId="35136" xr:uid="{95699DD2-5260-4FF7-B25D-A09355356027}"/>
    <cellStyle name="Title 28" xfId="35137" xr:uid="{6613C9E7-7822-43C2-808C-C03895C6E5C4}"/>
    <cellStyle name="Title 3" xfId="35138" xr:uid="{C29BB525-FE7B-4F5B-81E6-169DA7F1C456}"/>
    <cellStyle name="Title 3 2" xfId="39487" xr:uid="{A34DCC29-BEED-4437-A857-728A92683751}"/>
    <cellStyle name="Title 4" xfId="35139" xr:uid="{C618C7B6-B50D-448E-A34A-509C9DD3A8B0}"/>
    <cellStyle name="Title 4 2" xfId="39488" xr:uid="{670BC36D-A126-408B-B05D-F961CADF7DC0}"/>
    <cellStyle name="Title 5" xfId="35140" xr:uid="{568E0A09-7E50-414A-9805-E0F69D4DEB37}"/>
    <cellStyle name="Title 5 2" xfId="39489" xr:uid="{81918B7D-BDE8-4675-8F92-2B0B84CA2AA3}"/>
    <cellStyle name="Title 6" xfId="35141" xr:uid="{692BC2B5-7DF1-4DD4-AE89-3687C74BDDF5}"/>
    <cellStyle name="Title 6 2" xfId="39490" xr:uid="{70E45435-AC2C-4FB1-BD0D-381A6856551C}"/>
    <cellStyle name="Title 7" xfId="35142" xr:uid="{939D600A-BC86-4134-BD63-63C867097EF5}"/>
    <cellStyle name="Title 7 2" xfId="39491" xr:uid="{51C987F8-D826-46C2-8C17-C337FF7EE74C}"/>
    <cellStyle name="Title 8" xfId="35143" xr:uid="{ED1D71E8-4360-4F3A-834D-A284DD94C6C0}"/>
    <cellStyle name="Title 8 2" xfId="39492" xr:uid="{9679DD41-44A5-4A65-B0A2-187B491434F6}"/>
    <cellStyle name="Title 9" xfId="35144" xr:uid="{6FA0A290-0CF9-419F-8D39-04CA5010747F}"/>
    <cellStyle name="Title 9 2" xfId="39493" xr:uid="{8A0A4141-224D-4DEA-BE6F-48BED9475F96}"/>
    <cellStyle name="Titre" xfId="35145" xr:uid="{1F01D783-DB16-411B-8CF5-59CFA0281BD2}"/>
    <cellStyle name="Titre colonnes" xfId="35146" xr:uid="{9F68C11F-0251-40F3-BCE9-67B5FC57269C}"/>
    <cellStyle name="Titre lignes" xfId="35147" xr:uid="{DF4C7D62-A324-4163-8DB8-5C8E1847C4EB}"/>
    <cellStyle name="Titre_AP_Headcount NMC" xfId="35148" xr:uid="{B6A28747-78E3-45E2-A293-61D86DDEF6D6}"/>
    <cellStyle name="Título" xfId="35149" xr:uid="{5D0F0911-2E32-4D63-BCCD-3B3E74AA1D28}"/>
    <cellStyle name="Título 1" xfId="35150" xr:uid="{035E4017-2BF3-4C04-B1A0-175D87A2C6A1}"/>
    <cellStyle name="Título 2" xfId="35151" xr:uid="{0682AD67-6858-49CE-B4C6-E055D40E25CB}"/>
    <cellStyle name="Título 3" xfId="35152" xr:uid="{BFEEE041-379B-4BCD-ADDC-2A41A9374828}"/>
    <cellStyle name="Título 4" xfId="35153" xr:uid="{C5C5C10A-8679-4064-BFE2-A9361767C548}"/>
    <cellStyle name="Top_Centred" xfId="35154" xr:uid="{BE4B3B57-4F48-48E1-A403-2A5AF15ADFAC}"/>
    <cellStyle name="Total" xfId="29" builtinId="25" hidden="1"/>
    <cellStyle name="Total" xfId="103" builtinId="25" customBuiltin="1"/>
    <cellStyle name="Total 10" xfId="35155" xr:uid="{33C91287-CB04-4936-9C11-FE1003BD4251}"/>
    <cellStyle name="Total 10 2" xfId="39494" xr:uid="{37F61007-69EB-40A0-ACC5-F61CD40FBEA3}"/>
    <cellStyle name="Total 10 3" xfId="39495" xr:uid="{882532A9-583B-4A6F-AB87-BAD46E2F7AA0}"/>
    <cellStyle name="Total 100" xfId="35156" xr:uid="{2A33300A-E12D-4C22-A11B-5AF3FA6EDE66}"/>
    <cellStyle name="Total 101" xfId="35157" xr:uid="{C61BBB51-4E47-4363-873E-9C092A330CD3}"/>
    <cellStyle name="Total 102" xfId="35158" xr:uid="{09670502-DDDC-4BA3-AAF0-CB02AB53269D}"/>
    <cellStyle name="Total 103" xfId="35159" xr:uid="{C050F7CC-BBAC-43BF-ADB8-27937BBCD933}"/>
    <cellStyle name="Total 104" xfId="35160" xr:uid="{290C8F0C-EC0D-44FA-B714-B0EBFE4ABB95}"/>
    <cellStyle name="Total 105" xfId="35161" xr:uid="{47B10234-10CF-4AC8-82E7-F507D21CB4D0}"/>
    <cellStyle name="Total 106" xfId="35162" xr:uid="{976E670B-306D-46A2-B016-6B03FB2D474D}"/>
    <cellStyle name="Total 107" xfId="35163" xr:uid="{1CAE579E-08C8-48BB-BB57-5F0DEEF573E8}"/>
    <cellStyle name="Total 108" xfId="35164" xr:uid="{00E0899C-D2A2-4A87-9586-B785F762F9D6}"/>
    <cellStyle name="Total 109" xfId="35165" xr:uid="{41971B77-42E0-4872-9F63-B77B3900E4C6}"/>
    <cellStyle name="Total 11" xfId="35166" xr:uid="{080688B4-0F57-4FDA-9898-720A16E4FEB4}"/>
    <cellStyle name="Total 11 2" xfId="39496" xr:uid="{A8D22445-866C-4DDB-B720-420BE437816E}"/>
    <cellStyle name="Total 11 3" xfId="39497" xr:uid="{131329FF-8C4E-4763-BF42-891EEF4CD075}"/>
    <cellStyle name="Total 110" xfId="35167" xr:uid="{CEA502E8-3304-4666-A056-2CE7A221D644}"/>
    <cellStyle name="Total 111" xfId="35168" xr:uid="{0E27E4BC-2973-4306-8E37-1B681006C69E}"/>
    <cellStyle name="Total 112" xfId="35169" xr:uid="{F18E403F-67C2-4108-B255-99F2E660AB69}"/>
    <cellStyle name="Total 113" xfId="35170" xr:uid="{C5C95204-ADAB-434E-A292-D103326030FC}"/>
    <cellStyle name="Total 114" xfId="35171" xr:uid="{FC574491-A27C-4913-A7A0-7511DA32451B}"/>
    <cellStyle name="Total 115" xfId="35172" xr:uid="{F06D0007-18DD-40BA-8BB7-E19CC0B8F4E1}"/>
    <cellStyle name="Total 116" xfId="35173" xr:uid="{5980870D-C8A7-4667-9BD6-B5995D97B949}"/>
    <cellStyle name="Total 117" xfId="35174" xr:uid="{3560F99D-6B9E-44DB-9329-E56AFC43E1D8}"/>
    <cellStyle name="Total 118" xfId="35175" xr:uid="{39666F3A-987B-4BD7-AE9B-2B8904EADBD4}"/>
    <cellStyle name="Total 119" xfId="35176" xr:uid="{C01D9A49-B9F1-468F-A952-13C0169D9C42}"/>
    <cellStyle name="Total 12" xfId="35177" xr:uid="{301A7E5B-E190-414F-B4DE-7E3B5F785783}"/>
    <cellStyle name="Total 12 2" xfId="39498" xr:uid="{68D743AF-FC33-495B-8F8C-8BE252F04581}"/>
    <cellStyle name="Total 12 3" xfId="39499" xr:uid="{B7617066-E8CF-4CCE-90E3-93D6E76DAE45}"/>
    <cellStyle name="Total 120" xfId="35178" xr:uid="{D540C450-38C0-4D00-A683-648B5712D2A0}"/>
    <cellStyle name="Total 121" xfId="35179" xr:uid="{C5A9B858-82E5-4FA7-84C3-C25231A155CB}"/>
    <cellStyle name="Total 122" xfId="35180" xr:uid="{03E720A5-9F68-4270-97BE-8D3080ECCA22}"/>
    <cellStyle name="Total 123" xfId="35181" xr:uid="{569A295B-8DBE-4802-A3AA-93ED572F34D6}"/>
    <cellStyle name="Total 124" xfId="35182" xr:uid="{9AE7451A-933D-40B9-A1CA-8ED492A6C2B4}"/>
    <cellStyle name="Total 125" xfId="35183" xr:uid="{6D9656CD-C9BB-4C3A-A5F7-D2420AB03008}"/>
    <cellStyle name="Total 126" xfId="35184" xr:uid="{C455013C-9045-4AC2-8E81-F31179CAF97E}"/>
    <cellStyle name="Total 127" xfId="35185" xr:uid="{068FEFE0-F64B-45D1-A44F-F7CE53CFCD34}"/>
    <cellStyle name="Total 128" xfId="35186" xr:uid="{82996B85-8212-45F6-BC97-FCB33875825B}"/>
    <cellStyle name="Total 129" xfId="35187" xr:uid="{12D22476-8F24-4120-BACF-7FF3BF9E499E}"/>
    <cellStyle name="Total 13" xfId="35188" xr:uid="{AF3689D1-00A2-4EC0-974C-F39249920D91}"/>
    <cellStyle name="Total 13 2" xfId="39500" xr:uid="{8A9C4102-9595-40D1-9E77-650BE65E0414}"/>
    <cellStyle name="Total 13 3" xfId="39501" xr:uid="{BAA4FE19-A163-4535-95E2-C66A5C4B27EF}"/>
    <cellStyle name="Total 130" xfId="35189" xr:uid="{734590F7-E03D-4501-9661-C8953C5F525E}"/>
    <cellStyle name="Total 131" xfId="35190" xr:uid="{FA31BE63-51C0-4B04-9621-ADF9FB8C77D8}"/>
    <cellStyle name="Total 132" xfId="35191" xr:uid="{DD3F30B4-58A9-42DA-9F17-AC8BCDD8437C}"/>
    <cellStyle name="Total 133" xfId="35192" xr:uid="{1D36D522-0B4B-4306-BF7E-D01B2A8A26E2}"/>
    <cellStyle name="Total 134" xfId="35193" xr:uid="{395F763D-5453-4EB2-B0CA-202060571A53}"/>
    <cellStyle name="Total 135" xfId="35194" xr:uid="{4A524D75-7853-4212-9F8C-243D31542DD4}"/>
    <cellStyle name="Total 136" xfId="35195" xr:uid="{39752E5F-559A-479F-B66B-816F6F1E6D59}"/>
    <cellStyle name="Total 137" xfId="35196" xr:uid="{B9638BBB-4495-4599-8D56-F3D68F25D486}"/>
    <cellStyle name="Total 138" xfId="35197" xr:uid="{8301288C-727B-4475-928A-4285C5A0D026}"/>
    <cellStyle name="Total 139" xfId="35198" xr:uid="{F7333E8B-80D3-46B1-8286-062DF5590E21}"/>
    <cellStyle name="Total 14" xfId="35199" xr:uid="{3092D711-8D21-4F90-B59C-B27631C2C0F1}"/>
    <cellStyle name="Total 14 2" xfId="39502" xr:uid="{15135F8D-8103-41C6-9A5C-4FBD4F05EBED}"/>
    <cellStyle name="Total 14 3" xfId="39503" xr:uid="{2D0E668F-FDD8-44C3-8B91-792922462052}"/>
    <cellStyle name="Total 140" xfId="35200" xr:uid="{BFD5AA13-9EDE-45D6-AE64-DCE8DA515A7B}"/>
    <cellStyle name="Total 141" xfId="35201" xr:uid="{9DEB2C72-4BB0-4F62-8EC2-B3CF6096DC68}"/>
    <cellStyle name="Total 142" xfId="35202" xr:uid="{37A8B6CF-3BE3-4BCE-8F61-F940E63A7A91}"/>
    <cellStyle name="Total 143" xfId="35203" xr:uid="{9A876C7E-7C9C-41E2-9371-8A9D67C477E6}"/>
    <cellStyle name="Total 144" xfId="35204" xr:uid="{E256AC1C-DDC1-4F8B-A19E-F81565BAA521}"/>
    <cellStyle name="Total 145" xfId="35205" xr:uid="{4D622103-498D-4CE4-9BA0-6ED1E258B362}"/>
    <cellStyle name="Total 146" xfId="35206" xr:uid="{32418355-0538-4046-ADE0-9446ED1DD286}"/>
    <cellStyle name="Total 147" xfId="35207" xr:uid="{05CE5B85-0412-4FCC-8C7D-270684FEAC62}"/>
    <cellStyle name="Total 148" xfId="35208" xr:uid="{922F78F4-CA29-43D5-ACB4-64416BB7FFF4}"/>
    <cellStyle name="Total 149" xfId="35209" xr:uid="{6DD6200F-DF7D-4A0A-B0E9-EAB3C4A776A1}"/>
    <cellStyle name="Total 15" xfId="35210" xr:uid="{CB0D2E20-1685-4842-9558-70FE6CB24A89}"/>
    <cellStyle name="Total 15 2" xfId="39504" xr:uid="{6DD50B48-00E1-4220-BB6C-8EFF4A1C52BB}"/>
    <cellStyle name="Total 15 3" xfId="39505" xr:uid="{EA8E76C3-0101-4C82-B492-F5CE0535EAAF}"/>
    <cellStyle name="Total 150" xfId="35211" xr:uid="{763CFF1A-E1D1-42B1-956B-32E7ADF7A8F9}"/>
    <cellStyle name="Total 151" xfId="35212" xr:uid="{B5BB25A6-A70E-4EA0-8C46-00F948AE8EDB}"/>
    <cellStyle name="Total 152" xfId="35213" xr:uid="{A97FB0FD-9545-46CE-B90A-899CDD964978}"/>
    <cellStyle name="Total 153" xfId="35214" xr:uid="{3DF74A55-9CDD-4314-9291-0997C4DD9D42}"/>
    <cellStyle name="Total 154" xfId="35215" xr:uid="{369B5C8A-4646-43A1-885F-F51E49251B69}"/>
    <cellStyle name="Total 155" xfId="35216" xr:uid="{416A9AA7-3000-4E65-92A4-E61E86DF39D2}"/>
    <cellStyle name="Total 156" xfId="35217" xr:uid="{D1865260-857F-4FF0-932A-9DFD347FD25A}"/>
    <cellStyle name="Total 157" xfId="35218" xr:uid="{C2D01C0D-F0F8-4F39-8644-A9BACE826FC5}"/>
    <cellStyle name="Total 158" xfId="35219" xr:uid="{74448326-A0A5-4788-9240-3987D8E8B8D7}"/>
    <cellStyle name="Total 159" xfId="35220" xr:uid="{B517E4F8-DDD1-4E86-A361-F810024A9588}"/>
    <cellStyle name="Total 16" xfId="35221" xr:uid="{BB7311CF-69E7-4614-B0D2-36E1BFCAC649}"/>
    <cellStyle name="Total 16 2" xfId="39506" xr:uid="{EDE5B3D7-6DFE-47A9-A797-FB9345413163}"/>
    <cellStyle name="Total 16 3" xfId="39507" xr:uid="{D16F0E5C-CAFB-4633-9691-552A4CDA8FA5}"/>
    <cellStyle name="Total 160" xfId="35222" xr:uid="{489127CD-FE24-45A1-B972-EEEB624C450F}"/>
    <cellStyle name="Total 17" xfId="35223" xr:uid="{29D1A094-BC88-4C1D-9484-E135B016BCB3}"/>
    <cellStyle name="Total 17 2" xfId="39508" xr:uid="{6E4B0C10-9AA5-48A0-93E6-65941FC2DD77}"/>
    <cellStyle name="Total 17 3" xfId="39509" xr:uid="{3B8CFF00-47DF-4951-9636-9DF09B3FF7F3}"/>
    <cellStyle name="Total 18" xfId="35224" xr:uid="{95EFDD6E-3429-42E6-96D5-CA4427D191AB}"/>
    <cellStyle name="Total 18 2" xfId="39510" xr:uid="{0705AB41-FAB6-410D-8E00-0FD50DE35239}"/>
    <cellStyle name="Total 18 3" xfId="39511" xr:uid="{7AC2814E-B6DA-40A4-9BB9-9770707C1900}"/>
    <cellStyle name="Total 19" xfId="35225" xr:uid="{202D05DE-F943-48A7-8DD6-80131C2F8D57}"/>
    <cellStyle name="Total 19 2" xfId="39512" xr:uid="{755F7B24-61FB-4FE9-94AF-9EB33B761035}"/>
    <cellStyle name="Total 2" xfId="35226" xr:uid="{145CB38B-8CA6-4C30-B016-AA03EE465096}"/>
    <cellStyle name="Total 2 2" xfId="35227" xr:uid="{E82FF38E-F5D6-4119-91A8-7724C2367907}"/>
    <cellStyle name="Total 2 2 2" xfId="39513" xr:uid="{B90A0B9A-8FAB-4584-B6A1-A540DDED7CE0}"/>
    <cellStyle name="Total 2 3" xfId="39514" xr:uid="{5345654D-6A64-4495-8473-CE6005577C98}"/>
    <cellStyle name="Total 2 4" xfId="39515" xr:uid="{38C34877-2CC9-45FF-B3EB-2D5042F3AB07}"/>
    <cellStyle name="Total 2 5" xfId="39516" xr:uid="{BFB1F1D3-C5E4-4F5B-86EA-EABCB791C1CD}"/>
    <cellStyle name="Total 20" xfId="35228" xr:uid="{23DA617F-2F5C-4632-A548-B9AF5A67F97E}"/>
    <cellStyle name="Total 20 2" xfId="39517" xr:uid="{E963CA85-6204-439B-97D5-CD71F60A5AC9}"/>
    <cellStyle name="Total 21" xfId="35229" xr:uid="{9FBD7367-8A0A-41A2-92DA-999DF76DADCC}"/>
    <cellStyle name="Total 21 2" xfId="39518" xr:uid="{A6B406FC-350C-4669-90A8-7DCCBEFD5B23}"/>
    <cellStyle name="Total 22" xfId="35230" xr:uid="{74383C24-200E-4483-83D4-61986CEC4791}"/>
    <cellStyle name="Total 22 2" xfId="39519" xr:uid="{F2F8CAB6-67BB-4585-ABA2-70D508B3FCB5}"/>
    <cellStyle name="Total 23" xfId="35231" xr:uid="{63CC100E-A2FB-42AE-B4C6-268E1359DFEA}"/>
    <cellStyle name="Total 23 2" xfId="39520" xr:uid="{0E280F8B-8D22-4DBF-B994-1A8A7CE7C06A}"/>
    <cellStyle name="Total 24" xfId="35232" xr:uid="{D86DEFD6-2664-4922-BC93-6DAA7C464D7A}"/>
    <cellStyle name="Total 24 2" xfId="39521" xr:uid="{CBFC49B7-1E9E-4792-BC3E-3F3A36659DD7}"/>
    <cellStyle name="Total 25" xfId="35233" xr:uid="{A1A434B0-AFED-4C83-A77F-9FBF7D8E702F}"/>
    <cellStyle name="Total 25 2" xfId="39522" xr:uid="{4B227117-07D7-4EAD-BF46-AAE1840D1092}"/>
    <cellStyle name="Total 26" xfId="35234" xr:uid="{ED9A685A-C858-451D-9B19-FF47F45EE7A7}"/>
    <cellStyle name="Total 26 2" xfId="39523" xr:uid="{03BFAF5D-AE7D-4B7C-B865-6E711F7E8962}"/>
    <cellStyle name="Total 27" xfId="35235" xr:uid="{E714E3D7-7F5B-4832-9DB5-13858F4FE919}"/>
    <cellStyle name="Total 27 2" xfId="39524" xr:uid="{20C7E662-9680-45F2-A344-67580384BADE}"/>
    <cellStyle name="Total 28" xfId="35236" xr:uid="{1C0DE451-6CF0-47A8-B4C5-5AF099ADC261}"/>
    <cellStyle name="Total 28 2" xfId="39525" xr:uid="{34559719-6989-4EB4-9DC5-CA9ECE1BC846}"/>
    <cellStyle name="Total 29" xfId="35237" xr:uid="{83CAAA3F-53AB-4169-8EEF-C2DE62570EB7}"/>
    <cellStyle name="Total 29 2" xfId="35238" xr:uid="{D6AA1E86-05D8-4357-BB07-0A0207F5DC12}"/>
    <cellStyle name="Total 29 3" xfId="39526" xr:uid="{572D8A5B-1D9D-4CBB-B361-9096CA5E453A}"/>
    <cellStyle name="Total 3" xfId="35239" xr:uid="{2AA3FF1B-8B77-4114-BF4A-E4DF0D362215}"/>
    <cellStyle name="Total 3 2" xfId="35240" xr:uid="{A58A1EF2-FC4D-4B06-9A22-CBB546D09389}"/>
    <cellStyle name="Total 3 3" xfId="39527" xr:uid="{1FD88C0B-67F1-4C70-A775-F384AB3B11B3}"/>
    <cellStyle name="Total 3 4" xfId="39528" xr:uid="{47E13718-2CCF-48F1-AB85-74456EF48BCD}"/>
    <cellStyle name="Total 30" xfId="35241" xr:uid="{26CB97E1-3453-41C2-947B-374C8DFB9A6F}"/>
    <cellStyle name="Total 30 2" xfId="39529" xr:uid="{739062CB-24C3-4665-8725-C8FF0EE76AD3}"/>
    <cellStyle name="Total 31" xfId="35242" xr:uid="{760364DA-50D5-4BCC-896B-08E05E89ADA2}"/>
    <cellStyle name="Total 32" xfId="35243" xr:uid="{7D924B43-96E7-4CE5-9D49-36E8F5EB34B3}"/>
    <cellStyle name="Total 33" xfId="35244" xr:uid="{A85E7A22-E269-4000-9467-78F404FBF580}"/>
    <cellStyle name="Total 34" xfId="35245" xr:uid="{5B567C67-A4EB-4E95-8DF5-752C2537D680}"/>
    <cellStyle name="Total 35" xfId="35246" xr:uid="{23C0E462-84A0-43CF-AA6C-45B6B6F6462C}"/>
    <cellStyle name="Total 36" xfId="35247" xr:uid="{56511F5B-94C1-45EF-AE70-D625B9A7841B}"/>
    <cellStyle name="Total 37" xfId="35248" xr:uid="{B0EE4DF0-5D31-41F5-8106-87F27A5B4903}"/>
    <cellStyle name="Total 38" xfId="35249" xr:uid="{30EB3EC6-CAFC-45B5-8976-38763D2035E2}"/>
    <cellStyle name="Total 39" xfId="35250" xr:uid="{A4E82CE8-06B6-494F-9E2F-02C0A48F9D5F}"/>
    <cellStyle name="Total 4" xfId="35251" xr:uid="{A84FED14-5BBB-4588-99A1-F535A98C6BA6}"/>
    <cellStyle name="Total 4 2" xfId="39530" xr:uid="{F2FFECF8-B904-465D-B40B-0BD0700E3AD0}"/>
    <cellStyle name="Total 4 3" xfId="39531" xr:uid="{15A4231A-41EC-4DB1-801A-1AA0BB592F18}"/>
    <cellStyle name="Total 40" xfId="35252" xr:uid="{ACF9AECF-AA93-4EC5-8705-20B00446D13C}"/>
    <cellStyle name="Total 41" xfId="35253" xr:uid="{A9CAF798-9CAB-4581-8CAD-31756032009A}"/>
    <cellStyle name="Total 42" xfId="35254" xr:uid="{51B8D70B-1F92-409E-A442-3C5548113600}"/>
    <cellStyle name="Total 43" xfId="35255" xr:uid="{69568D77-24FC-4BA9-A718-FF3F340B0383}"/>
    <cellStyle name="Total 44" xfId="35256" xr:uid="{34755756-2A7D-4F74-A89D-B1DA046FA4CF}"/>
    <cellStyle name="Total 45" xfId="35257" xr:uid="{FE63ABE5-B9E0-4711-84D8-57B67D253319}"/>
    <cellStyle name="Total 46" xfId="35258" xr:uid="{32D0C6C7-C3C4-4369-A508-49BE21A63952}"/>
    <cellStyle name="Total 47" xfId="35259" xr:uid="{82FC71B5-28C0-4F01-A7E3-8F793A1C2F5C}"/>
    <cellStyle name="Total 48" xfId="35260" xr:uid="{07F68714-7754-4C54-B40A-480ED6EBB91D}"/>
    <cellStyle name="Total 49" xfId="35261" xr:uid="{4961706D-147B-45F7-9706-705F0D2BCB2C}"/>
    <cellStyle name="Total 5" xfId="35262" xr:uid="{E445B2D7-B4DE-42AB-AAE2-46E9A138AA45}"/>
    <cellStyle name="Total 5 2" xfId="39532" xr:uid="{43513AE8-EF72-460B-AAE7-01351AC66B76}"/>
    <cellStyle name="Total 5 3" xfId="39533" xr:uid="{65D7A3A9-9089-4F0B-8D97-FECFC0C81019}"/>
    <cellStyle name="Total 50" xfId="35263" xr:uid="{62D64573-D626-4D12-B9B6-DEB941E7CA26}"/>
    <cellStyle name="Total 51" xfId="35264" xr:uid="{07CDD0E1-EC61-4D0C-8D2D-EAF62C4EF79C}"/>
    <cellStyle name="Total 52" xfId="35265" xr:uid="{1DFAB358-6EF8-4DC3-8E04-F3A26722BA0C}"/>
    <cellStyle name="Total 53" xfId="35266" xr:uid="{9E9B516B-E49D-4534-B0BB-18D49945C71C}"/>
    <cellStyle name="Total 54" xfId="35267" xr:uid="{C708B5DD-B5AB-4AC5-A152-32F3D555AB87}"/>
    <cellStyle name="Total 55" xfId="35268" xr:uid="{5C07A839-4D54-4685-8778-5C7D0C7BEE78}"/>
    <cellStyle name="Total 56" xfId="35269" xr:uid="{8501CB25-A438-46D1-B81F-D1B5002B589C}"/>
    <cellStyle name="Total 57" xfId="35270" xr:uid="{ACE84E7E-B9AF-4CDE-AC68-44225D607DD6}"/>
    <cellStyle name="Total 58" xfId="35271" xr:uid="{70298FB6-2919-4DBF-84C5-B6E0BF795A72}"/>
    <cellStyle name="Total 59" xfId="35272" xr:uid="{67771FF2-9941-4683-BEBE-4DA4433F68E3}"/>
    <cellStyle name="Total 6" xfId="35273" xr:uid="{0078FCDC-E5E5-400B-B2C3-6E702EA31168}"/>
    <cellStyle name="Total 6 2" xfId="39534" xr:uid="{783AFBE7-202B-4711-B61F-5683BA00558C}"/>
    <cellStyle name="Total 6 3" xfId="39535" xr:uid="{5BFB6F0B-1548-456A-AB14-E7425910163D}"/>
    <cellStyle name="Total 60" xfId="35274" xr:uid="{F115AB90-5A6C-4E30-8FD5-1621BD80B53D}"/>
    <cellStyle name="Total 61" xfId="35275" xr:uid="{19516AE9-EC16-4350-A0F1-219D47488071}"/>
    <cellStyle name="Total 62" xfId="35276" xr:uid="{FF241703-4A6A-44CB-AF30-DFAA734D34FF}"/>
    <cellStyle name="Total 63" xfId="35277" xr:uid="{44D66E56-2CA8-4CCF-A63B-9C631AAB81FC}"/>
    <cellStyle name="Total 64" xfId="35278" xr:uid="{0A1B9124-3F78-4776-BB42-B5FF0BE3995F}"/>
    <cellStyle name="Total 65" xfId="35279" xr:uid="{860E310A-57A9-4790-BB23-EC78AC21CE17}"/>
    <cellStyle name="Total 66" xfId="35280" xr:uid="{DEB2F810-9E65-4C94-88A8-E4CC07BCC8AA}"/>
    <cellStyle name="Total 67" xfId="35281" xr:uid="{1089E41A-ABA3-4CE1-80C8-01F5D583239B}"/>
    <cellStyle name="Total 68" xfId="35282" xr:uid="{ECC17F94-109F-4669-A7B8-83B275640564}"/>
    <cellStyle name="Total 69" xfId="35283" xr:uid="{99BD93BD-4A25-41FB-A2FC-99253F57ED0F}"/>
    <cellStyle name="Total 7" xfId="35284" xr:uid="{C80383AB-196F-4393-82FD-E7A2943D3F50}"/>
    <cellStyle name="Total 7 2" xfId="39536" xr:uid="{72F2F6F8-689D-4CE6-B28E-946452DE32BF}"/>
    <cellStyle name="Total 7 3" xfId="39537" xr:uid="{FE377ECB-3660-4FCC-9F4E-F6EF2727CD08}"/>
    <cellStyle name="Total 70" xfId="35285" xr:uid="{C81179D2-1411-449E-8FE4-3B483EC4C465}"/>
    <cellStyle name="Total 71" xfId="35286" xr:uid="{A88B0413-9872-4C21-81DB-AA5EFB5AA0CF}"/>
    <cellStyle name="Total 72" xfId="35287" xr:uid="{1F25B52A-A6BB-47F6-B8F2-DEE437825056}"/>
    <cellStyle name="Total 73" xfId="35288" xr:uid="{E7A92313-74E1-4A2F-8898-E506600CE6A0}"/>
    <cellStyle name="Total 74" xfId="35289" xr:uid="{213B5055-44B3-4595-880C-8E8BC25188EF}"/>
    <cellStyle name="Total 75" xfId="35290" xr:uid="{EE953D8E-FB61-48F5-B2E8-CE58C3BB4FF9}"/>
    <cellStyle name="Total 76" xfId="35291" xr:uid="{062112B1-8A8A-4AB0-A4FF-6630AEACEB65}"/>
    <cellStyle name="Total 77" xfId="35292" xr:uid="{0B8AB98F-3FDE-4AC1-9344-A78FED49FBC6}"/>
    <cellStyle name="Total 78" xfId="35293" xr:uid="{FA7372F0-47BE-402B-AA14-0BCD35F58EF9}"/>
    <cellStyle name="Total 79" xfId="35294" xr:uid="{EC01BCDB-0528-4936-ABEB-DD6E878EB835}"/>
    <cellStyle name="Total 8" xfId="35295" xr:uid="{E4519D99-D2C3-4436-A87A-3CE087178C4A}"/>
    <cellStyle name="Total 8 2" xfId="39538" xr:uid="{5074034B-5607-4A2B-8E98-C95925894EF3}"/>
    <cellStyle name="Total 8 3" xfId="39539" xr:uid="{9537A4D6-7F1B-4C39-BE20-D50376C25848}"/>
    <cellStyle name="Total 80" xfId="35296" xr:uid="{F4C137DC-E252-44F1-8F81-63AB4F45AB15}"/>
    <cellStyle name="Total 81" xfId="35297" xr:uid="{705BD79E-6D80-4178-880B-D8C70B417D44}"/>
    <cellStyle name="Total 82" xfId="35298" xr:uid="{A1EDC45D-9D20-46FF-A6BD-1BF29E9C9EA7}"/>
    <cellStyle name="Total 83" xfId="35299" xr:uid="{6682D20A-7B90-42FA-9971-F457BB46CFD1}"/>
    <cellStyle name="Total 84" xfId="35300" xr:uid="{D698C4C3-E401-4E7D-8EE8-D8DAF5E9BAAB}"/>
    <cellStyle name="Total 85" xfId="35301" xr:uid="{6BAE5B44-CDA2-4741-9568-A6279A5FA513}"/>
    <cellStyle name="Total 86" xfId="35302" xr:uid="{DEBDDED5-9D66-454C-9470-B9B26A157348}"/>
    <cellStyle name="Total 87" xfId="35303" xr:uid="{F5B7613F-CE20-4360-8FF2-32C7969E5DE3}"/>
    <cellStyle name="Total 88" xfId="35304" xr:uid="{E9D7B408-6C18-4FB6-A83E-ABE9D96EFBAC}"/>
    <cellStyle name="Total 89" xfId="35305" xr:uid="{D2FCB342-1D40-4EDD-9EC5-7413B48C95BA}"/>
    <cellStyle name="Total 9" xfId="35306" xr:uid="{33A4BAF9-8761-452F-A032-E070306FBFE6}"/>
    <cellStyle name="Total 9 2" xfId="39540" xr:uid="{727B9A9E-F00D-43D5-B7AF-915E289EDF9F}"/>
    <cellStyle name="Total 9 3" xfId="39541" xr:uid="{6D6DB2D8-8315-482B-A6A7-2BA3B8A5D5A0}"/>
    <cellStyle name="Total 90" xfId="35307" xr:uid="{7D682FC9-3C44-417C-86FA-70E6BB43E9B2}"/>
    <cellStyle name="Total 91" xfId="35308" xr:uid="{074CF475-0AF2-4083-907B-4BBE18B7513D}"/>
    <cellStyle name="Total 92" xfId="35309" xr:uid="{CD209F44-52A5-44D6-A421-161753F10AD9}"/>
    <cellStyle name="Total 93" xfId="35310" xr:uid="{6FEFF787-EA5B-42EC-A416-76B29227D663}"/>
    <cellStyle name="Total 94" xfId="35311" xr:uid="{0B8CD57F-5AB3-45AC-888D-37B577AFA2EA}"/>
    <cellStyle name="Total 95" xfId="35312" xr:uid="{951AB2F5-10EF-48C1-AACC-D22E01802CE1}"/>
    <cellStyle name="Total 96" xfId="35313" xr:uid="{7F4EA903-CAA0-4B54-A867-098A88AF6E9D}"/>
    <cellStyle name="Total 97" xfId="35314" xr:uid="{448FEAC4-30D2-4867-B80E-CADA04C8927B}"/>
    <cellStyle name="Total 98" xfId="35315" xr:uid="{10042DA9-4BDF-44F9-85D3-359DF1568278}"/>
    <cellStyle name="Total 99" xfId="35316" xr:uid="{03BEAA6E-418A-45D9-A70D-A311BA594971}"/>
    <cellStyle name="Unit" xfId="66" xr:uid="{00000000-0005-0000-0000-000049000000}"/>
    <cellStyle name="Valuta_COVER5" xfId="35317" xr:uid="{03B3A49D-2F1D-499C-998E-C2FAED540175}"/>
    <cellStyle name="Währung [0]_2003 Headcount" xfId="35318" xr:uid="{21D1AD9F-1C4D-481B-A18C-8DD3E57BA708}"/>
    <cellStyle name="Währung_2003 Headcount" xfId="35319" xr:uid="{223D8635-13BC-4268-AB48-718588148609}"/>
    <cellStyle name="Warning Text" xfId="27" builtinId="11" hidden="1"/>
    <cellStyle name="Warning Text" xfId="100" builtinId="11" customBuiltin="1"/>
    <cellStyle name="Warning Text 10" xfId="35320" xr:uid="{37FF6D06-49F4-4A3F-AD55-223F283A175C}"/>
    <cellStyle name="Warning Text 10 2" xfId="39542" xr:uid="{2F075EAF-871F-4660-B7B2-A6D24C6D830E}"/>
    <cellStyle name="Warning Text 10 3" xfId="39543" xr:uid="{91924B77-3A9C-4E00-90F7-C29F89B8AF17}"/>
    <cellStyle name="Warning Text 100" xfId="35321" xr:uid="{3C31F3A9-F4B9-424B-B73E-AB9B8A0BD712}"/>
    <cellStyle name="Warning Text 101" xfId="35322" xr:uid="{E71A4128-772F-4C19-A043-31B917C43B7B}"/>
    <cellStyle name="Warning Text 102" xfId="35323" xr:uid="{BE9A7C27-CA29-42A9-B4C1-AB020F9D59A8}"/>
    <cellStyle name="Warning Text 103" xfId="35324" xr:uid="{730F1369-188D-4C47-9A6E-08D3AA8B539E}"/>
    <cellStyle name="Warning Text 104" xfId="35325" xr:uid="{109F3734-2D0C-4140-934E-EB2B018CE2C7}"/>
    <cellStyle name="Warning Text 105" xfId="35326" xr:uid="{BFCEA5C2-6067-48C1-9A96-0EE67B847F13}"/>
    <cellStyle name="Warning Text 106" xfId="35327" xr:uid="{4753298A-B70F-462B-8F82-6DB5F7D48F8B}"/>
    <cellStyle name="Warning Text 107" xfId="35328" xr:uid="{CD2E804F-65A5-4AF8-80D3-4236E667DB48}"/>
    <cellStyle name="Warning Text 108" xfId="35329" xr:uid="{C1EA7A11-0EE0-4C3B-B459-CD796111D32F}"/>
    <cellStyle name="Warning Text 109" xfId="35330" xr:uid="{4EE4EE68-30A5-43E3-9012-6B1544BD619D}"/>
    <cellStyle name="Warning Text 11" xfId="35331" xr:uid="{C51BD110-AA22-4AEC-A4F1-AE5D1C91D330}"/>
    <cellStyle name="Warning Text 11 2" xfId="39544" xr:uid="{E9B7CBEF-A07E-49FC-99E7-EA14FC871A26}"/>
    <cellStyle name="Warning Text 11 3" xfId="39545" xr:uid="{31F776E9-8308-4A15-B459-CD81E846C0E9}"/>
    <cellStyle name="Warning Text 110" xfId="35332" xr:uid="{E632DDD8-1781-4FC2-AD72-E7D814831822}"/>
    <cellStyle name="Warning Text 111" xfId="35333" xr:uid="{EA116003-7B15-41F8-810B-5DB3B20CCD31}"/>
    <cellStyle name="Warning Text 112" xfId="35334" xr:uid="{3C4D8AE1-3CCF-4337-A645-EE64086966C5}"/>
    <cellStyle name="Warning Text 113" xfId="35335" xr:uid="{CD4DD182-D6FE-497C-B7E2-0D819D48A0F8}"/>
    <cellStyle name="Warning Text 114" xfId="35336" xr:uid="{94829C57-042D-43E8-88AC-B0976E9D0863}"/>
    <cellStyle name="Warning Text 115" xfId="35337" xr:uid="{7B11CF88-3488-47FD-9404-B36C0F45B000}"/>
    <cellStyle name="Warning Text 116" xfId="35338" xr:uid="{13E5FBA0-C546-4718-891E-35A616CB1EAC}"/>
    <cellStyle name="Warning Text 117" xfId="35339" xr:uid="{D4803580-C506-430E-AF6B-9ADBC67AD2C3}"/>
    <cellStyle name="Warning Text 118" xfId="35340" xr:uid="{DED00DC4-1909-4C67-8D8C-279AFAAC6ADC}"/>
    <cellStyle name="Warning Text 119" xfId="35341" xr:uid="{9C6BFC1B-6CF6-4391-8103-A9B34837DEF6}"/>
    <cellStyle name="Warning Text 12" xfId="35342" xr:uid="{A37BD599-EB79-4160-A99B-771D38BD505F}"/>
    <cellStyle name="Warning Text 12 2" xfId="39546" xr:uid="{E1DBB277-605A-42B3-8A54-76EB6ED2CE6B}"/>
    <cellStyle name="Warning Text 12 3" xfId="39547" xr:uid="{B5513209-F388-4110-9260-48FF58A8E9D2}"/>
    <cellStyle name="Warning Text 120" xfId="35343" xr:uid="{09573C71-8999-47AD-BE33-5293B736E359}"/>
    <cellStyle name="Warning Text 121" xfId="35344" xr:uid="{3E88D969-895B-425F-8A83-8FE96E8C766F}"/>
    <cellStyle name="Warning Text 122" xfId="35345" xr:uid="{0042CBCD-7B08-4EDE-A55A-CC586517D927}"/>
    <cellStyle name="Warning Text 123" xfId="35346" xr:uid="{344FC49F-40E0-489D-A655-60D4CE58F382}"/>
    <cellStyle name="Warning Text 124" xfId="35347" xr:uid="{591F23BF-F48A-47F9-AC57-4FB8A88D8703}"/>
    <cellStyle name="Warning Text 125" xfId="35348" xr:uid="{87350E51-7C13-48DE-8B72-86836E20FCB5}"/>
    <cellStyle name="Warning Text 126" xfId="35349" xr:uid="{DEFD2D3A-235A-4105-A5B5-5728C2AAFCC3}"/>
    <cellStyle name="Warning Text 127" xfId="35350" xr:uid="{C92A6A1D-F94F-41D7-9C57-7DCC82FC4DB3}"/>
    <cellStyle name="Warning Text 128" xfId="35351" xr:uid="{FC0E3E41-2042-46E9-96C1-D2F7CF629679}"/>
    <cellStyle name="Warning Text 129" xfId="35352" xr:uid="{1139E48F-5C33-4B7D-900E-2EE2BE633D13}"/>
    <cellStyle name="Warning Text 13" xfId="35353" xr:uid="{1EF5A3BF-8C84-45E0-934D-AAAF4C9FFF02}"/>
    <cellStyle name="Warning Text 13 2" xfId="39548" xr:uid="{BC5D1054-9E4A-4440-B223-E8AE53A105D0}"/>
    <cellStyle name="Warning Text 13 3" xfId="39549" xr:uid="{D2FBA59C-F1A5-4E5E-9C89-5D5A53AA2405}"/>
    <cellStyle name="Warning Text 130" xfId="35354" xr:uid="{03F2CD85-A3A6-4C82-B479-3488951FA7DA}"/>
    <cellStyle name="Warning Text 131" xfId="35355" xr:uid="{8789C0B3-0262-4DF7-B65B-E338BA169719}"/>
    <cellStyle name="Warning Text 132" xfId="35356" xr:uid="{7BAD25BF-04E6-4CD5-93FB-B8E72FC8A9BA}"/>
    <cellStyle name="Warning Text 133" xfId="35357" xr:uid="{2600BB96-7D52-4E88-B894-7F4F502F1529}"/>
    <cellStyle name="Warning Text 134" xfId="35358" xr:uid="{FB176F8C-9AA3-442B-A40D-B679D1954BA4}"/>
    <cellStyle name="Warning Text 135" xfId="35359" xr:uid="{331AA720-9394-4A9A-A4E5-D23250E6D9C0}"/>
    <cellStyle name="Warning Text 136" xfId="35360" xr:uid="{C2AABF5F-BCA3-4C67-AFCA-C6D5C5ACC21F}"/>
    <cellStyle name="Warning Text 137" xfId="35361" xr:uid="{D943AD84-1D57-40B1-98A9-B35D785C7330}"/>
    <cellStyle name="Warning Text 138" xfId="35362" xr:uid="{DBE5291E-8C57-4791-969B-704F2E2ABC30}"/>
    <cellStyle name="Warning Text 139" xfId="35363" xr:uid="{84B5BB9B-F328-48C1-BF2A-09DB52F06E80}"/>
    <cellStyle name="Warning Text 14" xfId="35364" xr:uid="{AD2B33DD-23F7-41AF-B20E-2CB0B45C2241}"/>
    <cellStyle name="Warning Text 14 2" xfId="39550" xr:uid="{4BB0BEF4-CCBC-4012-B699-82178B770F06}"/>
    <cellStyle name="Warning Text 14 3" xfId="39551" xr:uid="{B2AEE82D-5FEE-47D4-8973-E9C3F2A2DE11}"/>
    <cellStyle name="Warning Text 140" xfId="35365" xr:uid="{3DC14E95-140F-4D90-AE3F-80A1A2E86E72}"/>
    <cellStyle name="Warning Text 141" xfId="35366" xr:uid="{AB0B26C5-11A1-4C72-8C05-F4D0FDE050B8}"/>
    <cellStyle name="Warning Text 142" xfId="35367" xr:uid="{C0F835DB-B2BC-45D9-9469-010ADB226131}"/>
    <cellStyle name="Warning Text 143" xfId="35368" xr:uid="{33A00801-B072-4813-A6FD-5D306DA26F04}"/>
    <cellStyle name="Warning Text 144" xfId="35369" xr:uid="{0D75C2E5-A54B-4C1E-A8EF-BA0DF2D21E60}"/>
    <cellStyle name="Warning Text 145" xfId="35370" xr:uid="{2868A3CC-1689-477F-B594-47015416AA41}"/>
    <cellStyle name="Warning Text 146" xfId="35371" xr:uid="{1366EF61-6869-4FBE-B755-36C4DCDDB207}"/>
    <cellStyle name="Warning Text 147" xfId="35372" xr:uid="{B7438CE7-33B1-41E7-B7BB-EB3B738DFD4A}"/>
    <cellStyle name="Warning Text 148" xfId="35373" xr:uid="{1B21AEDE-6955-43ED-BC05-8B9C3C0E1A2A}"/>
    <cellStyle name="Warning Text 149" xfId="35374" xr:uid="{081CBB8E-B4B1-4808-9992-56DD3B4AD75D}"/>
    <cellStyle name="Warning Text 15" xfId="35375" xr:uid="{D536E640-6832-4E2C-A8A5-37FF8EB6ACFC}"/>
    <cellStyle name="Warning Text 15 2" xfId="39552" xr:uid="{2B2E56C8-4B0B-4F8E-93C2-5E131C5196BB}"/>
    <cellStyle name="Warning Text 15 3" xfId="39553" xr:uid="{1BEB687A-A05A-4C1A-AEEB-65E054D68DAF}"/>
    <cellStyle name="Warning Text 150" xfId="35376" xr:uid="{AB3A390E-8519-4E85-AC0D-B78798755E77}"/>
    <cellStyle name="Warning Text 151" xfId="35377" xr:uid="{71C7C1B3-4967-48C4-84F4-0046FAEDEBF5}"/>
    <cellStyle name="Warning Text 152" xfId="35378" xr:uid="{C4974300-2C8C-4E0C-9FA7-053EFA725AB4}"/>
    <cellStyle name="Warning Text 153" xfId="35379" xr:uid="{BE9481F1-8E13-4555-BDC4-B2E404C280E4}"/>
    <cellStyle name="Warning Text 154" xfId="35380" xr:uid="{57A53147-3789-42E4-8076-AA570DDF6B6E}"/>
    <cellStyle name="Warning Text 155" xfId="35381" xr:uid="{146F81B8-AAD3-4BBA-9C54-978D177C2C0E}"/>
    <cellStyle name="Warning Text 156" xfId="35382" xr:uid="{33A7DC0B-BC13-4613-B102-3F9EB566A9A4}"/>
    <cellStyle name="Warning Text 157" xfId="35383" xr:uid="{EB54F578-EE57-4DFD-B2C3-E04668DFDF24}"/>
    <cellStyle name="Warning Text 158" xfId="35384" xr:uid="{956A696B-7700-4A93-B9D2-84238E478C8A}"/>
    <cellStyle name="Warning Text 159" xfId="35385" xr:uid="{12F86F6A-8DF2-4FED-84CE-D9E3CC8AFE85}"/>
    <cellStyle name="Warning Text 16" xfId="35386" xr:uid="{48FF3F1D-B0CE-46AC-BDF3-D8AA10078361}"/>
    <cellStyle name="Warning Text 16 2" xfId="39554" xr:uid="{5E68227C-FEE6-4ED4-8406-4F152F6DECA3}"/>
    <cellStyle name="Warning Text 16 3" xfId="39555" xr:uid="{BB5A9A69-1782-4F62-A984-8609DDD26F05}"/>
    <cellStyle name="Warning Text 160" xfId="35387" xr:uid="{56012EA7-E405-4DF4-8714-8EF8CD9876C8}"/>
    <cellStyle name="Warning Text 17" xfId="35388" xr:uid="{B55D9A58-5045-4591-85CA-55F3D75ABE0F}"/>
    <cellStyle name="Warning Text 17 2" xfId="39556" xr:uid="{C58D691D-D273-47DC-B305-6FF1B277C7E7}"/>
    <cellStyle name="Warning Text 17 3" xfId="39557" xr:uid="{ACE6ABF2-EF71-4F2C-867B-B9DABEF44D8A}"/>
    <cellStyle name="Warning Text 18" xfId="35389" xr:uid="{F2790A89-5278-4B3A-96DE-274BFD653612}"/>
    <cellStyle name="Warning Text 18 2" xfId="39558" xr:uid="{EEC766B6-48C5-4A0D-89E2-411A4E66004E}"/>
    <cellStyle name="Warning Text 18 3" xfId="39559" xr:uid="{281EF67A-7E9B-4CCC-83F4-1C5F94236D98}"/>
    <cellStyle name="Warning Text 19" xfId="35390" xr:uid="{931682B8-6A95-43B6-8F2B-EBF97039EA23}"/>
    <cellStyle name="Warning Text 19 2" xfId="39560" xr:uid="{43987634-67AE-4701-B895-00F24B5538CA}"/>
    <cellStyle name="Warning Text 2" xfId="35391" xr:uid="{4741E356-946C-45BB-BFF2-0459A2DBE5F7}"/>
    <cellStyle name="Warning Text 2 2" xfId="35392" xr:uid="{260A10E2-8AF4-4D44-A843-C7E124A0296E}"/>
    <cellStyle name="Warning Text 2 3" xfId="39561" xr:uid="{23154312-D5C2-470B-AAAB-3B6972FBFBAC}"/>
    <cellStyle name="Warning Text 2 4" xfId="39562" xr:uid="{19D5DCFA-1DC9-4CE7-8B74-02BEB172BB13}"/>
    <cellStyle name="Warning Text 2 5" xfId="39563" xr:uid="{9200CE1C-D81A-4830-A05C-F3E2A185EA86}"/>
    <cellStyle name="Warning Text 20" xfId="35393" xr:uid="{E291A4DE-48C9-4FEF-8060-F0C8E62E4098}"/>
    <cellStyle name="Warning Text 20 2" xfId="39564" xr:uid="{AE24DA18-31B5-4E91-8FA7-993663D1F9C5}"/>
    <cellStyle name="Warning Text 21" xfId="35394" xr:uid="{CCF9E306-4CE0-49C9-865C-9F2435B09FB8}"/>
    <cellStyle name="Warning Text 21 2" xfId="39565" xr:uid="{579F7965-34E3-49DA-8158-20AE6BB99C8E}"/>
    <cellStyle name="Warning Text 22" xfId="35395" xr:uid="{C76EE254-FFB9-4662-A8F3-D3BE93E0E88B}"/>
    <cellStyle name="Warning Text 22 2" xfId="39566" xr:uid="{2C8C868D-2458-4BF9-AB74-8BAD2E29721F}"/>
    <cellStyle name="Warning Text 23" xfId="35396" xr:uid="{B5F3E535-B172-457E-9ED2-A1EC002CA263}"/>
    <cellStyle name="Warning Text 23 2" xfId="39567" xr:uid="{ECB69061-7BC7-4684-87B4-EDFAF44936F0}"/>
    <cellStyle name="Warning Text 24" xfId="35397" xr:uid="{C3FA0828-8337-4ADD-AA46-635764D733CC}"/>
    <cellStyle name="Warning Text 24 2" xfId="39568" xr:uid="{FFF57399-57C0-4FA3-B608-BB79F7676CD8}"/>
    <cellStyle name="Warning Text 25" xfId="35398" xr:uid="{38234786-12EC-47F7-8B52-879A4CA43BF1}"/>
    <cellStyle name="Warning Text 25 2" xfId="39569" xr:uid="{ACF97981-FAFD-4050-A239-C714C476969A}"/>
    <cellStyle name="Warning Text 26" xfId="35399" xr:uid="{F6EBCA31-59CB-445D-AFC0-1B27ADCD8760}"/>
    <cellStyle name="Warning Text 26 2" xfId="39570" xr:uid="{023E4944-2BF5-4AFC-9AFB-85A8395DB318}"/>
    <cellStyle name="Warning Text 27" xfId="35400" xr:uid="{ADA7C48D-A9D9-4D68-B7C5-4AC2C9EFA3D6}"/>
    <cellStyle name="Warning Text 27 2" xfId="39571" xr:uid="{C46BF764-55BA-4C97-B3B1-A21C1DCF8B15}"/>
    <cellStyle name="Warning Text 28" xfId="35401" xr:uid="{A933704A-3B67-4A6C-99B9-32602ED02959}"/>
    <cellStyle name="Warning Text 28 2" xfId="39572" xr:uid="{B3D9DCBD-1BAB-4D7C-ABF3-DA688D5F1CED}"/>
    <cellStyle name="Warning Text 29" xfId="35402" xr:uid="{4D3363B5-46E1-4307-A246-60A0AE2E1463}"/>
    <cellStyle name="Warning Text 29 2" xfId="35403" xr:uid="{1795B3EC-C293-46AB-BF69-7B57FA5C5023}"/>
    <cellStyle name="Warning Text 29 3" xfId="39573" xr:uid="{3988CF98-1857-411F-92F2-7A1C04F452D8}"/>
    <cellStyle name="Warning Text 3" xfId="35404" xr:uid="{DB3A38B4-EA3A-4801-B506-AAB172F1E047}"/>
    <cellStyle name="Warning Text 3 2" xfId="35405" xr:uid="{D50334FF-96B5-449B-91AB-8F0FA8F35C51}"/>
    <cellStyle name="Warning Text 3 3" xfId="39574" xr:uid="{843B9731-CAA3-4E60-9D00-D53644ABD5B6}"/>
    <cellStyle name="Warning Text 3 4" xfId="39575" xr:uid="{09476C98-B92D-4477-B4BB-53D26A915196}"/>
    <cellStyle name="Warning Text 30" xfId="35406" xr:uid="{240C60FE-069D-4410-B7EB-CC849314AE18}"/>
    <cellStyle name="Warning Text 30 2" xfId="39576" xr:uid="{7F2DA2C0-7FC6-412E-9A2F-8B1A072CBE3C}"/>
    <cellStyle name="Warning Text 31" xfId="35407" xr:uid="{032B533B-F296-4FD4-9933-504DD8B2900C}"/>
    <cellStyle name="Warning Text 32" xfId="35408" xr:uid="{2CF86C6B-0C68-4D62-82D5-A64D46141C25}"/>
    <cellStyle name="Warning Text 33" xfId="35409" xr:uid="{A6948AC9-E2FB-4542-8EF3-C156FE571B1C}"/>
    <cellStyle name="Warning Text 34" xfId="35410" xr:uid="{A46A9FCC-C9E3-4782-B932-B9400F86ADF9}"/>
    <cellStyle name="Warning Text 35" xfId="35411" xr:uid="{11A2D7B0-0C5A-4416-9AC4-181786F17604}"/>
    <cellStyle name="Warning Text 36" xfId="35412" xr:uid="{656CCC9E-5B3D-4C75-999B-64D6CF50D560}"/>
    <cellStyle name="Warning Text 37" xfId="35413" xr:uid="{93D9A06B-F61C-4E27-877D-A3C32A8CCDE3}"/>
    <cellStyle name="Warning Text 38" xfId="35414" xr:uid="{C95C2FE6-B0F1-4D76-AF4C-B664727C224B}"/>
    <cellStyle name="Warning Text 39" xfId="35415" xr:uid="{6FA5A715-1EC4-43C9-818D-CBEC44274FB0}"/>
    <cellStyle name="Warning Text 4" xfId="35416" xr:uid="{94A10BD2-D54A-4E32-BEE8-DBB169BBA099}"/>
    <cellStyle name="Warning Text 4 2" xfId="39577" xr:uid="{3861DC77-06CF-426A-93A8-C2754E279934}"/>
    <cellStyle name="Warning Text 4 3" xfId="39578" xr:uid="{619BC0DB-203E-4F29-A615-C1C814A9E3C0}"/>
    <cellStyle name="Warning Text 40" xfId="35417" xr:uid="{88F54AC0-73F3-417A-B464-B2B2CBA2533F}"/>
    <cellStyle name="Warning Text 41" xfId="35418" xr:uid="{28722797-8346-4B43-9E1E-B047BCADFA21}"/>
    <cellStyle name="Warning Text 42" xfId="35419" xr:uid="{5AFF1668-4E68-40CC-AEF6-390989C1048F}"/>
    <cellStyle name="Warning Text 43" xfId="35420" xr:uid="{9614B0FE-AD19-4A48-A2E2-A4500F367409}"/>
    <cellStyle name="Warning Text 44" xfId="35421" xr:uid="{3F1D4EB9-A9E9-429B-A221-6DBEE0EF3200}"/>
    <cellStyle name="Warning Text 45" xfId="35422" xr:uid="{00455ABC-2FFB-4653-80E7-E74F4F017D3D}"/>
    <cellStyle name="Warning Text 46" xfId="35423" xr:uid="{B938BD45-E44C-4C3C-A169-215BEA2E01CC}"/>
    <cellStyle name="Warning Text 47" xfId="35424" xr:uid="{C0FC751A-6EF3-41D4-A95B-CE262CB6401F}"/>
    <cellStyle name="Warning Text 48" xfId="35425" xr:uid="{4D43BDFE-B383-4DC2-BF0B-2F741F65EC59}"/>
    <cellStyle name="Warning Text 49" xfId="35426" xr:uid="{75ECD20D-0B84-4BDF-AC92-7DB2B6BD2820}"/>
    <cellStyle name="Warning Text 5" xfId="35427" xr:uid="{DB33B15D-3B21-4108-AAA7-EBA83C8A6315}"/>
    <cellStyle name="Warning Text 5 2" xfId="39579" xr:uid="{F6405CC7-4223-4222-8F6B-2F6B31C8A930}"/>
    <cellStyle name="Warning Text 5 3" xfId="39580" xr:uid="{CB0EF449-460F-444A-BDBB-659120D948ED}"/>
    <cellStyle name="Warning Text 50" xfId="35428" xr:uid="{9ADBE625-2580-4B6A-B152-4D12CA447851}"/>
    <cellStyle name="Warning Text 51" xfId="35429" xr:uid="{0873243E-EF3E-4F59-837F-B49BFC937EF8}"/>
    <cellStyle name="Warning Text 52" xfId="35430" xr:uid="{70BBB89E-50F7-4E08-97C4-337BE8EFC728}"/>
    <cellStyle name="Warning Text 53" xfId="35431" xr:uid="{21A14941-5485-4866-9B10-B86036B52A29}"/>
    <cellStyle name="Warning Text 54" xfId="35432" xr:uid="{BFDE6B0E-1177-4EAF-A158-3708DEA3EF98}"/>
    <cellStyle name="Warning Text 55" xfId="35433" xr:uid="{75B3C992-BA95-4328-A767-6BC985C799D7}"/>
    <cellStyle name="Warning Text 56" xfId="35434" xr:uid="{1CD06686-24BD-414F-92F3-7D3FCE31D5EF}"/>
    <cellStyle name="Warning Text 57" xfId="35435" xr:uid="{05C78BE3-4510-4221-A50B-D5E9B5CA818C}"/>
    <cellStyle name="Warning Text 58" xfId="35436" xr:uid="{1A1EE4CE-6B37-4969-B76F-884F978EE14F}"/>
    <cellStyle name="Warning Text 59" xfId="35437" xr:uid="{F1A2C6BD-91B9-42A5-9AE4-73FD818A826E}"/>
    <cellStyle name="Warning Text 6" xfId="35438" xr:uid="{B1DE6BB4-18F4-4548-94DE-F66C303AD435}"/>
    <cellStyle name="Warning Text 6 2" xfId="39581" xr:uid="{AE5CFA9A-5AC9-485B-A816-10BDFA4B691E}"/>
    <cellStyle name="Warning Text 6 3" xfId="39582" xr:uid="{6C1F587B-BBED-421D-A39D-D3506BC8BAB7}"/>
    <cellStyle name="Warning Text 60" xfId="35439" xr:uid="{E64BA5E8-9F52-44B0-88FB-086EFBBA4DFF}"/>
    <cellStyle name="Warning Text 61" xfId="35440" xr:uid="{CDBA5004-AA19-456D-9109-2395806FA454}"/>
    <cellStyle name="Warning Text 62" xfId="35441" xr:uid="{4ED0BB9C-5EC8-4B1B-851A-1869F0248330}"/>
    <cellStyle name="Warning Text 63" xfId="35442" xr:uid="{72EA7F09-5276-40A5-A409-5180800D059B}"/>
    <cellStyle name="Warning Text 64" xfId="35443" xr:uid="{731F0C46-47C2-4D53-A017-5F8A2B65373A}"/>
    <cellStyle name="Warning Text 65" xfId="35444" xr:uid="{0ECF52FD-D86F-4833-B620-167B020B7480}"/>
    <cellStyle name="Warning Text 66" xfId="35445" xr:uid="{727A64AC-4F8D-408A-AC82-48033FB772D7}"/>
    <cellStyle name="Warning Text 67" xfId="35446" xr:uid="{C138AAC5-1E51-41F2-9C58-C166F246A210}"/>
    <cellStyle name="Warning Text 68" xfId="35447" xr:uid="{2F441FCD-6DD8-4801-933A-97AEEE8D3DFA}"/>
    <cellStyle name="Warning Text 69" xfId="35448" xr:uid="{07FB26E9-1AA0-4C57-AC77-63EEC45B6D44}"/>
    <cellStyle name="Warning Text 7" xfId="35449" xr:uid="{275036CA-6D0B-4628-976D-D5CDDCFF523A}"/>
    <cellStyle name="Warning Text 7 2" xfId="39583" xr:uid="{FCAF99DE-02B8-4CD2-B16F-B7F2E3B3A9FF}"/>
    <cellStyle name="Warning Text 7 3" xfId="39584" xr:uid="{1183A0F6-757A-44D9-AF71-262029384BF8}"/>
    <cellStyle name="Warning Text 70" xfId="35450" xr:uid="{3B4B70D9-95C2-4BAB-A0F3-6FC04D14294D}"/>
    <cellStyle name="Warning Text 71" xfId="35451" xr:uid="{C68750A6-C942-4D0B-80CA-B1B5FC0AF753}"/>
    <cellStyle name="Warning Text 72" xfId="35452" xr:uid="{41F49482-3F21-48AC-BA2B-3B6B0A3A1C99}"/>
    <cellStyle name="Warning Text 73" xfId="35453" xr:uid="{4BFF87FA-47AF-435F-86E4-E4179E5A957B}"/>
    <cellStyle name="Warning Text 74" xfId="35454" xr:uid="{27F9839C-CC7B-40DD-B6B6-0F027302CC21}"/>
    <cellStyle name="Warning Text 75" xfId="35455" xr:uid="{43D6E427-023F-4F01-8926-576C5E80C2D5}"/>
    <cellStyle name="Warning Text 76" xfId="35456" xr:uid="{1008A633-95D4-4548-9E02-A309B36AE218}"/>
    <cellStyle name="Warning Text 77" xfId="35457" xr:uid="{30E8A16F-7FBA-4AC9-804D-B69DCB970B78}"/>
    <cellStyle name="Warning Text 78" xfId="35458" xr:uid="{EB9B1578-729A-493E-B6A9-9425839CDA59}"/>
    <cellStyle name="Warning Text 79" xfId="35459" xr:uid="{427595BB-B1DE-4A7C-8B5C-8C32E966EBC7}"/>
    <cellStyle name="Warning Text 8" xfId="35460" xr:uid="{3D9BC2BF-E533-47CE-A1F7-527385C6F005}"/>
    <cellStyle name="Warning Text 8 2" xfId="39585" xr:uid="{24A6D92E-F821-445E-9506-8679EAFFF0A4}"/>
    <cellStyle name="Warning Text 8 3" xfId="39586" xr:uid="{CB71613E-1E94-4E2E-8C24-65EE83C56DF1}"/>
    <cellStyle name="Warning Text 80" xfId="35461" xr:uid="{05E7AAB2-D146-4910-942F-D2F03B53070F}"/>
    <cellStyle name="Warning Text 81" xfId="35462" xr:uid="{2F87CF31-8C15-4B9D-B368-D814830E3AA8}"/>
    <cellStyle name="Warning Text 82" xfId="35463" xr:uid="{A9BBDAC5-B3E6-4410-8A8A-ECF1A3FCA895}"/>
    <cellStyle name="Warning Text 83" xfId="35464" xr:uid="{34024457-D679-4661-9031-9A2DA3EFACD6}"/>
    <cellStyle name="Warning Text 84" xfId="35465" xr:uid="{6E878DCD-62BD-43B9-A778-41F572197911}"/>
    <cellStyle name="Warning Text 85" xfId="35466" xr:uid="{CDEFFF34-D0A2-429C-AFFE-485793BCFB03}"/>
    <cellStyle name="Warning Text 86" xfId="35467" xr:uid="{7433E9BB-AA85-4D6C-8004-5C619C5279DF}"/>
    <cellStyle name="Warning Text 87" xfId="35468" xr:uid="{6E3B6FD6-CBC1-4B79-B4A4-15452FEF98A5}"/>
    <cellStyle name="Warning Text 88" xfId="35469" xr:uid="{845C1378-5925-441D-B063-EB742FEC8D9D}"/>
    <cellStyle name="Warning Text 89" xfId="35470" xr:uid="{0264BA71-A6BD-4637-BBAA-FF24D4F7607C}"/>
    <cellStyle name="Warning Text 9" xfId="35471" xr:uid="{04A8FD06-A17F-4F32-B5A3-29CDE2C9B190}"/>
    <cellStyle name="Warning Text 9 2" xfId="39587" xr:uid="{EF2AF9C4-86E1-4D77-BB29-EF86887129A4}"/>
    <cellStyle name="Warning Text 9 3" xfId="39588" xr:uid="{BD9B355D-1FFD-4B31-8B55-E1CFB162F91C}"/>
    <cellStyle name="Warning Text 90" xfId="35472" xr:uid="{3FF417C5-31B0-4D7B-93C4-24535B625455}"/>
    <cellStyle name="Warning Text 91" xfId="35473" xr:uid="{21F5B3AE-F905-43C3-AC35-0C5B130991A3}"/>
    <cellStyle name="Warning Text 92" xfId="35474" xr:uid="{78B585B9-7DC9-4EAE-9296-FD835E162F78}"/>
    <cellStyle name="Warning Text 93" xfId="35475" xr:uid="{0CF6182C-C7B6-4D9B-ABB7-4390BB9E0FA6}"/>
    <cellStyle name="Warning Text 94" xfId="35476" xr:uid="{DE7DA0EA-4626-4F51-B34C-C5FA502CA321}"/>
    <cellStyle name="Warning Text 95" xfId="35477" xr:uid="{D7D880E6-590B-4A6C-AC0D-1D4EF3DDB1B5}"/>
    <cellStyle name="Warning Text 96" xfId="35478" xr:uid="{A08F4239-04B3-4C15-99A5-B728D2A9C1B2}"/>
    <cellStyle name="Warning Text 97" xfId="35479" xr:uid="{25974386-19F6-4601-B627-94DF963C56C4}"/>
    <cellStyle name="Warning Text 98" xfId="35480" xr:uid="{49B6BC10-6847-4C13-812D-73A5A05DC3BE}"/>
    <cellStyle name="Warning Text 99" xfId="35481" xr:uid="{651C8A57-53BD-483B-B982-9B73EFA55EC1}"/>
    <cellStyle name="뷭?_BOOKSHIP" xfId="35482" xr:uid="{0410B5FF-F4E7-4951-8DE6-9389F7CEAB71}"/>
    <cellStyle name="쉼표_2005 Cost Overlay reconcilition_Korea(Dec1)" xfId="35483" xr:uid="{D70E78CF-4810-4009-90E6-9EA00D7D54C5}"/>
    <cellStyle name="콤마 [0]_1.품의서" xfId="35484" xr:uid="{1F4FE311-4302-4B74-926A-4AA2E0D9700C}"/>
    <cellStyle name="콤마_1.품의서" xfId="35485" xr:uid="{EDB8386C-4784-47A6-B2E2-92366D8BF5B6}"/>
    <cellStyle name="표준_mmt(Recon)" xfId="35486" xr:uid="{DAD6BF04-8FD3-4187-841B-937617EF7F1B}"/>
    <cellStyle name="一般_AsPac-Business Update-0106 template-2" xfId="35487" xr:uid="{9A91C510-8224-47AD-976F-C85903B75D89}"/>
    <cellStyle name="千位分隔_DN0401" xfId="35488" xr:uid="{48DD4F98-9FEE-4650-B8F3-ABF23958445A}"/>
    <cellStyle name="常规_BUF0406i" xfId="35489" xr:uid="{65902FF9-9A33-43B9-9EA6-2F62C6854270}"/>
    <cellStyle name="桁区切り [0.00]_Bridge" xfId="35490" xr:uid="{F81F52CD-4583-4F02-A330-9A0BF8695EE0}"/>
    <cellStyle name="桁区切り_Bridge" xfId="35491" xr:uid="{B518A467-E07B-4BC8-A80B-4DD364863A4C}"/>
    <cellStyle name="標準_BMLBridge06ProvsBud" xfId="35492" xr:uid="{2FE45B40-0D1A-4024-B8A1-89E8E12B4B34}"/>
  </cellStyles>
  <dxfs count="18">
    <dxf>
      <font>
        <color theme="1" tint="0.499984740745262"/>
      </font>
      <fill>
        <patternFill>
          <bgColor theme="7" tint="0.59996337778862885"/>
        </patternFill>
      </fill>
    </dxf>
    <dxf>
      <font>
        <color theme="1" tint="0.499984740745262"/>
      </font>
      <fill>
        <patternFill>
          <bgColor theme="9" tint="0.59996337778862885"/>
        </patternFill>
      </fill>
    </dxf>
    <dxf>
      <font>
        <color theme="1" tint="0.499984740745262"/>
      </font>
      <fill>
        <patternFill>
          <bgColor theme="7" tint="0.59996337778862885"/>
        </patternFill>
      </fill>
    </dxf>
    <dxf>
      <font>
        <color theme="1" tint="0.499984740745262"/>
      </font>
      <fill>
        <patternFill>
          <bgColor theme="9" tint="0.59996337778862885"/>
        </patternFill>
      </fill>
    </dxf>
    <dxf>
      <font>
        <color theme="1" tint="0.499984740745262"/>
      </font>
      <fill>
        <patternFill>
          <bgColor theme="7" tint="0.59996337778862885"/>
        </patternFill>
      </fill>
    </dxf>
    <dxf>
      <font>
        <color theme="1" tint="0.499984740745262"/>
      </font>
      <fill>
        <patternFill>
          <bgColor theme="9" tint="0.59996337778862885"/>
        </patternFill>
      </fill>
    </dxf>
    <dxf>
      <font>
        <color theme="1" tint="0.499984740745262"/>
      </font>
      <fill>
        <patternFill>
          <bgColor theme="7" tint="0.59996337778862885"/>
        </patternFill>
      </fill>
    </dxf>
    <dxf>
      <font>
        <color theme="1" tint="0.499984740745262"/>
      </font>
      <fill>
        <patternFill>
          <bgColor theme="9" tint="0.59996337778862885"/>
        </patternFill>
      </fill>
    </dxf>
    <dxf>
      <font>
        <color theme="1" tint="0.499984740745262"/>
      </font>
      <fill>
        <patternFill>
          <bgColor theme="7" tint="0.59996337778862885"/>
        </patternFill>
      </fill>
    </dxf>
    <dxf>
      <font>
        <color theme="1" tint="0.499984740745262"/>
      </font>
      <fill>
        <patternFill>
          <bgColor theme="9" tint="0.59996337778862885"/>
        </patternFill>
      </fill>
    </dxf>
    <dxf>
      <font>
        <color theme="1" tint="0.499984740745262"/>
      </font>
      <fill>
        <patternFill>
          <bgColor theme="7" tint="0.59996337778862885"/>
        </patternFill>
      </fill>
    </dxf>
    <dxf>
      <font>
        <color theme="1" tint="0.499984740745262"/>
      </font>
      <fill>
        <patternFill>
          <bgColor theme="9" tint="0.59996337778862885"/>
        </patternFill>
      </fill>
    </dxf>
    <dxf>
      <font>
        <color theme="1" tint="0.499984740745262"/>
      </font>
      <fill>
        <patternFill>
          <bgColor theme="7" tint="0.59996337778862885"/>
        </patternFill>
      </fill>
    </dxf>
    <dxf>
      <font>
        <color theme="1" tint="0.499984740745262"/>
      </font>
      <fill>
        <patternFill>
          <bgColor theme="9" tint="0.59996337778862885"/>
        </patternFill>
      </fill>
    </dxf>
    <dxf>
      <font>
        <color theme="1" tint="0.499984740745262"/>
      </font>
      <fill>
        <patternFill>
          <bgColor theme="7" tint="0.59996337778862885"/>
        </patternFill>
      </fill>
    </dxf>
    <dxf>
      <font>
        <color theme="1" tint="0.499984740745262"/>
      </font>
      <fill>
        <patternFill>
          <bgColor theme="9" tint="0.59996337778862885"/>
        </patternFill>
      </fill>
    </dxf>
    <dxf>
      <font>
        <color theme="1" tint="0.499984740745262"/>
      </font>
      <fill>
        <patternFill>
          <bgColor theme="7" tint="0.59996337778862885"/>
        </patternFill>
      </fill>
    </dxf>
    <dxf>
      <font>
        <color theme="1" tint="0.499984740745262"/>
      </font>
      <fill>
        <patternFill>
          <bgColor theme="9"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257CFB"/>
      <rgbColor rgb="0033CCCC"/>
      <rgbColor rgb="00B6F600"/>
      <rgbColor rgb="00FFCC00"/>
      <rgbColor rgb="00FF9900"/>
      <rgbColor rgb="00FF6600"/>
      <rgbColor rgb="00666699"/>
      <rgbColor rgb="00969696"/>
      <rgbColor rgb="0000ADEF"/>
      <rgbColor rgb="00339966"/>
      <rgbColor rgb="00003300"/>
      <rgbColor rgb="00333300"/>
      <rgbColor rgb="00993300"/>
      <rgbColor rgb="00993366"/>
      <rgbColor rgb="00333399"/>
      <rgbColor rgb="00333333"/>
    </indexedColors>
    <mruColors>
      <color rgb="FFED1C24"/>
      <color rgb="FFFFFDFB"/>
      <color rgb="FF009644"/>
      <color rgb="FF0072C8"/>
      <color rgb="FF0065B0"/>
      <color rgb="FF2E7AEA"/>
      <color rgb="FF00339A"/>
      <color rgb="FFE58832"/>
      <color rgb="FFFFFF96"/>
      <color rgb="FFF8F0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10/relationships/person" Target="persons/perso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haredStrings" Target="sharedString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col"/>
        <c:grouping val="stacked"/>
        <c:varyColors val="0"/>
        <c:ser>
          <c:idx val="0"/>
          <c:order val="0"/>
          <c:tx>
            <c:strRef>
              <c:f>'Blank (2)'!$D$130</c:f>
              <c:strCache>
                <c:ptCount val="1"/>
              </c:strCache>
            </c:strRef>
          </c:tx>
          <c:spPr>
            <a:solidFill>
              <a:schemeClr val="accent1">
                <a:lumMod val="5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'Blank (2)'!$G$130:$Z$130</c15:sqref>
                  </c15:fullRef>
                </c:ext>
              </c:extLst>
              <c:f>'Blank (2)'!$G$130:$U$130</c:f>
              <c:numCache>
                <c:formatCode>General</c:formatCode>
                <c:ptCount val="15"/>
              </c:numCache>
            </c:numRef>
          </c:val>
          <c:extLst>
            <c:ext xmlns:c16="http://schemas.microsoft.com/office/drawing/2014/chart" uri="{C3380CC4-5D6E-409C-BE32-E72D297353CC}">
              <c16:uniqueId val="{00000000-208E-463C-9C7A-9EBB473D5817}"/>
            </c:ext>
          </c:extLst>
        </c:ser>
        <c:ser>
          <c:idx val="1"/>
          <c:order val="1"/>
          <c:tx>
            <c:strRef>
              <c:f>'Blank (2)'!$D$131</c:f>
              <c:strCache>
                <c:ptCount val="1"/>
              </c:strCache>
            </c:strRef>
          </c:tx>
          <c:spPr>
            <a:solidFill>
              <a:schemeClr val="accent1">
                <a:lumMod val="75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'Blank (2)'!$G$131:$Z$131</c15:sqref>
                  </c15:fullRef>
                </c:ext>
              </c:extLst>
              <c:f>'Blank (2)'!$G$131:$U$131</c:f>
              <c:numCache>
                <c:formatCode>General</c:formatCode>
                <c:ptCount val="15"/>
              </c:numCache>
            </c:numRef>
          </c:val>
          <c:extLst>
            <c:ext xmlns:c16="http://schemas.microsoft.com/office/drawing/2014/chart" uri="{C3380CC4-5D6E-409C-BE32-E72D297353CC}">
              <c16:uniqueId val="{00000001-208E-463C-9C7A-9EBB473D5817}"/>
            </c:ext>
          </c:extLst>
        </c:ser>
        <c:ser>
          <c:idx val="2"/>
          <c:order val="2"/>
          <c:tx>
            <c:strRef>
              <c:f>'Blank (2)'!$D$132</c:f>
              <c:strCache>
                <c:ptCount val="1"/>
              </c:strCache>
            </c:strRef>
          </c:tx>
          <c:spPr>
            <a:solidFill>
              <a:schemeClr val="accent1">
                <a:lumMod val="60000"/>
                <a:lumOff val="4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'Blank (2)'!$G$132:$Z$132</c15:sqref>
                  </c15:fullRef>
                </c:ext>
              </c:extLst>
              <c:f>'Blank (2)'!$G$132:$U$132</c:f>
              <c:numCache>
                <c:formatCode>General</c:formatCode>
                <c:ptCount val="15"/>
              </c:numCache>
            </c:numRef>
          </c:val>
          <c:extLst>
            <c:ext xmlns:c16="http://schemas.microsoft.com/office/drawing/2014/chart" uri="{C3380CC4-5D6E-409C-BE32-E72D297353CC}">
              <c16:uniqueId val="{00000002-208E-463C-9C7A-9EBB473D5817}"/>
            </c:ext>
          </c:extLst>
        </c:ser>
        <c:ser>
          <c:idx val="3"/>
          <c:order val="3"/>
          <c:tx>
            <c:strRef>
              <c:f>'Blank (2)'!$D$133</c:f>
              <c:strCache>
                <c:ptCount val="1"/>
              </c:strCache>
            </c:strRef>
          </c:tx>
          <c:spPr>
            <a:solidFill>
              <a:schemeClr val="accent1">
                <a:lumMod val="40000"/>
                <a:lumOff val="6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'Blank (2)'!$G$133:$Z$133</c15:sqref>
                  </c15:fullRef>
                </c:ext>
              </c:extLst>
              <c:f>'Blank (2)'!$G$133:$U$133</c:f>
              <c:numCache>
                <c:formatCode>General</c:formatCode>
                <c:ptCount val="15"/>
              </c:numCache>
            </c:numRef>
          </c:val>
          <c:extLst>
            <c:ext xmlns:c16="http://schemas.microsoft.com/office/drawing/2014/chart" uri="{C3380CC4-5D6E-409C-BE32-E72D297353CC}">
              <c16:uniqueId val="{00000003-208E-463C-9C7A-9EBB473D5817}"/>
            </c:ext>
          </c:extLst>
        </c:ser>
        <c:ser>
          <c:idx val="4"/>
          <c:order val="4"/>
          <c:tx>
            <c:strRef>
              <c:f>'Blank (2)'!$D$134</c:f>
              <c:strCache>
                <c:ptCount val="1"/>
              </c:strCache>
            </c:strRef>
          </c:tx>
          <c:spPr>
            <a:solidFill>
              <a:schemeClr val="accent1">
                <a:lumMod val="20000"/>
                <a:lumOff val="8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'Blank (2)'!$G$134:$Z$134</c15:sqref>
                  </c15:fullRef>
                </c:ext>
              </c:extLst>
              <c:f>'Blank (2)'!$G$134:$U$134</c:f>
              <c:numCache>
                <c:formatCode>General</c:formatCode>
                <c:ptCount val="15"/>
              </c:numCache>
            </c:numRef>
          </c:val>
          <c:extLst>
            <c:ext xmlns:c16="http://schemas.microsoft.com/office/drawing/2014/chart" uri="{C3380CC4-5D6E-409C-BE32-E72D297353CC}">
              <c16:uniqueId val="{00000004-208E-463C-9C7A-9EBB473D5817}"/>
            </c:ext>
          </c:extLst>
        </c:ser>
        <c:dLbls>
          <c:showLegendKey val="0"/>
          <c:showVal val="0"/>
          <c:showCatName val="0"/>
          <c:showSerName val="0"/>
          <c:showPercent val="0"/>
          <c:showBubbleSize val="0"/>
        </c:dLbls>
        <c:gapWidth val="327"/>
        <c:overlap val="100"/>
        <c:axId val="1024048448"/>
        <c:axId val="1029653536"/>
      </c:barChart>
      <c:lineChart>
        <c:grouping val="standard"/>
        <c:varyColors val="0"/>
        <c:ser>
          <c:idx val="5"/>
          <c:order val="5"/>
          <c:tx>
            <c:strRef>
              <c:f>'Blank (2)'!$D$136</c:f>
              <c:strCache>
                <c:ptCount val="1"/>
              </c:strCache>
            </c:strRef>
          </c:tx>
          <c:spPr>
            <a:ln w="28575" cap="rnd">
              <a:solidFill>
                <a:schemeClr val="accent1">
                  <a:tint val="94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'Blank (2)'!$G$136:$Z$136</c15:sqref>
                  </c15:fullRef>
                </c:ext>
              </c:extLst>
              <c:f>'Blank (2)'!$G$136:$U$136</c:f>
              <c:numCache>
                <c:formatCode>General</c:formatCode>
                <c:ptCount val="15"/>
              </c:numCache>
            </c:numRef>
          </c:val>
          <c:smooth val="0"/>
          <c:extLst>
            <c:ext xmlns:c16="http://schemas.microsoft.com/office/drawing/2014/chart" uri="{C3380CC4-5D6E-409C-BE32-E72D297353CC}">
              <c16:uniqueId val="{00000005-208E-463C-9C7A-9EBB473D5817}"/>
            </c:ext>
          </c:extLst>
        </c:ser>
        <c:ser>
          <c:idx val="6"/>
          <c:order val="6"/>
          <c:tx>
            <c:strRef>
              <c:f>'Blank (2)'!$D$137</c:f>
              <c:strCache>
                <c:ptCount val="1"/>
              </c:strCache>
            </c:strRef>
          </c:tx>
          <c:spPr>
            <a:ln w="28575" cap="rnd">
              <a:solidFill>
                <a:schemeClr val="accent1">
                  <a:tint val="81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'Blank (2)'!$G$137:$Z$137</c15:sqref>
                  </c15:fullRef>
                </c:ext>
              </c:extLst>
              <c:f>'Blank (2)'!$G$137:$U$137</c:f>
              <c:numCache>
                <c:formatCode>General</c:formatCode>
                <c:ptCount val="15"/>
              </c:numCache>
            </c:numRef>
          </c:val>
          <c:smooth val="0"/>
          <c:extLst>
            <c:ext xmlns:c16="http://schemas.microsoft.com/office/drawing/2014/chart" uri="{C3380CC4-5D6E-409C-BE32-E72D297353CC}">
              <c16:uniqueId val="{00000006-208E-463C-9C7A-9EBB473D5817}"/>
            </c:ext>
          </c:extLst>
        </c:ser>
        <c:ser>
          <c:idx val="7"/>
          <c:order val="7"/>
          <c:tx>
            <c:strRef>
              <c:f>'Blank (2)'!$D$138</c:f>
              <c:strCache>
                <c:ptCount val="1"/>
              </c:strCache>
            </c:strRef>
          </c:tx>
          <c:spPr>
            <a:ln w="28575" cap="rnd">
              <a:solidFill>
                <a:schemeClr val="accent1">
                  <a:tint val="69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'Blank (2)'!$G$138:$Z$138</c15:sqref>
                  </c15:fullRef>
                </c:ext>
              </c:extLst>
              <c:f>'Blank (2)'!$G$138:$U$138</c:f>
              <c:numCache>
                <c:formatCode>General</c:formatCode>
                <c:ptCount val="15"/>
              </c:numCache>
            </c:numRef>
          </c:val>
          <c:smooth val="0"/>
          <c:extLst>
            <c:ext xmlns:c16="http://schemas.microsoft.com/office/drawing/2014/chart" uri="{C3380CC4-5D6E-409C-BE32-E72D297353CC}">
              <c16:uniqueId val="{00000007-208E-463C-9C7A-9EBB473D5817}"/>
            </c:ext>
          </c:extLst>
        </c:ser>
        <c:ser>
          <c:idx val="8"/>
          <c:order val="8"/>
          <c:tx>
            <c:strRef>
              <c:f>'Blank (2)'!$D$139</c:f>
              <c:strCache>
                <c:ptCount val="1"/>
              </c:strCache>
            </c:strRef>
          </c:tx>
          <c:spPr>
            <a:ln w="28575" cap="rnd">
              <a:solidFill>
                <a:schemeClr val="accent1">
                  <a:tint val="56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'Blank (2)'!$G$139:$Z$139</c15:sqref>
                  </c15:fullRef>
                </c:ext>
              </c:extLst>
              <c:f>'Blank (2)'!$G$139:$U$139</c:f>
              <c:numCache>
                <c:formatCode>General</c:formatCode>
                <c:ptCount val="15"/>
              </c:numCache>
            </c:numRef>
          </c:val>
          <c:smooth val="0"/>
          <c:extLst>
            <c:ext xmlns:c16="http://schemas.microsoft.com/office/drawing/2014/chart" uri="{C3380CC4-5D6E-409C-BE32-E72D297353CC}">
              <c16:uniqueId val="{00000008-208E-463C-9C7A-9EBB473D5817}"/>
            </c:ext>
          </c:extLst>
        </c:ser>
        <c:ser>
          <c:idx val="9"/>
          <c:order val="9"/>
          <c:tx>
            <c:strRef>
              <c:f>'Blank (2)'!$D$140</c:f>
              <c:strCache>
                <c:ptCount val="1"/>
              </c:strCache>
            </c:strRef>
          </c:tx>
          <c:spPr>
            <a:ln w="28575" cap="rnd">
              <a:solidFill>
                <a:schemeClr val="accent1">
                  <a:tint val="43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'Blank (2)'!$G$140:$Z$140</c15:sqref>
                  </c15:fullRef>
                </c:ext>
              </c:extLst>
              <c:f>'Blank (2)'!$G$140:$U$140</c:f>
              <c:numCache>
                <c:formatCode>General</c:formatCode>
                <c:ptCount val="15"/>
              </c:numCache>
            </c:numRef>
          </c:val>
          <c:smooth val="0"/>
          <c:extLst>
            <c:ext xmlns:c16="http://schemas.microsoft.com/office/drawing/2014/chart" uri="{C3380CC4-5D6E-409C-BE32-E72D297353CC}">
              <c16:uniqueId val="{00000009-208E-463C-9C7A-9EBB473D5817}"/>
            </c:ext>
          </c:extLst>
        </c:ser>
        <c:dLbls>
          <c:showLegendKey val="0"/>
          <c:showVal val="0"/>
          <c:showCatName val="0"/>
          <c:showSerName val="0"/>
          <c:showPercent val="0"/>
          <c:showBubbleSize val="0"/>
        </c:dLbls>
        <c:marker val="1"/>
        <c:smooth val="0"/>
        <c:axId val="1024058048"/>
        <c:axId val="1029654368"/>
      </c:lineChart>
      <c:catAx>
        <c:axId val="1024048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Year of Operation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53536"/>
        <c:crosses val="autoZero"/>
        <c:auto val="1"/>
        <c:lblAlgn val="ctr"/>
        <c:lblOffset val="100"/>
        <c:noMultiLvlLbl val="0"/>
      </c:catAx>
      <c:valAx>
        <c:axId val="1029653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48448"/>
        <c:crosses val="autoZero"/>
        <c:crossBetween val="between"/>
      </c:valAx>
      <c:valAx>
        <c:axId val="1029654368"/>
        <c:scaling>
          <c:orientation val="minMax"/>
          <c:max val="7.8"/>
          <c:min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Tariff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58048"/>
        <c:crosses val="max"/>
        <c:crossBetween val="between"/>
      </c:valAx>
      <c:catAx>
        <c:axId val="1024058048"/>
        <c:scaling>
          <c:orientation val="minMax"/>
        </c:scaling>
        <c:delete val="1"/>
        <c:axPos val="b"/>
        <c:majorTickMark val="out"/>
        <c:minorTickMark val="none"/>
        <c:tickLblPos val="nextTo"/>
        <c:crossAx val="10296543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2"/>
          <c:order val="2"/>
          <c:tx>
            <c:strRef>
              <c:f>'Blank (2)'!$D$114</c:f>
              <c:strCache>
                <c:ptCount val="1"/>
              </c:strCache>
            </c:strRef>
          </c:tx>
          <c:spPr>
            <a:solidFill>
              <a:schemeClr val="bg1">
                <a:lumMod val="85000"/>
              </a:schemeClr>
            </a:solidFill>
            <a:ln>
              <a:noFill/>
            </a:ln>
            <a:effectLst/>
          </c:spP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'Blank (2)'!$G$114:$Z$114</c15:sqref>
                  </c15:fullRef>
                </c:ext>
              </c:extLst>
              <c:f>'Blank (2)'!$G$114:$U$114</c:f>
              <c:numCache>
                <c:formatCode>General</c:formatCode>
                <c:ptCount val="15"/>
              </c:numCache>
            </c:numRef>
          </c:val>
          <c:extLst>
            <c:ext xmlns:c16="http://schemas.microsoft.com/office/drawing/2014/chart" uri="{C3380CC4-5D6E-409C-BE32-E72D297353CC}">
              <c16:uniqueId val="{00000000-D665-4AB3-857B-3206D9F0EBED}"/>
            </c:ext>
          </c:extLst>
        </c:ser>
        <c:dLbls>
          <c:showLegendKey val="0"/>
          <c:showVal val="0"/>
          <c:showCatName val="0"/>
          <c:showSerName val="0"/>
          <c:showPercent val="0"/>
          <c:showBubbleSize val="0"/>
        </c:dLbls>
        <c:axId val="58907136"/>
        <c:axId val="560574320"/>
      </c:areaChart>
      <c:barChart>
        <c:barDir val="col"/>
        <c:grouping val="clustered"/>
        <c:varyColors val="0"/>
        <c:ser>
          <c:idx val="0"/>
          <c:order val="0"/>
          <c:tx>
            <c:strRef>
              <c:f>'Blank (2)'!$D$112</c:f>
              <c:strCache>
                <c:ptCount val="1"/>
              </c:strCache>
            </c:strRef>
          </c:tx>
          <c:spPr>
            <a:solidFill>
              <a:schemeClr val="accent1"/>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'Blank (2)'!$G$112:$Z$112</c15:sqref>
                  </c15:fullRef>
                </c:ext>
              </c:extLst>
              <c:f>'Blank (2)'!$G$112:$U$112</c:f>
              <c:numCache>
                <c:formatCode>General</c:formatCode>
                <c:ptCount val="15"/>
              </c:numCache>
            </c:numRef>
          </c:val>
          <c:extLst>
            <c:ext xmlns:c16="http://schemas.microsoft.com/office/drawing/2014/chart" uri="{C3380CC4-5D6E-409C-BE32-E72D297353CC}">
              <c16:uniqueId val="{00000001-D665-4AB3-857B-3206D9F0EBED}"/>
            </c:ext>
          </c:extLst>
        </c:ser>
        <c:ser>
          <c:idx val="1"/>
          <c:order val="1"/>
          <c:tx>
            <c:strRef>
              <c:f>'Blank (2)'!$D$113</c:f>
              <c:strCache>
                <c:ptCount val="1"/>
              </c:strCache>
            </c:strRef>
          </c:tx>
          <c:spPr>
            <a:solidFill>
              <a:schemeClr val="accent2"/>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'Blank (2)'!$G$113:$Z$113</c15:sqref>
                  </c15:fullRef>
                </c:ext>
              </c:extLst>
              <c:f>'Blank (2)'!$G$113:$U$113</c:f>
              <c:numCache>
                <c:formatCode>General</c:formatCode>
                <c:ptCount val="15"/>
              </c:numCache>
            </c:numRef>
          </c:val>
          <c:extLst>
            <c:ext xmlns:c16="http://schemas.microsoft.com/office/drawing/2014/chart" uri="{C3380CC4-5D6E-409C-BE32-E72D297353CC}">
              <c16:uniqueId val="{00000002-D665-4AB3-857B-3206D9F0EBED}"/>
            </c:ext>
          </c:extLst>
        </c:ser>
        <c:dLbls>
          <c:showLegendKey val="0"/>
          <c:showVal val="0"/>
          <c:showCatName val="0"/>
          <c:showSerName val="0"/>
          <c:showPercent val="0"/>
          <c:showBubbleSize val="0"/>
        </c:dLbls>
        <c:gapWidth val="219"/>
        <c:axId val="983537856"/>
        <c:axId val="1029660608"/>
      </c:barChart>
      <c:catAx>
        <c:axId val="98353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Operational</a:t>
                </a:r>
                <a:r>
                  <a:rPr lang="en-ZA" baseline="0"/>
                  <a:t>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60608"/>
        <c:crosses val="autoZero"/>
        <c:auto val="1"/>
        <c:lblAlgn val="ctr"/>
        <c:lblOffset val="100"/>
        <c:noMultiLvlLbl val="0"/>
      </c:catAx>
      <c:valAx>
        <c:axId val="1029660608"/>
        <c:scaling>
          <c:orientation val="minMax"/>
          <c:max val="30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Annual Saving &amp; Cost (R)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537856"/>
        <c:crosses val="autoZero"/>
        <c:crossBetween val="between"/>
      </c:valAx>
      <c:valAx>
        <c:axId val="560574320"/>
        <c:scaling>
          <c:orientation val="minMax"/>
          <c:max val="470000000"/>
          <c:min val="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Cumulative Net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07136"/>
        <c:crosses val="max"/>
        <c:crossBetween val="between"/>
      </c:valAx>
      <c:catAx>
        <c:axId val="58907136"/>
        <c:scaling>
          <c:orientation val="minMax"/>
        </c:scaling>
        <c:delete val="1"/>
        <c:axPos val="b"/>
        <c:majorTickMark val="out"/>
        <c:minorTickMark val="none"/>
        <c:tickLblPos val="nextTo"/>
        <c:crossAx val="5605743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col"/>
        <c:grouping val="stacked"/>
        <c:varyColors val="0"/>
        <c:ser>
          <c:idx val="0"/>
          <c:order val="0"/>
          <c:tx>
            <c:strRef>
              <c:f>Inputs!$E$163</c:f>
              <c:strCache>
                <c:ptCount val="1"/>
                <c:pt idx="0">
                  <c:v> 8% </c:v>
                </c:pt>
              </c:strCache>
            </c:strRef>
          </c:tx>
          <c:spPr>
            <a:solidFill>
              <a:schemeClr val="accent1">
                <a:lumMod val="5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Inputs!$G$163:$Z$163</c15:sqref>
                  </c15:fullRef>
                </c:ext>
              </c:extLst>
              <c:f>Inputs!$G$163:$U$163</c:f>
              <c:numCache>
                <c:formatCode>General</c:formatCode>
                <c:ptCount val="15"/>
              </c:numCache>
            </c:numRef>
          </c:val>
          <c:extLst>
            <c:ext xmlns:c16="http://schemas.microsoft.com/office/drawing/2014/chart" uri="{C3380CC4-5D6E-409C-BE32-E72D297353CC}">
              <c16:uniqueId val="{00000000-E9E8-492B-BFA0-0D4EEEB2B22D}"/>
            </c:ext>
          </c:extLst>
        </c:ser>
        <c:ser>
          <c:idx val="1"/>
          <c:order val="1"/>
          <c:tx>
            <c:strRef>
              <c:f>Inputs!$D$164</c:f>
              <c:strCache>
                <c:ptCount val="1"/>
                <c:pt idx="0">
                  <c:v>%</c:v>
                </c:pt>
              </c:strCache>
            </c:strRef>
          </c:tx>
          <c:spPr>
            <a:solidFill>
              <a:schemeClr val="accent1">
                <a:lumMod val="75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Inputs!$G$164:$Z$164</c15:sqref>
                  </c15:fullRef>
                </c:ext>
              </c:extLst>
              <c:f>Inputs!$G$164:$U$164</c:f>
              <c:numCache>
                <c:formatCode>General</c:formatCode>
                <c:ptCount val="15"/>
              </c:numCache>
            </c:numRef>
          </c:val>
          <c:extLst>
            <c:ext xmlns:c16="http://schemas.microsoft.com/office/drawing/2014/chart" uri="{C3380CC4-5D6E-409C-BE32-E72D297353CC}">
              <c16:uniqueId val="{00000001-E9E8-492B-BFA0-0D4EEEB2B22D}"/>
            </c:ext>
          </c:extLst>
        </c:ser>
        <c:ser>
          <c:idx val="2"/>
          <c:order val="2"/>
          <c:tx>
            <c:strRef>
              <c:f>Inputs!$D$165</c:f>
              <c:strCache>
                <c:ptCount val="1"/>
              </c:strCache>
            </c:strRef>
          </c:tx>
          <c:spPr>
            <a:solidFill>
              <a:schemeClr val="accent1">
                <a:lumMod val="60000"/>
                <a:lumOff val="4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Inputs!$G$165:$Z$165</c15:sqref>
                  </c15:fullRef>
                </c:ext>
              </c:extLst>
              <c:f>Inputs!$G$165:$U$165</c:f>
              <c:numCache>
                <c:formatCode>General</c:formatCode>
                <c:ptCount val="15"/>
              </c:numCache>
            </c:numRef>
          </c:val>
          <c:extLst>
            <c:ext xmlns:c16="http://schemas.microsoft.com/office/drawing/2014/chart" uri="{C3380CC4-5D6E-409C-BE32-E72D297353CC}">
              <c16:uniqueId val="{00000002-E9E8-492B-BFA0-0D4EEEB2B22D}"/>
            </c:ext>
          </c:extLst>
        </c:ser>
        <c:ser>
          <c:idx val="3"/>
          <c:order val="3"/>
          <c:tx>
            <c:strRef>
              <c:f>Inputs!$D$166</c:f>
              <c:strCache>
                <c:ptCount val="1"/>
              </c:strCache>
            </c:strRef>
          </c:tx>
          <c:spPr>
            <a:solidFill>
              <a:schemeClr val="accent1">
                <a:lumMod val="40000"/>
                <a:lumOff val="6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Inputs!$G$166:$Z$166</c15:sqref>
                  </c15:fullRef>
                </c:ext>
              </c:extLst>
              <c:f>Inputs!$G$166:$U$166</c:f>
              <c:numCache>
                <c:formatCode>General</c:formatCode>
                <c:ptCount val="15"/>
              </c:numCache>
            </c:numRef>
          </c:val>
          <c:extLst>
            <c:ext xmlns:c16="http://schemas.microsoft.com/office/drawing/2014/chart" uri="{C3380CC4-5D6E-409C-BE32-E72D297353CC}">
              <c16:uniqueId val="{00000003-E9E8-492B-BFA0-0D4EEEB2B22D}"/>
            </c:ext>
          </c:extLst>
        </c:ser>
        <c:ser>
          <c:idx val="4"/>
          <c:order val="4"/>
          <c:tx>
            <c:strRef>
              <c:f>Inputs!$D$167</c:f>
              <c:strCache>
                <c:ptCount val="1"/>
              </c:strCache>
            </c:strRef>
          </c:tx>
          <c:spPr>
            <a:solidFill>
              <a:schemeClr val="accent1">
                <a:lumMod val="20000"/>
                <a:lumOff val="8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Inputs!$G$167:$Z$167</c15:sqref>
                  </c15:fullRef>
                </c:ext>
              </c:extLst>
              <c:f>Inputs!$G$167:$U$167</c:f>
              <c:numCache>
                <c:formatCode>General</c:formatCode>
                <c:ptCount val="15"/>
              </c:numCache>
            </c:numRef>
          </c:val>
          <c:extLst>
            <c:ext xmlns:c16="http://schemas.microsoft.com/office/drawing/2014/chart" uri="{C3380CC4-5D6E-409C-BE32-E72D297353CC}">
              <c16:uniqueId val="{00000004-E9E8-492B-BFA0-0D4EEEB2B22D}"/>
            </c:ext>
          </c:extLst>
        </c:ser>
        <c:dLbls>
          <c:showLegendKey val="0"/>
          <c:showVal val="0"/>
          <c:showCatName val="0"/>
          <c:showSerName val="0"/>
          <c:showPercent val="0"/>
          <c:showBubbleSize val="0"/>
        </c:dLbls>
        <c:gapWidth val="327"/>
        <c:overlap val="100"/>
        <c:axId val="1024048448"/>
        <c:axId val="1029653536"/>
      </c:barChart>
      <c:lineChart>
        <c:grouping val="standard"/>
        <c:varyColors val="0"/>
        <c:ser>
          <c:idx val="5"/>
          <c:order val="5"/>
          <c:tx>
            <c:strRef>
              <c:f>Inputs!$D$169</c:f>
              <c:strCache>
                <c:ptCount val="1"/>
                <c:pt idx="0">
                  <c:v>R</c:v>
                </c:pt>
              </c:strCache>
            </c:strRef>
          </c:tx>
          <c:spPr>
            <a:ln w="28575" cap="rnd">
              <a:solidFill>
                <a:schemeClr val="accent1">
                  <a:tint val="94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Inputs!$G$169:$Z$169</c15:sqref>
                  </c15:fullRef>
                </c:ext>
              </c:extLst>
              <c:f>Inputs!$G$169:$U$169</c:f>
              <c:numCache>
                <c:formatCode>General</c:formatCode>
                <c:ptCount val="15"/>
              </c:numCache>
            </c:numRef>
          </c:val>
          <c:smooth val="0"/>
          <c:extLst>
            <c:ext xmlns:c16="http://schemas.microsoft.com/office/drawing/2014/chart" uri="{C3380CC4-5D6E-409C-BE32-E72D297353CC}">
              <c16:uniqueId val="{00000005-E9E8-492B-BFA0-0D4EEEB2B22D}"/>
            </c:ext>
          </c:extLst>
        </c:ser>
        <c:ser>
          <c:idx val="6"/>
          <c:order val="6"/>
          <c:tx>
            <c:strRef>
              <c:f>Inputs!$D$170</c:f>
              <c:strCache>
                <c:ptCount val="1"/>
                <c:pt idx="0">
                  <c:v>R/kl</c:v>
                </c:pt>
              </c:strCache>
            </c:strRef>
          </c:tx>
          <c:spPr>
            <a:ln w="28575" cap="rnd">
              <a:solidFill>
                <a:schemeClr val="accent1">
                  <a:tint val="81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Inputs!$G$170:$Z$170</c15:sqref>
                  </c15:fullRef>
                </c:ext>
              </c:extLst>
              <c:f>Inputs!$G$170:$U$170</c:f>
              <c:numCache>
                <c:formatCode>General</c:formatCode>
                <c:ptCount val="15"/>
              </c:numCache>
            </c:numRef>
          </c:val>
          <c:smooth val="0"/>
          <c:extLst>
            <c:ext xmlns:c16="http://schemas.microsoft.com/office/drawing/2014/chart" uri="{C3380CC4-5D6E-409C-BE32-E72D297353CC}">
              <c16:uniqueId val="{00000006-E9E8-492B-BFA0-0D4EEEB2B22D}"/>
            </c:ext>
          </c:extLst>
        </c:ser>
        <c:ser>
          <c:idx val="7"/>
          <c:order val="7"/>
          <c:tx>
            <c:strRef>
              <c:f>Inputs!$D$174</c:f>
              <c:strCache>
                <c:ptCount val="1"/>
                <c:pt idx="0">
                  <c:v>kl/yr</c:v>
                </c:pt>
              </c:strCache>
            </c:strRef>
          </c:tx>
          <c:spPr>
            <a:ln w="28575" cap="rnd">
              <a:solidFill>
                <a:schemeClr val="accent1">
                  <a:tint val="69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Inputs!$G$174:$Z$174</c15:sqref>
                  </c15:fullRef>
                </c:ext>
              </c:extLst>
              <c:f>Inputs!$G$174:$U$174</c:f>
              <c:numCache>
                <c:formatCode>General</c:formatCode>
                <c:ptCount val="15"/>
              </c:numCache>
            </c:numRef>
          </c:val>
          <c:smooth val="0"/>
          <c:extLst>
            <c:ext xmlns:c16="http://schemas.microsoft.com/office/drawing/2014/chart" uri="{C3380CC4-5D6E-409C-BE32-E72D297353CC}">
              <c16:uniqueId val="{00000007-E9E8-492B-BFA0-0D4EEEB2B22D}"/>
            </c:ext>
          </c:extLst>
        </c:ser>
        <c:ser>
          <c:idx val="8"/>
          <c:order val="8"/>
          <c:tx>
            <c:strRef>
              <c:f>Inputs!$D$175</c:f>
              <c:strCache>
                <c:ptCount val="1"/>
              </c:strCache>
            </c:strRef>
          </c:tx>
          <c:spPr>
            <a:ln w="28575" cap="rnd">
              <a:solidFill>
                <a:schemeClr val="accent1">
                  <a:tint val="56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Inputs!$G$175:$Z$175</c15:sqref>
                  </c15:fullRef>
                </c:ext>
              </c:extLst>
              <c:f>Inputs!$G$175:$U$175</c:f>
              <c:numCache>
                <c:formatCode>General</c:formatCode>
                <c:ptCount val="15"/>
              </c:numCache>
            </c:numRef>
          </c:val>
          <c:smooth val="0"/>
          <c:extLst>
            <c:ext xmlns:c16="http://schemas.microsoft.com/office/drawing/2014/chart" uri="{C3380CC4-5D6E-409C-BE32-E72D297353CC}">
              <c16:uniqueId val="{00000008-E9E8-492B-BFA0-0D4EEEB2B22D}"/>
            </c:ext>
          </c:extLst>
        </c:ser>
        <c:ser>
          <c:idx val="9"/>
          <c:order val="9"/>
          <c:tx>
            <c:strRef>
              <c:f>Inputs!$D$176</c:f>
              <c:strCache>
                <c:ptCount val="1"/>
              </c:strCache>
            </c:strRef>
          </c:tx>
          <c:spPr>
            <a:ln w="28575" cap="rnd">
              <a:solidFill>
                <a:schemeClr val="accent1">
                  <a:tint val="43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Inputs!$G$176:$Z$176</c15:sqref>
                  </c15:fullRef>
                </c:ext>
              </c:extLst>
              <c:f>Inputs!$G$176:$U$176</c:f>
              <c:numCache>
                <c:formatCode>General</c:formatCode>
                <c:ptCount val="15"/>
              </c:numCache>
            </c:numRef>
          </c:val>
          <c:smooth val="0"/>
          <c:extLst>
            <c:ext xmlns:c16="http://schemas.microsoft.com/office/drawing/2014/chart" uri="{C3380CC4-5D6E-409C-BE32-E72D297353CC}">
              <c16:uniqueId val="{00000009-E9E8-492B-BFA0-0D4EEEB2B22D}"/>
            </c:ext>
          </c:extLst>
        </c:ser>
        <c:dLbls>
          <c:showLegendKey val="0"/>
          <c:showVal val="0"/>
          <c:showCatName val="0"/>
          <c:showSerName val="0"/>
          <c:showPercent val="0"/>
          <c:showBubbleSize val="0"/>
        </c:dLbls>
        <c:marker val="1"/>
        <c:smooth val="0"/>
        <c:axId val="1024058048"/>
        <c:axId val="1029654368"/>
      </c:lineChart>
      <c:catAx>
        <c:axId val="1024048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Year of Operation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53536"/>
        <c:crosses val="autoZero"/>
        <c:auto val="1"/>
        <c:lblAlgn val="ctr"/>
        <c:lblOffset val="100"/>
        <c:noMultiLvlLbl val="0"/>
      </c:catAx>
      <c:valAx>
        <c:axId val="1029653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48448"/>
        <c:crosses val="autoZero"/>
        <c:crossBetween val="between"/>
      </c:valAx>
      <c:valAx>
        <c:axId val="1029654368"/>
        <c:scaling>
          <c:orientation val="minMax"/>
          <c:max val="7.8"/>
          <c:min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Tariff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58048"/>
        <c:crosses val="max"/>
        <c:crossBetween val="between"/>
      </c:valAx>
      <c:catAx>
        <c:axId val="1024058048"/>
        <c:scaling>
          <c:orientation val="minMax"/>
        </c:scaling>
        <c:delete val="1"/>
        <c:axPos val="b"/>
        <c:majorTickMark val="out"/>
        <c:minorTickMark val="none"/>
        <c:tickLblPos val="nextTo"/>
        <c:crossAx val="10296543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col"/>
        <c:grouping val="stacked"/>
        <c:varyColors val="0"/>
        <c:ser>
          <c:idx val="0"/>
          <c:order val="0"/>
          <c:tx>
            <c:strRef>
              <c:f>'BaU Model'!$D$249</c:f>
              <c:strCache>
                <c:ptCount val="1"/>
              </c:strCache>
            </c:strRef>
          </c:tx>
          <c:spPr>
            <a:solidFill>
              <a:schemeClr val="accent1">
                <a:lumMod val="5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'BaU Model'!$G$247:$Z$247</c15:sqref>
                  </c15:fullRef>
                </c:ext>
              </c:extLst>
              <c:f>'BaU Model'!$G$247:$U$247</c:f>
              <c:numCache>
                <c:formatCode>General</c:formatCode>
                <c:ptCount val="15"/>
              </c:numCache>
            </c:numRef>
          </c:val>
          <c:extLst>
            <c:ext xmlns:c16="http://schemas.microsoft.com/office/drawing/2014/chart" uri="{C3380CC4-5D6E-409C-BE32-E72D297353CC}">
              <c16:uniqueId val="{00000000-692F-4ECC-85C6-07DD237C4FFB}"/>
            </c:ext>
          </c:extLst>
        </c:ser>
        <c:ser>
          <c:idx val="1"/>
          <c:order val="1"/>
          <c:tx>
            <c:strRef>
              <c:f>'BaU Model'!$D$250</c:f>
              <c:strCache>
                <c:ptCount val="1"/>
              </c:strCache>
            </c:strRef>
          </c:tx>
          <c:spPr>
            <a:solidFill>
              <a:schemeClr val="accent1">
                <a:lumMod val="75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'BaU Model'!$G$248:$Z$248</c15:sqref>
                  </c15:fullRef>
                </c:ext>
              </c:extLst>
              <c:f>'BaU Model'!$G$248:$U$248</c:f>
              <c:numCache>
                <c:formatCode>General</c:formatCode>
                <c:ptCount val="15"/>
              </c:numCache>
            </c:numRef>
          </c:val>
          <c:extLst>
            <c:ext xmlns:c16="http://schemas.microsoft.com/office/drawing/2014/chart" uri="{C3380CC4-5D6E-409C-BE32-E72D297353CC}">
              <c16:uniqueId val="{00000001-692F-4ECC-85C6-07DD237C4FFB}"/>
            </c:ext>
          </c:extLst>
        </c:ser>
        <c:ser>
          <c:idx val="2"/>
          <c:order val="2"/>
          <c:tx>
            <c:strRef>
              <c:f>'BaU Model'!$D$251</c:f>
              <c:strCache>
                <c:ptCount val="1"/>
              </c:strCache>
            </c:strRef>
          </c:tx>
          <c:spPr>
            <a:solidFill>
              <a:schemeClr val="accent1">
                <a:lumMod val="60000"/>
                <a:lumOff val="4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'BaU Model'!$G$249:$Z$249</c15:sqref>
                  </c15:fullRef>
                </c:ext>
              </c:extLst>
              <c:f>'BaU Model'!$G$249:$U$249</c:f>
              <c:numCache>
                <c:formatCode>General</c:formatCode>
                <c:ptCount val="15"/>
              </c:numCache>
            </c:numRef>
          </c:val>
          <c:extLst>
            <c:ext xmlns:c16="http://schemas.microsoft.com/office/drawing/2014/chart" uri="{C3380CC4-5D6E-409C-BE32-E72D297353CC}">
              <c16:uniqueId val="{00000002-692F-4ECC-85C6-07DD237C4FFB}"/>
            </c:ext>
          </c:extLst>
        </c:ser>
        <c:ser>
          <c:idx val="3"/>
          <c:order val="3"/>
          <c:tx>
            <c:strRef>
              <c:f>'BaU Model'!$D$252</c:f>
              <c:strCache>
                <c:ptCount val="1"/>
              </c:strCache>
            </c:strRef>
          </c:tx>
          <c:spPr>
            <a:solidFill>
              <a:schemeClr val="accent1">
                <a:lumMod val="40000"/>
                <a:lumOff val="6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'BaU Model'!$G$250:$Z$250</c15:sqref>
                  </c15:fullRef>
                </c:ext>
              </c:extLst>
              <c:f>'BaU Model'!$G$250:$U$250</c:f>
              <c:numCache>
                <c:formatCode>General</c:formatCode>
                <c:ptCount val="15"/>
              </c:numCache>
            </c:numRef>
          </c:val>
          <c:extLst>
            <c:ext xmlns:c16="http://schemas.microsoft.com/office/drawing/2014/chart" uri="{C3380CC4-5D6E-409C-BE32-E72D297353CC}">
              <c16:uniqueId val="{00000003-692F-4ECC-85C6-07DD237C4FFB}"/>
            </c:ext>
          </c:extLst>
        </c:ser>
        <c:ser>
          <c:idx val="4"/>
          <c:order val="4"/>
          <c:tx>
            <c:strRef>
              <c:f>'BaU Model'!$D$253</c:f>
              <c:strCache>
                <c:ptCount val="1"/>
              </c:strCache>
            </c:strRef>
          </c:tx>
          <c:spPr>
            <a:solidFill>
              <a:schemeClr val="accent1">
                <a:lumMod val="20000"/>
                <a:lumOff val="8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'BaU Model'!$G$251:$Z$251</c15:sqref>
                  </c15:fullRef>
                </c:ext>
              </c:extLst>
              <c:f>'BaU Model'!$G$251:$U$251</c:f>
              <c:numCache>
                <c:formatCode>General</c:formatCode>
                <c:ptCount val="15"/>
              </c:numCache>
            </c:numRef>
          </c:val>
          <c:extLst>
            <c:ext xmlns:c16="http://schemas.microsoft.com/office/drawing/2014/chart" uri="{C3380CC4-5D6E-409C-BE32-E72D297353CC}">
              <c16:uniqueId val="{00000004-692F-4ECC-85C6-07DD237C4FFB}"/>
            </c:ext>
          </c:extLst>
        </c:ser>
        <c:dLbls>
          <c:showLegendKey val="0"/>
          <c:showVal val="0"/>
          <c:showCatName val="0"/>
          <c:showSerName val="0"/>
          <c:showPercent val="0"/>
          <c:showBubbleSize val="0"/>
        </c:dLbls>
        <c:gapWidth val="327"/>
        <c:overlap val="100"/>
        <c:axId val="1024048448"/>
        <c:axId val="1029653536"/>
      </c:barChart>
      <c:lineChart>
        <c:grouping val="standard"/>
        <c:varyColors val="0"/>
        <c:ser>
          <c:idx val="5"/>
          <c:order val="5"/>
          <c:tx>
            <c:strRef>
              <c:f>'BaU Model'!$D$255</c:f>
              <c:strCache>
                <c:ptCount val="1"/>
              </c:strCache>
            </c:strRef>
          </c:tx>
          <c:spPr>
            <a:ln w="28575" cap="rnd">
              <a:solidFill>
                <a:schemeClr val="accent1">
                  <a:tint val="94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'BaU Model'!$G$253:$Z$253</c15:sqref>
                  </c15:fullRef>
                </c:ext>
              </c:extLst>
              <c:f>'BaU Model'!$G$253:$U$253</c:f>
              <c:numCache>
                <c:formatCode>General</c:formatCode>
                <c:ptCount val="15"/>
              </c:numCache>
            </c:numRef>
          </c:val>
          <c:smooth val="0"/>
          <c:extLst>
            <c:ext xmlns:c16="http://schemas.microsoft.com/office/drawing/2014/chart" uri="{C3380CC4-5D6E-409C-BE32-E72D297353CC}">
              <c16:uniqueId val="{00000005-692F-4ECC-85C6-07DD237C4FFB}"/>
            </c:ext>
          </c:extLst>
        </c:ser>
        <c:ser>
          <c:idx val="6"/>
          <c:order val="6"/>
          <c:tx>
            <c:strRef>
              <c:f>'BaU Model'!$D$256</c:f>
              <c:strCache>
                <c:ptCount val="1"/>
              </c:strCache>
            </c:strRef>
          </c:tx>
          <c:spPr>
            <a:ln w="28575" cap="rnd">
              <a:solidFill>
                <a:schemeClr val="accent1">
                  <a:tint val="81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'BaU Model'!$G$254:$Z$254</c15:sqref>
                  </c15:fullRef>
                </c:ext>
              </c:extLst>
              <c:f>'BaU Model'!$G$254:$U$254</c:f>
              <c:numCache>
                <c:formatCode>General</c:formatCode>
                <c:ptCount val="15"/>
              </c:numCache>
            </c:numRef>
          </c:val>
          <c:smooth val="0"/>
          <c:extLst>
            <c:ext xmlns:c16="http://schemas.microsoft.com/office/drawing/2014/chart" uri="{C3380CC4-5D6E-409C-BE32-E72D297353CC}">
              <c16:uniqueId val="{00000006-692F-4ECC-85C6-07DD237C4FFB}"/>
            </c:ext>
          </c:extLst>
        </c:ser>
        <c:ser>
          <c:idx val="7"/>
          <c:order val="7"/>
          <c:tx>
            <c:strRef>
              <c:f>'BaU Model'!$D$257</c:f>
              <c:strCache>
                <c:ptCount val="1"/>
              </c:strCache>
            </c:strRef>
          </c:tx>
          <c:spPr>
            <a:ln w="28575" cap="rnd">
              <a:solidFill>
                <a:schemeClr val="accent1">
                  <a:tint val="69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'BaU Model'!$G$255:$Z$255</c15:sqref>
                  </c15:fullRef>
                </c:ext>
              </c:extLst>
              <c:f>'BaU Model'!$G$255:$U$255</c:f>
              <c:numCache>
                <c:formatCode>General</c:formatCode>
                <c:ptCount val="15"/>
              </c:numCache>
            </c:numRef>
          </c:val>
          <c:smooth val="0"/>
          <c:extLst>
            <c:ext xmlns:c16="http://schemas.microsoft.com/office/drawing/2014/chart" uri="{C3380CC4-5D6E-409C-BE32-E72D297353CC}">
              <c16:uniqueId val="{00000007-692F-4ECC-85C6-07DD237C4FFB}"/>
            </c:ext>
          </c:extLst>
        </c:ser>
        <c:ser>
          <c:idx val="8"/>
          <c:order val="8"/>
          <c:tx>
            <c:strRef>
              <c:f>'BaU Model'!$D$258</c:f>
              <c:strCache>
                <c:ptCount val="1"/>
              </c:strCache>
            </c:strRef>
          </c:tx>
          <c:spPr>
            <a:ln w="28575" cap="rnd">
              <a:solidFill>
                <a:schemeClr val="accent1">
                  <a:tint val="56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'BaU Model'!$G$256:$Z$256</c15:sqref>
                  </c15:fullRef>
                </c:ext>
              </c:extLst>
              <c:f>'BaU Model'!$G$256:$U$256</c:f>
              <c:numCache>
                <c:formatCode>General</c:formatCode>
                <c:ptCount val="15"/>
              </c:numCache>
            </c:numRef>
          </c:val>
          <c:smooth val="0"/>
          <c:extLst>
            <c:ext xmlns:c16="http://schemas.microsoft.com/office/drawing/2014/chart" uri="{C3380CC4-5D6E-409C-BE32-E72D297353CC}">
              <c16:uniqueId val="{00000008-692F-4ECC-85C6-07DD237C4FFB}"/>
            </c:ext>
          </c:extLst>
        </c:ser>
        <c:ser>
          <c:idx val="9"/>
          <c:order val="9"/>
          <c:tx>
            <c:strRef>
              <c:f>'BaU Model'!$D$259</c:f>
              <c:strCache>
                <c:ptCount val="1"/>
              </c:strCache>
            </c:strRef>
          </c:tx>
          <c:spPr>
            <a:ln w="28575" cap="rnd">
              <a:solidFill>
                <a:schemeClr val="accent1">
                  <a:tint val="43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'BaU Model'!$G$257:$Z$257</c15:sqref>
                  </c15:fullRef>
                </c:ext>
              </c:extLst>
              <c:f>'BaU Model'!$G$257:$U$257</c:f>
              <c:numCache>
                <c:formatCode>General</c:formatCode>
                <c:ptCount val="15"/>
              </c:numCache>
            </c:numRef>
          </c:val>
          <c:smooth val="0"/>
          <c:extLst>
            <c:ext xmlns:c16="http://schemas.microsoft.com/office/drawing/2014/chart" uri="{C3380CC4-5D6E-409C-BE32-E72D297353CC}">
              <c16:uniqueId val="{00000009-692F-4ECC-85C6-07DD237C4FFB}"/>
            </c:ext>
          </c:extLst>
        </c:ser>
        <c:dLbls>
          <c:showLegendKey val="0"/>
          <c:showVal val="0"/>
          <c:showCatName val="0"/>
          <c:showSerName val="0"/>
          <c:showPercent val="0"/>
          <c:showBubbleSize val="0"/>
        </c:dLbls>
        <c:marker val="1"/>
        <c:smooth val="0"/>
        <c:axId val="1024058048"/>
        <c:axId val="1029654368"/>
      </c:lineChart>
      <c:catAx>
        <c:axId val="1024048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Year of Operation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53536"/>
        <c:crosses val="autoZero"/>
        <c:auto val="1"/>
        <c:lblAlgn val="ctr"/>
        <c:lblOffset val="100"/>
        <c:noMultiLvlLbl val="0"/>
      </c:catAx>
      <c:valAx>
        <c:axId val="1029653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48448"/>
        <c:crosses val="autoZero"/>
        <c:crossBetween val="between"/>
      </c:valAx>
      <c:valAx>
        <c:axId val="1029654368"/>
        <c:scaling>
          <c:orientation val="minMax"/>
          <c:max val="7.8"/>
          <c:min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Tariff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58048"/>
        <c:crosses val="max"/>
        <c:crossBetween val="between"/>
      </c:valAx>
      <c:catAx>
        <c:axId val="1024058048"/>
        <c:scaling>
          <c:orientation val="minMax"/>
        </c:scaling>
        <c:delete val="1"/>
        <c:axPos val="b"/>
        <c:majorTickMark val="out"/>
        <c:minorTickMark val="none"/>
        <c:tickLblPos val="nextTo"/>
        <c:crossAx val="10296543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2"/>
          <c:order val="2"/>
          <c:tx>
            <c:strRef>
              <c:f>'BaU Model'!$D$233</c:f>
              <c:strCache>
                <c:ptCount val="1"/>
              </c:strCache>
            </c:strRef>
          </c:tx>
          <c:spPr>
            <a:solidFill>
              <a:schemeClr val="bg1">
                <a:lumMod val="85000"/>
              </a:schemeClr>
            </a:solidFill>
            <a:ln>
              <a:noFill/>
            </a:ln>
            <a:effectLst/>
          </c:spP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'BaU Model'!$G$231:$Z$231</c15:sqref>
                  </c15:fullRef>
                </c:ext>
              </c:extLst>
              <c:f>'BaU Model'!$G$231:$U$231</c:f>
              <c:numCache>
                <c:formatCode>General</c:formatCode>
                <c:ptCount val="15"/>
              </c:numCache>
            </c:numRef>
          </c:val>
          <c:extLst>
            <c:ext xmlns:c16="http://schemas.microsoft.com/office/drawing/2014/chart" uri="{C3380CC4-5D6E-409C-BE32-E72D297353CC}">
              <c16:uniqueId val="{00000000-210A-4730-A0D6-801A0DBB6DFB}"/>
            </c:ext>
          </c:extLst>
        </c:ser>
        <c:dLbls>
          <c:showLegendKey val="0"/>
          <c:showVal val="0"/>
          <c:showCatName val="0"/>
          <c:showSerName val="0"/>
          <c:showPercent val="0"/>
          <c:showBubbleSize val="0"/>
        </c:dLbls>
        <c:axId val="58907136"/>
        <c:axId val="560574320"/>
      </c:areaChart>
      <c:barChart>
        <c:barDir val="col"/>
        <c:grouping val="clustered"/>
        <c:varyColors val="0"/>
        <c:ser>
          <c:idx val="0"/>
          <c:order val="0"/>
          <c:tx>
            <c:strRef>
              <c:f>'BaU Model'!$D$231</c:f>
              <c:strCache>
                <c:ptCount val="1"/>
              </c:strCache>
            </c:strRef>
          </c:tx>
          <c:spPr>
            <a:solidFill>
              <a:schemeClr val="accent1"/>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'BaU Model'!$G$229:$Z$229</c15:sqref>
                  </c15:fullRef>
                </c:ext>
              </c:extLst>
              <c:f>'BaU Model'!$G$229:$U$229</c:f>
              <c:numCache>
                <c:formatCode>General</c:formatCode>
                <c:ptCount val="15"/>
              </c:numCache>
            </c:numRef>
          </c:val>
          <c:extLst>
            <c:ext xmlns:c16="http://schemas.microsoft.com/office/drawing/2014/chart" uri="{C3380CC4-5D6E-409C-BE32-E72D297353CC}">
              <c16:uniqueId val="{00000001-210A-4730-A0D6-801A0DBB6DFB}"/>
            </c:ext>
          </c:extLst>
        </c:ser>
        <c:ser>
          <c:idx val="1"/>
          <c:order val="1"/>
          <c:tx>
            <c:strRef>
              <c:f>'BaU Model'!$D$232</c:f>
              <c:strCache>
                <c:ptCount val="1"/>
              </c:strCache>
            </c:strRef>
          </c:tx>
          <c:spPr>
            <a:solidFill>
              <a:schemeClr val="accent2"/>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'BaU Model'!$G$230:$Z$230</c15:sqref>
                  </c15:fullRef>
                </c:ext>
              </c:extLst>
              <c:f>'BaU Model'!$G$230:$U$230</c:f>
              <c:numCache>
                <c:formatCode>General</c:formatCode>
                <c:ptCount val="15"/>
              </c:numCache>
            </c:numRef>
          </c:val>
          <c:extLst>
            <c:ext xmlns:c16="http://schemas.microsoft.com/office/drawing/2014/chart" uri="{C3380CC4-5D6E-409C-BE32-E72D297353CC}">
              <c16:uniqueId val="{00000002-210A-4730-A0D6-801A0DBB6DFB}"/>
            </c:ext>
          </c:extLst>
        </c:ser>
        <c:dLbls>
          <c:showLegendKey val="0"/>
          <c:showVal val="0"/>
          <c:showCatName val="0"/>
          <c:showSerName val="0"/>
          <c:showPercent val="0"/>
          <c:showBubbleSize val="0"/>
        </c:dLbls>
        <c:gapWidth val="219"/>
        <c:axId val="983537856"/>
        <c:axId val="1029660608"/>
      </c:barChart>
      <c:catAx>
        <c:axId val="98353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Operational</a:t>
                </a:r>
                <a:r>
                  <a:rPr lang="en-ZA" baseline="0"/>
                  <a:t>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60608"/>
        <c:crosses val="autoZero"/>
        <c:auto val="1"/>
        <c:lblAlgn val="ctr"/>
        <c:lblOffset val="100"/>
        <c:noMultiLvlLbl val="0"/>
      </c:catAx>
      <c:valAx>
        <c:axId val="1029660608"/>
        <c:scaling>
          <c:orientation val="minMax"/>
          <c:max val="30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Annual Saving &amp; Cost (R)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537856"/>
        <c:crosses val="autoZero"/>
        <c:crossBetween val="between"/>
      </c:valAx>
      <c:valAx>
        <c:axId val="560574320"/>
        <c:scaling>
          <c:orientation val="minMax"/>
          <c:max val="470000000"/>
          <c:min val="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Cumulative Net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07136"/>
        <c:crosses val="max"/>
        <c:crossBetween val="between"/>
      </c:valAx>
      <c:catAx>
        <c:axId val="58907136"/>
        <c:scaling>
          <c:orientation val="minMax"/>
        </c:scaling>
        <c:delete val="1"/>
        <c:axPos val="b"/>
        <c:majorTickMark val="out"/>
        <c:minorTickMark val="none"/>
        <c:tickLblPos val="nextTo"/>
        <c:crossAx val="5605743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col"/>
        <c:grouping val="stacked"/>
        <c:varyColors val="0"/>
        <c:ser>
          <c:idx val="0"/>
          <c:order val="0"/>
          <c:tx>
            <c:strRef>
              <c:f>'Strategic Model'!$D$266</c:f>
              <c:strCache>
                <c:ptCount val="1"/>
              </c:strCache>
            </c:strRef>
          </c:tx>
          <c:spPr>
            <a:solidFill>
              <a:schemeClr val="accent1">
                <a:lumMod val="5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'Strategic Model'!$G$264:$Z$264</c15:sqref>
                  </c15:fullRef>
                </c:ext>
              </c:extLst>
              <c:f>'Strategic Model'!$G$264:$U$264</c:f>
              <c:numCache>
                <c:formatCode>General</c:formatCode>
                <c:ptCount val="15"/>
              </c:numCache>
            </c:numRef>
          </c:val>
          <c:extLst>
            <c:ext xmlns:c16="http://schemas.microsoft.com/office/drawing/2014/chart" uri="{C3380CC4-5D6E-409C-BE32-E72D297353CC}">
              <c16:uniqueId val="{00000000-4A2A-4A69-94FE-FAA701655246}"/>
            </c:ext>
          </c:extLst>
        </c:ser>
        <c:ser>
          <c:idx val="1"/>
          <c:order val="1"/>
          <c:tx>
            <c:strRef>
              <c:f>'Strategic Model'!$D$267</c:f>
              <c:strCache>
                <c:ptCount val="1"/>
              </c:strCache>
            </c:strRef>
          </c:tx>
          <c:spPr>
            <a:solidFill>
              <a:schemeClr val="accent1">
                <a:lumMod val="75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'Strategic Model'!$G$265:$Z$265</c15:sqref>
                  </c15:fullRef>
                </c:ext>
              </c:extLst>
              <c:f>'Strategic Model'!$G$265:$U$265</c:f>
              <c:numCache>
                <c:formatCode>General</c:formatCode>
                <c:ptCount val="15"/>
              </c:numCache>
            </c:numRef>
          </c:val>
          <c:extLst>
            <c:ext xmlns:c16="http://schemas.microsoft.com/office/drawing/2014/chart" uri="{C3380CC4-5D6E-409C-BE32-E72D297353CC}">
              <c16:uniqueId val="{00000001-4A2A-4A69-94FE-FAA701655246}"/>
            </c:ext>
          </c:extLst>
        </c:ser>
        <c:ser>
          <c:idx val="2"/>
          <c:order val="2"/>
          <c:tx>
            <c:strRef>
              <c:f>'Strategic Model'!$D$268</c:f>
              <c:strCache>
                <c:ptCount val="1"/>
              </c:strCache>
            </c:strRef>
          </c:tx>
          <c:spPr>
            <a:solidFill>
              <a:schemeClr val="accent1">
                <a:lumMod val="60000"/>
                <a:lumOff val="4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'Strategic Model'!$G$266:$Z$266</c15:sqref>
                  </c15:fullRef>
                </c:ext>
              </c:extLst>
              <c:f>'Strategic Model'!$G$266:$U$266</c:f>
              <c:numCache>
                <c:formatCode>General</c:formatCode>
                <c:ptCount val="15"/>
              </c:numCache>
            </c:numRef>
          </c:val>
          <c:extLst>
            <c:ext xmlns:c16="http://schemas.microsoft.com/office/drawing/2014/chart" uri="{C3380CC4-5D6E-409C-BE32-E72D297353CC}">
              <c16:uniqueId val="{00000002-4A2A-4A69-94FE-FAA701655246}"/>
            </c:ext>
          </c:extLst>
        </c:ser>
        <c:ser>
          <c:idx val="3"/>
          <c:order val="3"/>
          <c:tx>
            <c:strRef>
              <c:f>'Strategic Model'!$D$269</c:f>
              <c:strCache>
                <c:ptCount val="1"/>
              </c:strCache>
            </c:strRef>
          </c:tx>
          <c:spPr>
            <a:solidFill>
              <a:schemeClr val="accent1">
                <a:lumMod val="40000"/>
                <a:lumOff val="6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'Strategic Model'!$G$267:$Z$267</c15:sqref>
                  </c15:fullRef>
                </c:ext>
              </c:extLst>
              <c:f>'Strategic Model'!$G$267:$U$267</c:f>
              <c:numCache>
                <c:formatCode>General</c:formatCode>
                <c:ptCount val="15"/>
              </c:numCache>
            </c:numRef>
          </c:val>
          <c:extLst>
            <c:ext xmlns:c16="http://schemas.microsoft.com/office/drawing/2014/chart" uri="{C3380CC4-5D6E-409C-BE32-E72D297353CC}">
              <c16:uniqueId val="{00000003-4A2A-4A69-94FE-FAA701655246}"/>
            </c:ext>
          </c:extLst>
        </c:ser>
        <c:ser>
          <c:idx val="4"/>
          <c:order val="4"/>
          <c:tx>
            <c:strRef>
              <c:f>'Strategic Model'!$D$270</c:f>
              <c:strCache>
                <c:ptCount val="1"/>
              </c:strCache>
            </c:strRef>
          </c:tx>
          <c:spPr>
            <a:solidFill>
              <a:schemeClr val="accent1">
                <a:lumMod val="20000"/>
                <a:lumOff val="8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'Strategic Model'!$G$268:$Z$268</c15:sqref>
                  </c15:fullRef>
                </c:ext>
              </c:extLst>
              <c:f>'Strategic Model'!$G$268:$U$268</c:f>
              <c:numCache>
                <c:formatCode>General</c:formatCode>
                <c:ptCount val="15"/>
              </c:numCache>
            </c:numRef>
          </c:val>
          <c:extLst>
            <c:ext xmlns:c16="http://schemas.microsoft.com/office/drawing/2014/chart" uri="{C3380CC4-5D6E-409C-BE32-E72D297353CC}">
              <c16:uniqueId val="{00000004-4A2A-4A69-94FE-FAA701655246}"/>
            </c:ext>
          </c:extLst>
        </c:ser>
        <c:dLbls>
          <c:showLegendKey val="0"/>
          <c:showVal val="0"/>
          <c:showCatName val="0"/>
          <c:showSerName val="0"/>
          <c:showPercent val="0"/>
          <c:showBubbleSize val="0"/>
        </c:dLbls>
        <c:gapWidth val="327"/>
        <c:overlap val="100"/>
        <c:axId val="1024048448"/>
        <c:axId val="1029653536"/>
      </c:barChart>
      <c:lineChart>
        <c:grouping val="standard"/>
        <c:varyColors val="0"/>
        <c:ser>
          <c:idx val="5"/>
          <c:order val="5"/>
          <c:tx>
            <c:strRef>
              <c:f>'Strategic Model'!$D$272</c:f>
              <c:strCache>
                <c:ptCount val="1"/>
              </c:strCache>
            </c:strRef>
          </c:tx>
          <c:spPr>
            <a:ln w="28575" cap="rnd">
              <a:solidFill>
                <a:schemeClr val="accent1">
                  <a:tint val="94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'Strategic Model'!$G$270:$Z$270</c15:sqref>
                  </c15:fullRef>
                </c:ext>
              </c:extLst>
              <c:f>'Strategic Model'!$G$270:$U$270</c:f>
              <c:numCache>
                <c:formatCode>General</c:formatCode>
                <c:ptCount val="15"/>
              </c:numCache>
            </c:numRef>
          </c:val>
          <c:smooth val="0"/>
          <c:extLst>
            <c:ext xmlns:c16="http://schemas.microsoft.com/office/drawing/2014/chart" uri="{C3380CC4-5D6E-409C-BE32-E72D297353CC}">
              <c16:uniqueId val="{00000005-4A2A-4A69-94FE-FAA701655246}"/>
            </c:ext>
          </c:extLst>
        </c:ser>
        <c:ser>
          <c:idx val="6"/>
          <c:order val="6"/>
          <c:tx>
            <c:strRef>
              <c:f>'Strategic Model'!$D$273</c:f>
              <c:strCache>
                <c:ptCount val="1"/>
              </c:strCache>
            </c:strRef>
          </c:tx>
          <c:spPr>
            <a:ln w="28575" cap="rnd">
              <a:solidFill>
                <a:schemeClr val="accent1">
                  <a:tint val="81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'Strategic Model'!$G$271:$Z$271</c15:sqref>
                  </c15:fullRef>
                </c:ext>
              </c:extLst>
              <c:f>'Strategic Model'!$G$271:$U$271</c:f>
              <c:numCache>
                <c:formatCode>General</c:formatCode>
                <c:ptCount val="15"/>
              </c:numCache>
            </c:numRef>
          </c:val>
          <c:smooth val="0"/>
          <c:extLst>
            <c:ext xmlns:c16="http://schemas.microsoft.com/office/drawing/2014/chart" uri="{C3380CC4-5D6E-409C-BE32-E72D297353CC}">
              <c16:uniqueId val="{00000006-4A2A-4A69-94FE-FAA701655246}"/>
            </c:ext>
          </c:extLst>
        </c:ser>
        <c:ser>
          <c:idx val="7"/>
          <c:order val="7"/>
          <c:tx>
            <c:strRef>
              <c:f>'Strategic Model'!$D$274</c:f>
              <c:strCache>
                <c:ptCount val="1"/>
              </c:strCache>
            </c:strRef>
          </c:tx>
          <c:spPr>
            <a:ln w="28575" cap="rnd">
              <a:solidFill>
                <a:schemeClr val="accent1">
                  <a:tint val="69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'Strategic Model'!$G$272:$Z$272</c15:sqref>
                  </c15:fullRef>
                </c:ext>
              </c:extLst>
              <c:f>'Strategic Model'!$G$272:$U$272</c:f>
              <c:numCache>
                <c:formatCode>General</c:formatCode>
                <c:ptCount val="15"/>
              </c:numCache>
            </c:numRef>
          </c:val>
          <c:smooth val="0"/>
          <c:extLst>
            <c:ext xmlns:c16="http://schemas.microsoft.com/office/drawing/2014/chart" uri="{C3380CC4-5D6E-409C-BE32-E72D297353CC}">
              <c16:uniqueId val="{00000007-4A2A-4A69-94FE-FAA701655246}"/>
            </c:ext>
          </c:extLst>
        </c:ser>
        <c:ser>
          <c:idx val="8"/>
          <c:order val="8"/>
          <c:tx>
            <c:strRef>
              <c:f>'Strategic Model'!$D$275</c:f>
              <c:strCache>
                <c:ptCount val="1"/>
              </c:strCache>
            </c:strRef>
          </c:tx>
          <c:spPr>
            <a:ln w="28575" cap="rnd">
              <a:solidFill>
                <a:schemeClr val="accent1">
                  <a:tint val="56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'Strategic Model'!$G$273:$Z$273</c15:sqref>
                  </c15:fullRef>
                </c:ext>
              </c:extLst>
              <c:f>'Strategic Model'!$G$273:$U$273</c:f>
              <c:numCache>
                <c:formatCode>General</c:formatCode>
                <c:ptCount val="15"/>
              </c:numCache>
            </c:numRef>
          </c:val>
          <c:smooth val="0"/>
          <c:extLst>
            <c:ext xmlns:c16="http://schemas.microsoft.com/office/drawing/2014/chart" uri="{C3380CC4-5D6E-409C-BE32-E72D297353CC}">
              <c16:uniqueId val="{00000008-4A2A-4A69-94FE-FAA701655246}"/>
            </c:ext>
          </c:extLst>
        </c:ser>
        <c:ser>
          <c:idx val="9"/>
          <c:order val="9"/>
          <c:tx>
            <c:strRef>
              <c:f>'Strategic Model'!$D$276</c:f>
              <c:strCache>
                <c:ptCount val="1"/>
              </c:strCache>
            </c:strRef>
          </c:tx>
          <c:spPr>
            <a:ln w="28575" cap="rnd">
              <a:solidFill>
                <a:schemeClr val="accent1">
                  <a:tint val="43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'Strategic Model'!$G$274:$Z$274</c15:sqref>
                  </c15:fullRef>
                </c:ext>
              </c:extLst>
              <c:f>'Strategic Model'!$G$274:$U$274</c:f>
              <c:numCache>
                <c:formatCode>General</c:formatCode>
                <c:ptCount val="15"/>
              </c:numCache>
            </c:numRef>
          </c:val>
          <c:smooth val="0"/>
          <c:extLst>
            <c:ext xmlns:c16="http://schemas.microsoft.com/office/drawing/2014/chart" uri="{C3380CC4-5D6E-409C-BE32-E72D297353CC}">
              <c16:uniqueId val="{00000009-4A2A-4A69-94FE-FAA701655246}"/>
            </c:ext>
          </c:extLst>
        </c:ser>
        <c:dLbls>
          <c:showLegendKey val="0"/>
          <c:showVal val="0"/>
          <c:showCatName val="0"/>
          <c:showSerName val="0"/>
          <c:showPercent val="0"/>
          <c:showBubbleSize val="0"/>
        </c:dLbls>
        <c:marker val="1"/>
        <c:smooth val="0"/>
        <c:axId val="1024058048"/>
        <c:axId val="1029654368"/>
      </c:lineChart>
      <c:catAx>
        <c:axId val="1024048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Year of Operation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53536"/>
        <c:crosses val="autoZero"/>
        <c:auto val="1"/>
        <c:lblAlgn val="ctr"/>
        <c:lblOffset val="100"/>
        <c:noMultiLvlLbl val="0"/>
      </c:catAx>
      <c:valAx>
        <c:axId val="1029653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48448"/>
        <c:crosses val="autoZero"/>
        <c:crossBetween val="between"/>
      </c:valAx>
      <c:valAx>
        <c:axId val="1029654368"/>
        <c:scaling>
          <c:orientation val="minMax"/>
          <c:max val="7.8"/>
          <c:min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Tariff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58048"/>
        <c:crosses val="max"/>
        <c:crossBetween val="between"/>
      </c:valAx>
      <c:catAx>
        <c:axId val="1024058048"/>
        <c:scaling>
          <c:orientation val="minMax"/>
        </c:scaling>
        <c:delete val="1"/>
        <c:axPos val="b"/>
        <c:majorTickMark val="out"/>
        <c:minorTickMark val="none"/>
        <c:tickLblPos val="nextTo"/>
        <c:crossAx val="10296543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2"/>
          <c:order val="2"/>
          <c:tx>
            <c:strRef>
              <c:f>'Strategic Model'!$D$250</c:f>
              <c:strCache>
                <c:ptCount val="1"/>
              </c:strCache>
            </c:strRef>
          </c:tx>
          <c:spPr>
            <a:solidFill>
              <a:schemeClr val="bg1">
                <a:lumMod val="85000"/>
              </a:schemeClr>
            </a:solidFill>
            <a:ln>
              <a:noFill/>
            </a:ln>
            <a:effectLst/>
          </c:spP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'Strategic Model'!$G$248:$Z$248</c15:sqref>
                  </c15:fullRef>
                </c:ext>
              </c:extLst>
              <c:f>'Strategic Model'!$G$248:$U$248</c:f>
              <c:numCache>
                <c:formatCode>General</c:formatCode>
                <c:ptCount val="15"/>
              </c:numCache>
            </c:numRef>
          </c:val>
          <c:extLst>
            <c:ext xmlns:c16="http://schemas.microsoft.com/office/drawing/2014/chart" uri="{C3380CC4-5D6E-409C-BE32-E72D297353CC}">
              <c16:uniqueId val="{00000000-BBC1-47F6-BDE7-595BF9B70929}"/>
            </c:ext>
          </c:extLst>
        </c:ser>
        <c:dLbls>
          <c:showLegendKey val="0"/>
          <c:showVal val="0"/>
          <c:showCatName val="0"/>
          <c:showSerName val="0"/>
          <c:showPercent val="0"/>
          <c:showBubbleSize val="0"/>
        </c:dLbls>
        <c:axId val="58907136"/>
        <c:axId val="560574320"/>
      </c:areaChart>
      <c:barChart>
        <c:barDir val="col"/>
        <c:grouping val="clustered"/>
        <c:varyColors val="0"/>
        <c:ser>
          <c:idx val="0"/>
          <c:order val="0"/>
          <c:tx>
            <c:strRef>
              <c:f>'Strategic Model'!$D$248</c:f>
              <c:strCache>
                <c:ptCount val="1"/>
              </c:strCache>
            </c:strRef>
          </c:tx>
          <c:spPr>
            <a:solidFill>
              <a:schemeClr val="accent1"/>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'Strategic Model'!$G$246:$Z$246</c15:sqref>
                  </c15:fullRef>
                </c:ext>
              </c:extLst>
              <c:f>'Strategic Model'!$G$246:$U$246</c:f>
              <c:numCache>
                <c:formatCode>General</c:formatCode>
                <c:ptCount val="15"/>
              </c:numCache>
            </c:numRef>
          </c:val>
          <c:extLst>
            <c:ext xmlns:c16="http://schemas.microsoft.com/office/drawing/2014/chart" uri="{C3380CC4-5D6E-409C-BE32-E72D297353CC}">
              <c16:uniqueId val="{00000001-BBC1-47F6-BDE7-595BF9B70929}"/>
            </c:ext>
          </c:extLst>
        </c:ser>
        <c:ser>
          <c:idx val="1"/>
          <c:order val="1"/>
          <c:tx>
            <c:strRef>
              <c:f>'Strategic Model'!$D$249</c:f>
              <c:strCache>
                <c:ptCount val="1"/>
              </c:strCache>
            </c:strRef>
          </c:tx>
          <c:spPr>
            <a:solidFill>
              <a:schemeClr val="accent2"/>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'Strategic Model'!$G$247:$Z$247</c15:sqref>
                  </c15:fullRef>
                </c:ext>
              </c:extLst>
              <c:f>'Strategic Model'!$G$247:$U$247</c:f>
              <c:numCache>
                <c:formatCode>General</c:formatCode>
                <c:ptCount val="15"/>
              </c:numCache>
            </c:numRef>
          </c:val>
          <c:extLst>
            <c:ext xmlns:c16="http://schemas.microsoft.com/office/drawing/2014/chart" uri="{C3380CC4-5D6E-409C-BE32-E72D297353CC}">
              <c16:uniqueId val="{00000002-BBC1-47F6-BDE7-595BF9B70929}"/>
            </c:ext>
          </c:extLst>
        </c:ser>
        <c:dLbls>
          <c:showLegendKey val="0"/>
          <c:showVal val="0"/>
          <c:showCatName val="0"/>
          <c:showSerName val="0"/>
          <c:showPercent val="0"/>
          <c:showBubbleSize val="0"/>
        </c:dLbls>
        <c:gapWidth val="219"/>
        <c:axId val="983537856"/>
        <c:axId val="1029660608"/>
      </c:barChart>
      <c:catAx>
        <c:axId val="98353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Operational</a:t>
                </a:r>
                <a:r>
                  <a:rPr lang="en-ZA" baseline="0"/>
                  <a:t>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60608"/>
        <c:crosses val="autoZero"/>
        <c:auto val="1"/>
        <c:lblAlgn val="ctr"/>
        <c:lblOffset val="100"/>
        <c:noMultiLvlLbl val="0"/>
      </c:catAx>
      <c:valAx>
        <c:axId val="1029660608"/>
        <c:scaling>
          <c:orientation val="minMax"/>
          <c:max val="30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Annual Saving &amp; Cost (R)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537856"/>
        <c:crosses val="autoZero"/>
        <c:crossBetween val="between"/>
      </c:valAx>
      <c:valAx>
        <c:axId val="560574320"/>
        <c:scaling>
          <c:orientation val="minMax"/>
          <c:max val="470000000"/>
          <c:min val="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Cumulative Net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07136"/>
        <c:crosses val="max"/>
        <c:crossBetween val="between"/>
      </c:valAx>
      <c:catAx>
        <c:axId val="58907136"/>
        <c:scaling>
          <c:orientation val="minMax"/>
        </c:scaling>
        <c:delete val="1"/>
        <c:axPos val="b"/>
        <c:majorTickMark val="out"/>
        <c:minorTickMark val="none"/>
        <c:tickLblPos val="nextTo"/>
        <c:crossAx val="5605743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col"/>
        <c:grouping val="stacked"/>
        <c:varyColors val="0"/>
        <c:ser>
          <c:idx val="0"/>
          <c:order val="0"/>
          <c:tx>
            <c:strRef>
              <c:f>Results!$D$203</c:f>
              <c:strCache>
                <c:ptCount val="1"/>
              </c:strCache>
            </c:strRef>
          </c:tx>
          <c:spPr>
            <a:solidFill>
              <a:schemeClr val="accent1">
                <a:lumMod val="5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Results!$G$203:$Z$203</c15:sqref>
                  </c15:fullRef>
                </c:ext>
              </c:extLst>
              <c:f>Results!$G$203:$U$203</c:f>
              <c:numCache>
                <c:formatCode>General</c:formatCode>
                <c:ptCount val="15"/>
              </c:numCache>
            </c:numRef>
          </c:val>
          <c:extLst>
            <c:ext xmlns:c16="http://schemas.microsoft.com/office/drawing/2014/chart" uri="{C3380CC4-5D6E-409C-BE32-E72D297353CC}">
              <c16:uniqueId val="{00000000-D2B4-465F-AB15-908AE8F681C7}"/>
            </c:ext>
          </c:extLst>
        </c:ser>
        <c:ser>
          <c:idx val="1"/>
          <c:order val="1"/>
          <c:tx>
            <c:strRef>
              <c:f>Results!$D$204</c:f>
              <c:strCache>
                <c:ptCount val="1"/>
              </c:strCache>
            </c:strRef>
          </c:tx>
          <c:spPr>
            <a:solidFill>
              <a:schemeClr val="accent1">
                <a:lumMod val="75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Results!$G$204:$Z$204</c15:sqref>
                  </c15:fullRef>
                </c:ext>
              </c:extLst>
              <c:f>Results!$G$204:$U$204</c:f>
              <c:numCache>
                <c:formatCode>General</c:formatCode>
                <c:ptCount val="15"/>
              </c:numCache>
            </c:numRef>
          </c:val>
          <c:extLst>
            <c:ext xmlns:c16="http://schemas.microsoft.com/office/drawing/2014/chart" uri="{C3380CC4-5D6E-409C-BE32-E72D297353CC}">
              <c16:uniqueId val="{00000001-D2B4-465F-AB15-908AE8F681C7}"/>
            </c:ext>
          </c:extLst>
        </c:ser>
        <c:ser>
          <c:idx val="2"/>
          <c:order val="2"/>
          <c:tx>
            <c:strRef>
              <c:f>Results!$D$205</c:f>
              <c:strCache>
                <c:ptCount val="1"/>
              </c:strCache>
            </c:strRef>
          </c:tx>
          <c:spPr>
            <a:solidFill>
              <a:schemeClr val="accent1">
                <a:lumMod val="60000"/>
                <a:lumOff val="4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Results!$G$205:$Z$205</c15:sqref>
                  </c15:fullRef>
                </c:ext>
              </c:extLst>
              <c:f>Results!$G$205:$U$205</c:f>
              <c:numCache>
                <c:formatCode>General</c:formatCode>
                <c:ptCount val="15"/>
              </c:numCache>
            </c:numRef>
          </c:val>
          <c:extLst>
            <c:ext xmlns:c16="http://schemas.microsoft.com/office/drawing/2014/chart" uri="{C3380CC4-5D6E-409C-BE32-E72D297353CC}">
              <c16:uniqueId val="{00000002-D2B4-465F-AB15-908AE8F681C7}"/>
            </c:ext>
          </c:extLst>
        </c:ser>
        <c:ser>
          <c:idx val="3"/>
          <c:order val="3"/>
          <c:tx>
            <c:strRef>
              <c:f>Results!$D$206</c:f>
              <c:strCache>
                <c:ptCount val="1"/>
              </c:strCache>
            </c:strRef>
          </c:tx>
          <c:spPr>
            <a:solidFill>
              <a:schemeClr val="accent1">
                <a:lumMod val="40000"/>
                <a:lumOff val="6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Results!$G$206:$Z$206</c15:sqref>
                  </c15:fullRef>
                </c:ext>
              </c:extLst>
              <c:f>Results!$G$206:$U$206</c:f>
              <c:numCache>
                <c:formatCode>General</c:formatCode>
                <c:ptCount val="15"/>
              </c:numCache>
            </c:numRef>
          </c:val>
          <c:extLst>
            <c:ext xmlns:c16="http://schemas.microsoft.com/office/drawing/2014/chart" uri="{C3380CC4-5D6E-409C-BE32-E72D297353CC}">
              <c16:uniqueId val="{00000003-D2B4-465F-AB15-908AE8F681C7}"/>
            </c:ext>
          </c:extLst>
        </c:ser>
        <c:ser>
          <c:idx val="4"/>
          <c:order val="4"/>
          <c:tx>
            <c:strRef>
              <c:f>Results!$D$207</c:f>
              <c:strCache>
                <c:ptCount val="1"/>
              </c:strCache>
            </c:strRef>
          </c:tx>
          <c:spPr>
            <a:solidFill>
              <a:schemeClr val="accent1">
                <a:lumMod val="20000"/>
                <a:lumOff val="8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Results!$G$207:$Z$207</c15:sqref>
                  </c15:fullRef>
                </c:ext>
              </c:extLst>
              <c:f>Results!$G$207:$U$207</c:f>
              <c:numCache>
                <c:formatCode>General</c:formatCode>
                <c:ptCount val="15"/>
              </c:numCache>
            </c:numRef>
          </c:val>
          <c:extLst>
            <c:ext xmlns:c16="http://schemas.microsoft.com/office/drawing/2014/chart" uri="{C3380CC4-5D6E-409C-BE32-E72D297353CC}">
              <c16:uniqueId val="{00000004-D2B4-465F-AB15-908AE8F681C7}"/>
            </c:ext>
          </c:extLst>
        </c:ser>
        <c:dLbls>
          <c:showLegendKey val="0"/>
          <c:showVal val="0"/>
          <c:showCatName val="0"/>
          <c:showSerName val="0"/>
          <c:showPercent val="0"/>
          <c:showBubbleSize val="0"/>
        </c:dLbls>
        <c:gapWidth val="327"/>
        <c:overlap val="100"/>
        <c:axId val="1024048448"/>
        <c:axId val="1029653536"/>
      </c:barChart>
      <c:lineChart>
        <c:grouping val="standard"/>
        <c:varyColors val="0"/>
        <c:ser>
          <c:idx val="5"/>
          <c:order val="5"/>
          <c:tx>
            <c:strRef>
              <c:f>Results!$D$209</c:f>
              <c:strCache>
                <c:ptCount val="1"/>
              </c:strCache>
            </c:strRef>
          </c:tx>
          <c:spPr>
            <a:ln w="28575" cap="rnd">
              <a:solidFill>
                <a:schemeClr val="accent1">
                  <a:tint val="94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Results!$G$209:$Z$209</c15:sqref>
                  </c15:fullRef>
                </c:ext>
              </c:extLst>
              <c:f>Results!$G$209:$U$209</c:f>
              <c:numCache>
                <c:formatCode>General</c:formatCode>
                <c:ptCount val="15"/>
              </c:numCache>
            </c:numRef>
          </c:val>
          <c:smooth val="0"/>
          <c:extLst>
            <c:ext xmlns:c16="http://schemas.microsoft.com/office/drawing/2014/chart" uri="{C3380CC4-5D6E-409C-BE32-E72D297353CC}">
              <c16:uniqueId val="{00000005-D2B4-465F-AB15-908AE8F681C7}"/>
            </c:ext>
          </c:extLst>
        </c:ser>
        <c:ser>
          <c:idx val="6"/>
          <c:order val="6"/>
          <c:tx>
            <c:strRef>
              <c:f>Results!$D$210</c:f>
              <c:strCache>
                <c:ptCount val="1"/>
              </c:strCache>
            </c:strRef>
          </c:tx>
          <c:spPr>
            <a:ln w="28575" cap="rnd">
              <a:solidFill>
                <a:schemeClr val="accent1">
                  <a:tint val="81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Results!$G$210:$Z$210</c15:sqref>
                  </c15:fullRef>
                </c:ext>
              </c:extLst>
              <c:f>Results!$G$210:$U$210</c:f>
              <c:numCache>
                <c:formatCode>General</c:formatCode>
                <c:ptCount val="15"/>
              </c:numCache>
            </c:numRef>
          </c:val>
          <c:smooth val="0"/>
          <c:extLst>
            <c:ext xmlns:c16="http://schemas.microsoft.com/office/drawing/2014/chart" uri="{C3380CC4-5D6E-409C-BE32-E72D297353CC}">
              <c16:uniqueId val="{00000006-D2B4-465F-AB15-908AE8F681C7}"/>
            </c:ext>
          </c:extLst>
        </c:ser>
        <c:ser>
          <c:idx val="7"/>
          <c:order val="7"/>
          <c:tx>
            <c:strRef>
              <c:f>Results!$D$211</c:f>
              <c:strCache>
                <c:ptCount val="1"/>
              </c:strCache>
            </c:strRef>
          </c:tx>
          <c:spPr>
            <a:ln w="28575" cap="rnd">
              <a:solidFill>
                <a:schemeClr val="accent1">
                  <a:tint val="69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Results!$G$211:$Z$211</c15:sqref>
                  </c15:fullRef>
                </c:ext>
              </c:extLst>
              <c:f>Results!$G$211:$U$211</c:f>
              <c:numCache>
                <c:formatCode>General</c:formatCode>
                <c:ptCount val="15"/>
              </c:numCache>
            </c:numRef>
          </c:val>
          <c:smooth val="0"/>
          <c:extLst>
            <c:ext xmlns:c16="http://schemas.microsoft.com/office/drawing/2014/chart" uri="{C3380CC4-5D6E-409C-BE32-E72D297353CC}">
              <c16:uniqueId val="{00000007-D2B4-465F-AB15-908AE8F681C7}"/>
            </c:ext>
          </c:extLst>
        </c:ser>
        <c:ser>
          <c:idx val="8"/>
          <c:order val="8"/>
          <c:tx>
            <c:strRef>
              <c:f>Results!$D$212</c:f>
              <c:strCache>
                <c:ptCount val="1"/>
              </c:strCache>
            </c:strRef>
          </c:tx>
          <c:spPr>
            <a:ln w="28575" cap="rnd">
              <a:solidFill>
                <a:schemeClr val="accent1">
                  <a:tint val="56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Results!$G$212:$Z$212</c15:sqref>
                  </c15:fullRef>
                </c:ext>
              </c:extLst>
              <c:f>Results!$G$212:$U$212</c:f>
              <c:numCache>
                <c:formatCode>General</c:formatCode>
                <c:ptCount val="15"/>
              </c:numCache>
            </c:numRef>
          </c:val>
          <c:smooth val="0"/>
          <c:extLst>
            <c:ext xmlns:c16="http://schemas.microsoft.com/office/drawing/2014/chart" uri="{C3380CC4-5D6E-409C-BE32-E72D297353CC}">
              <c16:uniqueId val="{00000008-D2B4-465F-AB15-908AE8F681C7}"/>
            </c:ext>
          </c:extLst>
        </c:ser>
        <c:ser>
          <c:idx val="9"/>
          <c:order val="9"/>
          <c:tx>
            <c:strRef>
              <c:f>Results!$D$213</c:f>
              <c:strCache>
                <c:ptCount val="1"/>
              </c:strCache>
            </c:strRef>
          </c:tx>
          <c:spPr>
            <a:ln w="28575" cap="rnd">
              <a:solidFill>
                <a:schemeClr val="accent1">
                  <a:tint val="43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Results!$G$213:$Z$213</c15:sqref>
                  </c15:fullRef>
                </c:ext>
              </c:extLst>
              <c:f>Results!$G$213:$U$213</c:f>
              <c:numCache>
                <c:formatCode>General</c:formatCode>
                <c:ptCount val="15"/>
              </c:numCache>
            </c:numRef>
          </c:val>
          <c:smooth val="0"/>
          <c:extLst>
            <c:ext xmlns:c16="http://schemas.microsoft.com/office/drawing/2014/chart" uri="{C3380CC4-5D6E-409C-BE32-E72D297353CC}">
              <c16:uniqueId val="{00000009-D2B4-465F-AB15-908AE8F681C7}"/>
            </c:ext>
          </c:extLst>
        </c:ser>
        <c:dLbls>
          <c:showLegendKey val="0"/>
          <c:showVal val="0"/>
          <c:showCatName val="0"/>
          <c:showSerName val="0"/>
          <c:showPercent val="0"/>
          <c:showBubbleSize val="0"/>
        </c:dLbls>
        <c:marker val="1"/>
        <c:smooth val="0"/>
        <c:axId val="1024058048"/>
        <c:axId val="1029654368"/>
      </c:lineChart>
      <c:catAx>
        <c:axId val="1024048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Year of Operation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53536"/>
        <c:crosses val="autoZero"/>
        <c:auto val="1"/>
        <c:lblAlgn val="ctr"/>
        <c:lblOffset val="100"/>
        <c:noMultiLvlLbl val="0"/>
      </c:catAx>
      <c:valAx>
        <c:axId val="1029653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48448"/>
        <c:crosses val="autoZero"/>
        <c:crossBetween val="between"/>
      </c:valAx>
      <c:valAx>
        <c:axId val="1029654368"/>
        <c:scaling>
          <c:orientation val="minMax"/>
          <c:max val="7.8"/>
          <c:min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Tariff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58048"/>
        <c:crosses val="max"/>
        <c:crossBetween val="between"/>
      </c:valAx>
      <c:catAx>
        <c:axId val="1024058048"/>
        <c:scaling>
          <c:orientation val="minMax"/>
        </c:scaling>
        <c:delete val="1"/>
        <c:axPos val="b"/>
        <c:majorTickMark val="out"/>
        <c:minorTickMark val="none"/>
        <c:tickLblPos val="nextTo"/>
        <c:crossAx val="10296543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2"/>
          <c:order val="2"/>
          <c:tx>
            <c:strRef>
              <c:f>Results!$D$185</c:f>
              <c:strCache>
                <c:ptCount val="1"/>
                <c:pt idx="0">
                  <c:v>Savings: Fixed cost recovered due to increased buffer</c:v>
                </c:pt>
              </c:strCache>
            </c:strRef>
          </c:tx>
          <c:spPr>
            <a:solidFill>
              <a:schemeClr val="bg1">
                <a:lumMod val="85000"/>
              </a:schemeClr>
            </a:solidFill>
            <a:ln>
              <a:noFill/>
            </a:ln>
            <a:effectLst/>
          </c:spP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Results!$G$185:$Z$185</c15:sqref>
                  </c15:fullRef>
                </c:ext>
              </c:extLst>
              <c:f>Results!$G$185:$U$185</c:f>
              <c:numCache>
                <c:formatCode>_(* #,##0.00_);_(* \(#,##0.00\);_(* "-"??_);_(@_)</c:formatCode>
                <c:ptCount val="15"/>
                <c:pt idx="0">
                  <c:v>0</c:v>
                </c:pt>
                <c:pt idx="1">
                  <c:v>0</c:v>
                </c:pt>
                <c:pt idx="2">
                  <c:v>2411132.9242169978</c:v>
                </c:pt>
                <c:pt idx="3">
                  <c:v>2555800.899670017</c:v>
                </c:pt>
                <c:pt idx="4">
                  <c:v>3497753.071068529</c:v>
                </c:pt>
                <c:pt idx="5">
                  <c:v>3697488.1508098789</c:v>
                </c:pt>
                <c:pt idx="6">
                  <c:v>2560747.1435171752</c:v>
                </c:pt>
                <c:pt idx="7">
                  <c:v>2714391.9721282059</c:v>
                </c:pt>
                <c:pt idx="8">
                  <c:v>2877255.4904558985</c:v>
                </c:pt>
                <c:pt idx="9">
                  <c:v>3041557.7848562528</c:v>
                </c:pt>
                <c:pt idx="10">
                  <c:v>3232884.2690762472</c:v>
                </c:pt>
                <c:pt idx="11">
                  <c:v>3426857.3252208224</c:v>
                </c:pt>
                <c:pt idx="12">
                  <c:v>3632468.7647340721</c:v>
                </c:pt>
                <c:pt idx="13">
                  <c:v>3839896.6258896575</c:v>
                </c:pt>
                <c:pt idx="14">
                  <c:v>4081441.9040552033</c:v>
                </c:pt>
              </c:numCache>
            </c:numRef>
          </c:val>
          <c:extLst>
            <c:ext xmlns:c16="http://schemas.microsoft.com/office/drawing/2014/chart" uri="{C3380CC4-5D6E-409C-BE32-E72D297353CC}">
              <c16:uniqueId val="{00000000-D1CC-48FD-AF71-2A8A29767E83}"/>
            </c:ext>
          </c:extLst>
        </c:ser>
        <c:dLbls>
          <c:showLegendKey val="0"/>
          <c:showVal val="0"/>
          <c:showCatName val="0"/>
          <c:showSerName val="0"/>
          <c:showPercent val="0"/>
          <c:showBubbleSize val="0"/>
        </c:dLbls>
        <c:axId val="58907136"/>
        <c:axId val="560574320"/>
      </c:areaChart>
      <c:barChart>
        <c:barDir val="col"/>
        <c:grouping val="clustered"/>
        <c:varyColors val="0"/>
        <c:ser>
          <c:idx val="0"/>
          <c:order val="0"/>
          <c:tx>
            <c:strRef>
              <c:f>Results!$D$176</c:f>
              <c:strCache>
                <c:ptCount val="1"/>
              </c:strCache>
            </c:strRef>
          </c:tx>
          <c:spPr>
            <a:solidFill>
              <a:schemeClr val="accent1"/>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Results!$G$176:$Z$176</c15:sqref>
                  </c15:fullRef>
                </c:ext>
              </c:extLst>
              <c:f>Results!$G$176:$U$176</c:f>
              <c:numCache>
                <c:formatCode>General</c:formatCode>
                <c:ptCount val="15"/>
              </c:numCache>
            </c:numRef>
          </c:val>
          <c:extLst>
            <c:ext xmlns:c16="http://schemas.microsoft.com/office/drawing/2014/chart" uri="{C3380CC4-5D6E-409C-BE32-E72D297353CC}">
              <c16:uniqueId val="{00000001-D1CC-48FD-AF71-2A8A29767E83}"/>
            </c:ext>
          </c:extLst>
        </c:ser>
        <c:ser>
          <c:idx val="1"/>
          <c:order val="1"/>
          <c:tx>
            <c:strRef>
              <c:f>Results!$D$179</c:f>
              <c:strCache>
                <c:ptCount val="1"/>
                <c:pt idx="0">
                  <c:v>Storage Capacity (kl) - Strategic</c:v>
                </c:pt>
              </c:strCache>
            </c:strRef>
          </c:tx>
          <c:spPr>
            <a:solidFill>
              <a:schemeClr val="accent2"/>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Results!$G$179:$Z$179</c15:sqref>
                  </c15:fullRef>
                </c:ext>
              </c:extLst>
              <c:f>Results!$G$179:$U$179</c:f>
              <c:numCache>
                <c:formatCode>_(* #,##0.00_);_(* \(#,##0.00\);_(* "-"??_);_(@_)</c:formatCode>
                <c:ptCount val="15"/>
                <c:pt idx="0">
                  <c:v>1800</c:v>
                </c:pt>
                <c:pt idx="1">
                  <c:v>1800</c:v>
                </c:pt>
                <c:pt idx="2">
                  <c:v>2450</c:v>
                </c:pt>
                <c:pt idx="3">
                  <c:v>2450</c:v>
                </c:pt>
                <c:pt idx="4">
                  <c:v>2450</c:v>
                </c:pt>
                <c:pt idx="5">
                  <c:v>2450</c:v>
                </c:pt>
                <c:pt idx="6">
                  <c:v>2450</c:v>
                </c:pt>
                <c:pt idx="7">
                  <c:v>2450</c:v>
                </c:pt>
                <c:pt idx="8">
                  <c:v>2450</c:v>
                </c:pt>
                <c:pt idx="9">
                  <c:v>2450</c:v>
                </c:pt>
                <c:pt idx="10">
                  <c:v>2450</c:v>
                </c:pt>
                <c:pt idx="11">
                  <c:v>2450</c:v>
                </c:pt>
                <c:pt idx="12">
                  <c:v>2450</c:v>
                </c:pt>
                <c:pt idx="13">
                  <c:v>2450</c:v>
                </c:pt>
                <c:pt idx="14">
                  <c:v>2450</c:v>
                </c:pt>
              </c:numCache>
            </c:numRef>
          </c:val>
          <c:extLst>
            <c:ext xmlns:c16="http://schemas.microsoft.com/office/drawing/2014/chart" uri="{C3380CC4-5D6E-409C-BE32-E72D297353CC}">
              <c16:uniqueId val="{00000002-D1CC-48FD-AF71-2A8A29767E83}"/>
            </c:ext>
          </c:extLst>
        </c:ser>
        <c:dLbls>
          <c:showLegendKey val="0"/>
          <c:showVal val="0"/>
          <c:showCatName val="0"/>
          <c:showSerName val="0"/>
          <c:showPercent val="0"/>
          <c:showBubbleSize val="0"/>
        </c:dLbls>
        <c:gapWidth val="219"/>
        <c:axId val="983537856"/>
        <c:axId val="1029660608"/>
      </c:barChart>
      <c:catAx>
        <c:axId val="98353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Operational</a:t>
                </a:r>
                <a:r>
                  <a:rPr lang="en-ZA" baseline="0"/>
                  <a:t>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60608"/>
        <c:crosses val="autoZero"/>
        <c:auto val="1"/>
        <c:lblAlgn val="ctr"/>
        <c:lblOffset val="100"/>
        <c:noMultiLvlLbl val="0"/>
      </c:catAx>
      <c:valAx>
        <c:axId val="1029660608"/>
        <c:scaling>
          <c:orientation val="minMax"/>
          <c:max val="30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Annual Saving &amp; Cost (R)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537856"/>
        <c:crosses val="autoZero"/>
        <c:crossBetween val="between"/>
      </c:valAx>
      <c:valAx>
        <c:axId val="560574320"/>
        <c:scaling>
          <c:orientation val="minMax"/>
          <c:max val="470000000"/>
          <c:min val="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Cumulative Net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07136"/>
        <c:crosses val="max"/>
        <c:crossBetween val="between"/>
      </c:valAx>
      <c:catAx>
        <c:axId val="58907136"/>
        <c:scaling>
          <c:orientation val="minMax"/>
        </c:scaling>
        <c:delete val="1"/>
        <c:axPos val="b"/>
        <c:majorTickMark val="out"/>
        <c:minorTickMark val="none"/>
        <c:tickLblPos val="nextTo"/>
        <c:crossAx val="5605743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Cumulative Water Cost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Results!$D$6</c:f>
              <c:strCache>
                <c:ptCount val="1"/>
                <c:pt idx="0">
                  <c:v>Water Tariffs</c:v>
                </c:pt>
              </c:strCache>
            </c:strRef>
          </c:tx>
          <c:spPr>
            <a:solidFill>
              <a:schemeClr val="accent1"/>
            </a:solidFill>
            <a:ln>
              <a:noFill/>
            </a:ln>
            <a:effectLst/>
          </c:spPr>
          <c:invertIfNegative val="0"/>
          <c:cat>
            <c:strRef>
              <c:f>Results!$E$4:$F$4</c:f>
              <c:strCache>
                <c:ptCount val="2"/>
                <c:pt idx="0">
                  <c:v>BaU Outlook</c:v>
                </c:pt>
                <c:pt idx="1">
                  <c:v>Strategic Outlook</c:v>
                </c:pt>
              </c:strCache>
            </c:strRef>
          </c:cat>
          <c:val>
            <c:numRef>
              <c:f>Results!$E$6:$F$6</c:f>
              <c:numCache>
                <c:formatCode>_(* #,##0.00_);_(* \(#,##0.00\);_(* "-"??_);_(@_)</c:formatCode>
                <c:ptCount val="2"/>
                <c:pt idx="0">
                  <c:v>140.11397769256709</c:v>
                </c:pt>
                <c:pt idx="1">
                  <c:v>16.107358290227065</c:v>
                </c:pt>
              </c:numCache>
            </c:numRef>
          </c:val>
          <c:extLst>
            <c:ext xmlns:c16="http://schemas.microsoft.com/office/drawing/2014/chart" uri="{C3380CC4-5D6E-409C-BE32-E72D297353CC}">
              <c16:uniqueId val="{00000000-C9E1-4513-B837-9C6A8F729FFA}"/>
            </c:ext>
          </c:extLst>
        </c:ser>
        <c:ser>
          <c:idx val="1"/>
          <c:order val="1"/>
          <c:tx>
            <c:strRef>
              <c:f>Results!$D$7</c:f>
              <c:strCache>
                <c:ptCount val="1"/>
                <c:pt idx="0">
                  <c:v>Wastewater Tariffs</c:v>
                </c:pt>
              </c:strCache>
            </c:strRef>
          </c:tx>
          <c:spPr>
            <a:solidFill>
              <a:schemeClr val="accent2"/>
            </a:solidFill>
            <a:ln>
              <a:noFill/>
            </a:ln>
            <a:effectLst/>
          </c:spPr>
          <c:invertIfNegative val="0"/>
          <c:cat>
            <c:strRef>
              <c:f>Results!$E$4:$F$4</c:f>
              <c:strCache>
                <c:ptCount val="2"/>
                <c:pt idx="0">
                  <c:v>BaU Outlook</c:v>
                </c:pt>
                <c:pt idx="1">
                  <c:v>Strategic Outlook</c:v>
                </c:pt>
              </c:strCache>
            </c:strRef>
          </c:cat>
          <c:val>
            <c:numRef>
              <c:f>Results!$E$7:$F$7</c:f>
              <c:numCache>
                <c:formatCode>_(* #,##0.00_);_(* \(#,##0.00\);_(* "-"??_);_(@_)</c:formatCode>
                <c:ptCount val="2"/>
                <c:pt idx="0">
                  <c:v>637.36355631253616</c:v>
                </c:pt>
                <c:pt idx="1">
                  <c:v>301.84270802175996</c:v>
                </c:pt>
              </c:numCache>
            </c:numRef>
          </c:val>
          <c:extLst>
            <c:ext xmlns:c16="http://schemas.microsoft.com/office/drawing/2014/chart" uri="{C3380CC4-5D6E-409C-BE32-E72D297353CC}">
              <c16:uniqueId val="{00000001-C9E1-4513-B837-9C6A8F729FFA}"/>
            </c:ext>
          </c:extLst>
        </c:ser>
        <c:ser>
          <c:idx val="2"/>
          <c:order val="2"/>
          <c:tx>
            <c:strRef>
              <c:f>Results!$D$8</c:f>
              <c:strCache>
                <c:ptCount val="1"/>
                <c:pt idx="0">
                  <c:v>Alternate Water Treatment Cost</c:v>
                </c:pt>
              </c:strCache>
            </c:strRef>
          </c:tx>
          <c:spPr>
            <a:solidFill>
              <a:schemeClr val="accent3"/>
            </a:solidFill>
            <a:ln>
              <a:noFill/>
            </a:ln>
            <a:effectLst/>
          </c:spPr>
          <c:invertIfNegative val="0"/>
          <c:cat>
            <c:strRef>
              <c:f>Results!$E$4:$F$4</c:f>
              <c:strCache>
                <c:ptCount val="2"/>
                <c:pt idx="0">
                  <c:v>BaU Outlook</c:v>
                </c:pt>
                <c:pt idx="1">
                  <c:v>Strategic Outlook</c:v>
                </c:pt>
              </c:strCache>
            </c:strRef>
          </c:cat>
          <c:val>
            <c:numRef>
              <c:f>Results!$E$8:$F$8</c:f>
              <c:numCache>
                <c:formatCode>_(* #,##0.00_);_(* \(#,##0.00\);_(* "-"??_);_(@_)</c:formatCode>
                <c:ptCount val="2"/>
                <c:pt idx="0">
                  <c:v>832.27197878034281</c:v>
                </c:pt>
                <c:pt idx="1">
                  <c:v>975.86344881461957</c:v>
                </c:pt>
              </c:numCache>
            </c:numRef>
          </c:val>
          <c:extLst>
            <c:ext xmlns:c16="http://schemas.microsoft.com/office/drawing/2014/chart" uri="{C3380CC4-5D6E-409C-BE32-E72D297353CC}">
              <c16:uniqueId val="{00000002-C9E1-4513-B837-9C6A8F729FFA}"/>
            </c:ext>
          </c:extLst>
        </c:ser>
        <c:dLbls>
          <c:showLegendKey val="0"/>
          <c:showVal val="0"/>
          <c:showCatName val="0"/>
          <c:showSerName val="0"/>
          <c:showPercent val="0"/>
          <c:showBubbleSize val="0"/>
        </c:dLbls>
        <c:gapWidth val="150"/>
        <c:overlap val="100"/>
        <c:axId val="1353782752"/>
        <c:axId val="1353799072"/>
      </c:barChart>
      <c:catAx>
        <c:axId val="135378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799072"/>
        <c:crosses val="autoZero"/>
        <c:auto val="0"/>
        <c:lblAlgn val="ctr"/>
        <c:lblOffset val="100"/>
        <c:noMultiLvlLbl val="0"/>
      </c:catAx>
      <c:valAx>
        <c:axId val="1353799072"/>
        <c:scaling>
          <c:orientation val="minMax"/>
          <c:max val="27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ZAR</a:t>
                </a:r>
                <a:r>
                  <a:rPr lang="en-GB" baseline="0"/>
                  <a:t> '000 000</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3782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Water Price (R/kl)</a:t>
            </a:r>
            <a:r>
              <a:rPr lang="en-US" baseline="0"/>
              <a:t> - BaU Outlook</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Total Water Cost (R/kl)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Results!$E$17:$J$17</c:f>
              <c:numCache>
                <c:formatCode>General</c:formatCode>
                <c:ptCount val="6"/>
                <c:pt idx="0">
                  <c:v>2025</c:v>
                </c:pt>
                <c:pt idx="1">
                  <c:v>2030</c:v>
                </c:pt>
                <c:pt idx="2">
                  <c:v>2035</c:v>
                </c:pt>
                <c:pt idx="3">
                  <c:v>2040</c:v>
                </c:pt>
                <c:pt idx="4">
                  <c:v>2045</c:v>
                </c:pt>
                <c:pt idx="5">
                  <c:v>2050</c:v>
                </c:pt>
              </c:numCache>
            </c:numRef>
          </c:cat>
          <c:val>
            <c:numRef>
              <c:f>Results!$E$18:$J$18</c:f>
              <c:numCache>
                <c:formatCode>0.00</c:formatCode>
                <c:ptCount val="6"/>
                <c:pt idx="0">
                  <c:v>32.396952574079997</c:v>
                </c:pt>
                <c:pt idx="1">
                  <c:v>34.524202969053242</c:v>
                </c:pt>
                <c:pt idx="2">
                  <c:v>55.206970489180982</c:v>
                </c:pt>
                <c:pt idx="3">
                  <c:v>79.460914269699316</c:v>
                </c:pt>
                <c:pt idx="4">
                  <c:v>115.06726839435794</c:v>
                </c:pt>
                <c:pt idx="5">
                  <c:v>167.64243669306342</c:v>
                </c:pt>
              </c:numCache>
            </c:numRef>
          </c:val>
          <c:extLst>
            <c:ext xmlns:c16="http://schemas.microsoft.com/office/drawing/2014/chart" uri="{C3380CC4-5D6E-409C-BE32-E72D297353CC}">
              <c16:uniqueId val="{00000000-0ECD-4842-9BE5-BB0C20BAD3B2}"/>
            </c:ext>
          </c:extLst>
        </c:ser>
        <c:dLbls>
          <c:dLblPos val="outEnd"/>
          <c:showLegendKey val="0"/>
          <c:showVal val="1"/>
          <c:showCatName val="0"/>
          <c:showSerName val="0"/>
          <c:showPercent val="0"/>
          <c:showBubbleSize val="0"/>
        </c:dLbls>
        <c:gapWidth val="219"/>
        <c:overlap val="-27"/>
        <c:axId val="1758620479"/>
        <c:axId val="1758621439"/>
      </c:barChart>
      <c:catAx>
        <c:axId val="1758620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621439"/>
        <c:crosses val="autoZero"/>
        <c:auto val="1"/>
        <c:lblAlgn val="ctr"/>
        <c:lblOffset val="100"/>
        <c:noMultiLvlLbl val="0"/>
      </c:catAx>
      <c:valAx>
        <c:axId val="1758621439"/>
        <c:scaling>
          <c:orientation val="minMax"/>
        </c:scaling>
        <c:delete val="1"/>
        <c:axPos val="l"/>
        <c:numFmt formatCode="0.00" sourceLinked="1"/>
        <c:majorTickMark val="none"/>
        <c:minorTickMark val="none"/>
        <c:tickLblPos val="nextTo"/>
        <c:crossAx val="1758620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Cost Ratios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Results!$D$24</c:f>
              <c:strCache>
                <c:ptCount val="1"/>
                <c:pt idx="0">
                  <c:v>Municipal Water</c:v>
                </c:pt>
              </c:strCache>
            </c:strRef>
          </c:tx>
          <c:spPr>
            <a:solidFill>
              <a:schemeClr val="accent1"/>
            </a:solidFill>
            <a:ln>
              <a:noFill/>
            </a:ln>
            <a:effectLst/>
          </c:spPr>
          <c:invertIfNegative val="0"/>
          <c:cat>
            <c:numRef>
              <c:f>Results!$E$23:$AD$23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Results!$E$24:$AD$24</c:f>
              <c:numCache>
                <c:formatCode>_(* #,##0.00_);_(* \(#,##0.00\);_(* "-"??_);_(@_)</c:formatCode>
                <c:ptCount val="26"/>
                <c:pt idx="0">
                  <c:v>21.167999999999999</c:v>
                </c:pt>
                <c:pt idx="1">
                  <c:v>16.03</c:v>
                </c:pt>
                <c:pt idx="2">
                  <c:v>0</c:v>
                </c:pt>
                <c:pt idx="3">
                  <c:v>0</c:v>
                </c:pt>
                <c:pt idx="4">
                  <c:v>0</c:v>
                </c:pt>
                <c:pt idx="5">
                  <c:v>0</c:v>
                </c:pt>
                <c:pt idx="6">
                  <c:v>4.707557246626723</c:v>
                </c:pt>
                <c:pt idx="7">
                  <c:v>4.9900106814243266</c:v>
                </c:pt>
                <c:pt idx="8">
                  <c:v>5.2894113223097872</c:v>
                </c:pt>
                <c:pt idx="9">
                  <c:v>5.6067760016483748</c:v>
                </c:pt>
                <c:pt idx="10">
                  <c:v>5.9431825617472764</c:v>
                </c:pt>
                <c:pt idx="11">
                  <c:v>6.2997735154521131</c:v>
                </c:pt>
                <c:pt idx="12">
                  <c:v>6.6777599263792409</c:v>
                </c:pt>
                <c:pt idx="13">
                  <c:v>7.0784255219619947</c:v>
                </c:pt>
                <c:pt idx="14">
                  <c:v>7.5031310532797146</c:v>
                </c:pt>
                <c:pt idx="15">
                  <c:v>7.9533189164764977</c:v>
                </c:pt>
                <c:pt idx="16">
                  <c:v>8.4305180514650875</c:v>
                </c:pt>
                <c:pt idx="17">
                  <c:v>8.9363491345529944</c:v>
                </c:pt>
                <c:pt idx="18">
                  <c:v>9.4725300826261751</c:v>
                </c:pt>
                <c:pt idx="19">
                  <c:v>10.040881887583748</c:v>
                </c:pt>
                <c:pt idx="20">
                  <c:v>10.643334800838772</c:v>
                </c:pt>
                <c:pt idx="21">
                  <c:v>11.281934888889101</c:v>
                </c:pt>
                <c:pt idx="22">
                  <c:v>11.958850982222446</c:v>
                </c:pt>
                <c:pt idx="23">
                  <c:v>12.676382041155792</c:v>
                </c:pt>
                <c:pt idx="24">
                  <c:v>13.43696496362514</c:v>
                </c:pt>
                <c:pt idx="25">
                  <c:v>14.243182861442651</c:v>
                </c:pt>
              </c:numCache>
            </c:numRef>
          </c:val>
          <c:extLst>
            <c:ext xmlns:c16="http://schemas.microsoft.com/office/drawing/2014/chart" uri="{C3380CC4-5D6E-409C-BE32-E72D297353CC}">
              <c16:uniqueId val="{00000000-6156-4917-9ABB-FFE73E66326B}"/>
            </c:ext>
          </c:extLst>
        </c:ser>
        <c:ser>
          <c:idx val="2"/>
          <c:order val="1"/>
          <c:tx>
            <c:strRef>
              <c:f>Results!$D$26</c:f>
              <c:strCache>
                <c:ptCount val="1"/>
                <c:pt idx="0">
                  <c:v>Groundwater Treatment</c:v>
                </c:pt>
              </c:strCache>
            </c:strRef>
          </c:tx>
          <c:spPr>
            <a:solidFill>
              <a:schemeClr val="accent3"/>
            </a:solidFill>
            <a:ln w="25400">
              <a:noFill/>
            </a:ln>
            <a:effectLst/>
          </c:spPr>
          <c:invertIfNegative val="0"/>
          <c:cat>
            <c:numRef>
              <c:f>Results!$E$23:$AD$23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Results!$E$26:$AD$26</c:f>
              <c:numCache>
                <c:formatCode>_(* #,##0.00_);_(* \(#,##0.00\);_(* "-"??_);_(@_)</c:formatCode>
                <c:ptCount val="26"/>
                <c:pt idx="0">
                  <c:v>2.5940393222400004</c:v>
                </c:pt>
                <c:pt idx="1">
                  <c:v>7.3650000000000002</c:v>
                </c:pt>
                <c:pt idx="2">
                  <c:v>16.108727999999999</c:v>
                </c:pt>
                <c:pt idx="3">
                  <c:v>17.616504940799999</c:v>
                </c:pt>
                <c:pt idx="4">
                  <c:v>19.265409803258876</c:v>
                </c:pt>
                <c:pt idx="5">
                  <c:v>21.068652160843904</c:v>
                </c:pt>
                <c:pt idx="6">
                  <c:v>20.488251226891148</c:v>
                </c:pt>
                <c:pt idx="7">
                  <c:v>22.405951541728157</c:v>
                </c:pt>
                <c:pt idx="8">
                  <c:v>24.503148606033914</c:v>
                </c:pt>
                <c:pt idx="9">
                  <c:v>26.796643315558683</c:v>
                </c:pt>
                <c:pt idx="10">
                  <c:v>29.30480912989497</c:v>
                </c:pt>
                <c:pt idx="11">
                  <c:v>32.047739264453142</c:v>
                </c:pt>
                <c:pt idx="12">
                  <c:v>35.047407659605952</c:v>
                </c:pt>
                <c:pt idx="13">
                  <c:v>38.327845016545062</c:v>
                </c:pt>
                <c:pt idx="14">
                  <c:v>41.91533131009367</c:v>
                </c:pt>
                <c:pt idx="15">
                  <c:v>45.838606320718441</c:v>
                </c:pt>
                <c:pt idx="16">
                  <c:v>50.129099872337683</c:v>
                </c:pt>
                <c:pt idx="17">
                  <c:v>54.821183620388481</c:v>
                </c:pt>
                <c:pt idx="18">
                  <c:v>59.952446407256836</c:v>
                </c:pt>
                <c:pt idx="19">
                  <c:v>65.563995390976075</c:v>
                </c:pt>
                <c:pt idx="20">
                  <c:v>71.700785359571441</c:v>
                </c:pt>
                <c:pt idx="21">
                  <c:v>78.411978869227312</c:v>
                </c:pt>
                <c:pt idx="22">
                  <c:v>85.751340091386993</c:v>
                </c:pt>
                <c:pt idx="23">
                  <c:v>93.777665523940811</c:v>
                </c:pt>
                <c:pt idx="24">
                  <c:v>102.55525501698166</c:v>
                </c:pt>
                <c:pt idx="25">
                  <c:v>112.15442688657114</c:v>
                </c:pt>
              </c:numCache>
            </c:numRef>
          </c:val>
          <c:extLst>
            <c:ext xmlns:c16="http://schemas.microsoft.com/office/drawing/2014/chart" uri="{C3380CC4-5D6E-409C-BE32-E72D297353CC}">
              <c16:uniqueId val="{00000002-6156-4917-9ABB-FFE73E66326B}"/>
            </c:ext>
          </c:extLst>
        </c:ser>
        <c:ser>
          <c:idx val="1"/>
          <c:order val="2"/>
          <c:tx>
            <c:strRef>
              <c:f>Results!$D$25</c:f>
              <c:strCache>
                <c:ptCount val="1"/>
                <c:pt idx="0">
                  <c:v>Wastewater Discharge</c:v>
                </c:pt>
              </c:strCache>
            </c:strRef>
          </c:tx>
          <c:spPr>
            <a:solidFill>
              <a:schemeClr val="accent2"/>
            </a:solidFill>
            <a:ln w="25400">
              <a:noFill/>
            </a:ln>
            <a:effectLst/>
          </c:spPr>
          <c:invertIfNegative val="0"/>
          <c:cat>
            <c:numRef>
              <c:f>Results!$E$23:$AD$23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Results!$E$25:$AD$25</c:f>
              <c:numCache>
                <c:formatCode>_(* #,##0.00_);_(* \(#,##0.00\);_(* "-"??_);_(@_)</c:formatCode>
                <c:ptCount val="26"/>
                <c:pt idx="0">
                  <c:v>10.191600000000001</c:v>
                </c:pt>
                <c:pt idx="1">
                  <c:v>11.404792294401782</c:v>
                </c:pt>
                <c:pt idx="2">
                  <c:v>13.374708346200331</c:v>
                </c:pt>
                <c:pt idx="3">
                  <c:v>14.177190846972351</c:v>
                </c:pt>
                <c:pt idx="4">
                  <c:v>17.577683714946104</c:v>
                </c:pt>
                <c:pt idx="5">
                  <c:v>18.632344737842871</c:v>
                </c:pt>
                <c:pt idx="6">
                  <c:v>22.351788715586753</c:v>
                </c:pt>
                <c:pt idx="7">
                  <c:v>23.692896038521955</c:v>
                </c:pt>
                <c:pt idx="8">
                  <c:v>25.114469800833277</c:v>
                </c:pt>
                <c:pt idx="9">
                  <c:v>26.621337988883276</c:v>
                </c:pt>
                <c:pt idx="10">
                  <c:v>28.218618268216275</c:v>
                </c:pt>
                <c:pt idx="11">
                  <c:v>29.911735364309248</c:v>
                </c:pt>
                <c:pt idx="12">
                  <c:v>31.706439486167806</c:v>
                </c:pt>
                <c:pt idx="13">
                  <c:v>33.608825855337876</c:v>
                </c:pt>
                <c:pt idx="14">
                  <c:v>35.625355406658151</c:v>
                </c:pt>
                <c:pt idx="15">
                  <c:v>37.762876731057645</c:v>
                </c:pt>
                <c:pt idx="16">
                  <c:v>40.028649334921099</c:v>
                </c:pt>
                <c:pt idx="17">
                  <c:v>42.430368295016365</c:v>
                </c:pt>
                <c:pt idx="18">
                  <c:v>44.976190392717356</c:v>
                </c:pt>
                <c:pt idx="19">
                  <c:v>47.674761816280395</c:v>
                </c:pt>
                <c:pt idx="20">
                  <c:v>50.535247525257219</c:v>
                </c:pt>
                <c:pt idx="21">
                  <c:v>53.567362376772664</c:v>
                </c:pt>
                <c:pt idx="22">
                  <c:v>56.781404119379033</c:v>
                </c:pt>
                <c:pt idx="23">
                  <c:v>60.188288366541762</c:v>
                </c:pt>
                <c:pt idx="24">
                  <c:v>63.799585668534277</c:v>
                </c:pt>
                <c:pt idx="25">
                  <c:v>67.627560808646336</c:v>
                </c:pt>
              </c:numCache>
            </c:numRef>
          </c:val>
          <c:extLst>
            <c:ext xmlns:c16="http://schemas.microsoft.com/office/drawing/2014/chart" uri="{C3380CC4-5D6E-409C-BE32-E72D297353CC}">
              <c16:uniqueId val="{00000001-6156-4917-9ABB-FFE73E66326B}"/>
            </c:ext>
          </c:extLst>
        </c:ser>
        <c:dLbls>
          <c:showLegendKey val="0"/>
          <c:showVal val="0"/>
          <c:showCatName val="0"/>
          <c:showSerName val="0"/>
          <c:showPercent val="0"/>
          <c:showBubbleSize val="0"/>
        </c:dLbls>
        <c:gapWidth val="150"/>
        <c:overlap val="100"/>
        <c:axId val="1466789151"/>
        <c:axId val="1466787711"/>
      </c:barChart>
      <c:lineChart>
        <c:grouping val="standard"/>
        <c:varyColors val="0"/>
        <c:ser>
          <c:idx val="5"/>
          <c:order val="3"/>
          <c:tx>
            <c:strRef>
              <c:f>Results!$D$30</c:f>
              <c:strCache>
                <c:ptCount val="1"/>
                <c:pt idx="0">
                  <c:v>Water &amp; Wastewater Tariff</c:v>
                </c:pt>
              </c:strCache>
              <c:extLst xmlns:c15="http://schemas.microsoft.com/office/drawing/2012/chart"/>
            </c:strRef>
          </c:tx>
          <c:spPr>
            <a:ln w="28575" cap="rnd">
              <a:solidFill>
                <a:schemeClr val="accent6"/>
              </a:solidFill>
              <a:round/>
            </a:ln>
            <a:effectLst/>
          </c:spPr>
          <c:marker>
            <c:symbol val="none"/>
          </c:marker>
          <c:cat>
            <c:numRef>
              <c:f>Results!$E$23:$AD$23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extLst xmlns:c15="http://schemas.microsoft.com/office/drawing/2012/chart"/>
            </c:numRef>
          </c:cat>
          <c:val>
            <c:numRef>
              <c:f>Results!$E$30:$AD$30</c:f>
              <c:numCache>
                <c:formatCode>_(* #,##0.00_);_(* \(#,##0.00\);_(* "-"??_);_(@_)</c:formatCode>
                <c:ptCount val="26"/>
                <c:pt idx="0">
                  <c:v>57.06</c:v>
                </c:pt>
                <c:pt idx="1">
                  <c:v>60.484999999999999</c:v>
                </c:pt>
                <c:pt idx="2">
                  <c:v>63.790500000000002</c:v>
                </c:pt>
                <c:pt idx="3">
                  <c:v>67.617930000000001</c:v>
                </c:pt>
                <c:pt idx="4">
                  <c:v>71.675005800000008</c:v>
                </c:pt>
                <c:pt idx="5">
                  <c:v>75.975506148000022</c:v>
                </c:pt>
                <c:pt idx="6">
                  <c:v>80.534036516880022</c:v>
                </c:pt>
                <c:pt idx="7">
                  <c:v>85.366078707892825</c:v>
                </c:pt>
                <c:pt idx="8">
                  <c:v>90.488043430366417</c:v>
                </c:pt>
                <c:pt idx="9">
                  <c:v>95.917326036188399</c:v>
                </c:pt>
                <c:pt idx="10">
                  <c:v>101.6723655983597</c:v>
                </c:pt>
                <c:pt idx="11">
                  <c:v>107.77270753426129</c:v>
                </c:pt>
                <c:pt idx="12">
                  <c:v>114.23906998631698</c:v>
                </c:pt>
                <c:pt idx="13">
                  <c:v>121.09341418549599</c:v>
                </c:pt>
                <c:pt idx="14">
                  <c:v>128.35901903662574</c:v>
                </c:pt>
                <c:pt idx="15">
                  <c:v>136.06056017882332</c:v>
                </c:pt>
                <c:pt idx="16">
                  <c:v>144.22419378955271</c:v>
                </c:pt>
                <c:pt idx="17">
                  <c:v>152.87764541692587</c:v>
                </c:pt>
                <c:pt idx="18">
                  <c:v>162.05030414194147</c:v>
                </c:pt>
                <c:pt idx="19">
                  <c:v>171.77332239045796</c:v>
                </c:pt>
                <c:pt idx="20">
                  <c:v>182.07972173388544</c:v>
                </c:pt>
                <c:pt idx="21">
                  <c:v>193.00450503791859</c:v>
                </c:pt>
                <c:pt idx="22">
                  <c:v>204.58477534019369</c:v>
                </c:pt>
                <c:pt idx="23">
                  <c:v>216.85986186060535</c:v>
                </c:pt>
                <c:pt idx="24">
                  <c:v>229.87145357224165</c:v>
                </c:pt>
                <c:pt idx="25">
                  <c:v>243.66374078657617</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FB5D-4B5E-99F0-CAE1ACC1170F}"/>
            </c:ext>
          </c:extLst>
        </c:ser>
        <c:dLbls>
          <c:showLegendKey val="0"/>
          <c:showVal val="0"/>
          <c:showCatName val="0"/>
          <c:showSerName val="0"/>
          <c:showPercent val="0"/>
          <c:showBubbleSize val="0"/>
        </c:dLbls>
        <c:marker val="1"/>
        <c:smooth val="0"/>
        <c:axId val="1466789151"/>
        <c:axId val="1466787711"/>
      </c:lineChart>
      <c:catAx>
        <c:axId val="14667891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6787711"/>
        <c:crosses val="autoZero"/>
        <c:auto val="1"/>
        <c:lblAlgn val="ctr"/>
        <c:lblOffset val="100"/>
        <c:noMultiLvlLbl val="0"/>
      </c:catAx>
      <c:valAx>
        <c:axId val="14667877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R/kl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6789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Water Price (R/kl)</a:t>
            </a:r>
            <a:r>
              <a:rPr lang="en-US" baseline="0"/>
              <a:t> - Strategic Outlook</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Total Water Cost (R/kl)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Results!$E$33:$J$33</c:f>
              <c:numCache>
                <c:formatCode>General</c:formatCode>
                <c:ptCount val="6"/>
                <c:pt idx="0">
                  <c:v>2025</c:v>
                </c:pt>
                <c:pt idx="1">
                  <c:v>2030</c:v>
                </c:pt>
                <c:pt idx="2">
                  <c:v>2035</c:v>
                </c:pt>
                <c:pt idx="3">
                  <c:v>2040</c:v>
                </c:pt>
                <c:pt idx="4">
                  <c:v>2045</c:v>
                </c:pt>
                <c:pt idx="5">
                  <c:v>2050</c:v>
                </c:pt>
              </c:numCache>
            </c:numRef>
          </c:cat>
          <c:val>
            <c:numRef>
              <c:f>Results!$E$34:$J$34</c:f>
              <c:numCache>
                <c:formatCode>0.00</c:formatCode>
                <c:ptCount val="6"/>
                <c:pt idx="0">
                  <c:v>52.354507423759998</c:v>
                </c:pt>
                <c:pt idx="1">
                  <c:v>33.455386075616055</c:v>
                </c:pt>
                <c:pt idx="2">
                  <c:v>50.527282434171795</c:v>
                </c:pt>
                <c:pt idx="3">
                  <c:v>64.467794290812961</c:v>
                </c:pt>
                <c:pt idx="4">
                  <c:v>97.658526661709132</c:v>
                </c:pt>
                <c:pt idx="5">
                  <c:v>148.4880046504019</c:v>
                </c:pt>
              </c:numCache>
            </c:numRef>
          </c:val>
          <c:extLst>
            <c:ext xmlns:c16="http://schemas.microsoft.com/office/drawing/2014/chart" uri="{C3380CC4-5D6E-409C-BE32-E72D297353CC}">
              <c16:uniqueId val="{00000000-E275-4FE8-AE06-912D57E36277}"/>
            </c:ext>
          </c:extLst>
        </c:ser>
        <c:dLbls>
          <c:dLblPos val="outEnd"/>
          <c:showLegendKey val="0"/>
          <c:showVal val="1"/>
          <c:showCatName val="0"/>
          <c:showSerName val="0"/>
          <c:showPercent val="0"/>
          <c:showBubbleSize val="0"/>
        </c:dLbls>
        <c:gapWidth val="219"/>
        <c:overlap val="-27"/>
        <c:axId val="1758620479"/>
        <c:axId val="1758621439"/>
      </c:barChart>
      <c:catAx>
        <c:axId val="1758620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621439"/>
        <c:crosses val="autoZero"/>
        <c:auto val="1"/>
        <c:lblAlgn val="ctr"/>
        <c:lblOffset val="100"/>
        <c:noMultiLvlLbl val="0"/>
      </c:catAx>
      <c:valAx>
        <c:axId val="1758621439"/>
        <c:scaling>
          <c:orientation val="minMax"/>
        </c:scaling>
        <c:delete val="1"/>
        <c:axPos val="l"/>
        <c:numFmt formatCode="0.00" sourceLinked="1"/>
        <c:majorTickMark val="none"/>
        <c:minorTickMark val="none"/>
        <c:tickLblPos val="nextTo"/>
        <c:crossAx val="17586204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Cost Ratios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Results!$D$37</c:f>
              <c:strCache>
                <c:ptCount val="1"/>
                <c:pt idx="0">
                  <c:v>Municipal Water</c:v>
                </c:pt>
              </c:strCache>
            </c:strRef>
          </c:tx>
          <c:spPr>
            <a:solidFill>
              <a:schemeClr val="accent1"/>
            </a:solidFill>
            <a:ln>
              <a:noFill/>
            </a:ln>
            <a:effectLst/>
          </c:spPr>
          <c:invertIfNegative val="0"/>
          <c:cat>
            <c:numRef>
              <c:f>Results!$E$23:$AD$23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Results!$E$37:$AD$37</c:f>
              <c:numCache>
                <c:formatCode>_(* #,##0.00_);_(* \(#,##0.00\);_(* "-"??_);_(@_)</c:formatCode>
                <c:ptCount val="26"/>
                <c:pt idx="0">
                  <c:v>21.167999999999999</c:v>
                </c:pt>
                <c:pt idx="1">
                  <c:v>16.03</c:v>
                </c:pt>
                <c:pt idx="2">
                  <c:v>0</c:v>
                </c:pt>
                <c:pt idx="3">
                  <c:v>0</c:v>
                </c:pt>
                <c:pt idx="4">
                  <c:v>0</c:v>
                </c:pt>
                <c:pt idx="5">
                  <c:v>0</c:v>
                </c:pt>
                <c:pt idx="6">
                  <c:v>0.33129242619837035</c:v>
                </c:pt>
                <c:pt idx="7">
                  <c:v>0.35116997177027259</c:v>
                </c:pt>
                <c:pt idx="8">
                  <c:v>0.37224017007648902</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6E48-46CA-82BD-C73AE0D96D71}"/>
            </c:ext>
          </c:extLst>
        </c:ser>
        <c:ser>
          <c:idx val="2"/>
          <c:order val="1"/>
          <c:tx>
            <c:strRef>
              <c:f>Results!$D$39</c:f>
              <c:strCache>
                <c:ptCount val="1"/>
                <c:pt idx="0">
                  <c:v>Alternate Water Treatment</c:v>
                </c:pt>
              </c:strCache>
            </c:strRef>
          </c:tx>
          <c:spPr>
            <a:solidFill>
              <a:schemeClr val="accent3"/>
            </a:solidFill>
            <a:ln>
              <a:noFill/>
            </a:ln>
            <a:effectLst/>
          </c:spPr>
          <c:invertIfNegative val="0"/>
          <c:cat>
            <c:numRef>
              <c:f>Results!$E$23:$AD$23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Results!$E$39:$AD$39</c:f>
              <c:numCache>
                <c:formatCode>_(* #,##0.00_);_(* \(#,##0.00\);_(* "-"??_);_(@_)</c:formatCode>
                <c:ptCount val="26"/>
                <c:pt idx="0">
                  <c:v>2.5940393222400004</c:v>
                </c:pt>
                <c:pt idx="1">
                  <c:v>7.3650000000000002</c:v>
                </c:pt>
                <c:pt idx="2">
                  <c:v>16.108727999999999</c:v>
                </c:pt>
                <c:pt idx="3">
                  <c:v>17.616504940799999</c:v>
                </c:pt>
                <c:pt idx="4">
                  <c:v>19.265409803258876</c:v>
                </c:pt>
                <c:pt idx="5">
                  <c:v>21.068652160843904</c:v>
                </c:pt>
                <c:pt idx="6">
                  <c:v>22.528999871212225</c:v>
                </c:pt>
                <c:pt idx="7">
                  <c:v>24.637714259157686</c:v>
                </c:pt>
                <c:pt idx="8">
                  <c:v>26.943804313814841</c:v>
                </c:pt>
                <c:pt idx="9">
                  <c:v>34.92150325968575</c:v>
                </c:pt>
                <c:pt idx="10">
                  <c:v>38.190155964792339</c:v>
                </c:pt>
                <c:pt idx="11">
                  <c:v>41.781861147964982</c:v>
                </c:pt>
                <c:pt idx="12">
                  <c:v>45.673935590202753</c:v>
                </c:pt>
                <c:pt idx="13">
                  <c:v>49.949015961445731</c:v>
                </c:pt>
                <c:pt idx="14">
                  <c:v>54.624243855437044</c:v>
                </c:pt>
                <c:pt idx="15">
                  <c:v>59.761541015556844</c:v>
                </c:pt>
                <c:pt idx="16">
                  <c:v>65.328463120622587</c:v>
                </c:pt>
                <c:pt idx="17">
                  <c:v>71.44320726871284</c:v>
                </c:pt>
                <c:pt idx="18">
                  <c:v>78.13029146906436</c:v>
                </c:pt>
                <c:pt idx="19">
                  <c:v>85.478283791770082</c:v>
                </c:pt>
                <c:pt idx="20">
                  <c:v>93.440778390422025</c:v>
                </c:pt>
                <c:pt idx="21">
                  <c:v>102.1868352477655</c:v>
                </c:pt>
                <c:pt idx="22">
                  <c:v>111.75152302695636</c:v>
                </c:pt>
                <c:pt idx="23">
                  <c:v>122.2615226418673</c:v>
                </c:pt>
                <c:pt idx="24">
                  <c:v>133.65045876078079</c:v>
                </c:pt>
                <c:pt idx="25">
                  <c:v>146.16014170078986</c:v>
                </c:pt>
              </c:numCache>
            </c:numRef>
          </c:val>
          <c:extLst>
            <c:ext xmlns:c16="http://schemas.microsoft.com/office/drawing/2014/chart" uri="{C3380CC4-5D6E-409C-BE32-E72D297353CC}">
              <c16:uniqueId val="{00000002-6E48-46CA-82BD-C73AE0D96D71}"/>
            </c:ext>
          </c:extLst>
        </c:ser>
        <c:ser>
          <c:idx val="1"/>
          <c:order val="2"/>
          <c:tx>
            <c:strRef>
              <c:f>Results!$D$38</c:f>
              <c:strCache>
                <c:ptCount val="1"/>
                <c:pt idx="0">
                  <c:v>Wastewater Discharge</c:v>
                </c:pt>
              </c:strCache>
            </c:strRef>
          </c:tx>
          <c:spPr>
            <a:solidFill>
              <a:schemeClr val="accent2"/>
            </a:solidFill>
            <a:ln w="25400">
              <a:noFill/>
            </a:ln>
            <a:effectLst/>
          </c:spPr>
          <c:invertIfNegative val="0"/>
          <c:cat>
            <c:numRef>
              <c:f>Results!$E$23:$AD$23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Results!$E$38:$AD$38</c:f>
              <c:numCache>
                <c:formatCode>_(* #,##0.00_);_(* \(#,##0.00\);_(* "-"??_);_(@_)</c:formatCode>
                <c:ptCount val="26"/>
                <c:pt idx="0">
                  <c:v>10.191600000000001</c:v>
                </c:pt>
                <c:pt idx="1">
                  <c:v>11.404792294401782</c:v>
                </c:pt>
                <c:pt idx="2">
                  <c:v>12.048685158913402</c:v>
                </c:pt>
                <c:pt idx="3">
                  <c:v>12.771606268448208</c:v>
                </c:pt>
                <c:pt idx="4">
                  <c:v>16.309491141463159</c:v>
                </c:pt>
                <c:pt idx="5">
                  <c:v>17.28806060995095</c:v>
                </c:pt>
                <c:pt idx="6">
                  <c:v>21.153065217714637</c:v>
                </c:pt>
                <c:pt idx="7">
                  <c:v>22.422249130777519</c:v>
                </c:pt>
                <c:pt idx="8">
                  <c:v>23.767584078624171</c:v>
                </c:pt>
                <c:pt idx="9">
                  <c:v>25.193639123341622</c:v>
                </c:pt>
                <c:pt idx="10">
                  <c:v>11.822994383693029</c:v>
                </c:pt>
                <c:pt idx="11">
                  <c:v>12.489154323776878</c:v>
                </c:pt>
                <c:pt idx="12">
                  <c:v>13.284316489517488</c:v>
                </c:pt>
                <c:pt idx="13">
                  <c:v>14.081375478888539</c:v>
                </c:pt>
                <c:pt idx="14">
                  <c:v>14.926258007621851</c:v>
                </c:pt>
                <c:pt idx="15">
                  <c:v>15.767269583652695</c:v>
                </c:pt>
                <c:pt idx="16">
                  <c:v>16.771143497363912</c:v>
                </c:pt>
                <c:pt idx="17">
                  <c:v>17.777412107205748</c:v>
                </c:pt>
                <c:pt idx="18">
                  <c:v>18.844056833638096</c:v>
                </c:pt>
                <c:pt idx="19">
                  <c:v>19.905814571470323</c:v>
                </c:pt>
                <c:pt idx="20">
                  <c:v>21.173182258275762</c:v>
                </c:pt>
                <c:pt idx="21">
                  <c:v>22.443573193772313</c:v>
                </c:pt>
                <c:pt idx="22">
                  <c:v>23.790187585398655</c:v>
                </c:pt>
                <c:pt idx="23">
                  <c:v>25.130632266513558</c:v>
                </c:pt>
                <c:pt idx="24">
                  <c:v>26.730654770953929</c:v>
                </c:pt>
                <c:pt idx="25">
                  <c:v>28.334494057211163</c:v>
                </c:pt>
              </c:numCache>
            </c:numRef>
          </c:val>
          <c:extLst>
            <c:ext xmlns:c16="http://schemas.microsoft.com/office/drawing/2014/chart" uri="{C3380CC4-5D6E-409C-BE32-E72D297353CC}">
              <c16:uniqueId val="{00000001-6E48-46CA-82BD-C73AE0D96D71}"/>
            </c:ext>
          </c:extLst>
        </c:ser>
        <c:dLbls>
          <c:showLegendKey val="0"/>
          <c:showVal val="0"/>
          <c:showCatName val="0"/>
          <c:showSerName val="0"/>
          <c:showPercent val="0"/>
          <c:showBubbleSize val="0"/>
        </c:dLbls>
        <c:gapWidth val="150"/>
        <c:overlap val="100"/>
        <c:axId val="1466789151"/>
        <c:axId val="1466787711"/>
      </c:barChart>
      <c:lineChart>
        <c:grouping val="standard"/>
        <c:varyColors val="0"/>
        <c:ser>
          <c:idx val="3"/>
          <c:order val="3"/>
          <c:tx>
            <c:strRef>
              <c:f>Results!$D$30</c:f>
              <c:strCache>
                <c:ptCount val="1"/>
                <c:pt idx="0">
                  <c:v>Water &amp; Wastewater Tariff</c:v>
                </c:pt>
              </c:strCache>
            </c:strRef>
          </c:tx>
          <c:spPr>
            <a:ln w="28575" cap="rnd">
              <a:solidFill>
                <a:schemeClr val="accent4"/>
              </a:solidFill>
              <a:round/>
            </a:ln>
            <a:effectLst/>
          </c:spPr>
          <c:marker>
            <c:symbol val="none"/>
          </c:marker>
          <c:cat>
            <c:numRef>
              <c:f>Results!$E$23:$AD$23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Results!$E$30:$AD$30</c:f>
              <c:numCache>
                <c:formatCode>_(* #,##0.00_);_(* \(#,##0.00\);_(* "-"??_);_(@_)</c:formatCode>
                <c:ptCount val="26"/>
                <c:pt idx="0">
                  <c:v>57.06</c:v>
                </c:pt>
                <c:pt idx="1">
                  <c:v>60.484999999999999</c:v>
                </c:pt>
                <c:pt idx="2">
                  <c:v>63.790500000000002</c:v>
                </c:pt>
                <c:pt idx="3">
                  <c:v>67.617930000000001</c:v>
                </c:pt>
                <c:pt idx="4">
                  <c:v>71.675005800000008</c:v>
                </c:pt>
                <c:pt idx="5">
                  <c:v>75.975506148000022</c:v>
                </c:pt>
                <c:pt idx="6">
                  <c:v>80.534036516880022</c:v>
                </c:pt>
                <c:pt idx="7">
                  <c:v>85.366078707892825</c:v>
                </c:pt>
                <c:pt idx="8">
                  <c:v>90.488043430366417</c:v>
                </c:pt>
                <c:pt idx="9">
                  <c:v>95.917326036188399</c:v>
                </c:pt>
                <c:pt idx="10">
                  <c:v>101.6723655983597</c:v>
                </c:pt>
                <c:pt idx="11">
                  <c:v>107.77270753426129</c:v>
                </c:pt>
                <c:pt idx="12">
                  <c:v>114.23906998631698</c:v>
                </c:pt>
                <c:pt idx="13">
                  <c:v>121.09341418549599</c:v>
                </c:pt>
                <c:pt idx="14">
                  <c:v>128.35901903662574</c:v>
                </c:pt>
                <c:pt idx="15">
                  <c:v>136.06056017882332</c:v>
                </c:pt>
                <c:pt idx="16">
                  <c:v>144.22419378955271</c:v>
                </c:pt>
                <c:pt idx="17">
                  <c:v>152.87764541692587</c:v>
                </c:pt>
                <c:pt idx="18">
                  <c:v>162.05030414194147</c:v>
                </c:pt>
                <c:pt idx="19">
                  <c:v>171.77332239045796</c:v>
                </c:pt>
                <c:pt idx="20">
                  <c:v>182.07972173388544</c:v>
                </c:pt>
                <c:pt idx="21">
                  <c:v>193.00450503791859</c:v>
                </c:pt>
                <c:pt idx="22">
                  <c:v>204.58477534019369</c:v>
                </c:pt>
                <c:pt idx="23">
                  <c:v>216.85986186060535</c:v>
                </c:pt>
                <c:pt idx="24">
                  <c:v>229.87145357224165</c:v>
                </c:pt>
                <c:pt idx="25">
                  <c:v>243.66374078657617</c:v>
                </c:pt>
              </c:numCache>
            </c:numRef>
          </c:val>
          <c:smooth val="0"/>
          <c:extLst>
            <c:ext xmlns:c16="http://schemas.microsoft.com/office/drawing/2014/chart" uri="{C3380CC4-5D6E-409C-BE32-E72D297353CC}">
              <c16:uniqueId val="{00000000-61C5-48DD-B201-09F70418D4D7}"/>
            </c:ext>
          </c:extLst>
        </c:ser>
        <c:dLbls>
          <c:showLegendKey val="0"/>
          <c:showVal val="0"/>
          <c:showCatName val="0"/>
          <c:showSerName val="0"/>
          <c:showPercent val="0"/>
          <c:showBubbleSize val="0"/>
        </c:dLbls>
        <c:marker val="1"/>
        <c:smooth val="0"/>
        <c:axId val="1466789151"/>
        <c:axId val="1466787711"/>
      </c:lineChart>
      <c:catAx>
        <c:axId val="14667891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6787711"/>
        <c:crosses val="autoZero"/>
        <c:auto val="1"/>
        <c:lblAlgn val="ctr"/>
        <c:lblOffset val="100"/>
        <c:noMultiLvlLbl val="0"/>
      </c:catAx>
      <c:valAx>
        <c:axId val="14667877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R/kl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67891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Annual</a:t>
            </a:r>
            <a:r>
              <a:rPr lang="en-GB" baseline="0"/>
              <a:t> OPEX per Alternate Water Source - BaU Outlook</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areaChart>
        <c:grouping val="stacked"/>
        <c:varyColors val="0"/>
        <c:ser>
          <c:idx val="0"/>
          <c:order val="0"/>
          <c:tx>
            <c:strRef>
              <c:f>Results!$D$50</c:f>
              <c:strCache>
                <c:ptCount val="1"/>
                <c:pt idx="0">
                  <c:v>Groundwater Treatment</c:v>
                </c:pt>
              </c:strCache>
            </c:strRef>
          </c:tx>
          <c:spPr>
            <a:solidFill>
              <a:schemeClr val="accent1"/>
            </a:solidFill>
            <a:ln>
              <a:noFill/>
            </a:ln>
            <a:effectLst/>
          </c:spPr>
          <c:cat>
            <c:numRef>
              <c:f>Results!$E$49:$AD$49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Results!$E$50:$AD$50</c:f>
              <c:numCache>
                <c:formatCode>0.00</c:formatCode>
                <c:ptCount val="26"/>
                <c:pt idx="0">
                  <c:v>0.49288937674629918</c:v>
                </c:pt>
                <c:pt idx="1">
                  <c:v>3.5024871470910721</c:v>
                </c:pt>
                <c:pt idx="2">
                  <c:v>8.3064897706249354</c:v>
                </c:pt>
                <c:pt idx="3">
                  <c:v>9.0839772131554284</c:v>
                </c:pt>
                <c:pt idx="4">
                  <c:v>11.67111050111958</c:v>
                </c:pt>
                <c:pt idx="5">
                  <c:v>12.76352644402437</c:v>
                </c:pt>
                <c:pt idx="6">
                  <c:v>14.754236403352392</c:v>
                </c:pt>
                <c:pt idx="7">
                  <c:v>16.135232930706174</c:v>
                </c:pt>
                <c:pt idx="8">
                  <c:v>17.645490733020271</c:v>
                </c:pt>
                <c:pt idx="9">
                  <c:v>19.297108665630965</c:v>
                </c:pt>
                <c:pt idx="10">
                  <c:v>21.103318036734024</c:v>
                </c:pt>
                <c:pt idx="11">
                  <c:v>23.078588604972325</c:v>
                </c:pt>
                <c:pt idx="12">
                  <c:v>25.238744498397732</c:v>
                </c:pt>
                <c:pt idx="13">
                  <c:v>27.601090983447758</c:v>
                </c:pt>
                <c:pt idx="14">
                  <c:v>30.184553099498462</c:v>
                </c:pt>
                <c:pt idx="15">
                  <c:v>33.00982726961152</c:v>
                </c:pt>
                <c:pt idx="16">
                  <c:v>36.099547102047154</c:v>
                </c:pt>
                <c:pt idx="17">
                  <c:v>39.478464710798761</c:v>
                </c:pt>
                <c:pt idx="18">
                  <c:v>43.173649007729523</c:v>
                </c:pt>
                <c:pt idx="19">
                  <c:v>47.214702554853005</c:v>
                </c:pt>
                <c:pt idx="20">
                  <c:v>51.633998713987246</c:v>
                </c:pt>
                <c:pt idx="21">
                  <c:v>56.466940993616447</c:v>
                </c:pt>
                <c:pt idx="22">
                  <c:v>61.752246670618945</c:v>
                </c:pt>
                <c:pt idx="23">
                  <c:v>67.532256958988881</c:v>
                </c:pt>
                <c:pt idx="24">
                  <c:v>73.853276210350231</c:v>
                </c:pt>
                <c:pt idx="25">
                  <c:v>80.765942863639012</c:v>
                </c:pt>
              </c:numCache>
            </c:numRef>
          </c:val>
          <c:extLst>
            <c:ext xmlns:c16="http://schemas.microsoft.com/office/drawing/2014/chart" uri="{C3380CC4-5D6E-409C-BE32-E72D297353CC}">
              <c16:uniqueId val="{00000000-8957-4730-9368-ADC7FA486339}"/>
            </c:ext>
          </c:extLst>
        </c:ser>
        <c:ser>
          <c:idx val="1"/>
          <c:order val="1"/>
          <c:tx>
            <c:strRef>
              <c:f>Results!$D$51</c:f>
              <c:strCache>
                <c:ptCount val="1"/>
                <c:pt idx="0">
                  <c:v>Rainwater</c:v>
                </c:pt>
              </c:strCache>
            </c:strRef>
          </c:tx>
          <c:spPr>
            <a:solidFill>
              <a:schemeClr val="accent2"/>
            </a:solidFill>
            <a:ln w="25400">
              <a:noFill/>
            </a:ln>
            <a:effectLst/>
          </c:spPr>
          <c:cat>
            <c:numRef>
              <c:f>Results!$E$49:$AD$49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Results!$E$51:$AD$51</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1-8957-4730-9368-ADC7FA486339}"/>
            </c:ext>
          </c:extLst>
        </c:ser>
        <c:ser>
          <c:idx val="2"/>
          <c:order val="2"/>
          <c:tx>
            <c:strRef>
              <c:f>Results!$D$52</c:f>
              <c:strCache>
                <c:ptCount val="1"/>
                <c:pt idx="0">
                  <c:v>Recovered Water</c:v>
                </c:pt>
              </c:strCache>
            </c:strRef>
          </c:tx>
          <c:spPr>
            <a:solidFill>
              <a:schemeClr val="accent3"/>
            </a:solidFill>
            <a:ln w="25400">
              <a:noFill/>
            </a:ln>
            <a:effectLst/>
          </c:spPr>
          <c:cat>
            <c:numRef>
              <c:f>Results!$E$49:$AD$49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Results!$E$52:$AD$52</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2-8957-4730-9368-ADC7FA486339}"/>
            </c:ext>
          </c:extLst>
        </c:ser>
        <c:ser>
          <c:idx val="3"/>
          <c:order val="3"/>
          <c:tx>
            <c:strRef>
              <c:f>Results!$D$53</c:f>
              <c:strCache>
                <c:ptCount val="1"/>
                <c:pt idx="0">
                  <c:v>Desalination</c:v>
                </c:pt>
              </c:strCache>
            </c:strRef>
          </c:tx>
          <c:spPr>
            <a:solidFill>
              <a:schemeClr val="accent4"/>
            </a:solidFill>
            <a:ln w="25400">
              <a:noFill/>
            </a:ln>
            <a:effectLst/>
          </c:spPr>
          <c:cat>
            <c:numRef>
              <c:f>Results!$E$49:$AD$49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Results!$E$53:$AD$53</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3-8957-4730-9368-ADC7FA486339}"/>
            </c:ext>
          </c:extLst>
        </c:ser>
        <c:dLbls>
          <c:showLegendKey val="0"/>
          <c:showVal val="0"/>
          <c:showCatName val="0"/>
          <c:showSerName val="0"/>
          <c:showPercent val="0"/>
          <c:showBubbleSize val="0"/>
        </c:dLbls>
        <c:axId val="1466789151"/>
        <c:axId val="1466787711"/>
      </c:areaChart>
      <c:catAx>
        <c:axId val="14667891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6787711"/>
        <c:crosses val="autoZero"/>
        <c:auto val="1"/>
        <c:lblAlgn val="ctr"/>
        <c:lblOffset val="100"/>
        <c:noMultiLvlLbl val="0"/>
      </c:catAx>
      <c:valAx>
        <c:axId val="14667877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ZAR '000 000</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678915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Annual</a:t>
            </a:r>
            <a:r>
              <a:rPr lang="en-GB" baseline="0"/>
              <a:t> OPEX per Alternate Water Source - Strategic Outlook</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areaChart>
        <c:grouping val="stacked"/>
        <c:varyColors val="0"/>
        <c:ser>
          <c:idx val="0"/>
          <c:order val="0"/>
          <c:tx>
            <c:strRef>
              <c:f>Results!$D$57</c:f>
              <c:strCache>
                <c:ptCount val="1"/>
                <c:pt idx="0">
                  <c:v>Groundwater Treatment</c:v>
                </c:pt>
              </c:strCache>
            </c:strRef>
          </c:tx>
          <c:spPr>
            <a:solidFill>
              <a:schemeClr val="accent1"/>
            </a:solidFill>
            <a:ln>
              <a:noFill/>
            </a:ln>
            <a:effectLst/>
          </c:spPr>
          <c:cat>
            <c:numRef>
              <c:f>Results!$E$49:$AD$49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Results!$E$57:$AD$57</c:f>
              <c:numCache>
                <c:formatCode>_(* #,##0.00_);_(* \(#,##0.00\);_(* "-"??_);_(@_)</c:formatCode>
                <c:ptCount val="26"/>
                <c:pt idx="0">
                  <c:v>0.49288937674629918</c:v>
                </c:pt>
                <c:pt idx="1">
                  <c:v>3.5024871470910721</c:v>
                </c:pt>
                <c:pt idx="2">
                  <c:v>7.6419705889749405</c:v>
                </c:pt>
                <c:pt idx="3">
                  <c:v>8.3572590361029953</c:v>
                </c:pt>
                <c:pt idx="4">
                  <c:v>10.737421661030014</c:v>
                </c:pt>
                <c:pt idx="5">
                  <c:v>11.742444328502422</c:v>
                </c:pt>
                <c:pt idx="6">
                  <c:v>14.754236403352392</c:v>
                </c:pt>
                <c:pt idx="7">
                  <c:v>16.135232930706174</c:v>
                </c:pt>
                <c:pt idx="8">
                  <c:v>17.645490733020271</c:v>
                </c:pt>
                <c:pt idx="9">
                  <c:v>12.440726195734793</c:v>
                </c:pt>
                <c:pt idx="10">
                  <c:v>13.605178167655566</c:v>
                </c:pt>
                <c:pt idx="11">
                  <c:v>14.855647186489467</c:v>
                </c:pt>
                <c:pt idx="12">
                  <c:v>16.271261942360393</c:v>
                </c:pt>
                <c:pt idx="13">
                  <c:v>17.794252060165324</c:v>
                </c:pt>
                <c:pt idx="14">
                  <c:v>19.459794052996795</c:v>
                </c:pt>
                <c:pt idx="15">
                  <c:v>21.248368173548265</c:v>
                </c:pt>
                <c:pt idx="16">
                  <c:v>23.273153977024336</c:v>
                </c:pt>
                <c:pt idx="17">
                  <c:v>25.451521189273809</c:v>
                </c:pt>
                <c:pt idx="18">
                  <c:v>27.833783572589837</c:v>
                </c:pt>
                <c:pt idx="19">
                  <c:v>30.392021590905266</c:v>
                </c:pt>
                <c:pt idx="20">
                  <c:v>33.288118521906767</c:v>
                </c:pt>
                <c:pt idx="21">
                  <c:v>36.403886415557238</c:v>
                </c:pt>
                <c:pt idx="22">
                  <c:v>39.811290184053391</c:v>
                </c:pt>
                <c:pt idx="23">
                  <c:v>43.470395883478673</c:v>
                </c:pt>
                <c:pt idx="24">
                  <c:v>47.612748827359063</c:v>
                </c:pt>
                <c:pt idx="25">
                  <c:v>52.069302117599875</c:v>
                </c:pt>
              </c:numCache>
            </c:numRef>
          </c:val>
          <c:extLst>
            <c:ext xmlns:c16="http://schemas.microsoft.com/office/drawing/2014/chart" uri="{C3380CC4-5D6E-409C-BE32-E72D297353CC}">
              <c16:uniqueId val="{00000000-42BE-410B-9935-3F57428223B8}"/>
            </c:ext>
          </c:extLst>
        </c:ser>
        <c:ser>
          <c:idx val="1"/>
          <c:order val="1"/>
          <c:tx>
            <c:strRef>
              <c:f>Results!$D$58</c:f>
              <c:strCache>
                <c:ptCount val="1"/>
                <c:pt idx="0">
                  <c:v>Rainwater</c:v>
                </c:pt>
              </c:strCache>
            </c:strRef>
          </c:tx>
          <c:spPr>
            <a:solidFill>
              <a:schemeClr val="accent2"/>
            </a:solidFill>
            <a:ln w="25400">
              <a:noFill/>
            </a:ln>
            <a:effectLst/>
          </c:spPr>
          <c:cat>
            <c:numRef>
              <c:f>Results!$E$49:$AD$49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Results!$E$58:$AD$58</c:f>
              <c:numCache>
                <c:formatCode>_(* #,##0.00_);_(* \(#,##0.00\);_(* "-"??_);_(@_)</c:formatCode>
                <c:ptCount val="26"/>
                <c:pt idx="0">
                  <c:v>0</c:v>
                </c:pt>
                <c:pt idx="1">
                  <c:v>0</c:v>
                </c:pt>
                <c:pt idx="2">
                  <c:v>0</c:v>
                </c:pt>
                <c:pt idx="3">
                  <c:v>0</c:v>
                </c:pt>
                <c:pt idx="4">
                  <c:v>0</c:v>
                </c:pt>
                <c:pt idx="5">
                  <c:v>0</c:v>
                </c:pt>
                <c:pt idx="6">
                  <c:v>0.17169999999999999</c:v>
                </c:pt>
                <c:pt idx="7">
                  <c:v>0.18777111999999996</c:v>
                </c:pt>
                <c:pt idx="8">
                  <c:v>0.20534649683199996</c:v>
                </c:pt>
                <c:pt idx="9">
                  <c:v>0.22456692893547511</c:v>
                </c:pt>
                <c:pt idx="10">
                  <c:v>0.24558639348383557</c:v>
                </c:pt>
                <c:pt idx="11">
                  <c:v>0.26857327991392255</c:v>
                </c:pt>
                <c:pt idx="12">
                  <c:v>0.29371173891386571</c:v>
                </c:pt>
                <c:pt idx="13">
                  <c:v>0.32120315767620344</c:v>
                </c:pt>
                <c:pt idx="14">
                  <c:v>0.35126777323469605</c:v>
                </c:pt>
                <c:pt idx="15">
                  <c:v>0.38414643680946359</c:v>
                </c:pt>
                <c:pt idx="16">
                  <c:v>0.42010254329482938</c:v>
                </c:pt>
                <c:pt idx="17">
                  <c:v>0.45942414134722537</c:v>
                </c:pt>
                <c:pt idx="18">
                  <c:v>0.50242624097732558</c:v>
                </c:pt>
                <c:pt idx="19">
                  <c:v>0.54945333713280331</c:v>
                </c:pt>
                <c:pt idx="20">
                  <c:v>0.60088216948843365</c:v>
                </c:pt>
                <c:pt idx="21">
                  <c:v>0.65712474055255099</c:v>
                </c:pt>
                <c:pt idx="22">
                  <c:v>0.71863161626826977</c:v>
                </c:pt>
                <c:pt idx="23">
                  <c:v>0.78589553555097957</c:v>
                </c:pt>
                <c:pt idx="24">
                  <c:v>0.85945535767855119</c:v>
                </c:pt>
                <c:pt idx="25">
                  <c:v>0.93990037915726343</c:v>
                </c:pt>
              </c:numCache>
            </c:numRef>
          </c:val>
          <c:extLst>
            <c:ext xmlns:c16="http://schemas.microsoft.com/office/drawing/2014/chart" uri="{C3380CC4-5D6E-409C-BE32-E72D297353CC}">
              <c16:uniqueId val="{00000001-42BE-410B-9935-3F57428223B8}"/>
            </c:ext>
          </c:extLst>
        </c:ser>
        <c:ser>
          <c:idx val="2"/>
          <c:order val="2"/>
          <c:tx>
            <c:strRef>
              <c:f>Results!$D$59</c:f>
              <c:strCache>
                <c:ptCount val="1"/>
                <c:pt idx="0">
                  <c:v>Recovered Water</c:v>
                </c:pt>
              </c:strCache>
            </c:strRef>
          </c:tx>
          <c:spPr>
            <a:solidFill>
              <a:schemeClr val="accent3"/>
            </a:solidFill>
            <a:ln w="25400">
              <a:noFill/>
            </a:ln>
            <a:effectLst/>
          </c:spPr>
          <c:cat>
            <c:numRef>
              <c:f>Results!$E$49:$AD$49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Results!$E$59:$AD$59</c:f>
              <c:numCache>
                <c:formatCode>_(* #,##0.00_);_(* \(#,##0.00\);_(* "-"??_);_(@_)</c:formatCode>
                <c:ptCount val="26"/>
                <c:pt idx="0">
                  <c:v>0</c:v>
                </c:pt>
                <c:pt idx="1">
                  <c:v>0</c:v>
                </c:pt>
                <c:pt idx="2">
                  <c:v>0</c:v>
                </c:pt>
                <c:pt idx="3">
                  <c:v>0</c:v>
                </c:pt>
                <c:pt idx="4">
                  <c:v>0</c:v>
                </c:pt>
                <c:pt idx="5">
                  <c:v>0</c:v>
                </c:pt>
                <c:pt idx="6">
                  <c:v>0</c:v>
                </c:pt>
                <c:pt idx="7">
                  <c:v>0</c:v>
                </c:pt>
                <c:pt idx="8">
                  <c:v>0</c:v>
                </c:pt>
                <c:pt idx="9">
                  <c:v>10.4709375</c:v>
                </c:pt>
                <c:pt idx="10">
                  <c:v>11.45101725</c:v>
                </c:pt>
                <c:pt idx="11">
                  <c:v>12.557141594639997</c:v>
                </c:pt>
                <c:pt idx="12">
                  <c:v>13.694969583286555</c:v>
                </c:pt>
                <c:pt idx="13">
                  <c:v>14.976818736282175</c:v>
                </c:pt>
                <c:pt idx="14">
                  <c:v>16.378648969998185</c:v>
                </c:pt>
                <c:pt idx="15">
                  <c:v>17.960763638284785</c:v>
                </c:pt>
                <c:pt idx="16">
                  <c:v>19.588224745662043</c:v>
                </c:pt>
                <c:pt idx="17">
                  <c:v>21.421682581856004</c:v>
                </c:pt>
                <c:pt idx="18">
                  <c:v>23.426752071517726</c:v>
                </c:pt>
                <c:pt idx="19">
                  <c:v>25.689686465590995</c:v>
                </c:pt>
                <c:pt idx="20">
                  <c:v>28.017480897134327</c:v>
                </c:pt>
                <c:pt idx="21">
                  <c:v>30.639917109106094</c:v>
                </c:pt>
                <c:pt idx="22">
                  <c:v>33.507813350518425</c:v>
                </c:pt>
                <c:pt idx="23">
                  <c:v>36.744539597058797</c:v>
                </c:pt>
                <c:pt idx="24">
                  <c:v>40.074036622186824</c:v>
                </c:pt>
                <c:pt idx="25">
                  <c:v>43.824966450023503</c:v>
                </c:pt>
              </c:numCache>
            </c:numRef>
          </c:val>
          <c:extLst>
            <c:ext xmlns:c16="http://schemas.microsoft.com/office/drawing/2014/chart" uri="{C3380CC4-5D6E-409C-BE32-E72D297353CC}">
              <c16:uniqueId val="{00000002-42BE-410B-9935-3F57428223B8}"/>
            </c:ext>
          </c:extLst>
        </c:ser>
        <c:ser>
          <c:idx val="3"/>
          <c:order val="3"/>
          <c:tx>
            <c:strRef>
              <c:f>Results!$D$60</c:f>
              <c:strCache>
                <c:ptCount val="1"/>
                <c:pt idx="0">
                  <c:v>Desalination</c:v>
                </c:pt>
              </c:strCache>
            </c:strRef>
          </c:tx>
          <c:spPr>
            <a:solidFill>
              <a:schemeClr val="accent4"/>
            </a:solidFill>
            <a:ln w="25400">
              <a:noFill/>
            </a:ln>
            <a:effectLst/>
          </c:spPr>
          <c:cat>
            <c:numRef>
              <c:f>Results!$E$49:$AD$49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Results!$E$60:$AD$60</c:f>
              <c:numCache>
                <c:formatCode>_(* #,##0.00_);_(* \(#,##0.00\);_(* "-"??_);_(@_)</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3-42BE-410B-9935-3F57428223B8}"/>
            </c:ext>
          </c:extLst>
        </c:ser>
        <c:dLbls>
          <c:showLegendKey val="0"/>
          <c:showVal val="0"/>
          <c:showCatName val="0"/>
          <c:showSerName val="0"/>
          <c:showPercent val="0"/>
          <c:showBubbleSize val="0"/>
        </c:dLbls>
        <c:axId val="1466789151"/>
        <c:axId val="1466787711"/>
      </c:areaChart>
      <c:catAx>
        <c:axId val="14667891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6787711"/>
        <c:crosses val="autoZero"/>
        <c:auto val="1"/>
        <c:lblAlgn val="ctr"/>
        <c:lblOffset val="100"/>
        <c:noMultiLvlLbl val="0"/>
      </c:catAx>
      <c:valAx>
        <c:axId val="14667877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ZAR '000 000</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678915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Business as Usual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Results!$D$65</c:f>
              <c:strCache>
                <c:ptCount val="1"/>
                <c:pt idx="0">
                  <c:v>Operational Cost</c:v>
                </c:pt>
              </c:strCache>
            </c:strRef>
          </c:tx>
          <c:spPr>
            <a:solidFill>
              <a:schemeClr val="accent1"/>
            </a:solidFill>
            <a:ln>
              <a:noFill/>
            </a:ln>
            <a:effectLst/>
          </c:spPr>
          <c:invertIfNegative val="0"/>
          <c:cat>
            <c:strRef>
              <c:f>Results!$E$64:$J$64</c:f>
              <c:strCache>
                <c:ptCount val="6"/>
                <c:pt idx="0">
                  <c:v>2025</c:v>
                </c:pt>
                <c:pt idx="1">
                  <c:v>2025-2030</c:v>
                </c:pt>
                <c:pt idx="2">
                  <c:v>2031-2035</c:v>
                </c:pt>
                <c:pt idx="3">
                  <c:v>2036-2040</c:v>
                </c:pt>
                <c:pt idx="4">
                  <c:v>2041-2045</c:v>
                </c:pt>
                <c:pt idx="5">
                  <c:v>2046-2050</c:v>
                </c:pt>
              </c:strCache>
            </c:strRef>
          </c:cat>
          <c:val>
            <c:numRef>
              <c:f>Results!$E$65:$J$65</c:f>
              <c:numCache>
                <c:formatCode>0.00</c:formatCode>
                <c:ptCount val="6"/>
                <c:pt idx="0">
                  <c:v>33.953639322240001</c:v>
                </c:pt>
                <c:pt idx="1">
                  <c:v>34.524202969053242</c:v>
                </c:pt>
                <c:pt idx="2">
                  <c:v>55.206970489180982</c:v>
                </c:pt>
                <c:pt idx="3">
                  <c:v>79.460914269699316</c:v>
                </c:pt>
                <c:pt idx="4">
                  <c:v>115.06726839435794</c:v>
                </c:pt>
                <c:pt idx="5">
                  <c:v>167.64243669306342</c:v>
                </c:pt>
              </c:numCache>
            </c:numRef>
          </c:val>
          <c:extLst>
            <c:ext xmlns:c16="http://schemas.microsoft.com/office/drawing/2014/chart" uri="{C3380CC4-5D6E-409C-BE32-E72D297353CC}">
              <c16:uniqueId val="{00000000-CC9C-4ED6-82C0-5CBFFA2A46CF}"/>
            </c:ext>
          </c:extLst>
        </c:ser>
        <c:ser>
          <c:idx val="1"/>
          <c:order val="1"/>
          <c:tx>
            <c:strRef>
              <c:f>Results!$D$66</c:f>
              <c:strCache>
                <c:ptCount val="1"/>
                <c:pt idx="0">
                  <c:v>Water Risk Exposure</c:v>
                </c:pt>
              </c:strCache>
            </c:strRef>
          </c:tx>
          <c:spPr>
            <a:solidFill>
              <a:schemeClr val="accent2"/>
            </a:solidFill>
            <a:ln>
              <a:noFill/>
            </a:ln>
            <a:effectLst/>
          </c:spPr>
          <c:invertIfNegative val="0"/>
          <c:cat>
            <c:strRef>
              <c:f>Results!$E$64:$J$64</c:f>
              <c:strCache>
                <c:ptCount val="6"/>
                <c:pt idx="0">
                  <c:v>2025</c:v>
                </c:pt>
                <c:pt idx="1">
                  <c:v>2025-2030</c:v>
                </c:pt>
                <c:pt idx="2">
                  <c:v>2031-2035</c:v>
                </c:pt>
                <c:pt idx="3">
                  <c:v>2036-2040</c:v>
                </c:pt>
                <c:pt idx="4">
                  <c:v>2041-2045</c:v>
                </c:pt>
                <c:pt idx="5">
                  <c:v>2046-2050</c:v>
                </c:pt>
              </c:strCache>
            </c:strRef>
          </c:cat>
          <c:val>
            <c:numRef>
              <c:f>Results!$E$66:$J$66</c:f>
              <c:numCache>
                <c:formatCode>_(* #,##0.00_);_(* \(#,##0.00\);_(* "-"??_);_(@_)</c:formatCode>
                <c:ptCount val="6"/>
                <c:pt idx="0">
                  <c:v>279.96713872820197</c:v>
                </c:pt>
                <c:pt idx="1">
                  <c:v>31.224369178481417</c:v>
                </c:pt>
                <c:pt idx="2">
                  <c:v>142.53574920529857</c:v>
                </c:pt>
                <c:pt idx="3">
                  <c:v>192.61552541902182</c:v>
                </c:pt>
                <c:pt idx="4">
                  <c:v>260.97671931728081</c:v>
                </c:pt>
                <c:pt idx="5">
                  <c:v>354.08834140952121</c:v>
                </c:pt>
              </c:numCache>
            </c:numRef>
          </c:val>
          <c:extLst>
            <c:ext xmlns:c16="http://schemas.microsoft.com/office/drawing/2014/chart" uri="{C3380CC4-5D6E-409C-BE32-E72D297353CC}">
              <c16:uniqueId val="{00000001-CC9C-4ED6-82C0-5CBFFA2A46CF}"/>
            </c:ext>
          </c:extLst>
        </c:ser>
        <c:dLbls>
          <c:showLegendKey val="0"/>
          <c:showVal val="0"/>
          <c:showCatName val="0"/>
          <c:showSerName val="0"/>
          <c:showPercent val="0"/>
          <c:showBubbleSize val="0"/>
        </c:dLbls>
        <c:gapWidth val="150"/>
        <c:overlap val="100"/>
        <c:axId val="1452176927"/>
        <c:axId val="1464527327"/>
      </c:barChart>
      <c:catAx>
        <c:axId val="1452176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4527327"/>
        <c:crosses val="autoZero"/>
        <c:auto val="1"/>
        <c:lblAlgn val="ctr"/>
        <c:lblOffset val="100"/>
        <c:noMultiLvlLbl val="0"/>
      </c:catAx>
      <c:valAx>
        <c:axId val="14645273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R/kl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1769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Strategic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Results!$D$65</c:f>
              <c:strCache>
                <c:ptCount val="1"/>
                <c:pt idx="0">
                  <c:v>Operational Cost</c:v>
                </c:pt>
              </c:strCache>
            </c:strRef>
          </c:tx>
          <c:spPr>
            <a:solidFill>
              <a:schemeClr val="accent1"/>
            </a:solidFill>
            <a:ln>
              <a:noFill/>
            </a:ln>
            <a:effectLst/>
          </c:spPr>
          <c:invertIfNegative val="0"/>
          <c:cat>
            <c:strRef>
              <c:f>Results!$F$64:$J$64</c:f>
              <c:strCache>
                <c:ptCount val="5"/>
                <c:pt idx="0">
                  <c:v>2025-2030</c:v>
                </c:pt>
                <c:pt idx="1">
                  <c:v>2031-2035</c:v>
                </c:pt>
                <c:pt idx="2">
                  <c:v>2036-2040</c:v>
                </c:pt>
                <c:pt idx="3">
                  <c:v>2041-2045</c:v>
                </c:pt>
                <c:pt idx="4">
                  <c:v>2046-2050</c:v>
                </c:pt>
              </c:strCache>
            </c:strRef>
          </c:cat>
          <c:val>
            <c:numRef>
              <c:f>Results!$L$65:$P$65</c:f>
              <c:numCache>
                <c:formatCode>0.00</c:formatCode>
                <c:ptCount val="5"/>
                <c:pt idx="0">
                  <c:v>33.455386075616055</c:v>
                </c:pt>
                <c:pt idx="1">
                  <c:v>50.527282434171795</c:v>
                </c:pt>
                <c:pt idx="2">
                  <c:v>64.467794290812961</c:v>
                </c:pt>
                <c:pt idx="3">
                  <c:v>97.658526661709132</c:v>
                </c:pt>
                <c:pt idx="4">
                  <c:v>148.4880046504019</c:v>
                </c:pt>
              </c:numCache>
            </c:numRef>
          </c:val>
          <c:extLst>
            <c:ext xmlns:c16="http://schemas.microsoft.com/office/drawing/2014/chart" uri="{C3380CC4-5D6E-409C-BE32-E72D297353CC}">
              <c16:uniqueId val="{00000000-F9B3-46B7-B004-8F71BCEB95E3}"/>
            </c:ext>
          </c:extLst>
        </c:ser>
        <c:ser>
          <c:idx val="1"/>
          <c:order val="1"/>
          <c:tx>
            <c:strRef>
              <c:f>Results!$D$66</c:f>
              <c:strCache>
                <c:ptCount val="1"/>
                <c:pt idx="0">
                  <c:v>Water Risk Exposure</c:v>
                </c:pt>
              </c:strCache>
            </c:strRef>
          </c:tx>
          <c:spPr>
            <a:solidFill>
              <a:schemeClr val="accent2"/>
            </a:solidFill>
            <a:ln>
              <a:noFill/>
            </a:ln>
            <a:effectLst/>
          </c:spPr>
          <c:invertIfNegative val="0"/>
          <c:cat>
            <c:strRef>
              <c:f>Results!$F$64:$J$64</c:f>
              <c:strCache>
                <c:ptCount val="5"/>
                <c:pt idx="0">
                  <c:v>2025-2030</c:v>
                </c:pt>
                <c:pt idx="1">
                  <c:v>2031-2035</c:v>
                </c:pt>
                <c:pt idx="2">
                  <c:v>2036-2040</c:v>
                </c:pt>
                <c:pt idx="3">
                  <c:v>2041-2045</c:v>
                </c:pt>
                <c:pt idx="4">
                  <c:v>2046-2050</c:v>
                </c:pt>
              </c:strCache>
            </c:strRef>
          </c:cat>
          <c:val>
            <c:numRef>
              <c:f>Results!$L$66:$P$66</c:f>
              <c:numCache>
                <c:formatCode>_(* #,##0.00_);_(* \(#,##0.00\);_(* "-"??_);_(@_)</c:formatCode>
                <c:ptCount val="5"/>
                <c:pt idx="0">
                  <c:v>31.224369178481417</c:v>
                </c:pt>
                <c:pt idx="1">
                  <c:v>5.6285657386680068</c:v>
                </c:pt>
                <c:pt idx="2">
                  <c:v>6.7642624258819239</c:v>
                </c:pt>
                <c:pt idx="3">
                  <c:v>10.583709088963147</c:v>
                </c:pt>
                <c:pt idx="4">
                  <c:v>16.555521296635764</c:v>
                </c:pt>
              </c:numCache>
            </c:numRef>
          </c:val>
          <c:extLst>
            <c:ext xmlns:c16="http://schemas.microsoft.com/office/drawing/2014/chart" uri="{C3380CC4-5D6E-409C-BE32-E72D297353CC}">
              <c16:uniqueId val="{00000001-F9B3-46B7-B004-8F71BCEB95E3}"/>
            </c:ext>
          </c:extLst>
        </c:ser>
        <c:dLbls>
          <c:showLegendKey val="0"/>
          <c:showVal val="0"/>
          <c:showCatName val="0"/>
          <c:showSerName val="0"/>
          <c:showPercent val="0"/>
          <c:showBubbleSize val="0"/>
        </c:dLbls>
        <c:gapWidth val="150"/>
        <c:overlap val="100"/>
        <c:axId val="1452176927"/>
        <c:axId val="1464527327"/>
      </c:barChart>
      <c:catAx>
        <c:axId val="1452176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4527327"/>
        <c:crosses val="autoZero"/>
        <c:auto val="1"/>
        <c:lblAlgn val="ctr"/>
        <c:lblOffset val="100"/>
        <c:noMultiLvlLbl val="0"/>
      </c:catAx>
      <c:valAx>
        <c:axId val="14645273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R/kl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21769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Cummulative</a:t>
            </a:r>
            <a:r>
              <a:rPr lang="en-GB" baseline="0"/>
              <a:t> Water Volume by Source - BaU Outlook</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areaChart>
        <c:grouping val="stacked"/>
        <c:varyColors val="0"/>
        <c:ser>
          <c:idx val="0"/>
          <c:order val="0"/>
          <c:tx>
            <c:strRef>
              <c:f>Results!$D$81</c:f>
              <c:strCache>
                <c:ptCount val="1"/>
                <c:pt idx="0">
                  <c:v>Municipal Consumption</c:v>
                </c:pt>
              </c:strCache>
            </c:strRef>
          </c:tx>
          <c:spPr>
            <a:solidFill>
              <a:schemeClr val="accent1"/>
            </a:solidFill>
            <a:ln>
              <a:noFill/>
            </a:ln>
            <a:effectLst/>
          </c:spPr>
          <c:cat>
            <c:numRef>
              <c:f>Results!$E$79:$AD$79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Results!$E$81:$AD$81</c:f>
              <c:numCache>
                <c:formatCode>0</c:formatCode>
                <c:ptCount val="26"/>
                <c:pt idx="0">
                  <c:v>133.00591119200004</c:v>
                </c:pt>
                <c:pt idx="1">
                  <c:v>237.77916816639998</c:v>
                </c:pt>
                <c:pt idx="2">
                  <c:v>0</c:v>
                </c:pt>
                <c:pt idx="3">
                  <c:v>0</c:v>
                </c:pt>
                <c:pt idx="4">
                  <c:v>0</c:v>
                </c:pt>
                <c:pt idx="5">
                  <c:v>0</c:v>
                </c:pt>
                <c:pt idx="6">
                  <c:v>79.77556418090127</c:v>
                </c:pt>
                <c:pt idx="7">
                  <c:v>79.77556418090127</c:v>
                </c:pt>
                <c:pt idx="8">
                  <c:v>79.77556418090127</c:v>
                </c:pt>
                <c:pt idx="9">
                  <c:v>79.77556418090127</c:v>
                </c:pt>
                <c:pt idx="10">
                  <c:v>79.77556418090127</c:v>
                </c:pt>
                <c:pt idx="11">
                  <c:v>79.77556418090127</c:v>
                </c:pt>
                <c:pt idx="12">
                  <c:v>79.77556418090127</c:v>
                </c:pt>
                <c:pt idx="13">
                  <c:v>79.77556418090127</c:v>
                </c:pt>
                <c:pt idx="14">
                  <c:v>79.77556418090127</c:v>
                </c:pt>
                <c:pt idx="15">
                  <c:v>79.77556418090127</c:v>
                </c:pt>
                <c:pt idx="16">
                  <c:v>79.77556418090127</c:v>
                </c:pt>
                <c:pt idx="17">
                  <c:v>79.77556418090127</c:v>
                </c:pt>
                <c:pt idx="18">
                  <c:v>79.77556418090127</c:v>
                </c:pt>
                <c:pt idx="19">
                  <c:v>79.77556418090127</c:v>
                </c:pt>
                <c:pt idx="20">
                  <c:v>79.77556418090127</c:v>
                </c:pt>
                <c:pt idx="21">
                  <c:v>79.77556418090127</c:v>
                </c:pt>
                <c:pt idx="22">
                  <c:v>79.77556418090127</c:v>
                </c:pt>
                <c:pt idx="23">
                  <c:v>79.77556418090127</c:v>
                </c:pt>
                <c:pt idx="24">
                  <c:v>79.77556418090127</c:v>
                </c:pt>
                <c:pt idx="25">
                  <c:v>79.77556418090127</c:v>
                </c:pt>
              </c:numCache>
            </c:numRef>
          </c:val>
          <c:extLst>
            <c:ext xmlns:c16="http://schemas.microsoft.com/office/drawing/2014/chart" uri="{C3380CC4-5D6E-409C-BE32-E72D297353CC}">
              <c16:uniqueId val="{00000001-DEA7-4C78-B128-856437BA51F3}"/>
            </c:ext>
          </c:extLst>
        </c:ser>
        <c:ser>
          <c:idx val="1"/>
          <c:order val="1"/>
          <c:tx>
            <c:strRef>
              <c:f>Results!$D$82</c:f>
              <c:strCache>
                <c:ptCount val="1"/>
                <c:pt idx="0">
                  <c:v>Groundwater Consumption</c:v>
                </c:pt>
              </c:strCache>
            </c:strRef>
          </c:tx>
          <c:spPr>
            <a:solidFill>
              <a:schemeClr val="accent2"/>
            </a:solidFill>
            <a:ln w="25400">
              <a:noFill/>
            </a:ln>
            <a:effectLst/>
          </c:spPr>
          <c:cat>
            <c:numRef>
              <c:f>Results!$E$79:$AD$79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Results!$E$82:$AD$82</c:f>
              <c:numCache>
                <c:formatCode>0</c:formatCode>
                <c:ptCount val="26"/>
                <c:pt idx="0">
                  <c:v>57.002533368000009</c:v>
                </c:pt>
                <c:pt idx="1">
                  <c:v>237.77916816639998</c:v>
                </c:pt>
                <c:pt idx="2">
                  <c:v>515.65150088976202</c:v>
                </c:pt>
                <c:pt idx="3">
                  <c:v>515.65150088976202</c:v>
                </c:pt>
                <c:pt idx="4">
                  <c:v>605.80650088976211</c:v>
                </c:pt>
                <c:pt idx="5">
                  <c:v>605.80650088976211</c:v>
                </c:pt>
                <c:pt idx="6">
                  <c:v>640.35599999999999</c:v>
                </c:pt>
                <c:pt idx="7">
                  <c:v>640.35599999999999</c:v>
                </c:pt>
                <c:pt idx="8">
                  <c:v>640.35599999999999</c:v>
                </c:pt>
                <c:pt idx="9">
                  <c:v>640.35599999999999</c:v>
                </c:pt>
                <c:pt idx="10">
                  <c:v>640.35599999999999</c:v>
                </c:pt>
                <c:pt idx="11">
                  <c:v>640.35599999999999</c:v>
                </c:pt>
                <c:pt idx="12">
                  <c:v>640.35599999999999</c:v>
                </c:pt>
                <c:pt idx="13">
                  <c:v>640.35599999999999</c:v>
                </c:pt>
                <c:pt idx="14">
                  <c:v>640.35599999999999</c:v>
                </c:pt>
                <c:pt idx="15">
                  <c:v>640.35599999999999</c:v>
                </c:pt>
                <c:pt idx="16">
                  <c:v>640.35599999999999</c:v>
                </c:pt>
                <c:pt idx="17">
                  <c:v>640.35599999999999</c:v>
                </c:pt>
                <c:pt idx="18">
                  <c:v>640.35599999999999</c:v>
                </c:pt>
                <c:pt idx="19">
                  <c:v>640.35599999999999</c:v>
                </c:pt>
                <c:pt idx="20">
                  <c:v>640.35599999999999</c:v>
                </c:pt>
                <c:pt idx="21">
                  <c:v>640.35599999999999</c:v>
                </c:pt>
                <c:pt idx="22">
                  <c:v>640.35599999999999</c:v>
                </c:pt>
                <c:pt idx="23">
                  <c:v>640.35599999999999</c:v>
                </c:pt>
                <c:pt idx="24">
                  <c:v>640.35599999999999</c:v>
                </c:pt>
                <c:pt idx="25">
                  <c:v>640.35599999999999</c:v>
                </c:pt>
              </c:numCache>
            </c:numRef>
          </c:val>
          <c:extLst>
            <c:ext xmlns:c16="http://schemas.microsoft.com/office/drawing/2014/chart" uri="{C3380CC4-5D6E-409C-BE32-E72D297353CC}">
              <c16:uniqueId val="{00000002-DEA7-4C78-B128-856437BA51F3}"/>
            </c:ext>
          </c:extLst>
        </c:ser>
        <c:dLbls>
          <c:showLegendKey val="0"/>
          <c:showVal val="0"/>
          <c:showCatName val="0"/>
          <c:showSerName val="0"/>
          <c:showPercent val="0"/>
          <c:showBubbleSize val="0"/>
        </c:dLbls>
        <c:axId val="1084267199"/>
        <c:axId val="1084280159"/>
      </c:areaChart>
      <c:lineChart>
        <c:grouping val="standard"/>
        <c:varyColors val="0"/>
        <c:ser>
          <c:idx val="2"/>
          <c:order val="2"/>
          <c:tx>
            <c:strRef>
              <c:f>Results!$D$86</c:f>
              <c:strCache>
                <c:ptCount val="1"/>
                <c:pt idx="0">
                  <c:v>Groundwater Availability</c:v>
                </c:pt>
              </c:strCache>
            </c:strRef>
          </c:tx>
          <c:spPr>
            <a:ln w="28575" cap="rnd">
              <a:solidFill>
                <a:schemeClr val="accent3"/>
              </a:solidFill>
              <a:round/>
            </a:ln>
            <a:effectLst/>
          </c:spPr>
          <c:marker>
            <c:symbol val="none"/>
          </c:marker>
          <c:cat>
            <c:numRef>
              <c:f>Results!$E$79:$AD$79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Results!$E$86:$AD$86</c:f>
              <c:numCache>
                <c:formatCode>0</c:formatCode>
                <c:ptCount val="26"/>
                <c:pt idx="0">
                  <c:v>376.68</c:v>
                </c:pt>
                <c:pt idx="1">
                  <c:v>753.36</c:v>
                </c:pt>
                <c:pt idx="2">
                  <c:v>753.36</c:v>
                </c:pt>
                <c:pt idx="3">
                  <c:v>753.36</c:v>
                </c:pt>
                <c:pt idx="4">
                  <c:v>753.36</c:v>
                </c:pt>
                <c:pt idx="5">
                  <c:v>753.36</c:v>
                </c:pt>
                <c:pt idx="6">
                  <c:v>753.36</c:v>
                </c:pt>
                <c:pt idx="7">
                  <c:v>753.36</c:v>
                </c:pt>
                <c:pt idx="8">
                  <c:v>753.36</c:v>
                </c:pt>
                <c:pt idx="9">
                  <c:v>753.36</c:v>
                </c:pt>
                <c:pt idx="10">
                  <c:v>753.36</c:v>
                </c:pt>
                <c:pt idx="11">
                  <c:v>753.36</c:v>
                </c:pt>
                <c:pt idx="12">
                  <c:v>753.36</c:v>
                </c:pt>
                <c:pt idx="13">
                  <c:v>753.36</c:v>
                </c:pt>
                <c:pt idx="14">
                  <c:v>753.36</c:v>
                </c:pt>
                <c:pt idx="15">
                  <c:v>753.36</c:v>
                </c:pt>
                <c:pt idx="16">
                  <c:v>753.36</c:v>
                </c:pt>
                <c:pt idx="17">
                  <c:v>753.36</c:v>
                </c:pt>
                <c:pt idx="18">
                  <c:v>753.36</c:v>
                </c:pt>
                <c:pt idx="19">
                  <c:v>753.36</c:v>
                </c:pt>
                <c:pt idx="20">
                  <c:v>753.36</c:v>
                </c:pt>
                <c:pt idx="21">
                  <c:v>753.36</c:v>
                </c:pt>
                <c:pt idx="22">
                  <c:v>753.36</c:v>
                </c:pt>
                <c:pt idx="23">
                  <c:v>753.36</c:v>
                </c:pt>
                <c:pt idx="24">
                  <c:v>753.36</c:v>
                </c:pt>
                <c:pt idx="25">
                  <c:v>753.36</c:v>
                </c:pt>
              </c:numCache>
            </c:numRef>
          </c:val>
          <c:smooth val="0"/>
          <c:extLst>
            <c:ext xmlns:c16="http://schemas.microsoft.com/office/drawing/2014/chart" uri="{C3380CC4-5D6E-409C-BE32-E72D297353CC}">
              <c16:uniqueId val="{00000000-3C02-408B-BACB-6A696D2A24B0}"/>
            </c:ext>
          </c:extLst>
        </c:ser>
        <c:dLbls>
          <c:showLegendKey val="0"/>
          <c:showVal val="0"/>
          <c:showCatName val="0"/>
          <c:showSerName val="0"/>
          <c:showPercent val="0"/>
          <c:showBubbleSize val="0"/>
        </c:dLbls>
        <c:marker val="1"/>
        <c:smooth val="0"/>
        <c:axId val="1084267199"/>
        <c:axId val="1084280159"/>
      </c:lineChart>
      <c:catAx>
        <c:axId val="10842671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280159"/>
        <c:crosses val="autoZero"/>
        <c:auto val="1"/>
        <c:lblAlgn val="ctr"/>
        <c:lblOffset val="100"/>
        <c:noMultiLvlLbl val="0"/>
      </c:catAx>
      <c:valAx>
        <c:axId val="10842801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Volume</a:t>
                </a:r>
                <a:r>
                  <a:rPr lang="en-GB" baseline="0"/>
                  <a:t> (kl)</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267199"/>
        <c:crosses val="autoZero"/>
        <c:crossBetween val="between"/>
      </c:valAx>
      <c:spPr>
        <a:noFill/>
        <a:ln>
          <a:noFill/>
        </a:ln>
        <a:effectLst/>
      </c:spPr>
    </c:plotArea>
    <c:legend>
      <c:legendPos val="r"/>
      <c:layout>
        <c:manualLayout>
          <c:xMode val="edge"/>
          <c:yMode val="edge"/>
          <c:x val="0.7916624341993882"/>
          <c:y val="0.2903034248061484"/>
          <c:w val="0.18605680541264585"/>
          <c:h val="0.524042304749506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Cummulative</a:t>
            </a:r>
            <a:r>
              <a:rPr lang="en-GB" baseline="0"/>
              <a:t> Water Volume by Source - Strategic Outlook</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col"/>
        <c:grouping val="stacked"/>
        <c:varyColors val="0"/>
        <c:ser>
          <c:idx val="0"/>
          <c:order val="0"/>
          <c:tx>
            <c:strRef>
              <c:f>Results!$D$102</c:f>
              <c:strCache>
                <c:ptCount val="1"/>
                <c:pt idx="0">
                  <c:v>Municipal Consumption</c:v>
                </c:pt>
              </c:strCache>
            </c:strRef>
          </c:tx>
          <c:spPr>
            <a:solidFill>
              <a:schemeClr val="accent1"/>
            </a:solidFill>
            <a:ln>
              <a:noFill/>
            </a:ln>
            <a:effectLst/>
          </c:spPr>
          <c:invertIfNegative val="0"/>
          <c:cat>
            <c:numRef>
              <c:f>Results!$E$93:$AD$93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Results!$E$102:$AD$102</c:f>
              <c:numCache>
                <c:formatCode>0</c:formatCode>
                <c:ptCount val="26"/>
                <c:pt idx="0">
                  <c:v>364.39975669041104</c:v>
                </c:pt>
                <c:pt idx="1">
                  <c:v>651.44977579835609</c:v>
                </c:pt>
                <c:pt idx="2">
                  <c:v>0</c:v>
                </c:pt>
                <c:pt idx="3">
                  <c:v>0</c:v>
                </c:pt>
                <c:pt idx="4">
                  <c:v>0</c:v>
                </c:pt>
                <c:pt idx="5">
                  <c:v>0</c:v>
                </c:pt>
                <c:pt idx="6">
                  <c:v>14.150791908025244</c:v>
                </c:pt>
                <c:pt idx="7">
                  <c:v>14.112128542156322</c:v>
                </c:pt>
                <c:pt idx="8">
                  <c:v>14.150791908025244</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BA1B-48F5-9D83-F358A8BE2353}"/>
            </c:ext>
          </c:extLst>
        </c:ser>
        <c:ser>
          <c:idx val="1"/>
          <c:order val="1"/>
          <c:tx>
            <c:strRef>
              <c:f>Results!$D$103</c:f>
              <c:strCache>
                <c:ptCount val="1"/>
                <c:pt idx="0">
                  <c:v>Groundwater Consumption</c:v>
                </c:pt>
              </c:strCache>
            </c:strRef>
          </c:tx>
          <c:spPr>
            <a:solidFill>
              <a:schemeClr val="accent2"/>
            </a:solidFill>
            <a:ln w="25400">
              <a:noFill/>
            </a:ln>
            <a:effectLst/>
          </c:spPr>
          <c:invertIfNegative val="0"/>
          <c:cat>
            <c:numRef>
              <c:f>Results!$E$93:$AD$93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Results!$E$103:$AD$103</c:f>
              <c:numCache>
                <c:formatCode>0</c:formatCode>
                <c:ptCount val="26"/>
                <c:pt idx="0">
                  <c:v>156.17132429589043</c:v>
                </c:pt>
                <c:pt idx="1">
                  <c:v>651.44977579835609</c:v>
                </c:pt>
                <c:pt idx="2">
                  <c:v>1299.7243310098113</c:v>
                </c:pt>
                <c:pt idx="3">
                  <c:v>1296.1731716354677</c:v>
                </c:pt>
                <c:pt idx="4">
                  <c:v>1526.9643310098115</c:v>
                </c:pt>
                <c:pt idx="5">
                  <c:v>1526.9643310098115</c:v>
                </c:pt>
                <c:pt idx="6">
                  <c:v>1754.4</c:v>
                </c:pt>
                <c:pt idx="7">
                  <c:v>1749.6065573770493</c:v>
                </c:pt>
                <c:pt idx="8">
                  <c:v>1754.4</c:v>
                </c:pt>
                <c:pt idx="9">
                  <c:v>1131.0507919080253</c:v>
                </c:pt>
                <c:pt idx="10">
                  <c:v>1131.0507919080253</c:v>
                </c:pt>
                <c:pt idx="11">
                  <c:v>1126.2186859192054</c:v>
                </c:pt>
                <c:pt idx="12">
                  <c:v>1131.0507919080253</c:v>
                </c:pt>
                <c:pt idx="13">
                  <c:v>1131.0507919080253</c:v>
                </c:pt>
                <c:pt idx="14">
                  <c:v>1131.0507919080253</c:v>
                </c:pt>
                <c:pt idx="15">
                  <c:v>1126.2186859192054</c:v>
                </c:pt>
                <c:pt idx="16">
                  <c:v>1131.0507919080253</c:v>
                </c:pt>
                <c:pt idx="17">
                  <c:v>1131.0507919080253</c:v>
                </c:pt>
                <c:pt idx="18">
                  <c:v>1131.0507919080253</c:v>
                </c:pt>
                <c:pt idx="19">
                  <c:v>1126.2186859192054</c:v>
                </c:pt>
                <c:pt idx="20">
                  <c:v>1131.0507919080253</c:v>
                </c:pt>
                <c:pt idx="21">
                  <c:v>1131.0507919080253</c:v>
                </c:pt>
                <c:pt idx="22">
                  <c:v>1131.0507919080253</c:v>
                </c:pt>
                <c:pt idx="23">
                  <c:v>1126.2186859192054</c:v>
                </c:pt>
                <c:pt idx="24">
                  <c:v>1131.0507919080253</c:v>
                </c:pt>
                <c:pt idx="25">
                  <c:v>1131.0507919080253</c:v>
                </c:pt>
              </c:numCache>
            </c:numRef>
          </c:val>
          <c:extLst>
            <c:ext xmlns:c16="http://schemas.microsoft.com/office/drawing/2014/chart" uri="{C3380CC4-5D6E-409C-BE32-E72D297353CC}">
              <c16:uniqueId val="{00000001-BA1B-48F5-9D83-F358A8BE2353}"/>
            </c:ext>
          </c:extLst>
        </c:ser>
        <c:ser>
          <c:idx val="2"/>
          <c:order val="2"/>
          <c:tx>
            <c:strRef>
              <c:f>Results!$D$104</c:f>
              <c:strCache>
                <c:ptCount val="1"/>
                <c:pt idx="0">
                  <c:v>Rainwater Consumption</c:v>
                </c:pt>
              </c:strCache>
            </c:strRef>
          </c:tx>
          <c:spPr>
            <a:solidFill>
              <a:schemeClr val="accent3"/>
            </a:solidFill>
            <a:ln w="25400">
              <a:noFill/>
            </a:ln>
            <a:effectLst/>
          </c:spPr>
          <c:invertIfNegative val="0"/>
          <c:cat>
            <c:numRef>
              <c:f>Results!$E$93:$AD$93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Results!$E$104:$AD$104</c:f>
              <c:numCache>
                <c:formatCode>0</c:formatCode>
                <c:ptCount val="26"/>
                <c:pt idx="0">
                  <c:v>0</c:v>
                </c:pt>
                <c:pt idx="1">
                  <c:v>0</c:v>
                </c:pt>
                <c:pt idx="2">
                  <c:v>0</c:v>
                </c:pt>
                <c:pt idx="3">
                  <c:v>0</c:v>
                </c:pt>
                <c:pt idx="4">
                  <c:v>0</c:v>
                </c:pt>
                <c:pt idx="5">
                  <c:v>0</c:v>
                </c:pt>
                <c:pt idx="6">
                  <c:v>46.575342465753423</c:v>
                </c:pt>
                <c:pt idx="7">
                  <c:v>46.448087431693992</c:v>
                </c:pt>
                <c:pt idx="8">
                  <c:v>46.575342465753423</c:v>
                </c:pt>
                <c:pt idx="9">
                  <c:v>46.575342465753423</c:v>
                </c:pt>
                <c:pt idx="10">
                  <c:v>46.575342465753423</c:v>
                </c:pt>
                <c:pt idx="11">
                  <c:v>46.448087431693992</c:v>
                </c:pt>
                <c:pt idx="12">
                  <c:v>46.575342465753423</c:v>
                </c:pt>
                <c:pt idx="13">
                  <c:v>46.575342465753423</c:v>
                </c:pt>
                <c:pt idx="14">
                  <c:v>46.575342465753423</c:v>
                </c:pt>
                <c:pt idx="15">
                  <c:v>46.448087431693992</c:v>
                </c:pt>
                <c:pt idx="16">
                  <c:v>46.575342465753423</c:v>
                </c:pt>
                <c:pt idx="17">
                  <c:v>46.575342465753423</c:v>
                </c:pt>
                <c:pt idx="18">
                  <c:v>46.575342465753423</c:v>
                </c:pt>
                <c:pt idx="19">
                  <c:v>46.448087431693992</c:v>
                </c:pt>
                <c:pt idx="20">
                  <c:v>46.575342465753423</c:v>
                </c:pt>
                <c:pt idx="21">
                  <c:v>46.575342465753423</c:v>
                </c:pt>
                <c:pt idx="22">
                  <c:v>46.575342465753423</c:v>
                </c:pt>
                <c:pt idx="23">
                  <c:v>46.448087431693992</c:v>
                </c:pt>
                <c:pt idx="24">
                  <c:v>46.575342465753423</c:v>
                </c:pt>
                <c:pt idx="25">
                  <c:v>46.575342465753423</c:v>
                </c:pt>
              </c:numCache>
            </c:numRef>
          </c:val>
          <c:extLst>
            <c:ext xmlns:c16="http://schemas.microsoft.com/office/drawing/2014/chart" uri="{C3380CC4-5D6E-409C-BE32-E72D297353CC}">
              <c16:uniqueId val="{00000002-BA1B-48F5-9D83-F358A8BE2353}"/>
            </c:ext>
          </c:extLst>
        </c:ser>
        <c:ser>
          <c:idx val="3"/>
          <c:order val="3"/>
          <c:tx>
            <c:strRef>
              <c:f>Results!$D$105</c:f>
              <c:strCache>
                <c:ptCount val="1"/>
                <c:pt idx="0">
                  <c:v>Recovered Water Consumption</c:v>
                </c:pt>
              </c:strCache>
            </c:strRef>
          </c:tx>
          <c:spPr>
            <a:solidFill>
              <a:schemeClr val="accent4"/>
            </a:solidFill>
            <a:ln>
              <a:noFill/>
            </a:ln>
            <a:effectLst/>
          </c:spPr>
          <c:invertIfNegative val="0"/>
          <c:cat>
            <c:numRef>
              <c:f>Results!$E$93:$AD$93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Results!$E$105:$AD$105</c:f>
              <c:numCache>
                <c:formatCode>0</c:formatCode>
                <c:ptCount val="26"/>
                <c:pt idx="0">
                  <c:v>0</c:v>
                </c:pt>
                <c:pt idx="1">
                  <c:v>0</c:v>
                </c:pt>
                <c:pt idx="2">
                  <c:v>0</c:v>
                </c:pt>
                <c:pt idx="3">
                  <c:v>0</c:v>
                </c:pt>
                <c:pt idx="4">
                  <c:v>0</c:v>
                </c:pt>
                <c:pt idx="5">
                  <c:v>0</c:v>
                </c:pt>
                <c:pt idx="6">
                  <c:v>0</c:v>
                </c:pt>
                <c:pt idx="7">
                  <c:v>0</c:v>
                </c:pt>
                <c:pt idx="8">
                  <c:v>0</c:v>
                </c:pt>
                <c:pt idx="9">
                  <c:v>637.5</c:v>
                </c:pt>
                <c:pt idx="10">
                  <c:v>637.5</c:v>
                </c:pt>
                <c:pt idx="11">
                  <c:v>637.5</c:v>
                </c:pt>
                <c:pt idx="12">
                  <c:v>637.5</c:v>
                </c:pt>
                <c:pt idx="13">
                  <c:v>637.5</c:v>
                </c:pt>
                <c:pt idx="14">
                  <c:v>637.5</c:v>
                </c:pt>
                <c:pt idx="15">
                  <c:v>637.5</c:v>
                </c:pt>
                <c:pt idx="16">
                  <c:v>637.5</c:v>
                </c:pt>
                <c:pt idx="17">
                  <c:v>637.5</c:v>
                </c:pt>
                <c:pt idx="18">
                  <c:v>637.5</c:v>
                </c:pt>
                <c:pt idx="19">
                  <c:v>637.5</c:v>
                </c:pt>
                <c:pt idx="20">
                  <c:v>637.5</c:v>
                </c:pt>
                <c:pt idx="21">
                  <c:v>637.5</c:v>
                </c:pt>
                <c:pt idx="22">
                  <c:v>637.5</c:v>
                </c:pt>
                <c:pt idx="23">
                  <c:v>637.5</c:v>
                </c:pt>
                <c:pt idx="24">
                  <c:v>637.5</c:v>
                </c:pt>
                <c:pt idx="25">
                  <c:v>637.5</c:v>
                </c:pt>
              </c:numCache>
            </c:numRef>
          </c:val>
          <c:extLst>
            <c:ext xmlns:c16="http://schemas.microsoft.com/office/drawing/2014/chart" uri="{C3380CC4-5D6E-409C-BE32-E72D297353CC}">
              <c16:uniqueId val="{00000003-BA1B-48F5-9D83-F358A8BE2353}"/>
            </c:ext>
          </c:extLst>
        </c:ser>
        <c:ser>
          <c:idx val="4"/>
          <c:order val="4"/>
          <c:tx>
            <c:strRef>
              <c:f>Results!$D$106</c:f>
              <c:strCache>
                <c:ptCount val="1"/>
                <c:pt idx="0">
                  <c:v>Desal Water Consumption</c:v>
                </c:pt>
              </c:strCache>
            </c:strRef>
          </c:tx>
          <c:spPr>
            <a:solidFill>
              <a:schemeClr val="accent5"/>
            </a:solidFill>
            <a:ln>
              <a:noFill/>
            </a:ln>
            <a:effectLst/>
          </c:spPr>
          <c:invertIfNegative val="0"/>
          <c:cat>
            <c:numRef>
              <c:f>Results!$E$93:$AD$93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Results!$E$106:$AD$106</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4-BA1B-48F5-9D83-F358A8BE2353}"/>
            </c:ext>
          </c:extLst>
        </c:ser>
        <c:dLbls>
          <c:showLegendKey val="0"/>
          <c:showVal val="0"/>
          <c:showCatName val="0"/>
          <c:showSerName val="0"/>
          <c:showPercent val="0"/>
          <c:showBubbleSize val="0"/>
        </c:dLbls>
        <c:gapWidth val="150"/>
        <c:overlap val="100"/>
        <c:axId val="1187289215"/>
        <c:axId val="1187286815"/>
      </c:barChart>
      <c:lineChart>
        <c:grouping val="standard"/>
        <c:varyColors val="0"/>
        <c:ser>
          <c:idx val="5"/>
          <c:order val="5"/>
          <c:tx>
            <c:strRef>
              <c:f>Results!$D$107</c:f>
              <c:strCache>
                <c:ptCount val="1"/>
                <c:pt idx="0">
                  <c:v>Alternate Water Availability (WRP, Desal)</c:v>
                </c:pt>
              </c:strCache>
            </c:strRef>
          </c:tx>
          <c:spPr>
            <a:ln w="28575" cap="rnd">
              <a:solidFill>
                <a:schemeClr val="accent6"/>
              </a:solidFill>
              <a:round/>
            </a:ln>
            <a:effectLst/>
          </c:spPr>
          <c:marker>
            <c:symbol val="none"/>
          </c:marker>
          <c:cat>
            <c:numRef>
              <c:f>Results!$E$93:$AD$93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Results!$E$107:$AD$107</c:f>
              <c:numCache>
                <c:formatCode>0</c:formatCode>
                <c:ptCount val="26"/>
                <c:pt idx="0">
                  <c:v>877.2</c:v>
                </c:pt>
                <c:pt idx="1">
                  <c:v>1754.4</c:v>
                </c:pt>
                <c:pt idx="2">
                  <c:v>1754.4</c:v>
                </c:pt>
                <c:pt idx="3">
                  <c:v>1749.6065573770493</c:v>
                </c:pt>
                <c:pt idx="4">
                  <c:v>1754.4</c:v>
                </c:pt>
                <c:pt idx="5">
                  <c:v>1754.4</c:v>
                </c:pt>
                <c:pt idx="6">
                  <c:v>1800.9753424657533</c:v>
                </c:pt>
                <c:pt idx="7">
                  <c:v>1796.0546448087432</c:v>
                </c:pt>
                <c:pt idx="8">
                  <c:v>1800.9753424657533</c:v>
                </c:pt>
                <c:pt idx="9">
                  <c:v>2438.4753424657533</c:v>
                </c:pt>
                <c:pt idx="10">
                  <c:v>2438.4753424657533</c:v>
                </c:pt>
                <c:pt idx="11">
                  <c:v>2431.8128415300548</c:v>
                </c:pt>
                <c:pt idx="12">
                  <c:v>2438.4753424657533</c:v>
                </c:pt>
                <c:pt idx="13">
                  <c:v>2438.4753424657533</c:v>
                </c:pt>
                <c:pt idx="14">
                  <c:v>2438.4753424657533</c:v>
                </c:pt>
                <c:pt idx="15">
                  <c:v>2431.8128415300548</c:v>
                </c:pt>
                <c:pt idx="16">
                  <c:v>2438.4753424657533</c:v>
                </c:pt>
                <c:pt idx="17">
                  <c:v>2438.4753424657533</c:v>
                </c:pt>
                <c:pt idx="18">
                  <c:v>2438.4753424657533</c:v>
                </c:pt>
                <c:pt idx="19">
                  <c:v>2431.8128415300548</c:v>
                </c:pt>
                <c:pt idx="20">
                  <c:v>2438.4753424657533</c:v>
                </c:pt>
                <c:pt idx="21">
                  <c:v>2438.4753424657533</c:v>
                </c:pt>
                <c:pt idx="22">
                  <c:v>2438.4753424657533</c:v>
                </c:pt>
                <c:pt idx="23">
                  <c:v>2431.8128415300548</c:v>
                </c:pt>
                <c:pt idx="24">
                  <c:v>2438.4753424657533</c:v>
                </c:pt>
                <c:pt idx="25">
                  <c:v>2438.4753424657533</c:v>
                </c:pt>
              </c:numCache>
            </c:numRef>
          </c:val>
          <c:smooth val="0"/>
          <c:extLst>
            <c:ext xmlns:c16="http://schemas.microsoft.com/office/drawing/2014/chart" uri="{C3380CC4-5D6E-409C-BE32-E72D297353CC}">
              <c16:uniqueId val="{00000000-E1D9-4AC0-9ED1-3063BA5E9813}"/>
            </c:ext>
          </c:extLst>
        </c:ser>
        <c:ser>
          <c:idx val="6"/>
          <c:order val="6"/>
          <c:tx>
            <c:strRef>
              <c:f>Results!$D$101</c:f>
              <c:strCache>
                <c:ptCount val="1"/>
                <c:pt idx="0">
                  <c:v>Total Demand</c:v>
                </c:pt>
              </c:strCache>
            </c:strRef>
          </c:tx>
          <c:spPr>
            <a:ln w="28575" cap="rnd">
              <a:solidFill>
                <a:schemeClr val="accent1">
                  <a:lumMod val="60000"/>
                </a:schemeClr>
              </a:solidFill>
              <a:round/>
            </a:ln>
            <a:effectLst/>
          </c:spPr>
          <c:marker>
            <c:symbol val="none"/>
          </c:marker>
          <c:cat>
            <c:numRef>
              <c:f>Results!$E$93:$AD$93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Results!$E$101:$AD$101</c:f>
              <c:numCache>
                <c:formatCode>0</c:formatCode>
                <c:ptCount val="26"/>
                <c:pt idx="0">
                  <c:v>520.57108098630147</c:v>
                </c:pt>
                <c:pt idx="1">
                  <c:v>1302.8995515967122</c:v>
                </c:pt>
                <c:pt idx="2">
                  <c:v>1299.7243310098113</c:v>
                </c:pt>
                <c:pt idx="3">
                  <c:v>1296.1731716354677</c:v>
                </c:pt>
                <c:pt idx="4">
                  <c:v>1526.9643310098115</c:v>
                </c:pt>
                <c:pt idx="5">
                  <c:v>1526.9643310098115</c:v>
                </c:pt>
                <c:pt idx="6">
                  <c:v>1815.1261343737788</c:v>
                </c:pt>
                <c:pt idx="7">
                  <c:v>1810.1667733508996</c:v>
                </c:pt>
                <c:pt idx="8">
                  <c:v>1815.1261343737788</c:v>
                </c:pt>
                <c:pt idx="9">
                  <c:v>1815.1261343737788</c:v>
                </c:pt>
                <c:pt idx="10">
                  <c:v>1815.1261343737788</c:v>
                </c:pt>
                <c:pt idx="11">
                  <c:v>1810.1667733508996</c:v>
                </c:pt>
                <c:pt idx="12">
                  <c:v>1815.1261343737788</c:v>
                </c:pt>
                <c:pt idx="13">
                  <c:v>1815.1261343737788</c:v>
                </c:pt>
                <c:pt idx="14">
                  <c:v>1815.1261343737788</c:v>
                </c:pt>
                <c:pt idx="15">
                  <c:v>1810.1667733508996</c:v>
                </c:pt>
                <c:pt idx="16">
                  <c:v>1815.1261343737788</c:v>
                </c:pt>
                <c:pt idx="17">
                  <c:v>1815.1261343737788</c:v>
                </c:pt>
                <c:pt idx="18">
                  <c:v>1815.1261343737788</c:v>
                </c:pt>
                <c:pt idx="19">
                  <c:v>1810.1667733508996</c:v>
                </c:pt>
                <c:pt idx="20">
                  <c:v>1815.1261343737788</c:v>
                </c:pt>
                <c:pt idx="21">
                  <c:v>1815.1261343737788</c:v>
                </c:pt>
                <c:pt idx="22">
                  <c:v>1815.1261343737788</c:v>
                </c:pt>
                <c:pt idx="23">
                  <c:v>1810.1667733508996</c:v>
                </c:pt>
                <c:pt idx="24">
                  <c:v>1815.1261343737788</c:v>
                </c:pt>
                <c:pt idx="25">
                  <c:v>1815.1261343737788</c:v>
                </c:pt>
              </c:numCache>
            </c:numRef>
          </c:val>
          <c:smooth val="0"/>
          <c:extLst>
            <c:ext xmlns:c16="http://schemas.microsoft.com/office/drawing/2014/chart" uri="{C3380CC4-5D6E-409C-BE32-E72D297353CC}">
              <c16:uniqueId val="{00000000-C886-4D3B-9FAC-3B5A0420A221}"/>
            </c:ext>
          </c:extLst>
        </c:ser>
        <c:dLbls>
          <c:showLegendKey val="0"/>
          <c:showVal val="0"/>
          <c:showCatName val="0"/>
          <c:showSerName val="0"/>
          <c:showPercent val="0"/>
          <c:showBubbleSize val="0"/>
        </c:dLbls>
        <c:marker val="1"/>
        <c:smooth val="0"/>
        <c:axId val="1187289215"/>
        <c:axId val="1187286815"/>
      </c:lineChart>
      <c:catAx>
        <c:axId val="11872892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286815"/>
        <c:crosses val="autoZero"/>
        <c:auto val="1"/>
        <c:lblAlgn val="ctr"/>
        <c:lblOffset val="100"/>
        <c:noMultiLvlLbl val="0"/>
      </c:catAx>
      <c:valAx>
        <c:axId val="1187286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Volume</a:t>
                </a:r>
                <a:r>
                  <a:rPr lang="en-GB" baseline="0"/>
                  <a:t> (kl)</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72892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(Savings) in Water Cost from BaU to Strategic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Results!$D$120</c:f>
              <c:strCache>
                <c:ptCount val="1"/>
                <c:pt idx="0">
                  <c:v>Water Tariff</c:v>
                </c:pt>
              </c:strCache>
            </c:strRef>
          </c:tx>
          <c:spPr>
            <a:solidFill>
              <a:schemeClr val="accent1"/>
            </a:solidFill>
            <a:ln>
              <a:noFill/>
            </a:ln>
            <a:effectLst/>
          </c:spPr>
          <c:invertIfNegative val="0"/>
          <c:cat>
            <c:numRef>
              <c:f>Results!$E$119:$AD$119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Results!$E$120:$AD$120</c:f>
              <c:numCache>
                <c:formatCode>_-* #,##0_-;\-* #,##0_-;_-* "-"??_-;_-@_-</c:formatCode>
                <c:ptCount val="26"/>
                <c:pt idx="0">
                  <c:v>0</c:v>
                </c:pt>
                <c:pt idx="1">
                  <c:v>0</c:v>
                </c:pt>
                <c:pt idx="2">
                  <c:v>0</c:v>
                </c:pt>
                <c:pt idx="3">
                  <c:v>0</c:v>
                </c:pt>
                <c:pt idx="4">
                  <c:v>0</c:v>
                </c:pt>
                <c:pt idx="5">
                  <c:v>0</c:v>
                </c:pt>
                <c:pt idx="6">
                  <c:v>3170572.3610512819</c:v>
                </c:pt>
                <c:pt idx="7">
                  <c:v>3360806.7027143594</c:v>
                </c:pt>
                <c:pt idx="8">
                  <c:v>3562455.1048772214</c:v>
                </c:pt>
                <c:pt idx="9">
                  <c:v>4037616.3720789836</c:v>
                </c:pt>
                <c:pt idx="10">
                  <c:v>4279873.3544037221</c:v>
                </c:pt>
                <c:pt idx="11">
                  <c:v>4536665.7556679454</c:v>
                </c:pt>
                <c:pt idx="12">
                  <c:v>4808865.7010080228</c:v>
                </c:pt>
                <c:pt idx="13">
                  <c:v>5097397.6430685036</c:v>
                </c:pt>
                <c:pt idx="14">
                  <c:v>5403241.5016526142</c:v>
                </c:pt>
                <c:pt idx="15">
                  <c:v>5727435.9917517714</c:v>
                </c:pt>
                <c:pt idx="16">
                  <c:v>6071082.1512568779</c:v>
                </c:pt>
                <c:pt idx="17">
                  <c:v>6435347.0803322913</c:v>
                </c:pt>
                <c:pt idx="18">
                  <c:v>6821467.9051522296</c:v>
                </c:pt>
                <c:pt idx="19">
                  <c:v>7230755.9794613644</c:v>
                </c:pt>
                <c:pt idx="20">
                  <c:v>7664601.3382290462</c:v>
                </c:pt>
                <c:pt idx="21">
                  <c:v>8124477.4185227901</c:v>
                </c:pt>
                <c:pt idx="22">
                  <c:v>8611946.0636341572</c:v>
                </c:pt>
                <c:pt idx="23">
                  <c:v>9128662.827452207</c:v>
                </c:pt>
                <c:pt idx="24">
                  <c:v>9676382.5970993396</c:v>
                </c:pt>
                <c:pt idx="25">
                  <c:v>10256965.552925302</c:v>
                </c:pt>
              </c:numCache>
            </c:numRef>
          </c:val>
          <c:extLst>
            <c:ext xmlns:c16="http://schemas.microsoft.com/office/drawing/2014/chart" uri="{C3380CC4-5D6E-409C-BE32-E72D297353CC}">
              <c16:uniqueId val="{00000000-1423-4BF8-92F8-5D5AACA6CCEC}"/>
            </c:ext>
          </c:extLst>
        </c:ser>
        <c:ser>
          <c:idx val="1"/>
          <c:order val="1"/>
          <c:tx>
            <c:strRef>
              <c:f>Results!$D$121</c:f>
              <c:strCache>
                <c:ptCount val="1"/>
                <c:pt idx="0">
                  <c:v>Wastewater Tariff</c:v>
                </c:pt>
              </c:strCache>
            </c:strRef>
          </c:tx>
          <c:spPr>
            <a:solidFill>
              <a:schemeClr val="accent2"/>
            </a:solidFill>
            <a:ln>
              <a:noFill/>
            </a:ln>
            <a:effectLst/>
          </c:spPr>
          <c:invertIfNegative val="0"/>
          <c:cat>
            <c:numRef>
              <c:f>Results!$E$119:$AD$119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Results!$E$121:$AD$121</c:f>
              <c:numCache>
                <c:formatCode>_-* #,##0_-;\-* #,##0_-;_-* "-"??_-;_-@_-</c:formatCode>
                <c:ptCount val="26"/>
                <c:pt idx="0">
                  <c:v>0</c:v>
                </c:pt>
                <c:pt idx="1">
                  <c:v>0</c:v>
                </c:pt>
                <c:pt idx="2">
                  <c:v>0</c:v>
                </c:pt>
                <c:pt idx="3">
                  <c:v>1180799.6536144819</c:v>
                </c:pt>
                <c:pt idx="4">
                  <c:v>1251647.63283135</c:v>
                </c:pt>
                <c:pt idx="5">
                  <c:v>1558710.9661722742</c:v>
                </c:pt>
                <c:pt idx="6">
                  <c:v>1652233.6241426095</c:v>
                </c:pt>
                <c:pt idx="7">
                  <c:v>2081877.8229393233</c:v>
                </c:pt>
                <c:pt idx="8">
                  <c:v>2206790.4923156779</c:v>
                </c:pt>
                <c:pt idx="9">
                  <c:v>2339197.9218546208</c:v>
                </c:pt>
                <c:pt idx="10">
                  <c:v>2479549.7971659005</c:v>
                </c:pt>
                <c:pt idx="11">
                  <c:v>12488135.188789938</c:v>
                </c:pt>
                <c:pt idx="12">
                  <c:v>13266057.275865337</c:v>
                </c:pt>
                <c:pt idx="13">
                  <c:v>14031668.698124373</c:v>
                </c:pt>
                <c:pt idx="14">
                  <c:v>14873568.820011836</c:v>
                </c:pt>
                <c:pt idx="15">
                  <c:v>15765982.949212549</c:v>
                </c:pt>
                <c:pt idx="16">
                  <c:v>16748091.660820358</c:v>
                </c:pt>
                <c:pt idx="17">
                  <c:v>17714658.441735223</c:v>
                </c:pt>
                <c:pt idx="18">
                  <c:v>18777537.948239334</c:v>
                </c:pt>
                <c:pt idx="19">
                  <c:v>19904190.225133695</c:v>
                </c:pt>
                <c:pt idx="20">
                  <c:v>21144079.845753837</c:v>
                </c:pt>
                <c:pt idx="21">
                  <c:v>22364348.136960223</c:v>
                </c:pt>
                <c:pt idx="22">
                  <c:v>23706209.02517784</c:v>
                </c:pt>
                <c:pt idx="23">
                  <c:v>25128581.566688515</c:v>
                </c:pt>
                <c:pt idx="24">
                  <c:v>26693913.64566458</c:v>
                </c:pt>
                <c:pt idx="25">
                  <c:v>28234474.248331215</c:v>
                </c:pt>
              </c:numCache>
            </c:numRef>
          </c:val>
          <c:extLst>
            <c:ext xmlns:c16="http://schemas.microsoft.com/office/drawing/2014/chart" uri="{C3380CC4-5D6E-409C-BE32-E72D297353CC}">
              <c16:uniqueId val="{00000001-1423-4BF8-92F8-5D5AACA6CCEC}"/>
            </c:ext>
          </c:extLst>
        </c:ser>
        <c:ser>
          <c:idx val="2"/>
          <c:order val="2"/>
          <c:tx>
            <c:strRef>
              <c:f>Results!$D$122</c:f>
              <c:strCache>
                <c:ptCount val="1"/>
                <c:pt idx="0">
                  <c:v>Groundwater</c:v>
                </c:pt>
              </c:strCache>
            </c:strRef>
          </c:tx>
          <c:spPr>
            <a:solidFill>
              <a:schemeClr val="accent3"/>
            </a:solidFill>
            <a:ln>
              <a:noFill/>
            </a:ln>
            <a:effectLst/>
          </c:spPr>
          <c:invertIfNegative val="0"/>
          <c:cat>
            <c:numRef>
              <c:f>Results!$E$119:$AD$119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Results!$E$122:$AD$122</c:f>
              <c:numCache>
                <c:formatCode>_-* #,##0_-;\-* #,##0_-;_-* "-"??_-;_-@_-</c:formatCode>
                <c:ptCount val="26"/>
                <c:pt idx="0">
                  <c:v>0</c:v>
                </c:pt>
                <c:pt idx="1">
                  <c:v>0</c:v>
                </c:pt>
                <c:pt idx="2">
                  <c:v>664519.18164999411</c:v>
                </c:pt>
                <c:pt idx="3">
                  <c:v>726718.17705243267</c:v>
                </c:pt>
                <c:pt idx="4">
                  <c:v>933688.84008956514</c:v>
                </c:pt>
                <c:pt idx="5">
                  <c:v>1021082.1155219469</c:v>
                </c:pt>
                <c:pt idx="6">
                  <c:v>0</c:v>
                </c:pt>
                <c:pt idx="7">
                  <c:v>0</c:v>
                </c:pt>
                <c:pt idx="8">
                  <c:v>0</c:v>
                </c:pt>
                <c:pt idx="9">
                  <c:v>6856382.4698961731</c:v>
                </c:pt>
                <c:pt idx="10">
                  <c:v>7498139.8690784555</c:v>
                </c:pt>
                <c:pt idx="11">
                  <c:v>8222941.4184828587</c:v>
                </c:pt>
                <c:pt idx="12">
                  <c:v>8967482.5560373422</c:v>
                </c:pt>
                <c:pt idx="13">
                  <c:v>9806838.9232824333</c:v>
                </c:pt>
                <c:pt idx="14">
                  <c:v>10724759.046501666</c:v>
                </c:pt>
                <c:pt idx="15">
                  <c:v>11761459.096063253</c:v>
                </c:pt>
                <c:pt idx="16">
                  <c:v>12826393.125022817</c:v>
                </c:pt>
                <c:pt idx="17">
                  <c:v>14026943.521524955</c:v>
                </c:pt>
                <c:pt idx="18">
                  <c:v>15339865.435139686</c:v>
                </c:pt>
                <c:pt idx="19">
                  <c:v>16822680.963947743</c:v>
                </c:pt>
                <c:pt idx="20">
                  <c:v>18345880.192080479</c:v>
                </c:pt>
                <c:pt idx="21">
                  <c:v>20063054.578059211</c:v>
                </c:pt>
                <c:pt idx="22">
                  <c:v>21940956.486565553</c:v>
                </c:pt>
                <c:pt idx="23">
                  <c:v>24061861.075510204</c:v>
                </c:pt>
                <c:pt idx="24">
                  <c:v>26240527.382991165</c:v>
                </c:pt>
                <c:pt idx="25">
                  <c:v>28696640.746039137</c:v>
                </c:pt>
              </c:numCache>
            </c:numRef>
          </c:val>
          <c:extLst>
            <c:ext xmlns:c16="http://schemas.microsoft.com/office/drawing/2014/chart" uri="{C3380CC4-5D6E-409C-BE32-E72D297353CC}">
              <c16:uniqueId val="{00000002-1423-4BF8-92F8-5D5AACA6CCEC}"/>
            </c:ext>
          </c:extLst>
        </c:ser>
        <c:dLbls>
          <c:showLegendKey val="0"/>
          <c:showVal val="0"/>
          <c:showCatName val="0"/>
          <c:showSerName val="0"/>
          <c:showPercent val="0"/>
          <c:showBubbleSize val="0"/>
        </c:dLbls>
        <c:gapWidth val="150"/>
        <c:overlap val="100"/>
        <c:axId val="937999263"/>
        <c:axId val="937986783"/>
      </c:barChart>
      <c:catAx>
        <c:axId val="937999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7986783"/>
        <c:crosses val="autoZero"/>
        <c:auto val="1"/>
        <c:lblAlgn val="ctr"/>
        <c:lblOffset val="100"/>
        <c:noMultiLvlLbl val="0"/>
      </c:catAx>
      <c:valAx>
        <c:axId val="937986783"/>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79992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a:t>
            </a:r>
            <a:r>
              <a:rPr lang="en-GB" baseline="0"/>
              <a:t> in Risk Exposure from BaU to Strategic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col"/>
        <c:grouping val="stacked"/>
        <c:varyColors val="0"/>
        <c:ser>
          <c:idx val="0"/>
          <c:order val="0"/>
          <c:tx>
            <c:strRef>
              <c:f>Results!$D$123</c:f>
              <c:strCache>
                <c:ptCount val="1"/>
                <c:pt idx="0">
                  <c:v>Water Risk - Municipal Supply Failure</c:v>
                </c:pt>
              </c:strCache>
            </c:strRef>
          </c:tx>
          <c:spPr>
            <a:solidFill>
              <a:schemeClr val="accent1"/>
            </a:solidFill>
            <a:ln>
              <a:noFill/>
            </a:ln>
            <a:effectLst/>
          </c:spPr>
          <c:invertIfNegative val="0"/>
          <c:cat>
            <c:numRef>
              <c:f>Results!$E$119:$AD$119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Results!$E$123:$AD$123</c:f>
              <c:numCache>
                <c:formatCode>_-* #,##0_-;\-* #,##0_-;_-* "-"??_-;_-@_-</c:formatCode>
                <c:ptCount val="26"/>
                <c:pt idx="0">
                  <c:v>0</c:v>
                </c:pt>
                <c:pt idx="1">
                  <c:v>0</c:v>
                </c:pt>
                <c:pt idx="2">
                  <c:v>0</c:v>
                </c:pt>
                <c:pt idx="3">
                  <c:v>0</c:v>
                </c:pt>
                <c:pt idx="4">
                  <c:v>0</c:v>
                </c:pt>
                <c:pt idx="5">
                  <c:v>0</c:v>
                </c:pt>
                <c:pt idx="6">
                  <c:v>0</c:v>
                </c:pt>
                <c:pt idx="7">
                  <c:v>0</c:v>
                </c:pt>
                <c:pt idx="8">
                  <c:v>0</c:v>
                </c:pt>
                <c:pt idx="9">
                  <c:v>101831608.48783351</c:v>
                </c:pt>
                <c:pt idx="10">
                  <c:v>107941504.99710354</c:v>
                </c:pt>
                <c:pt idx="11">
                  <c:v>114105377.82344088</c:v>
                </c:pt>
                <c:pt idx="12">
                  <c:v>121283075.01474555</c:v>
                </c:pt>
                <c:pt idx="13">
                  <c:v>128560059.51563029</c:v>
                </c:pt>
                <c:pt idx="14">
                  <c:v>136273663.08656812</c:v>
                </c:pt>
                <c:pt idx="15">
                  <c:v>144055410.51418909</c:v>
                </c:pt>
                <c:pt idx="16">
                  <c:v>153117087.84406796</c:v>
                </c:pt>
                <c:pt idx="17">
                  <c:v>162304113.11471203</c:v>
                </c:pt>
                <c:pt idx="18">
                  <c:v>172042359.90159476</c:v>
                </c:pt>
                <c:pt idx="19">
                  <c:v>181866636.73750553</c:v>
                </c:pt>
                <c:pt idx="20">
                  <c:v>193306795.5854319</c:v>
                </c:pt>
                <c:pt idx="21">
                  <c:v>204905203.3205578</c:v>
                </c:pt>
                <c:pt idx="22">
                  <c:v>217199515.51979131</c:v>
                </c:pt>
                <c:pt idx="23">
                  <c:v>229602438.67379028</c:v>
                </c:pt>
                <c:pt idx="24">
                  <c:v>244045375.6380375</c:v>
                </c:pt>
                <c:pt idx="25">
                  <c:v>258688098.17631975</c:v>
                </c:pt>
              </c:numCache>
            </c:numRef>
          </c:val>
          <c:extLst>
            <c:ext xmlns:c16="http://schemas.microsoft.com/office/drawing/2014/chart" uri="{C3380CC4-5D6E-409C-BE32-E72D297353CC}">
              <c16:uniqueId val="{00000000-138B-4B60-A002-9E713EDB890F}"/>
            </c:ext>
          </c:extLst>
        </c:ser>
        <c:ser>
          <c:idx val="1"/>
          <c:order val="1"/>
          <c:tx>
            <c:strRef>
              <c:f>Results!$D$124</c:f>
              <c:strCache>
                <c:ptCount val="1"/>
                <c:pt idx="0">
                  <c:v>Water Risk - Quality</c:v>
                </c:pt>
              </c:strCache>
            </c:strRef>
          </c:tx>
          <c:spPr>
            <a:solidFill>
              <a:schemeClr val="accent2"/>
            </a:solidFill>
            <a:ln>
              <a:noFill/>
            </a:ln>
            <a:effectLst/>
          </c:spPr>
          <c:invertIfNegative val="0"/>
          <c:cat>
            <c:numRef>
              <c:f>Results!$E$119:$AD$119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Results!$E$124:$AD$124</c:f>
              <c:numCache>
                <c:formatCode>_(* #,##0.00_);_(* \(#,##0.00\);_(* "-"??_);_(@_)</c:formatCode>
                <c:ptCount val="26"/>
                <c:pt idx="0">
                  <c:v>0</c:v>
                </c:pt>
                <c:pt idx="1">
                  <c:v>0</c:v>
                </c:pt>
                <c:pt idx="2">
                  <c:v>166129.79541249853</c:v>
                </c:pt>
                <c:pt idx="3">
                  <c:v>181679.54426310817</c:v>
                </c:pt>
                <c:pt idx="4">
                  <c:v>233422.21002239129</c:v>
                </c:pt>
                <c:pt idx="5">
                  <c:v>255270.52888048673</c:v>
                </c:pt>
                <c:pt idx="6">
                  <c:v>128800.85986759327</c:v>
                </c:pt>
                <c:pt idx="7">
                  <c:v>140682.77811321709</c:v>
                </c:pt>
                <c:pt idx="8">
                  <c:v>153663.66194517538</c:v>
                </c:pt>
                <c:pt idx="9">
                  <c:v>3724447.255367191</c:v>
                </c:pt>
                <c:pt idx="10">
                  <c:v>4072832.5093022683</c:v>
                </c:pt>
                <c:pt idx="11">
                  <c:v>4459557.1568702981</c:v>
                </c:pt>
                <c:pt idx="12">
                  <c:v>4870439.5888491105</c:v>
                </c:pt>
                <c:pt idx="13">
                  <c:v>5326047.1268789973</c:v>
                </c:pt>
                <c:pt idx="14">
                  <c:v>5824283.5940192984</c:v>
                </c:pt>
                <c:pt idx="15">
                  <c:v>6377353.7525500525</c:v>
                </c:pt>
                <c:pt idx="16">
                  <c:v>6964973.0854147384</c:v>
                </c:pt>
                <c:pt idx="17">
                  <c:v>7616559.2428775867</c:v>
                </c:pt>
                <c:pt idx="18">
                  <c:v>8329113.7452790383</c:v>
                </c:pt>
                <c:pt idx="19">
                  <c:v>9120093.0535610989</c:v>
                </c:pt>
                <c:pt idx="20">
                  <c:v>9960483.4603976794</c:v>
                </c:pt>
                <c:pt idx="21">
                  <c:v>10892361.374310132</c:v>
                </c:pt>
                <c:pt idx="22">
                  <c:v>11911437.660685949</c:v>
                </c:pt>
                <c:pt idx="23">
                  <c:v>13042680.328621499</c:v>
                </c:pt>
                <c:pt idx="24">
                  <c:v>14244590.032775272</c:v>
                </c:pt>
                <c:pt idx="25">
                  <c:v>15577349.205396034</c:v>
                </c:pt>
              </c:numCache>
            </c:numRef>
          </c:val>
          <c:extLst>
            <c:ext xmlns:c16="http://schemas.microsoft.com/office/drawing/2014/chart" uri="{C3380CC4-5D6E-409C-BE32-E72D297353CC}">
              <c16:uniqueId val="{00000001-138B-4B60-A002-9E713EDB890F}"/>
            </c:ext>
          </c:extLst>
        </c:ser>
        <c:dLbls>
          <c:showLegendKey val="0"/>
          <c:showVal val="0"/>
          <c:showCatName val="0"/>
          <c:showSerName val="0"/>
          <c:showPercent val="0"/>
          <c:showBubbleSize val="0"/>
        </c:dLbls>
        <c:gapWidth val="150"/>
        <c:overlap val="100"/>
        <c:axId val="1490147312"/>
        <c:axId val="1490124272"/>
      </c:barChart>
      <c:catAx>
        <c:axId val="1490147312"/>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24272"/>
        <c:crosses val="autoZero"/>
        <c:auto val="1"/>
        <c:lblAlgn val="ctr"/>
        <c:lblOffset val="100"/>
        <c:noMultiLvlLbl val="0"/>
      </c:catAx>
      <c:valAx>
        <c:axId val="1490124272"/>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473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Water Demand</a:t>
            </a:r>
            <a:r>
              <a:rPr lang="en-GB" baseline="0"/>
              <a:t> vs Available Non-municipal Water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0.14212224425946027"/>
          <c:y val="0.15130591423632983"/>
          <c:w val="0.66395084521405956"/>
          <c:h val="0.71456897972268252"/>
        </c:manualLayout>
      </c:layout>
      <c:barChart>
        <c:barDir val="col"/>
        <c:grouping val="clustered"/>
        <c:varyColors val="0"/>
        <c:ser>
          <c:idx val="0"/>
          <c:order val="0"/>
          <c:tx>
            <c:strRef>
              <c:f>Results!$D$80</c:f>
              <c:strCache>
                <c:ptCount val="1"/>
                <c:pt idx="0">
                  <c:v>Total Demand</c:v>
                </c:pt>
              </c:strCache>
            </c:strRef>
          </c:tx>
          <c:spPr>
            <a:solidFill>
              <a:schemeClr val="accent1"/>
            </a:solidFill>
            <a:ln>
              <a:noFill/>
            </a:ln>
            <a:effectLst/>
          </c:spPr>
          <c:invertIfNegative val="0"/>
          <c:cat>
            <c:numRef>
              <c:f>Results!$E$79:$AD$79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Results!$E$80:$AD$80</c:f>
              <c:numCache>
                <c:formatCode>0</c:formatCode>
                <c:ptCount val="26"/>
                <c:pt idx="0">
                  <c:v>190.00844456000004</c:v>
                </c:pt>
                <c:pt idx="1">
                  <c:v>475.55833633279997</c:v>
                </c:pt>
                <c:pt idx="2">
                  <c:v>515.65150088976202</c:v>
                </c:pt>
                <c:pt idx="3">
                  <c:v>515.65150088976202</c:v>
                </c:pt>
                <c:pt idx="4">
                  <c:v>605.80650088976211</c:v>
                </c:pt>
                <c:pt idx="5">
                  <c:v>605.80650088976211</c:v>
                </c:pt>
                <c:pt idx="6">
                  <c:v>720.13156418090125</c:v>
                </c:pt>
                <c:pt idx="7">
                  <c:v>720.13156418090125</c:v>
                </c:pt>
                <c:pt idx="8">
                  <c:v>720.13156418090125</c:v>
                </c:pt>
                <c:pt idx="9">
                  <c:v>720.13156418090125</c:v>
                </c:pt>
                <c:pt idx="10">
                  <c:v>720.13156418090125</c:v>
                </c:pt>
                <c:pt idx="11">
                  <c:v>720.13156418090125</c:v>
                </c:pt>
                <c:pt idx="12">
                  <c:v>720.13156418090125</c:v>
                </c:pt>
                <c:pt idx="13">
                  <c:v>720.13156418090125</c:v>
                </c:pt>
                <c:pt idx="14">
                  <c:v>720.13156418090125</c:v>
                </c:pt>
                <c:pt idx="15">
                  <c:v>720.13156418090125</c:v>
                </c:pt>
                <c:pt idx="16">
                  <c:v>720.13156418090125</c:v>
                </c:pt>
                <c:pt idx="17">
                  <c:v>720.13156418090125</c:v>
                </c:pt>
                <c:pt idx="18">
                  <c:v>720.13156418090125</c:v>
                </c:pt>
                <c:pt idx="19">
                  <c:v>720.13156418090125</c:v>
                </c:pt>
                <c:pt idx="20">
                  <c:v>720.13156418090125</c:v>
                </c:pt>
                <c:pt idx="21">
                  <c:v>720.13156418090125</c:v>
                </c:pt>
                <c:pt idx="22">
                  <c:v>720.13156418090125</c:v>
                </c:pt>
                <c:pt idx="23">
                  <c:v>720.13156418090125</c:v>
                </c:pt>
                <c:pt idx="24">
                  <c:v>720.13156418090125</c:v>
                </c:pt>
                <c:pt idx="25">
                  <c:v>720.13156418090125</c:v>
                </c:pt>
              </c:numCache>
            </c:numRef>
          </c:val>
          <c:extLst>
            <c:ext xmlns:c16="http://schemas.microsoft.com/office/drawing/2014/chart" uri="{C3380CC4-5D6E-409C-BE32-E72D297353CC}">
              <c16:uniqueId val="{00000000-7771-41FE-85A6-514B26257A95}"/>
            </c:ext>
          </c:extLst>
        </c:ser>
        <c:dLbls>
          <c:showLegendKey val="0"/>
          <c:showVal val="0"/>
          <c:showCatName val="0"/>
          <c:showSerName val="0"/>
          <c:showPercent val="0"/>
          <c:showBubbleSize val="0"/>
        </c:dLbls>
        <c:gapWidth val="219"/>
        <c:axId val="1136055455"/>
        <c:axId val="1136059295"/>
      </c:barChart>
      <c:lineChart>
        <c:grouping val="standard"/>
        <c:varyColors val="0"/>
        <c:ser>
          <c:idx val="1"/>
          <c:order val="1"/>
          <c:tx>
            <c:strRef>
              <c:f>Results!$D$86</c:f>
              <c:strCache>
                <c:ptCount val="1"/>
                <c:pt idx="0">
                  <c:v>Groundwater Availability</c:v>
                </c:pt>
              </c:strCache>
            </c:strRef>
          </c:tx>
          <c:spPr>
            <a:ln w="28575" cap="rnd">
              <a:solidFill>
                <a:schemeClr val="accent2"/>
              </a:solidFill>
              <a:round/>
            </a:ln>
            <a:effectLst/>
          </c:spPr>
          <c:marker>
            <c:symbol val="none"/>
          </c:marker>
          <c:cat>
            <c:numRef>
              <c:f>Results!$E$79:$AD$79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Results!$E$86:$AD$86</c:f>
              <c:numCache>
                <c:formatCode>0</c:formatCode>
                <c:ptCount val="26"/>
                <c:pt idx="0">
                  <c:v>376.68</c:v>
                </c:pt>
                <c:pt idx="1">
                  <c:v>753.36</c:v>
                </c:pt>
                <c:pt idx="2">
                  <c:v>753.36</c:v>
                </c:pt>
                <c:pt idx="3">
                  <c:v>753.36</c:v>
                </c:pt>
                <c:pt idx="4">
                  <c:v>753.36</c:v>
                </c:pt>
                <c:pt idx="5">
                  <c:v>753.36</c:v>
                </c:pt>
                <c:pt idx="6">
                  <c:v>753.36</c:v>
                </c:pt>
                <c:pt idx="7">
                  <c:v>753.36</c:v>
                </c:pt>
                <c:pt idx="8">
                  <c:v>753.36</c:v>
                </c:pt>
                <c:pt idx="9">
                  <c:v>753.36</c:v>
                </c:pt>
                <c:pt idx="10">
                  <c:v>753.36</c:v>
                </c:pt>
                <c:pt idx="11">
                  <c:v>753.36</c:v>
                </c:pt>
                <c:pt idx="12">
                  <c:v>753.36</c:v>
                </c:pt>
                <c:pt idx="13">
                  <c:v>753.36</c:v>
                </c:pt>
                <c:pt idx="14">
                  <c:v>753.36</c:v>
                </c:pt>
                <c:pt idx="15">
                  <c:v>753.36</c:v>
                </c:pt>
                <c:pt idx="16">
                  <c:v>753.36</c:v>
                </c:pt>
                <c:pt idx="17">
                  <c:v>753.36</c:v>
                </c:pt>
                <c:pt idx="18">
                  <c:v>753.36</c:v>
                </c:pt>
                <c:pt idx="19">
                  <c:v>753.36</c:v>
                </c:pt>
                <c:pt idx="20">
                  <c:v>753.36</c:v>
                </c:pt>
                <c:pt idx="21">
                  <c:v>753.36</c:v>
                </c:pt>
                <c:pt idx="22">
                  <c:v>753.36</c:v>
                </c:pt>
                <c:pt idx="23">
                  <c:v>753.36</c:v>
                </c:pt>
                <c:pt idx="24">
                  <c:v>753.36</c:v>
                </c:pt>
                <c:pt idx="25">
                  <c:v>753.36</c:v>
                </c:pt>
              </c:numCache>
            </c:numRef>
          </c:val>
          <c:smooth val="0"/>
          <c:extLst>
            <c:ext xmlns:c16="http://schemas.microsoft.com/office/drawing/2014/chart" uri="{C3380CC4-5D6E-409C-BE32-E72D297353CC}">
              <c16:uniqueId val="{00000001-7771-41FE-85A6-514B26257A95}"/>
            </c:ext>
          </c:extLst>
        </c:ser>
        <c:dLbls>
          <c:showLegendKey val="0"/>
          <c:showVal val="0"/>
          <c:showCatName val="0"/>
          <c:showSerName val="0"/>
          <c:showPercent val="0"/>
          <c:showBubbleSize val="0"/>
        </c:dLbls>
        <c:marker val="1"/>
        <c:smooth val="0"/>
        <c:axId val="1136055455"/>
        <c:axId val="1136059295"/>
      </c:lineChart>
      <c:catAx>
        <c:axId val="1136055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6059295"/>
        <c:crosses val="autoZero"/>
        <c:auto val="1"/>
        <c:lblAlgn val="ctr"/>
        <c:lblOffset val="100"/>
        <c:noMultiLvlLbl val="0"/>
      </c:catAx>
      <c:valAx>
        <c:axId val="11360592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kl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6055455"/>
        <c:crosses val="autoZero"/>
        <c:crossBetween val="between"/>
      </c:valAx>
      <c:spPr>
        <a:noFill/>
        <a:ln>
          <a:noFill/>
        </a:ln>
        <a:effectLst/>
      </c:spPr>
    </c:plotArea>
    <c:legend>
      <c:legendPos val="r"/>
      <c:layout>
        <c:manualLayout>
          <c:xMode val="edge"/>
          <c:yMode val="edge"/>
          <c:x val="0.81957290267954497"/>
          <c:y val="0.48437531619567498"/>
          <c:w val="0.16698004877996273"/>
          <c:h val="0.276382082261145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OPEX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BaU</c:v>
          </c:tx>
          <c:spPr>
            <a:solidFill>
              <a:schemeClr val="accent1"/>
            </a:solidFill>
            <a:ln>
              <a:noFill/>
            </a:ln>
            <a:effectLst/>
          </c:spPr>
          <c:invertIfNegative val="0"/>
          <c:cat>
            <c:strRef>
              <c:f>Results!$D$70:$D$74</c:f>
              <c:strCache>
                <c:ptCount val="5"/>
                <c:pt idx="0">
                  <c:v>2025-2030</c:v>
                </c:pt>
                <c:pt idx="1">
                  <c:v>2031-2035</c:v>
                </c:pt>
                <c:pt idx="2">
                  <c:v>2036-2040</c:v>
                </c:pt>
                <c:pt idx="3">
                  <c:v>2041-2045</c:v>
                </c:pt>
                <c:pt idx="4">
                  <c:v>2046-2050</c:v>
                </c:pt>
              </c:strCache>
            </c:strRef>
          </c:cat>
          <c:val>
            <c:numRef>
              <c:f>Results!$F$65:$J$65</c:f>
              <c:numCache>
                <c:formatCode>0.00</c:formatCode>
                <c:ptCount val="5"/>
                <c:pt idx="0">
                  <c:v>34.524202969053242</c:v>
                </c:pt>
                <c:pt idx="1">
                  <c:v>55.206970489180982</c:v>
                </c:pt>
                <c:pt idx="2">
                  <c:v>79.460914269699316</c:v>
                </c:pt>
                <c:pt idx="3">
                  <c:v>115.06726839435794</c:v>
                </c:pt>
                <c:pt idx="4">
                  <c:v>167.64243669306342</c:v>
                </c:pt>
              </c:numCache>
            </c:numRef>
          </c:val>
          <c:extLst>
            <c:ext xmlns:c16="http://schemas.microsoft.com/office/drawing/2014/chart" uri="{C3380CC4-5D6E-409C-BE32-E72D297353CC}">
              <c16:uniqueId val="{00000000-D61B-4140-BCD4-EF997DFBAA8F}"/>
            </c:ext>
          </c:extLst>
        </c:ser>
        <c:ser>
          <c:idx val="1"/>
          <c:order val="1"/>
          <c:tx>
            <c:v>Strategic</c:v>
          </c:tx>
          <c:spPr>
            <a:solidFill>
              <a:schemeClr val="accent2"/>
            </a:solidFill>
            <a:ln>
              <a:noFill/>
            </a:ln>
            <a:effectLst/>
          </c:spPr>
          <c:invertIfNegative val="0"/>
          <c:cat>
            <c:strRef>
              <c:f>Results!$D$70:$D$74</c:f>
              <c:strCache>
                <c:ptCount val="5"/>
                <c:pt idx="0">
                  <c:v>2025-2030</c:v>
                </c:pt>
                <c:pt idx="1">
                  <c:v>2031-2035</c:v>
                </c:pt>
                <c:pt idx="2">
                  <c:v>2036-2040</c:v>
                </c:pt>
                <c:pt idx="3">
                  <c:v>2041-2045</c:v>
                </c:pt>
                <c:pt idx="4">
                  <c:v>2046-2050</c:v>
                </c:pt>
              </c:strCache>
            </c:strRef>
          </c:cat>
          <c:val>
            <c:numRef>
              <c:f>Results!$L$65:$P$65</c:f>
              <c:numCache>
                <c:formatCode>0.00</c:formatCode>
                <c:ptCount val="5"/>
                <c:pt idx="0">
                  <c:v>33.455386075616055</c:v>
                </c:pt>
                <c:pt idx="1">
                  <c:v>50.527282434171795</c:v>
                </c:pt>
                <c:pt idx="2">
                  <c:v>64.467794290812961</c:v>
                </c:pt>
                <c:pt idx="3">
                  <c:v>97.658526661709132</c:v>
                </c:pt>
                <c:pt idx="4">
                  <c:v>148.4880046504019</c:v>
                </c:pt>
              </c:numCache>
            </c:numRef>
          </c:val>
          <c:extLst>
            <c:ext xmlns:c16="http://schemas.microsoft.com/office/drawing/2014/chart" uri="{C3380CC4-5D6E-409C-BE32-E72D297353CC}">
              <c16:uniqueId val="{00000001-D61B-4140-BCD4-EF997DFBAA8F}"/>
            </c:ext>
          </c:extLst>
        </c:ser>
        <c:dLbls>
          <c:showLegendKey val="0"/>
          <c:showVal val="0"/>
          <c:showCatName val="0"/>
          <c:showSerName val="0"/>
          <c:showPercent val="0"/>
          <c:showBubbleSize val="0"/>
        </c:dLbls>
        <c:gapWidth val="219"/>
        <c:overlap val="-27"/>
        <c:axId val="2140154608"/>
        <c:axId val="2140161808"/>
      </c:barChart>
      <c:catAx>
        <c:axId val="2140154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161808"/>
        <c:crosses val="autoZero"/>
        <c:auto val="1"/>
        <c:lblAlgn val="ctr"/>
        <c:lblOffset val="100"/>
        <c:noMultiLvlLbl val="0"/>
      </c:catAx>
      <c:valAx>
        <c:axId val="2140161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R/kl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154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Risk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BaU</c:v>
          </c:tx>
          <c:spPr>
            <a:solidFill>
              <a:schemeClr val="accent1"/>
            </a:solidFill>
            <a:ln>
              <a:noFill/>
            </a:ln>
            <a:effectLst/>
          </c:spPr>
          <c:invertIfNegative val="0"/>
          <c:cat>
            <c:strRef>
              <c:f>Results!$D$70:$D$74</c:f>
              <c:strCache>
                <c:ptCount val="5"/>
                <c:pt idx="0">
                  <c:v>2025-2030</c:v>
                </c:pt>
                <c:pt idx="1">
                  <c:v>2031-2035</c:v>
                </c:pt>
                <c:pt idx="2">
                  <c:v>2036-2040</c:v>
                </c:pt>
                <c:pt idx="3">
                  <c:v>2041-2045</c:v>
                </c:pt>
                <c:pt idx="4">
                  <c:v>2046-2050</c:v>
                </c:pt>
              </c:strCache>
            </c:strRef>
          </c:cat>
          <c:val>
            <c:numRef>
              <c:f>Results!$F$66:$J$66</c:f>
              <c:numCache>
                <c:formatCode>_(* #,##0.00_);_(* \(#,##0.00\);_(* "-"??_);_(@_)</c:formatCode>
                <c:ptCount val="5"/>
                <c:pt idx="0">
                  <c:v>31.224369178481417</c:v>
                </c:pt>
                <c:pt idx="1">
                  <c:v>142.53574920529857</c:v>
                </c:pt>
                <c:pt idx="2">
                  <c:v>192.61552541902182</c:v>
                </c:pt>
                <c:pt idx="3">
                  <c:v>260.97671931728081</c:v>
                </c:pt>
                <c:pt idx="4">
                  <c:v>354.08834140952121</c:v>
                </c:pt>
              </c:numCache>
            </c:numRef>
          </c:val>
          <c:extLst>
            <c:ext xmlns:c16="http://schemas.microsoft.com/office/drawing/2014/chart" uri="{C3380CC4-5D6E-409C-BE32-E72D297353CC}">
              <c16:uniqueId val="{00000000-DD91-477F-993F-EE0D73BD1043}"/>
            </c:ext>
          </c:extLst>
        </c:ser>
        <c:ser>
          <c:idx val="1"/>
          <c:order val="1"/>
          <c:tx>
            <c:v>Strategic</c:v>
          </c:tx>
          <c:spPr>
            <a:solidFill>
              <a:schemeClr val="accent2"/>
            </a:solidFill>
            <a:ln>
              <a:noFill/>
            </a:ln>
            <a:effectLst/>
          </c:spPr>
          <c:invertIfNegative val="0"/>
          <c:cat>
            <c:strRef>
              <c:f>Results!$D$70:$D$74</c:f>
              <c:strCache>
                <c:ptCount val="5"/>
                <c:pt idx="0">
                  <c:v>2025-2030</c:v>
                </c:pt>
                <c:pt idx="1">
                  <c:v>2031-2035</c:v>
                </c:pt>
                <c:pt idx="2">
                  <c:v>2036-2040</c:v>
                </c:pt>
                <c:pt idx="3">
                  <c:v>2041-2045</c:v>
                </c:pt>
                <c:pt idx="4">
                  <c:v>2046-2050</c:v>
                </c:pt>
              </c:strCache>
            </c:strRef>
          </c:cat>
          <c:val>
            <c:numRef>
              <c:f>Results!$L$66:$P$66</c:f>
              <c:numCache>
                <c:formatCode>_(* #,##0.00_);_(* \(#,##0.00\);_(* "-"??_);_(@_)</c:formatCode>
                <c:ptCount val="5"/>
                <c:pt idx="0">
                  <c:v>31.224369178481417</c:v>
                </c:pt>
                <c:pt idx="1">
                  <c:v>5.6285657386680068</c:v>
                </c:pt>
                <c:pt idx="2">
                  <c:v>6.7642624258819239</c:v>
                </c:pt>
                <c:pt idx="3">
                  <c:v>10.583709088963147</c:v>
                </c:pt>
                <c:pt idx="4">
                  <c:v>16.555521296635764</c:v>
                </c:pt>
              </c:numCache>
            </c:numRef>
          </c:val>
          <c:extLst>
            <c:ext xmlns:c16="http://schemas.microsoft.com/office/drawing/2014/chart" uri="{C3380CC4-5D6E-409C-BE32-E72D297353CC}">
              <c16:uniqueId val="{00000001-DD91-477F-993F-EE0D73BD1043}"/>
            </c:ext>
          </c:extLst>
        </c:ser>
        <c:dLbls>
          <c:showLegendKey val="0"/>
          <c:showVal val="0"/>
          <c:showCatName val="0"/>
          <c:showSerName val="0"/>
          <c:showPercent val="0"/>
          <c:showBubbleSize val="0"/>
        </c:dLbls>
        <c:gapWidth val="219"/>
        <c:overlap val="-27"/>
        <c:axId val="2140154608"/>
        <c:axId val="2140161808"/>
      </c:barChart>
      <c:catAx>
        <c:axId val="2140154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161808"/>
        <c:crosses val="autoZero"/>
        <c:auto val="1"/>
        <c:lblAlgn val="ctr"/>
        <c:lblOffset val="100"/>
        <c:noMultiLvlLbl val="0"/>
      </c:catAx>
      <c:valAx>
        <c:axId val="2140161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R/kl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154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SCENARIO</a:t>
            </a:r>
            <a:r>
              <a:rPr lang="en-GB" b="1" baseline="0"/>
              <a:t> 1</a:t>
            </a:r>
            <a:endParaRPr lang="en-GB"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barChart>
        <c:barDir val="col"/>
        <c:grouping val="stacked"/>
        <c:varyColors val="0"/>
        <c:ser>
          <c:idx val="2"/>
          <c:order val="2"/>
          <c:tx>
            <c:strRef>
              <c:f>Scenarios!$A$6</c:f>
              <c:strCache>
                <c:ptCount val="1"/>
                <c:pt idx="0">
                  <c:v>Groundwater Consumption</c:v>
                </c:pt>
              </c:strCache>
            </c:strRef>
          </c:tx>
          <c:spPr>
            <a:solidFill>
              <a:schemeClr val="accent3"/>
            </a:solidFill>
            <a:ln>
              <a:noFill/>
            </a:ln>
            <a:effectLst/>
          </c:spPr>
          <c:invertIfNegative val="0"/>
          <c:cat>
            <c:numRef>
              <c:f>Scenarios!$B$3:$AA$3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Scenarios!$B$6:$AA$6</c:f>
              <c:numCache>
                <c:formatCode>0</c:formatCode>
                <c:ptCount val="26"/>
                <c:pt idx="0">
                  <c:v>156.17132429589043</c:v>
                </c:pt>
                <c:pt idx="1">
                  <c:v>651.44977579835609</c:v>
                </c:pt>
                <c:pt idx="2">
                  <c:v>877.19999999999993</c:v>
                </c:pt>
                <c:pt idx="3">
                  <c:v>874.80327868852453</c:v>
                </c:pt>
                <c:pt idx="4">
                  <c:v>877.19999999999993</c:v>
                </c:pt>
                <c:pt idx="5">
                  <c:v>877.19999999999993</c:v>
                </c:pt>
                <c:pt idx="6">
                  <c:v>877.19999999999993</c:v>
                </c:pt>
                <c:pt idx="7">
                  <c:v>874.80327868852453</c:v>
                </c:pt>
                <c:pt idx="8">
                  <c:v>877.19999999999993</c:v>
                </c:pt>
                <c:pt idx="9">
                  <c:v>877.19999999999993</c:v>
                </c:pt>
                <c:pt idx="10">
                  <c:v>877.19999999999993</c:v>
                </c:pt>
                <c:pt idx="11">
                  <c:v>874.80327868852453</c:v>
                </c:pt>
                <c:pt idx="12">
                  <c:v>877.19999999999993</c:v>
                </c:pt>
                <c:pt idx="13">
                  <c:v>877.19999999999993</c:v>
                </c:pt>
                <c:pt idx="14">
                  <c:v>877.19999999999993</c:v>
                </c:pt>
                <c:pt idx="15">
                  <c:v>874.80327868852453</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2-3FD6-4226-A6FF-15D08B6ED889}"/>
            </c:ext>
          </c:extLst>
        </c:ser>
        <c:ser>
          <c:idx val="1"/>
          <c:order val="3"/>
          <c:tx>
            <c:strRef>
              <c:f>Scenarios!$A$5</c:f>
              <c:strCache>
                <c:ptCount val="1"/>
                <c:pt idx="0">
                  <c:v>Municipal Consumption</c:v>
                </c:pt>
              </c:strCache>
            </c:strRef>
          </c:tx>
          <c:spPr>
            <a:solidFill>
              <a:schemeClr val="accent4"/>
            </a:solidFill>
            <a:ln>
              <a:noFill/>
            </a:ln>
            <a:effectLst/>
          </c:spPr>
          <c:invertIfNegative val="0"/>
          <c:cat>
            <c:numRef>
              <c:f>Scenarios!$B$3:$AA$3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Scenarios!$B$5:$AA$5</c:f>
              <c:numCache>
                <c:formatCode>0</c:formatCode>
                <c:ptCount val="26"/>
                <c:pt idx="0">
                  <c:v>364.39975669041098</c:v>
                </c:pt>
                <c:pt idx="1">
                  <c:v>651.44977579835609</c:v>
                </c:pt>
                <c:pt idx="2">
                  <c:v>535.54383805414284</c:v>
                </c:pt>
                <c:pt idx="3">
                  <c:v>537.94055936561824</c:v>
                </c:pt>
                <c:pt idx="4">
                  <c:v>782.54383805414284</c:v>
                </c:pt>
                <c:pt idx="5">
                  <c:v>782.54383805414284</c:v>
                </c:pt>
                <c:pt idx="6">
                  <c:v>1095.7631895367158</c:v>
                </c:pt>
                <c:pt idx="7">
                  <c:v>1098.1599108481914</c:v>
                </c:pt>
                <c:pt idx="8">
                  <c:v>1095.7631895367158</c:v>
                </c:pt>
                <c:pt idx="9">
                  <c:v>1095.7631895367158</c:v>
                </c:pt>
                <c:pt idx="10">
                  <c:v>1095.7631895367158</c:v>
                </c:pt>
                <c:pt idx="11">
                  <c:v>1098.1599108481914</c:v>
                </c:pt>
                <c:pt idx="12">
                  <c:v>1095.7631895367158</c:v>
                </c:pt>
                <c:pt idx="13">
                  <c:v>1095.7631895367158</c:v>
                </c:pt>
                <c:pt idx="14">
                  <c:v>1095.7631895367158</c:v>
                </c:pt>
                <c:pt idx="15">
                  <c:v>1098.1599108481914</c:v>
                </c:pt>
                <c:pt idx="16">
                  <c:v>1972.9631895367158</c:v>
                </c:pt>
                <c:pt idx="17">
                  <c:v>1972.9631895367158</c:v>
                </c:pt>
                <c:pt idx="18">
                  <c:v>1972.9631895367158</c:v>
                </c:pt>
                <c:pt idx="19">
                  <c:v>1972.9631895367158</c:v>
                </c:pt>
                <c:pt idx="20">
                  <c:v>1972.9631895367158</c:v>
                </c:pt>
                <c:pt idx="21">
                  <c:v>1972.9631895367158</c:v>
                </c:pt>
                <c:pt idx="22">
                  <c:v>1972.9631895367158</c:v>
                </c:pt>
                <c:pt idx="23">
                  <c:v>1972.9631895367158</c:v>
                </c:pt>
                <c:pt idx="24">
                  <c:v>1972.9631895367158</c:v>
                </c:pt>
                <c:pt idx="25">
                  <c:v>1972.9631895367158</c:v>
                </c:pt>
              </c:numCache>
            </c:numRef>
          </c:val>
          <c:extLst>
            <c:ext xmlns:c16="http://schemas.microsoft.com/office/drawing/2014/chart" uri="{C3380CC4-5D6E-409C-BE32-E72D297353CC}">
              <c16:uniqueId val="{00000001-3FD6-4226-A6FF-15D08B6ED889}"/>
            </c:ext>
          </c:extLst>
        </c:ser>
        <c:dLbls>
          <c:showLegendKey val="0"/>
          <c:showVal val="0"/>
          <c:showCatName val="0"/>
          <c:showSerName val="0"/>
          <c:showPercent val="0"/>
          <c:showBubbleSize val="0"/>
        </c:dLbls>
        <c:gapWidth val="150"/>
        <c:overlap val="100"/>
        <c:axId val="853545952"/>
        <c:axId val="853547872"/>
      </c:barChart>
      <c:lineChart>
        <c:grouping val="standard"/>
        <c:varyColors val="0"/>
        <c:ser>
          <c:idx val="0"/>
          <c:order val="0"/>
          <c:tx>
            <c:strRef>
              <c:f>Scenarios!$A$4</c:f>
              <c:strCache>
                <c:ptCount val="1"/>
                <c:pt idx="0">
                  <c:v>Total Demand</c:v>
                </c:pt>
              </c:strCache>
            </c:strRef>
          </c:tx>
          <c:spPr>
            <a:ln w="28575" cap="rnd">
              <a:solidFill>
                <a:schemeClr val="accent1"/>
              </a:solidFill>
              <a:round/>
            </a:ln>
            <a:effectLst/>
          </c:spPr>
          <c:marker>
            <c:symbol val="none"/>
          </c:marker>
          <c:cat>
            <c:numRef>
              <c:f>Scenarios!$B$3:$AA$3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Scenarios!$B$4:$AA$4</c:f>
              <c:numCache>
                <c:formatCode>0</c:formatCode>
                <c:ptCount val="26"/>
                <c:pt idx="0">
                  <c:v>520.57108098630147</c:v>
                </c:pt>
                <c:pt idx="1">
                  <c:v>1302.8995515967122</c:v>
                </c:pt>
                <c:pt idx="2">
                  <c:v>1412.7438380541428</c:v>
                </c:pt>
                <c:pt idx="3">
                  <c:v>1412.7438380541428</c:v>
                </c:pt>
                <c:pt idx="4">
                  <c:v>1659.7438380541428</c:v>
                </c:pt>
                <c:pt idx="5">
                  <c:v>1659.7438380541428</c:v>
                </c:pt>
                <c:pt idx="6">
                  <c:v>1972.9631895367158</c:v>
                </c:pt>
                <c:pt idx="7">
                  <c:v>1972.9631895367158</c:v>
                </c:pt>
                <c:pt idx="8">
                  <c:v>1972.9631895367158</c:v>
                </c:pt>
                <c:pt idx="9">
                  <c:v>1972.9631895367158</c:v>
                </c:pt>
                <c:pt idx="10">
                  <c:v>1972.9631895367158</c:v>
                </c:pt>
                <c:pt idx="11">
                  <c:v>1972.9631895367158</c:v>
                </c:pt>
                <c:pt idx="12">
                  <c:v>1972.9631895367158</c:v>
                </c:pt>
                <c:pt idx="13">
                  <c:v>1972.9631895367158</c:v>
                </c:pt>
                <c:pt idx="14">
                  <c:v>1972.9631895367158</c:v>
                </c:pt>
                <c:pt idx="15">
                  <c:v>1972.9631895367158</c:v>
                </c:pt>
                <c:pt idx="16">
                  <c:v>1972.9631895367158</c:v>
                </c:pt>
                <c:pt idx="17">
                  <c:v>1972.9631895367158</c:v>
                </c:pt>
                <c:pt idx="18">
                  <c:v>1972.9631895367158</c:v>
                </c:pt>
                <c:pt idx="19">
                  <c:v>1972.9631895367158</c:v>
                </c:pt>
                <c:pt idx="20">
                  <c:v>1972.9631895367158</c:v>
                </c:pt>
                <c:pt idx="21">
                  <c:v>1972.9631895367158</c:v>
                </c:pt>
                <c:pt idx="22">
                  <c:v>1972.9631895367158</c:v>
                </c:pt>
                <c:pt idx="23">
                  <c:v>1972.9631895367158</c:v>
                </c:pt>
                <c:pt idx="24">
                  <c:v>1972.9631895367158</c:v>
                </c:pt>
                <c:pt idx="25">
                  <c:v>1972.9631895367158</c:v>
                </c:pt>
              </c:numCache>
            </c:numRef>
          </c:val>
          <c:smooth val="0"/>
          <c:extLst>
            <c:ext xmlns:c16="http://schemas.microsoft.com/office/drawing/2014/chart" uri="{C3380CC4-5D6E-409C-BE32-E72D297353CC}">
              <c16:uniqueId val="{00000000-3FD6-4226-A6FF-15D08B6ED889}"/>
            </c:ext>
          </c:extLst>
        </c:ser>
        <c:ser>
          <c:idx val="3"/>
          <c:order val="1"/>
          <c:tx>
            <c:strRef>
              <c:f>Scenarios!$A$8</c:f>
              <c:strCache>
                <c:ptCount val="1"/>
                <c:pt idx="0">
                  <c:v>Max Groundwater Consumption</c:v>
                </c:pt>
              </c:strCache>
            </c:strRef>
          </c:tx>
          <c:spPr>
            <a:ln w="28575" cap="rnd">
              <a:solidFill>
                <a:schemeClr val="accent2"/>
              </a:solidFill>
              <a:round/>
            </a:ln>
            <a:effectLst/>
          </c:spPr>
          <c:marker>
            <c:symbol val="none"/>
          </c:marker>
          <c:cat>
            <c:numRef>
              <c:f>Scenarios!$B$3:$AA$3</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Scenarios!$B$8:$AA$8</c:f>
              <c:numCache>
                <c:formatCode>0</c:formatCode>
                <c:ptCount val="26"/>
                <c:pt idx="0">
                  <c:v>877.19999999999993</c:v>
                </c:pt>
                <c:pt idx="1">
                  <c:v>877.19999999999993</c:v>
                </c:pt>
                <c:pt idx="2">
                  <c:v>877.19999999999993</c:v>
                </c:pt>
                <c:pt idx="3">
                  <c:v>874.80327868852453</c:v>
                </c:pt>
                <c:pt idx="4">
                  <c:v>877.19999999999993</c:v>
                </c:pt>
                <c:pt idx="5">
                  <c:v>877.19999999999993</c:v>
                </c:pt>
                <c:pt idx="6">
                  <c:v>877.19999999999993</c:v>
                </c:pt>
                <c:pt idx="7">
                  <c:v>874.80327868852453</c:v>
                </c:pt>
                <c:pt idx="8">
                  <c:v>877.19999999999993</c:v>
                </c:pt>
                <c:pt idx="9">
                  <c:v>877.19999999999993</c:v>
                </c:pt>
                <c:pt idx="10">
                  <c:v>877.19999999999993</c:v>
                </c:pt>
                <c:pt idx="11">
                  <c:v>874.80327868852453</c:v>
                </c:pt>
                <c:pt idx="12">
                  <c:v>877.19999999999993</c:v>
                </c:pt>
                <c:pt idx="13">
                  <c:v>877.19999999999993</c:v>
                </c:pt>
                <c:pt idx="14">
                  <c:v>877.19999999999993</c:v>
                </c:pt>
                <c:pt idx="15">
                  <c:v>874.80327868852453</c:v>
                </c:pt>
                <c:pt idx="16">
                  <c:v>0</c:v>
                </c:pt>
                <c:pt idx="17">
                  <c:v>0</c:v>
                </c:pt>
                <c:pt idx="18">
                  <c:v>0</c:v>
                </c:pt>
                <c:pt idx="19">
                  <c:v>0</c:v>
                </c:pt>
                <c:pt idx="20">
                  <c:v>0</c:v>
                </c:pt>
                <c:pt idx="21">
                  <c:v>0</c:v>
                </c:pt>
                <c:pt idx="22">
                  <c:v>0</c:v>
                </c:pt>
                <c:pt idx="23">
                  <c:v>0</c:v>
                </c:pt>
                <c:pt idx="24">
                  <c:v>0</c:v>
                </c:pt>
                <c:pt idx="25">
                  <c:v>0</c:v>
                </c:pt>
              </c:numCache>
            </c:numRef>
          </c:val>
          <c:smooth val="0"/>
          <c:extLst>
            <c:ext xmlns:c16="http://schemas.microsoft.com/office/drawing/2014/chart" uri="{C3380CC4-5D6E-409C-BE32-E72D297353CC}">
              <c16:uniqueId val="{00000003-3FD6-4226-A6FF-15D08B6ED889}"/>
            </c:ext>
          </c:extLst>
        </c:ser>
        <c:dLbls>
          <c:showLegendKey val="0"/>
          <c:showVal val="0"/>
          <c:showCatName val="0"/>
          <c:showSerName val="0"/>
          <c:showPercent val="0"/>
          <c:showBubbleSize val="0"/>
        </c:dLbls>
        <c:marker val="1"/>
        <c:smooth val="0"/>
        <c:axId val="853545952"/>
        <c:axId val="853547872"/>
      </c:lineChart>
      <c:catAx>
        <c:axId val="853545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547872"/>
        <c:crosses val="autoZero"/>
        <c:auto val="1"/>
        <c:lblAlgn val="ctr"/>
        <c:lblOffset val="100"/>
        <c:noMultiLvlLbl val="0"/>
      </c:catAx>
      <c:valAx>
        <c:axId val="853547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Water Volume (kl/d)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5459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SCENARIO 2</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2"/>
          <c:order val="2"/>
          <c:tx>
            <c:strRef>
              <c:f>Scenarios!$A$14</c:f>
              <c:strCache>
                <c:ptCount val="1"/>
                <c:pt idx="0">
                  <c:v>Groundwater Consumption</c:v>
                </c:pt>
              </c:strCache>
            </c:strRef>
          </c:tx>
          <c:spPr>
            <a:solidFill>
              <a:schemeClr val="accent3"/>
            </a:solidFill>
            <a:ln>
              <a:noFill/>
            </a:ln>
            <a:effectLst/>
          </c:spPr>
          <c:invertIfNegative val="0"/>
          <c:cat>
            <c:numRef>
              <c:f>Scenarios!$B$11:$AA$11</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Scenarios!$B$14:$AA$14</c:f>
              <c:numCache>
                <c:formatCode>0</c:formatCode>
                <c:ptCount val="26"/>
                <c:pt idx="0">
                  <c:v>156.17132429589043</c:v>
                </c:pt>
                <c:pt idx="1">
                  <c:v>651.44977579835609</c:v>
                </c:pt>
                <c:pt idx="2">
                  <c:v>877.19999999999993</c:v>
                </c:pt>
                <c:pt idx="3">
                  <c:v>874.80327868852453</c:v>
                </c:pt>
                <c:pt idx="4">
                  <c:v>877.19999999999993</c:v>
                </c:pt>
                <c:pt idx="5">
                  <c:v>877.19999999999993</c:v>
                </c:pt>
                <c:pt idx="6">
                  <c:v>877.19999999999993</c:v>
                </c:pt>
                <c:pt idx="7">
                  <c:v>874.80327868852453</c:v>
                </c:pt>
                <c:pt idx="8">
                  <c:v>877.19999999999993</c:v>
                </c:pt>
                <c:pt idx="9">
                  <c:v>877.19999999999993</c:v>
                </c:pt>
                <c:pt idx="10">
                  <c:v>877.19999999999993</c:v>
                </c:pt>
                <c:pt idx="11">
                  <c:v>874.80327868852453</c:v>
                </c:pt>
                <c:pt idx="12">
                  <c:v>877.19999999999993</c:v>
                </c:pt>
                <c:pt idx="13">
                  <c:v>877.19999999999993</c:v>
                </c:pt>
                <c:pt idx="14">
                  <c:v>877.19999999999993</c:v>
                </c:pt>
                <c:pt idx="15">
                  <c:v>874.80327868852453</c:v>
                </c:pt>
                <c:pt idx="16">
                  <c:v>877.19999999999993</c:v>
                </c:pt>
                <c:pt idx="17">
                  <c:v>877.19999999999993</c:v>
                </c:pt>
                <c:pt idx="18">
                  <c:v>877.19999999999993</c:v>
                </c:pt>
                <c:pt idx="19">
                  <c:v>874.80327868852453</c:v>
                </c:pt>
                <c:pt idx="20">
                  <c:v>877.19999999999993</c:v>
                </c:pt>
                <c:pt idx="21">
                  <c:v>877.19999999999993</c:v>
                </c:pt>
                <c:pt idx="22">
                  <c:v>877.19999999999993</c:v>
                </c:pt>
                <c:pt idx="23">
                  <c:v>874.80327868852453</c:v>
                </c:pt>
                <c:pt idx="24">
                  <c:v>877.19999999999993</c:v>
                </c:pt>
                <c:pt idx="25">
                  <c:v>877.19999999999993</c:v>
                </c:pt>
              </c:numCache>
            </c:numRef>
          </c:val>
          <c:extLst>
            <c:ext xmlns:c16="http://schemas.microsoft.com/office/drawing/2014/chart" uri="{C3380CC4-5D6E-409C-BE32-E72D297353CC}">
              <c16:uniqueId val="{00000003-0D35-40B6-8B2B-D6491231A3A0}"/>
            </c:ext>
          </c:extLst>
        </c:ser>
        <c:ser>
          <c:idx val="3"/>
          <c:order val="3"/>
          <c:tx>
            <c:strRef>
              <c:f>Scenarios!$A$13</c:f>
              <c:strCache>
                <c:ptCount val="1"/>
                <c:pt idx="0">
                  <c:v>Municipal Consumption</c:v>
                </c:pt>
              </c:strCache>
            </c:strRef>
          </c:tx>
          <c:spPr>
            <a:solidFill>
              <a:schemeClr val="accent4"/>
            </a:solidFill>
            <a:ln>
              <a:noFill/>
            </a:ln>
            <a:effectLst/>
          </c:spPr>
          <c:invertIfNegative val="0"/>
          <c:cat>
            <c:numRef>
              <c:f>Scenarios!$B$11:$AA$11</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Scenarios!$B$13:$AA$13</c:f>
              <c:numCache>
                <c:formatCode>0</c:formatCode>
                <c:ptCount val="26"/>
                <c:pt idx="0">
                  <c:v>364.39975669041098</c:v>
                </c:pt>
                <c:pt idx="1">
                  <c:v>651.44977579835609</c:v>
                </c:pt>
                <c:pt idx="2">
                  <c:v>535.54383805414284</c:v>
                </c:pt>
                <c:pt idx="3">
                  <c:v>537.94055936561824</c:v>
                </c:pt>
                <c:pt idx="4">
                  <c:v>782.54383805414284</c:v>
                </c:pt>
                <c:pt idx="5">
                  <c:v>782.54383805414284</c:v>
                </c:pt>
                <c:pt idx="6">
                  <c:v>1095.7631895367158</c:v>
                </c:pt>
                <c:pt idx="7">
                  <c:v>1098.1599108481914</c:v>
                </c:pt>
                <c:pt idx="8">
                  <c:v>1095.7631895367158</c:v>
                </c:pt>
                <c:pt idx="9">
                  <c:v>1095.7631895367158</c:v>
                </c:pt>
                <c:pt idx="10">
                  <c:v>1095.7631895367158</c:v>
                </c:pt>
                <c:pt idx="11">
                  <c:v>1098.1599108481914</c:v>
                </c:pt>
                <c:pt idx="12">
                  <c:v>1095.7631895367158</c:v>
                </c:pt>
                <c:pt idx="13">
                  <c:v>1095.7631895367158</c:v>
                </c:pt>
                <c:pt idx="14">
                  <c:v>1095.7631895367158</c:v>
                </c:pt>
                <c:pt idx="15">
                  <c:v>1098.1599108481914</c:v>
                </c:pt>
                <c:pt idx="16">
                  <c:v>1095.7631895367158</c:v>
                </c:pt>
                <c:pt idx="17">
                  <c:v>1095.7631895367158</c:v>
                </c:pt>
                <c:pt idx="18">
                  <c:v>1095.7631895367158</c:v>
                </c:pt>
                <c:pt idx="19">
                  <c:v>1098.1599108481914</c:v>
                </c:pt>
                <c:pt idx="20">
                  <c:v>1095.7631895367158</c:v>
                </c:pt>
                <c:pt idx="21">
                  <c:v>1095.7631895367158</c:v>
                </c:pt>
                <c:pt idx="22">
                  <c:v>1095.7631895367158</c:v>
                </c:pt>
                <c:pt idx="23">
                  <c:v>1098.1599108481914</c:v>
                </c:pt>
                <c:pt idx="24">
                  <c:v>1095.7631895367158</c:v>
                </c:pt>
                <c:pt idx="25">
                  <c:v>1095.7631895367158</c:v>
                </c:pt>
              </c:numCache>
            </c:numRef>
          </c:val>
          <c:extLst>
            <c:ext xmlns:c16="http://schemas.microsoft.com/office/drawing/2014/chart" uri="{C3380CC4-5D6E-409C-BE32-E72D297353CC}">
              <c16:uniqueId val="{00000004-0D35-40B6-8B2B-D6491231A3A0}"/>
            </c:ext>
          </c:extLst>
        </c:ser>
        <c:dLbls>
          <c:showLegendKey val="0"/>
          <c:showVal val="0"/>
          <c:showCatName val="0"/>
          <c:showSerName val="0"/>
          <c:showPercent val="0"/>
          <c:showBubbleSize val="0"/>
        </c:dLbls>
        <c:gapWidth val="219"/>
        <c:overlap val="100"/>
        <c:axId val="426349216"/>
        <c:axId val="420241584"/>
      </c:barChart>
      <c:lineChart>
        <c:grouping val="standard"/>
        <c:varyColors val="0"/>
        <c:ser>
          <c:idx val="0"/>
          <c:order val="0"/>
          <c:tx>
            <c:strRef>
              <c:f>Scenarios!$A$12</c:f>
              <c:strCache>
                <c:ptCount val="1"/>
                <c:pt idx="0">
                  <c:v>Total Demand</c:v>
                </c:pt>
              </c:strCache>
            </c:strRef>
          </c:tx>
          <c:spPr>
            <a:ln w="28575" cap="rnd">
              <a:solidFill>
                <a:schemeClr val="accent1"/>
              </a:solidFill>
              <a:round/>
            </a:ln>
            <a:effectLst/>
          </c:spPr>
          <c:marker>
            <c:symbol val="none"/>
          </c:marker>
          <c:cat>
            <c:numRef>
              <c:f>Scenarios!$B$11:$AA$11</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Scenarios!$B$12:$AA$12</c:f>
              <c:numCache>
                <c:formatCode>0</c:formatCode>
                <c:ptCount val="26"/>
                <c:pt idx="0">
                  <c:v>520.57108098630147</c:v>
                </c:pt>
                <c:pt idx="1">
                  <c:v>1302.8995515967122</c:v>
                </c:pt>
                <c:pt idx="2">
                  <c:v>1412.7438380541428</c:v>
                </c:pt>
                <c:pt idx="3">
                  <c:v>1412.7438380541428</c:v>
                </c:pt>
                <c:pt idx="4">
                  <c:v>1659.7438380541428</c:v>
                </c:pt>
                <c:pt idx="5">
                  <c:v>1659.7438380541428</c:v>
                </c:pt>
                <c:pt idx="6">
                  <c:v>1972.9631895367158</c:v>
                </c:pt>
                <c:pt idx="7">
                  <c:v>1972.9631895367158</c:v>
                </c:pt>
                <c:pt idx="8">
                  <c:v>1972.9631895367158</c:v>
                </c:pt>
                <c:pt idx="9">
                  <c:v>1972.9631895367158</c:v>
                </c:pt>
                <c:pt idx="10">
                  <c:v>1972.9631895367158</c:v>
                </c:pt>
                <c:pt idx="11">
                  <c:v>1972.9631895367158</c:v>
                </c:pt>
                <c:pt idx="12">
                  <c:v>1972.9631895367158</c:v>
                </c:pt>
                <c:pt idx="13">
                  <c:v>1972.9631895367158</c:v>
                </c:pt>
                <c:pt idx="14">
                  <c:v>1972.9631895367158</c:v>
                </c:pt>
                <c:pt idx="15">
                  <c:v>1972.9631895367158</c:v>
                </c:pt>
                <c:pt idx="16">
                  <c:v>1972.9631895367158</c:v>
                </c:pt>
                <c:pt idx="17">
                  <c:v>1972.9631895367158</c:v>
                </c:pt>
                <c:pt idx="18">
                  <c:v>1972.9631895367158</c:v>
                </c:pt>
                <c:pt idx="19">
                  <c:v>1972.9631895367158</c:v>
                </c:pt>
                <c:pt idx="20">
                  <c:v>1972.9631895367158</c:v>
                </c:pt>
                <c:pt idx="21">
                  <c:v>1972.9631895367158</c:v>
                </c:pt>
                <c:pt idx="22">
                  <c:v>1972.9631895367158</c:v>
                </c:pt>
                <c:pt idx="23">
                  <c:v>1972.9631895367158</c:v>
                </c:pt>
                <c:pt idx="24">
                  <c:v>1972.9631895367158</c:v>
                </c:pt>
                <c:pt idx="25">
                  <c:v>1972.9631895367158</c:v>
                </c:pt>
              </c:numCache>
            </c:numRef>
          </c:val>
          <c:smooth val="0"/>
          <c:extLst>
            <c:ext xmlns:c16="http://schemas.microsoft.com/office/drawing/2014/chart" uri="{C3380CC4-5D6E-409C-BE32-E72D297353CC}">
              <c16:uniqueId val="{00000001-0D35-40B6-8B2B-D6491231A3A0}"/>
            </c:ext>
          </c:extLst>
        </c:ser>
        <c:ser>
          <c:idx val="1"/>
          <c:order val="1"/>
          <c:tx>
            <c:strRef>
              <c:f>Scenarios!$A$16</c:f>
              <c:strCache>
                <c:ptCount val="1"/>
                <c:pt idx="0">
                  <c:v>Max Groundwater Consumption</c:v>
                </c:pt>
              </c:strCache>
            </c:strRef>
          </c:tx>
          <c:spPr>
            <a:ln w="28575" cap="rnd">
              <a:solidFill>
                <a:schemeClr val="accent2"/>
              </a:solidFill>
              <a:round/>
            </a:ln>
            <a:effectLst/>
          </c:spPr>
          <c:marker>
            <c:symbol val="none"/>
          </c:marker>
          <c:cat>
            <c:numRef>
              <c:f>Scenarios!$B$11:$AA$11</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Scenarios!$B$16:$AA$16</c:f>
              <c:numCache>
                <c:formatCode>0</c:formatCode>
                <c:ptCount val="26"/>
                <c:pt idx="0">
                  <c:v>877.19999999999993</c:v>
                </c:pt>
                <c:pt idx="1">
                  <c:v>877.19999999999993</c:v>
                </c:pt>
                <c:pt idx="2">
                  <c:v>877.19999999999993</c:v>
                </c:pt>
                <c:pt idx="3">
                  <c:v>874.80327868852453</c:v>
                </c:pt>
                <c:pt idx="4">
                  <c:v>877.19999999999993</c:v>
                </c:pt>
                <c:pt idx="5">
                  <c:v>877.19999999999993</c:v>
                </c:pt>
                <c:pt idx="6">
                  <c:v>877.19999999999993</c:v>
                </c:pt>
                <c:pt idx="7">
                  <c:v>874.80327868852453</c:v>
                </c:pt>
                <c:pt idx="8">
                  <c:v>877.19999999999993</c:v>
                </c:pt>
                <c:pt idx="9">
                  <c:v>877.19999999999993</c:v>
                </c:pt>
                <c:pt idx="10">
                  <c:v>877.19999999999993</c:v>
                </c:pt>
                <c:pt idx="11">
                  <c:v>874.80327868852453</c:v>
                </c:pt>
                <c:pt idx="12">
                  <c:v>877.19999999999993</c:v>
                </c:pt>
                <c:pt idx="13">
                  <c:v>877.19999999999993</c:v>
                </c:pt>
                <c:pt idx="14">
                  <c:v>877.19999999999993</c:v>
                </c:pt>
                <c:pt idx="15">
                  <c:v>874.80327868852453</c:v>
                </c:pt>
                <c:pt idx="16">
                  <c:v>877.19999999999993</c:v>
                </c:pt>
                <c:pt idx="17">
                  <c:v>877.19999999999993</c:v>
                </c:pt>
                <c:pt idx="18">
                  <c:v>877.19999999999993</c:v>
                </c:pt>
                <c:pt idx="19">
                  <c:v>874.80327868852453</c:v>
                </c:pt>
                <c:pt idx="20">
                  <c:v>877.19999999999993</c:v>
                </c:pt>
                <c:pt idx="21">
                  <c:v>877.19999999999993</c:v>
                </c:pt>
                <c:pt idx="22">
                  <c:v>877.19999999999993</c:v>
                </c:pt>
                <c:pt idx="23">
                  <c:v>874.80327868852453</c:v>
                </c:pt>
                <c:pt idx="24">
                  <c:v>877.19999999999993</c:v>
                </c:pt>
                <c:pt idx="25">
                  <c:v>877.19999999999993</c:v>
                </c:pt>
              </c:numCache>
            </c:numRef>
          </c:val>
          <c:smooth val="0"/>
          <c:extLst>
            <c:ext xmlns:c16="http://schemas.microsoft.com/office/drawing/2014/chart" uri="{C3380CC4-5D6E-409C-BE32-E72D297353CC}">
              <c16:uniqueId val="{00000002-0D35-40B6-8B2B-D6491231A3A0}"/>
            </c:ext>
          </c:extLst>
        </c:ser>
        <c:dLbls>
          <c:showLegendKey val="0"/>
          <c:showVal val="0"/>
          <c:showCatName val="0"/>
          <c:showSerName val="0"/>
          <c:showPercent val="0"/>
          <c:showBubbleSize val="0"/>
        </c:dLbls>
        <c:marker val="1"/>
        <c:smooth val="0"/>
        <c:axId val="426349216"/>
        <c:axId val="420241584"/>
      </c:lineChart>
      <c:catAx>
        <c:axId val="426349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241584"/>
        <c:crosses val="autoZero"/>
        <c:auto val="1"/>
        <c:lblAlgn val="ctr"/>
        <c:lblOffset val="100"/>
        <c:noMultiLvlLbl val="0"/>
      </c:catAx>
      <c:valAx>
        <c:axId val="420241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Water</a:t>
                </a:r>
                <a:r>
                  <a:rPr lang="en-GB" baseline="0"/>
                  <a:t> Volume (kl/d)</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349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SCENARIO 3</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2"/>
          <c:order val="2"/>
          <c:tx>
            <c:strRef>
              <c:f>Scenarios!$A$22</c:f>
              <c:strCache>
                <c:ptCount val="1"/>
                <c:pt idx="0">
                  <c:v>Groundwater Consumption</c:v>
                </c:pt>
              </c:strCache>
            </c:strRef>
          </c:tx>
          <c:spPr>
            <a:solidFill>
              <a:schemeClr val="accent3"/>
            </a:solidFill>
            <a:ln>
              <a:noFill/>
            </a:ln>
            <a:effectLst/>
          </c:spPr>
          <c:invertIfNegative val="0"/>
          <c:cat>
            <c:numRef>
              <c:f>Scenarios!$B$19:$AA$19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Scenarios!$B$22:$AA$22</c:f>
              <c:numCache>
                <c:formatCode>0</c:formatCode>
                <c:ptCount val="26"/>
                <c:pt idx="0">
                  <c:v>156.17132429589043</c:v>
                </c:pt>
                <c:pt idx="1">
                  <c:v>651.44977579835609</c:v>
                </c:pt>
                <c:pt idx="2">
                  <c:v>1412.7438380541428</c:v>
                </c:pt>
                <c:pt idx="3">
                  <c:v>1412.7438380541428</c:v>
                </c:pt>
                <c:pt idx="4">
                  <c:v>1659.7438380541428</c:v>
                </c:pt>
                <c:pt idx="5">
                  <c:v>1659.7438380541428</c:v>
                </c:pt>
                <c:pt idx="6">
                  <c:v>1754.3999999999999</c:v>
                </c:pt>
                <c:pt idx="7">
                  <c:v>1749.6065573770491</c:v>
                </c:pt>
                <c:pt idx="8">
                  <c:v>1754.3999999999999</c:v>
                </c:pt>
                <c:pt idx="9">
                  <c:v>1754.3999999999999</c:v>
                </c:pt>
                <c:pt idx="10">
                  <c:v>1754.3999999999999</c:v>
                </c:pt>
                <c:pt idx="11">
                  <c:v>1749.6065573770491</c:v>
                </c:pt>
                <c:pt idx="12">
                  <c:v>1754.3999999999999</c:v>
                </c:pt>
                <c:pt idx="13">
                  <c:v>1754.3999999999999</c:v>
                </c:pt>
                <c:pt idx="14">
                  <c:v>1754.3999999999999</c:v>
                </c:pt>
                <c:pt idx="15">
                  <c:v>1749.6065573770491</c:v>
                </c:pt>
                <c:pt idx="16">
                  <c:v>1754.3999999999999</c:v>
                </c:pt>
                <c:pt idx="17">
                  <c:v>1754.3999999999999</c:v>
                </c:pt>
                <c:pt idx="18">
                  <c:v>1754.3999999999999</c:v>
                </c:pt>
                <c:pt idx="19">
                  <c:v>1749.6065573770491</c:v>
                </c:pt>
                <c:pt idx="20">
                  <c:v>1754.3999999999999</c:v>
                </c:pt>
                <c:pt idx="21">
                  <c:v>1754.3999999999999</c:v>
                </c:pt>
                <c:pt idx="22">
                  <c:v>1754.3999999999999</c:v>
                </c:pt>
                <c:pt idx="23">
                  <c:v>1749.6065573770491</c:v>
                </c:pt>
                <c:pt idx="24">
                  <c:v>1754.3999999999999</c:v>
                </c:pt>
                <c:pt idx="25">
                  <c:v>1754.3999999999999</c:v>
                </c:pt>
              </c:numCache>
            </c:numRef>
          </c:val>
          <c:extLst>
            <c:ext xmlns:c16="http://schemas.microsoft.com/office/drawing/2014/chart" uri="{C3380CC4-5D6E-409C-BE32-E72D297353CC}">
              <c16:uniqueId val="{00000003-B253-4367-9865-1B8CFFF2E792}"/>
            </c:ext>
          </c:extLst>
        </c:ser>
        <c:ser>
          <c:idx val="3"/>
          <c:order val="3"/>
          <c:tx>
            <c:strRef>
              <c:f>Scenarios!$A$21</c:f>
              <c:strCache>
                <c:ptCount val="1"/>
                <c:pt idx="0">
                  <c:v>Municipal Consumption</c:v>
                </c:pt>
              </c:strCache>
            </c:strRef>
          </c:tx>
          <c:spPr>
            <a:solidFill>
              <a:schemeClr val="accent4"/>
            </a:solidFill>
            <a:ln>
              <a:noFill/>
            </a:ln>
            <a:effectLst/>
          </c:spPr>
          <c:invertIfNegative val="0"/>
          <c:cat>
            <c:numRef>
              <c:f>Scenarios!$B$19:$AA$19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Scenarios!$B$21:$AA$21</c:f>
              <c:numCache>
                <c:formatCode>0</c:formatCode>
                <c:ptCount val="26"/>
                <c:pt idx="0">
                  <c:v>364.39975669041098</c:v>
                </c:pt>
                <c:pt idx="1">
                  <c:v>651.44977579835609</c:v>
                </c:pt>
                <c:pt idx="2">
                  <c:v>0</c:v>
                </c:pt>
                <c:pt idx="3">
                  <c:v>0</c:v>
                </c:pt>
                <c:pt idx="4">
                  <c:v>0</c:v>
                </c:pt>
                <c:pt idx="5">
                  <c:v>0</c:v>
                </c:pt>
                <c:pt idx="6">
                  <c:v>218.56318953671598</c:v>
                </c:pt>
                <c:pt idx="7">
                  <c:v>223.35663215966679</c:v>
                </c:pt>
                <c:pt idx="8">
                  <c:v>218.56318953671598</c:v>
                </c:pt>
                <c:pt idx="9">
                  <c:v>218.56318953671598</c:v>
                </c:pt>
                <c:pt idx="10">
                  <c:v>218.56318953671598</c:v>
                </c:pt>
                <c:pt idx="11">
                  <c:v>223.35663215966679</c:v>
                </c:pt>
                <c:pt idx="12">
                  <c:v>218.56318953671598</c:v>
                </c:pt>
                <c:pt idx="13">
                  <c:v>218.56318953671598</c:v>
                </c:pt>
                <c:pt idx="14">
                  <c:v>218.56318953671598</c:v>
                </c:pt>
                <c:pt idx="15">
                  <c:v>223.35663215966679</c:v>
                </c:pt>
                <c:pt idx="16">
                  <c:v>218.56318953671598</c:v>
                </c:pt>
                <c:pt idx="17">
                  <c:v>218.56318953671598</c:v>
                </c:pt>
                <c:pt idx="18">
                  <c:v>218.56318953671598</c:v>
                </c:pt>
                <c:pt idx="19">
                  <c:v>223.35663215966679</c:v>
                </c:pt>
                <c:pt idx="20">
                  <c:v>218.56318953671598</c:v>
                </c:pt>
                <c:pt idx="21">
                  <c:v>218.56318953671598</c:v>
                </c:pt>
                <c:pt idx="22">
                  <c:v>218.56318953671598</c:v>
                </c:pt>
                <c:pt idx="23">
                  <c:v>223.35663215966679</c:v>
                </c:pt>
                <c:pt idx="24">
                  <c:v>218.56318953671598</c:v>
                </c:pt>
                <c:pt idx="25">
                  <c:v>218.56318953671598</c:v>
                </c:pt>
              </c:numCache>
            </c:numRef>
          </c:val>
          <c:extLst>
            <c:ext xmlns:c16="http://schemas.microsoft.com/office/drawing/2014/chart" uri="{C3380CC4-5D6E-409C-BE32-E72D297353CC}">
              <c16:uniqueId val="{00000004-B253-4367-9865-1B8CFFF2E792}"/>
            </c:ext>
          </c:extLst>
        </c:ser>
        <c:dLbls>
          <c:showLegendKey val="0"/>
          <c:showVal val="0"/>
          <c:showCatName val="0"/>
          <c:showSerName val="0"/>
          <c:showPercent val="0"/>
          <c:showBubbleSize val="0"/>
        </c:dLbls>
        <c:gapWidth val="150"/>
        <c:overlap val="100"/>
        <c:axId val="431810352"/>
        <c:axId val="431802192"/>
      </c:barChart>
      <c:lineChart>
        <c:grouping val="standard"/>
        <c:varyColors val="0"/>
        <c:ser>
          <c:idx val="0"/>
          <c:order val="0"/>
          <c:tx>
            <c:strRef>
              <c:f>Scenarios!$A$20</c:f>
              <c:strCache>
                <c:ptCount val="1"/>
                <c:pt idx="0">
                  <c:v>Total Demand</c:v>
                </c:pt>
              </c:strCache>
            </c:strRef>
          </c:tx>
          <c:spPr>
            <a:ln w="28575" cap="rnd">
              <a:solidFill>
                <a:schemeClr val="accent1"/>
              </a:solidFill>
              <a:round/>
            </a:ln>
            <a:effectLst/>
          </c:spPr>
          <c:marker>
            <c:symbol val="none"/>
          </c:marker>
          <c:cat>
            <c:numRef>
              <c:f>Scenarios!$B$19:$AA$19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Scenarios!$B$20:$AA$20</c:f>
              <c:numCache>
                <c:formatCode>0</c:formatCode>
                <c:ptCount val="26"/>
                <c:pt idx="0">
                  <c:v>520.57108098630147</c:v>
                </c:pt>
                <c:pt idx="1">
                  <c:v>1302.8995515967122</c:v>
                </c:pt>
                <c:pt idx="2">
                  <c:v>1412.7438380541428</c:v>
                </c:pt>
                <c:pt idx="3">
                  <c:v>1412.7438380541428</c:v>
                </c:pt>
                <c:pt idx="4">
                  <c:v>1659.7438380541428</c:v>
                </c:pt>
                <c:pt idx="5">
                  <c:v>1659.7438380541428</c:v>
                </c:pt>
                <c:pt idx="6">
                  <c:v>1972.9631895367158</c:v>
                </c:pt>
                <c:pt idx="7">
                  <c:v>1972.9631895367158</c:v>
                </c:pt>
                <c:pt idx="8">
                  <c:v>1972.9631895367158</c:v>
                </c:pt>
                <c:pt idx="9">
                  <c:v>1972.9631895367158</c:v>
                </c:pt>
                <c:pt idx="10">
                  <c:v>1972.9631895367158</c:v>
                </c:pt>
                <c:pt idx="11">
                  <c:v>1972.9631895367158</c:v>
                </c:pt>
                <c:pt idx="12">
                  <c:v>1972.9631895367158</c:v>
                </c:pt>
                <c:pt idx="13">
                  <c:v>1972.9631895367158</c:v>
                </c:pt>
                <c:pt idx="14">
                  <c:v>1972.9631895367158</c:v>
                </c:pt>
                <c:pt idx="15">
                  <c:v>1972.9631895367158</c:v>
                </c:pt>
                <c:pt idx="16">
                  <c:v>1972.9631895367158</c:v>
                </c:pt>
                <c:pt idx="17">
                  <c:v>1972.9631895367158</c:v>
                </c:pt>
                <c:pt idx="18">
                  <c:v>1972.9631895367158</c:v>
                </c:pt>
                <c:pt idx="19">
                  <c:v>1972.9631895367158</c:v>
                </c:pt>
                <c:pt idx="20">
                  <c:v>1972.9631895367158</c:v>
                </c:pt>
                <c:pt idx="21">
                  <c:v>1972.9631895367158</c:v>
                </c:pt>
                <c:pt idx="22">
                  <c:v>1972.9631895367158</c:v>
                </c:pt>
                <c:pt idx="23">
                  <c:v>1972.9631895367158</c:v>
                </c:pt>
                <c:pt idx="24">
                  <c:v>1972.9631895367158</c:v>
                </c:pt>
                <c:pt idx="25">
                  <c:v>1972.9631895367158</c:v>
                </c:pt>
              </c:numCache>
            </c:numRef>
          </c:val>
          <c:smooth val="0"/>
          <c:extLst>
            <c:ext xmlns:c16="http://schemas.microsoft.com/office/drawing/2014/chart" uri="{C3380CC4-5D6E-409C-BE32-E72D297353CC}">
              <c16:uniqueId val="{00000000-B253-4367-9865-1B8CFFF2E792}"/>
            </c:ext>
          </c:extLst>
        </c:ser>
        <c:ser>
          <c:idx val="1"/>
          <c:order val="1"/>
          <c:tx>
            <c:strRef>
              <c:f>Scenarios!$A$24</c:f>
              <c:strCache>
                <c:ptCount val="1"/>
                <c:pt idx="0">
                  <c:v>Max Groundwater Consumption</c:v>
                </c:pt>
              </c:strCache>
            </c:strRef>
          </c:tx>
          <c:spPr>
            <a:ln w="28575" cap="rnd">
              <a:solidFill>
                <a:schemeClr val="accent2"/>
              </a:solidFill>
              <a:round/>
            </a:ln>
            <a:effectLst/>
          </c:spPr>
          <c:marker>
            <c:symbol val="none"/>
          </c:marker>
          <c:cat>
            <c:numRef>
              <c:f>Scenarios!$B$19:$AA$19</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Scenarios!$B$24:$AA$24</c:f>
              <c:numCache>
                <c:formatCode>0</c:formatCode>
                <c:ptCount val="26"/>
                <c:pt idx="0">
                  <c:v>877.19999999999993</c:v>
                </c:pt>
                <c:pt idx="1">
                  <c:v>1754.3999999999999</c:v>
                </c:pt>
                <c:pt idx="2">
                  <c:v>1754.3999999999999</c:v>
                </c:pt>
                <c:pt idx="3">
                  <c:v>1749.6065573770491</c:v>
                </c:pt>
                <c:pt idx="4">
                  <c:v>1754.3999999999999</c:v>
                </c:pt>
                <c:pt idx="5">
                  <c:v>1754.3999999999999</c:v>
                </c:pt>
                <c:pt idx="6">
                  <c:v>1754.3999999999999</c:v>
                </c:pt>
                <c:pt idx="7">
                  <c:v>1749.6065573770491</c:v>
                </c:pt>
                <c:pt idx="8">
                  <c:v>1754.3999999999999</c:v>
                </c:pt>
                <c:pt idx="9">
                  <c:v>1754.3999999999999</c:v>
                </c:pt>
                <c:pt idx="10">
                  <c:v>1754.3999999999999</c:v>
                </c:pt>
                <c:pt idx="11">
                  <c:v>1749.6065573770491</c:v>
                </c:pt>
                <c:pt idx="12">
                  <c:v>1754.3999999999999</c:v>
                </c:pt>
                <c:pt idx="13">
                  <c:v>1754.3999999999999</c:v>
                </c:pt>
                <c:pt idx="14">
                  <c:v>1754.3999999999999</c:v>
                </c:pt>
                <c:pt idx="15">
                  <c:v>1749.6065573770491</c:v>
                </c:pt>
                <c:pt idx="16">
                  <c:v>1754.3999999999999</c:v>
                </c:pt>
                <c:pt idx="17">
                  <c:v>1754.3999999999999</c:v>
                </c:pt>
                <c:pt idx="18">
                  <c:v>1754.3999999999999</c:v>
                </c:pt>
                <c:pt idx="19">
                  <c:v>1749.6065573770491</c:v>
                </c:pt>
                <c:pt idx="20">
                  <c:v>1754.3999999999999</c:v>
                </c:pt>
                <c:pt idx="21">
                  <c:v>1754.3999999999999</c:v>
                </c:pt>
                <c:pt idx="22">
                  <c:v>1754.3999999999999</c:v>
                </c:pt>
                <c:pt idx="23">
                  <c:v>1749.6065573770491</c:v>
                </c:pt>
                <c:pt idx="24">
                  <c:v>1754.3999999999999</c:v>
                </c:pt>
                <c:pt idx="25">
                  <c:v>1754.3999999999999</c:v>
                </c:pt>
              </c:numCache>
            </c:numRef>
          </c:val>
          <c:smooth val="0"/>
          <c:extLst>
            <c:ext xmlns:c16="http://schemas.microsoft.com/office/drawing/2014/chart" uri="{C3380CC4-5D6E-409C-BE32-E72D297353CC}">
              <c16:uniqueId val="{00000002-B253-4367-9865-1B8CFFF2E792}"/>
            </c:ext>
          </c:extLst>
        </c:ser>
        <c:dLbls>
          <c:showLegendKey val="0"/>
          <c:showVal val="0"/>
          <c:showCatName val="0"/>
          <c:showSerName val="0"/>
          <c:showPercent val="0"/>
          <c:showBubbleSize val="0"/>
        </c:dLbls>
        <c:marker val="1"/>
        <c:smooth val="0"/>
        <c:axId val="431810352"/>
        <c:axId val="431802192"/>
      </c:lineChart>
      <c:catAx>
        <c:axId val="431810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802192"/>
        <c:crosses val="autoZero"/>
        <c:auto val="1"/>
        <c:lblAlgn val="ctr"/>
        <c:lblOffset val="100"/>
        <c:noMultiLvlLbl val="0"/>
      </c:catAx>
      <c:valAx>
        <c:axId val="431802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Water</a:t>
                </a:r>
                <a:r>
                  <a:rPr lang="en-GB" baseline="0"/>
                  <a:t> Volume (kl/d)</a:t>
                </a:r>
                <a:endParaRPr lang="en-GB"/>
              </a:p>
            </c:rich>
          </c:tx>
          <c:layout>
            <c:manualLayout>
              <c:xMode val="edge"/>
              <c:yMode val="edge"/>
              <c:x val="1.8784636947694697E-2"/>
              <c:y val="0.4656235278024409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810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SCENARIO 4</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2"/>
          <c:order val="2"/>
          <c:tx>
            <c:strRef>
              <c:f>Scenarios!$A$31</c:f>
              <c:strCache>
                <c:ptCount val="1"/>
                <c:pt idx="0">
                  <c:v>Groundwater Consumption</c:v>
                </c:pt>
              </c:strCache>
            </c:strRef>
          </c:tx>
          <c:spPr>
            <a:solidFill>
              <a:schemeClr val="accent3"/>
            </a:solidFill>
            <a:ln>
              <a:noFill/>
            </a:ln>
            <a:effectLst/>
          </c:spPr>
          <c:invertIfNegative val="0"/>
          <c:cat>
            <c:numRef>
              <c:f>Scenarios!$B$28:$AA$28</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Scenarios!$B$31:$AA$31</c:f>
              <c:numCache>
                <c:formatCode>0</c:formatCode>
                <c:ptCount val="26"/>
                <c:pt idx="0">
                  <c:v>156.17132429589043</c:v>
                </c:pt>
                <c:pt idx="1">
                  <c:v>651.44977579835609</c:v>
                </c:pt>
                <c:pt idx="2">
                  <c:v>1412.7438380541428</c:v>
                </c:pt>
                <c:pt idx="3">
                  <c:v>1412.7438380541428</c:v>
                </c:pt>
                <c:pt idx="4">
                  <c:v>1659.7438380541428</c:v>
                </c:pt>
                <c:pt idx="5">
                  <c:v>1659.7438380541428</c:v>
                </c:pt>
                <c:pt idx="6">
                  <c:v>1754.3999999999999</c:v>
                </c:pt>
                <c:pt idx="7">
                  <c:v>1749.6065573770491</c:v>
                </c:pt>
                <c:pt idx="8">
                  <c:v>1754.3999999999999</c:v>
                </c:pt>
                <c:pt idx="9">
                  <c:v>1754.3999999999999</c:v>
                </c:pt>
                <c:pt idx="10">
                  <c:v>1754.3999999999999</c:v>
                </c:pt>
                <c:pt idx="11">
                  <c:v>1749.6065573770491</c:v>
                </c:pt>
                <c:pt idx="12">
                  <c:v>1754.3999999999999</c:v>
                </c:pt>
                <c:pt idx="13">
                  <c:v>1754.3999999999999</c:v>
                </c:pt>
                <c:pt idx="14">
                  <c:v>1754.3999999999999</c:v>
                </c:pt>
                <c:pt idx="15">
                  <c:v>1749.6065573770491</c:v>
                </c:pt>
                <c:pt idx="16">
                  <c:v>1754.3999999999999</c:v>
                </c:pt>
                <c:pt idx="17">
                  <c:v>1754.3999999999999</c:v>
                </c:pt>
                <c:pt idx="18">
                  <c:v>1754.3999999999999</c:v>
                </c:pt>
                <c:pt idx="19">
                  <c:v>1749.6065573770491</c:v>
                </c:pt>
                <c:pt idx="20">
                  <c:v>1754.3999999999999</c:v>
                </c:pt>
                <c:pt idx="21">
                  <c:v>1754.3999999999999</c:v>
                </c:pt>
                <c:pt idx="22">
                  <c:v>1754.3999999999999</c:v>
                </c:pt>
                <c:pt idx="23">
                  <c:v>1749.6065573770491</c:v>
                </c:pt>
                <c:pt idx="24">
                  <c:v>1754.3999999999999</c:v>
                </c:pt>
                <c:pt idx="25">
                  <c:v>1754.3999999999999</c:v>
                </c:pt>
              </c:numCache>
            </c:numRef>
          </c:val>
          <c:extLst>
            <c:ext xmlns:c16="http://schemas.microsoft.com/office/drawing/2014/chart" uri="{C3380CC4-5D6E-409C-BE32-E72D297353CC}">
              <c16:uniqueId val="{00000002-1FE1-498F-969C-EACDA981B01C}"/>
            </c:ext>
          </c:extLst>
        </c:ser>
        <c:ser>
          <c:idx val="3"/>
          <c:order val="3"/>
          <c:tx>
            <c:strRef>
              <c:f>Scenarios!$A$30</c:f>
              <c:strCache>
                <c:ptCount val="1"/>
                <c:pt idx="0">
                  <c:v>Municipal Consumption</c:v>
                </c:pt>
              </c:strCache>
            </c:strRef>
          </c:tx>
          <c:spPr>
            <a:solidFill>
              <a:schemeClr val="accent4"/>
            </a:solidFill>
            <a:ln>
              <a:noFill/>
            </a:ln>
            <a:effectLst/>
          </c:spPr>
          <c:invertIfNegative val="0"/>
          <c:cat>
            <c:numRef>
              <c:f>Scenarios!$B$28:$AA$28</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Scenarios!$B$30:$AA$30</c:f>
              <c:numCache>
                <c:formatCode>0</c:formatCode>
                <c:ptCount val="26"/>
                <c:pt idx="0">
                  <c:v>364.39975669041098</c:v>
                </c:pt>
                <c:pt idx="1">
                  <c:v>651.44977579835609</c:v>
                </c:pt>
                <c:pt idx="2">
                  <c:v>0</c:v>
                </c:pt>
                <c:pt idx="3">
                  <c:v>0</c:v>
                </c:pt>
                <c:pt idx="4">
                  <c:v>0</c:v>
                </c:pt>
                <c:pt idx="5">
                  <c:v>0</c:v>
                </c:pt>
                <c:pt idx="6">
                  <c:v>218.56318953671598</c:v>
                </c:pt>
                <c:pt idx="7">
                  <c:v>223.35663215966679</c:v>
                </c:pt>
                <c:pt idx="8">
                  <c:v>218.56318953671598</c:v>
                </c:pt>
                <c:pt idx="9">
                  <c:v>218.56318953671598</c:v>
                </c:pt>
                <c:pt idx="10">
                  <c:v>218.56318953671598</c:v>
                </c:pt>
                <c:pt idx="11">
                  <c:v>223.35663215966679</c:v>
                </c:pt>
                <c:pt idx="12">
                  <c:v>218.56318953671598</c:v>
                </c:pt>
                <c:pt idx="13">
                  <c:v>218.56318953671598</c:v>
                </c:pt>
                <c:pt idx="14">
                  <c:v>218.56318953671598</c:v>
                </c:pt>
                <c:pt idx="15">
                  <c:v>223.35663215966679</c:v>
                </c:pt>
                <c:pt idx="16">
                  <c:v>218.56318953671598</c:v>
                </c:pt>
                <c:pt idx="17">
                  <c:v>218.56318953671598</c:v>
                </c:pt>
                <c:pt idx="18">
                  <c:v>218.56318953671598</c:v>
                </c:pt>
                <c:pt idx="19">
                  <c:v>223.35663215966679</c:v>
                </c:pt>
                <c:pt idx="20">
                  <c:v>218.56318953671598</c:v>
                </c:pt>
                <c:pt idx="21">
                  <c:v>218.56318953671598</c:v>
                </c:pt>
                <c:pt idx="22">
                  <c:v>218.56318953671598</c:v>
                </c:pt>
                <c:pt idx="23">
                  <c:v>223.35663215966679</c:v>
                </c:pt>
                <c:pt idx="24">
                  <c:v>218.56318953671598</c:v>
                </c:pt>
                <c:pt idx="25">
                  <c:v>218.56318953671598</c:v>
                </c:pt>
              </c:numCache>
            </c:numRef>
          </c:val>
          <c:extLst>
            <c:ext xmlns:c16="http://schemas.microsoft.com/office/drawing/2014/chart" uri="{C3380CC4-5D6E-409C-BE32-E72D297353CC}">
              <c16:uniqueId val="{00000003-1FE1-498F-969C-EACDA981B01C}"/>
            </c:ext>
          </c:extLst>
        </c:ser>
        <c:dLbls>
          <c:showLegendKey val="0"/>
          <c:showVal val="0"/>
          <c:showCatName val="0"/>
          <c:showSerName val="0"/>
          <c:showPercent val="0"/>
          <c:showBubbleSize val="0"/>
        </c:dLbls>
        <c:gapWidth val="219"/>
        <c:overlap val="100"/>
        <c:axId val="853585584"/>
        <c:axId val="853582224"/>
      </c:barChart>
      <c:lineChart>
        <c:grouping val="standard"/>
        <c:varyColors val="0"/>
        <c:ser>
          <c:idx val="0"/>
          <c:order val="0"/>
          <c:tx>
            <c:strRef>
              <c:f>Scenarios!$A$29</c:f>
              <c:strCache>
                <c:ptCount val="1"/>
                <c:pt idx="0">
                  <c:v>Total Demand</c:v>
                </c:pt>
              </c:strCache>
            </c:strRef>
          </c:tx>
          <c:spPr>
            <a:ln w="28575" cap="rnd">
              <a:solidFill>
                <a:schemeClr val="accent1"/>
              </a:solidFill>
              <a:round/>
            </a:ln>
            <a:effectLst/>
          </c:spPr>
          <c:marker>
            <c:symbol val="none"/>
          </c:marker>
          <c:cat>
            <c:numRef>
              <c:f>Scenarios!$B$28:$AA$28</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Scenarios!$B$29:$AA$29</c:f>
              <c:numCache>
                <c:formatCode>0</c:formatCode>
                <c:ptCount val="26"/>
                <c:pt idx="0">
                  <c:v>520.57108098630147</c:v>
                </c:pt>
                <c:pt idx="1">
                  <c:v>1302.8995515967122</c:v>
                </c:pt>
                <c:pt idx="2">
                  <c:v>1412.7438380541428</c:v>
                </c:pt>
                <c:pt idx="3">
                  <c:v>1412.7438380541428</c:v>
                </c:pt>
                <c:pt idx="4">
                  <c:v>1659.7438380541428</c:v>
                </c:pt>
                <c:pt idx="5">
                  <c:v>1659.7438380541428</c:v>
                </c:pt>
                <c:pt idx="6">
                  <c:v>1972.9631895367158</c:v>
                </c:pt>
                <c:pt idx="7">
                  <c:v>1972.9631895367158</c:v>
                </c:pt>
                <c:pt idx="8">
                  <c:v>1972.9631895367158</c:v>
                </c:pt>
                <c:pt idx="9">
                  <c:v>1972.9631895367158</c:v>
                </c:pt>
                <c:pt idx="10">
                  <c:v>1972.9631895367158</c:v>
                </c:pt>
                <c:pt idx="11">
                  <c:v>1972.9631895367158</c:v>
                </c:pt>
                <c:pt idx="12">
                  <c:v>1972.9631895367158</c:v>
                </c:pt>
                <c:pt idx="13">
                  <c:v>1972.9631895367158</c:v>
                </c:pt>
                <c:pt idx="14">
                  <c:v>1972.9631895367158</c:v>
                </c:pt>
                <c:pt idx="15">
                  <c:v>1972.9631895367158</c:v>
                </c:pt>
                <c:pt idx="16">
                  <c:v>1972.9631895367158</c:v>
                </c:pt>
                <c:pt idx="17">
                  <c:v>1972.9631895367158</c:v>
                </c:pt>
                <c:pt idx="18">
                  <c:v>1972.9631895367158</c:v>
                </c:pt>
                <c:pt idx="19">
                  <c:v>1972.9631895367158</c:v>
                </c:pt>
                <c:pt idx="20">
                  <c:v>1972.9631895367158</c:v>
                </c:pt>
                <c:pt idx="21">
                  <c:v>1972.9631895367158</c:v>
                </c:pt>
                <c:pt idx="22">
                  <c:v>1972.9631895367158</c:v>
                </c:pt>
                <c:pt idx="23">
                  <c:v>1972.9631895367158</c:v>
                </c:pt>
                <c:pt idx="24">
                  <c:v>1972.9631895367158</c:v>
                </c:pt>
                <c:pt idx="25">
                  <c:v>1972.9631895367158</c:v>
                </c:pt>
              </c:numCache>
            </c:numRef>
          </c:val>
          <c:smooth val="0"/>
          <c:extLst>
            <c:ext xmlns:c16="http://schemas.microsoft.com/office/drawing/2014/chart" uri="{C3380CC4-5D6E-409C-BE32-E72D297353CC}">
              <c16:uniqueId val="{00000000-1FE1-498F-969C-EACDA981B01C}"/>
            </c:ext>
          </c:extLst>
        </c:ser>
        <c:ser>
          <c:idx val="1"/>
          <c:order val="1"/>
          <c:tx>
            <c:strRef>
              <c:f>Scenarios!$A$33</c:f>
              <c:strCache>
                <c:ptCount val="1"/>
                <c:pt idx="0">
                  <c:v>Max Groundwater Consumption</c:v>
                </c:pt>
              </c:strCache>
            </c:strRef>
          </c:tx>
          <c:spPr>
            <a:ln w="28575" cap="rnd">
              <a:solidFill>
                <a:schemeClr val="accent2"/>
              </a:solidFill>
              <a:round/>
            </a:ln>
            <a:effectLst/>
          </c:spPr>
          <c:marker>
            <c:symbol val="none"/>
          </c:marker>
          <c:cat>
            <c:numRef>
              <c:f>Scenarios!$B$28:$AA$28</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cat>
          <c:val>
            <c:numRef>
              <c:f>Scenarios!$B$33:$AA$33</c:f>
              <c:numCache>
                <c:formatCode>0</c:formatCode>
                <c:ptCount val="26"/>
                <c:pt idx="0">
                  <c:v>877.19999999999993</c:v>
                </c:pt>
                <c:pt idx="1">
                  <c:v>1754.3999999999999</c:v>
                </c:pt>
                <c:pt idx="2">
                  <c:v>1754.3999999999999</c:v>
                </c:pt>
                <c:pt idx="3">
                  <c:v>1749.6065573770491</c:v>
                </c:pt>
                <c:pt idx="4">
                  <c:v>1754.3999999999999</c:v>
                </c:pt>
                <c:pt idx="5">
                  <c:v>1754.3999999999999</c:v>
                </c:pt>
                <c:pt idx="6">
                  <c:v>1754.3999999999999</c:v>
                </c:pt>
                <c:pt idx="7">
                  <c:v>1749.6065573770491</c:v>
                </c:pt>
                <c:pt idx="8">
                  <c:v>1754.3999999999999</c:v>
                </c:pt>
                <c:pt idx="9">
                  <c:v>1754.3999999999999</c:v>
                </c:pt>
                <c:pt idx="10">
                  <c:v>1754.3999999999999</c:v>
                </c:pt>
                <c:pt idx="11">
                  <c:v>1749.6065573770491</c:v>
                </c:pt>
                <c:pt idx="12">
                  <c:v>1754.3999999999999</c:v>
                </c:pt>
                <c:pt idx="13">
                  <c:v>1754.3999999999999</c:v>
                </c:pt>
                <c:pt idx="14">
                  <c:v>1754.3999999999999</c:v>
                </c:pt>
                <c:pt idx="15">
                  <c:v>1749.6065573770491</c:v>
                </c:pt>
                <c:pt idx="16">
                  <c:v>1754.3999999999999</c:v>
                </c:pt>
                <c:pt idx="17">
                  <c:v>1754.3999999999999</c:v>
                </c:pt>
                <c:pt idx="18">
                  <c:v>1754.3999999999999</c:v>
                </c:pt>
                <c:pt idx="19">
                  <c:v>1749.6065573770491</c:v>
                </c:pt>
                <c:pt idx="20">
                  <c:v>1754.3999999999999</c:v>
                </c:pt>
                <c:pt idx="21">
                  <c:v>1754.3999999999999</c:v>
                </c:pt>
                <c:pt idx="22">
                  <c:v>1754.3999999999999</c:v>
                </c:pt>
                <c:pt idx="23">
                  <c:v>1749.6065573770491</c:v>
                </c:pt>
                <c:pt idx="24">
                  <c:v>1754.3999999999999</c:v>
                </c:pt>
                <c:pt idx="25">
                  <c:v>1754.3999999999999</c:v>
                </c:pt>
              </c:numCache>
            </c:numRef>
          </c:val>
          <c:smooth val="0"/>
          <c:extLst>
            <c:ext xmlns:c16="http://schemas.microsoft.com/office/drawing/2014/chart" uri="{C3380CC4-5D6E-409C-BE32-E72D297353CC}">
              <c16:uniqueId val="{00000001-1FE1-498F-969C-EACDA981B01C}"/>
            </c:ext>
          </c:extLst>
        </c:ser>
        <c:dLbls>
          <c:showLegendKey val="0"/>
          <c:showVal val="0"/>
          <c:showCatName val="0"/>
          <c:showSerName val="0"/>
          <c:showPercent val="0"/>
          <c:showBubbleSize val="0"/>
        </c:dLbls>
        <c:marker val="1"/>
        <c:smooth val="0"/>
        <c:axId val="853585584"/>
        <c:axId val="853582224"/>
      </c:lineChart>
      <c:catAx>
        <c:axId val="853585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582224"/>
        <c:crosses val="autoZero"/>
        <c:auto val="1"/>
        <c:lblAlgn val="ctr"/>
        <c:lblOffset val="100"/>
        <c:noMultiLvlLbl val="0"/>
      </c:catAx>
      <c:valAx>
        <c:axId val="853582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Water</a:t>
                </a:r>
                <a:r>
                  <a:rPr lang="en-GB" baseline="0"/>
                  <a:t> Volume (kl/d)</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3585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col"/>
        <c:grouping val="stacked"/>
        <c:varyColors val="0"/>
        <c:ser>
          <c:idx val="0"/>
          <c:order val="0"/>
          <c:tx>
            <c:strRef>
              <c:f>'Risk exposure pessimistic view'!$D$242</c:f>
              <c:strCache>
                <c:ptCount val="1"/>
              </c:strCache>
            </c:strRef>
          </c:tx>
          <c:spPr>
            <a:solidFill>
              <a:schemeClr val="accent1">
                <a:lumMod val="5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'Risk exposure pessimistic view'!$G$240:$Z$240</c15:sqref>
                  </c15:fullRef>
                </c:ext>
              </c:extLst>
              <c:f>'Risk exposure pessimistic view'!$G$240:$U$240</c:f>
              <c:numCache>
                <c:formatCode>General</c:formatCode>
                <c:ptCount val="15"/>
              </c:numCache>
            </c:numRef>
          </c:val>
          <c:extLst>
            <c:ext xmlns:c16="http://schemas.microsoft.com/office/drawing/2014/chart" uri="{C3380CC4-5D6E-409C-BE32-E72D297353CC}">
              <c16:uniqueId val="{00000000-1D82-4F20-A2BC-BBF299AFC7F0}"/>
            </c:ext>
          </c:extLst>
        </c:ser>
        <c:ser>
          <c:idx val="1"/>
          <c:order val="1"/>
          <c:tx>
            <c:strRef>
              <c:f>'Risk exposure pessimistic view'!$D$243</c:f>
              <c:strCache>
                <c:ptCount val="1"/>
              </c:strCache>
            </c:strRef>
          </c:tx>
          <c:spPr>
            <a:solidFill>
              <a:schemeClr val="accent1">
                <a:lumMod val="75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'Risk exposure pessimistic view'!$G$241:$Z$241</c15:sqref>
                  </c15:fullRef>
                </c:ext>
              </c:extLst>
              <c:f>'Risk exposure pessimistic view'!$G$241:$U$241</c:f>
              <c:numCache>
                <c:formatCode>General</c:formatCode>
                <c:ptCount val="15"/>
              </c:numCache>
            </c:numRef>
          </c:val>
          <c:extLst>
            <c:ext xmlns:c16="http://schemas.microsoft.com/office/drawing/2014/chart" uri="{C3380CC4-5D6E-409C-BE32-E72D297353CC}">
              <c16:uniqueId val="{00000001-1D82-4F20-A2BC-BBF299AFC7F0}"/>
            </c:ext>
          </c:extLst>
        </c:ser>
        <c:ser>
          <c:idx val="2"/>
          <c:order val="2"/>
          <c:tx>
            <c:strRef>
              <c:f>'Risk exposure pessimistic view'!$D$244</c:f>
              <c:strCache>
                <c:ptCount val="1"/>
              </c:strCache>
            </c:strRef>
          </c:tx>
          <c:spPr>
            <a:solidFill>
              <a:schemeClr val="accent1">
                <a:lumMod val="60000"/>
                <a:lumOff val="4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'Risk exposure pessimistic view'!$G$242:$Z$242</c15:sqref>
                  </c15:fullRef>
                </c:ext>
              </c:extLst>
              <c:f>'Risk exposure pessimistic view'!$G$242:$U$242</c:f>
              <c:numCache>
                <c:formatCode>General</c:formatCode>
                <c:ptCount val="15"/>
              </c:numCache>
            </c:numRef>
          </c:val>
          <c:extLst>
            <c:ext xmlns:c16="http://schemas.microsoft.com/office/drawing/2014/chart" uri="{C3380CC4-5D6E-409C-BE32-E72D297353CC}">
              <c16:uniqueId val="{00000002-1D82-4F20-A2BC-BBF299AFC7F0}"/>
            </c:ext>
          </c:extLst>
        </c:ser>
        <c:ser>
          <c:idx val="3"/>
          <c:order val="3"/>
          <c:tx>
            <c:strRef>
              <c:f>'Risk exposure pessimistic view'!$D$245</c:f>
              <c:strCache>
                <c:ptCount val="1"/>
              </c:strCache>
            </c:strRef>
          </c:tx>
          <c:spPr>
            <a:solidFill>
              <a:schemeClr val="accent1">
                <a:lumMod val="40000"/>
                <a:lumOff val="6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'Risk exposure pessimistic view'!$G$243:$Z$243</c15:sqref>
                  </c15:fullRef>
                </c:ext>
              </c:extLst>
              <c:f>'Risk exposure pessimistic view'!$G$243:$U$243</c:f>
              <c:numCache>
                <c:formatCode>General</c:formatCode>
                <c:ptCount val="15"/>
              </c:numCache>
            </c:numRef>
          </c:val>
          <c:extLst>
            <c:ext xmlns:c16="http://schemas.microsoft.com/office/drawing/2014/chart" uri="{C3380CC4-5D6E-409C-BE32-E72D297353CC}">
              <c16:uniqueId val="{00000003-1D82-4F20-A2BC-BBF299AFC7F0}"/>
            </c:ext>
          </c:extLst>
        </c:ser>
        <c:ser>
          <c:idx val="4"/>
          <c:order val="4"/>
          <c:tx>
            <c:strRef>
              <c:f>'Risk exposure pessimistic view'!$D$246</c:f>
              <c:strCache>
                <c:ptCount val="1"/>
              </c:strCache>
            </c:strRef>
          </c:tx>
          <c:spPr>
            <a:solidFill>
              <a:schemeClr val="accent1">
                <a:lumMod val="20000"/>
                <a:lumOff val="8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'Risk exposure pessimistic view'!$G$244:$Z$244</c15:sqref>
                  </c15:fullRef>
                </c:ext>
              </c:extLst>
              <c:f>'Risk exposure pessimistic view'!$G$244:$U$244</c:f>
              <c:numCache>
                <c:formatCode>General</c:formatCode>
                <c:ptCount val="15"/>
              </c:numCache>
            </c:numRef>
          </c:val>
          <c:extLst>
            <c:ext xmlns:c16="http://schemas.microsoft.com/office/drawing/2014/chart" uri="{C3380CC4-5D6E-409C-BE32-E72D297353CC}">
              <c16:uniqueId val="{00000004-1D82-4F20-A2BC-BBF299AFC7F0}"/>
            </c:ext>
          </c:extLst>
        </c:ser>
        <c:dLbls>
          <c:showLegendKey val="0"/>
          <c:showVal val="0"/>
          <c:showCatName val="0"/>
          <c:showSerName val="0"/>
          <c:showPercent val="0"/>
          <c:showBubbleSize val="0"/>
        </c:dLbls>
        <c:gapWidth val="327"/>
        <c:overlap val="100"/>
        <c:axId val="1024048448"/>
        <c:axId val="1029653536"/>
      </c:barChart>
      <c:lineChart>
        <c:grouping val="standard"/>
        <c:varyColors val="0"/>
        <c:ser>
          <c:idx val="5"/>
          <c:order val="5"/>
          <c:tx>
            <c:strRef>
              <c:f>'Risk exposure pessimistic view'!$D$248</c:f>
              <c:strCache>
                <c:ptCount val="1"/>
              </c:strCache>
            </c:strRef>
          </c:tx>
          <c:spPr>
            <a:ln w="28575" cap="rnd">
              <a:solidFill>
                <a:schemeClr val="accent1">
                  <a:tint val="94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'Risk exposure pessimistic view'!$G$246:$Z$246</c15:sqref>
                  </c15:fullRef>
                </c:ext>
              </c:extLst>
              <c:f>'Risk exposure pessimistic view'!$G$246:$U$246</c:f>
              <c:numCache>
                <c:formatCode>General</c:formatCode>
                <c:ptCount val="15"/>
              </c:numCache>
            </c:numRef>
          </c:val>
          <c:smooth val="0"/>
          <c:extLst>
            <c:ext xmlns:c16="http://schemas.microsoft.com/office/drawing/2014/chart" uri="{C3380CC4-5D6E-409C-BE32-E72D297353CC}">
              <c16:uniqueId val="{00000005-1D82-4F20-A2BC-BBF299AFC7F0}"/>
            </c:ext>
          </c:extLst>
        </c:ser>
        <c:ser>
          <c:idx val="6"/>
          <c:order val="6"/>
          <c:tx>
            <c:strRef>
              <c:f>'Risk exposure pessimistic view'!$D$249</c:f>
              <c:strCache>
                <c:ptCount val="1"/>
              </c:strCache>
            </c:strRef>
          </c:tx>
          <c:spPr>
            <a:ln w="28575" cap="rnd">
              <a:solidFill>
                <a:schemeClr val="accent1">
                  <a:tint val="81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'Risk exposure pessimistic view'!$G$247:$Z$247</c15:sqref>
                  </c15:fullRef>
                </c:ext>
              </c:extLst>
              <c:f>'Risk exposure pessimistic view'!$G$247:$U$247</c:f>
              <c:numCache>
                <c:formatCode>General</c:formatCode>
                <c:ptCount val="15"/>
              </c:numCache>
            </c:numRef>
          </c:val>
          <c:smooth val="0"/>
          <c:extLst>
            <c:ext xmlns:c16="http://schemas.microsoft.com/office/drawing/2014/chart" uri="{C3380CC4-5D6E-409C-BE32-E72D297353CC}">
              <c16:uniqueId val="{00000006-1D82-4F20-A2BC-BBF299AFC7F0}"/>
            </c:ext>
          </c:extLst>
        </c:ser>
        <c:ser>
          <c:idx val="7"/>
          <c:order val="7"/>
          <c:tx>
            <c:strRef>
              <c:f>'Risk exposure pessimistic view'!$D$250</c:f>
              <c:strCache>
                <c:ptCount val="1"/>
              </c:strCache>
            </c:strRef>
          </c:tx>
          <c:spPr>
            <a:ln w="28575" cap="rnd">
              <a:solidFill>
                <a:schemeClr val="accent1">
                  <a:tint val="69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'Risk exposure pessimistic view'!$G$248:$Z$248</c15:sqref>
                  </c15:fullRef>
                </c:ext>
              </c:extLst>
              <c:f>'Risk exposure pessimistic view'!$G$248:$U$248</c:f>
              <c:numCache>
                <c:formatCode>General</c:formatCode>
                <c:ptCount val="15"/>
              </c:numCache>
            </c:numRef>
          </c:val>
          <c:smooth val="0"/>
          <c:extLst>
            <c:ext xmlns:c16="http://schemas.microsoft.com/office/drawing/2014/chart" uri="{C3380CC4-5D6E-409C-BE32-E72D297353CC}">
              <c16:uniqueId val="{00000007-1D82-4F20-A2BC-BBF299AFC7F0}"/>
            </c:ext>
          </c:extLst>
        </c:ser>
        <c:ser>
          <c:idx val="8"/>
          <c:order val="8"/>
          <c:tx>
            <c:strRef>
              <c:f>'Risk exposure pessimistic view'!$D$251</c:f>
              <c:strCache>
                <c:ptCount val="1"/>
              </c:strCache>
            </c:strRef>
          </c:tx>
          <c:spPr>
            <a:ln w="28575" cap="rnd">
              <a:solidFill>
                <a:schemeClr val="accent1">
                  <a:tint val="56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'Risk exposure pessimistic view'!$G$249:$Z$249</c15:sqref>
                  </c15:fullRef>
                </c:ext>
              </c:extLst>
              <c:f>'Risk exposure pessimistic view'!$G$249:$U$249</c:f>
              <c:numCache>
                <c:formatCode>General</c:formatCode>
                <c:ptCount val="15"/>
              </c:numCache>
            </c:numRef>
          </c:val>
          <c:smooth val="0"/>
          <c:extLst>
            <c:ext xmlns:c16="http://schemas.microsoft.com/office/drawing/2014/chart" uri="{C3380CC4-5D6E-409C-BE32-E72D297353CC}">
              <c16:uniqueId val="{00000008-1D82-4F20-A2BC-BBF299AFC7F0}"/>
            </c:ext>
          </c:extLst>
        </c:ser>
        <c:ser>
          <c:idx val="9"/>
          <c:order val="9"/>
          <c:tx>
            <c:strRef>
              <c:f>'Risk exposure pessimistic view'!$D$252</c:f>
              <c:strCache>
                <c:ptCount val="1"/>
              </c:strCache>
            </c:strRef>
          </c:tx>
          <c:spPr>
            <a:ln w="28575" cap="rnd">
              <a:solidFill>
                <a:schemeClr val="accent1">
                  <a:tint val="43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'Risk exposure pessimistic view'!$G$250:$Z$250</c15:sqref>
                  </c15:fullRef>
                </c:ext>
              </c:extLst>
              <c:f>'Risk exposure pessimistic view'!$G$250:$U$250</c:f>
              <c:numCache>
                <c:formatCode>General</c:formatCode>
                <c:ptCount val="15"/>
              </c:numCache>
            </c:numRef>
          </c:val>
          <c:smooth val="0"/>
          <c:extLst>
            <c:ext xmlns:c16="http://schemas.microsoft.com/office/drawing/2014/chart" uri="{C3380CC4-5D6E-409C-BE32-E72D297353CC}">
              <c16:uniqueId val="{00000009-1D82-4F20-A2BC-BBF299AFC7F0}"/>
            </c:ext>
          </c:extLst>
        </c:ser>
        <c:dLbls>
          <c:showLegendKey val="0"/>
          <c:showVal val="0"/>
          <c:showCatName val="0"/>
          <c:showSerName val="0"/>
          <c:showPercent val="0"/>
          <c:showBubbleSize val="0"/>
        </c:dLbls>
        <c:marker val="1"/>
        <c:smooth val="0"/>
        <c:axId val="1024058048"/>
        <c:axId val="1029654368"/>
      </c:lineChart>
      <c:catAx>
        <c:axId val="1024048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Year of Operation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53536"/>
        <c:crosses val="autoZero"/>
        <c:auto val="1"/>
        <c:lblAlgn val="ctr"/>
        <c:lblOffset val="100"/>
        <c:noMultiLvlLbl val="0"/>
      </c:catAx>
      <c:valAx>
        <c:axId val="1029653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48448"/>
        <c:crosses val="autoZero"/>
        <c:crossBetween val="between"/>
      </c:valAx>
      <c:valAx>
        <c:axId val="1029654368"/>
        <c:scaling>
          <c:orientation val="minMax"/>
          <c:max val="7.8"/>
          <c:min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Tariff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58048"/>
        <c:crosses val="max"/>
        <c:crossBetween val="between"/>
      </c:valAx>
      <c:catAx>
        <c:axId val="1024058048"/>
        <c:scaling>
          <c:orientation val="minMax"/>
        </c:scaling>
        <c:delete val="1"/>
        <c:axPos val="b"/>
        <c:majorTickMark val="out"/>
        <c:minorTickMark val="none"/>
        <c:tickLblPos val="nextTo"/>
        <c:crossAx val="10296543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2"/>
          <c:order val="2"/>
          <c:tx>
            <c:strRef>
              <c:f>'Risk exposure pessimistic view'!$D$226</c:f>
              <c:strCache>
                <c:ptCount val="1"/>
              </c:strCache>
            </c:strRef>
          </c:tx>
          <c:spPr>
            <a:solidFill>
              <a:schemeClr val="bg1">
                <a:lumMod val="85000"/>
              </a:schemeClr>
            </a:solidFill>
            <a:ln>
              <a:noFill/>
            </a:ln>
            <a:effectLst/>
          </c:spP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'Risk exposure pessimistic view'!$G$224:$Z$224</c15:sqref>
                  </c15:fullRef>
                </c:ext>
              </c:extLst>
              <c:f>'Risk exposure pessimistic view'!$G$224:$U$224</c:f>
              <c:numCache>
                <c:formatCode>General</c:formatCode>
                <c:ptCount val="15"/>
              </c:numCache>
            </c:numRef>
          </c:val>
          <c:extLst>
            <c:ext xmlns:c16="http://schemas.microsoft.com/office/drawing/2014/chart" uri="{C3380CC4-5D6E-409C-BE32-E72D297353CC}">
              <c16:uniqueId val="{00000000-5791-474C-9AC6-DA6AAD2FE787}"/>
            </c:ext>
          </c:extLst>
        </c:ser>
        <c:dLbls>
          <c:showLegendKey val="0"/>
          <c:showVal val="0"/>
          <c:showCatName val="0"/>
          <c:showSerName val="0"/>
          <c:showPercent val="0"/>
          <c:showBubbleSize val="0"/>
        </c:dLbls>
        <c:axId val="58907136"/>
        <c:axId val="560574320"/>
      </c:areaChart>
      <c:barChart>
        <c:barDir val="col"/>
        <c:grouping val="clustered"/>
        <c:varyColors val="0"/>
        <c:ser>
          <c:idx val="0"/>
          <c:order val="0"/>
          <c:tx>
            <c:strRef>
              <c:f>'Risk exposure pessimistic view'!$D$224</c:f>
              <c:strCache>
                <c:ptCount val="1"/>
              </c:strCache>
            </c:strRef>
          </c:tx>
          <c:spPr>
            <a:solidFill>
              <a:schemeClr val="accent1"/>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'Risk exposure pessimistic view'!$G$222:$Z$222</c15:sqref>
                  </c15:fullRef>
                </c:ext>
              </c:extLst>
              <c:f>'Risk exposure pessimistic view'!$G$222:$U$222</c:f>
              <c:numCache>
                <c:formatCode>General</c:formatCode>
                <c:ptCount val="15"/>
              </c:numCache>
            </c:numRef>
          </c:val>
          <c:extLst>
            <c:ext xmlns:c16="http://schemas.microsoft.com/office/drawing/2014/chart" uri="{C3380CC4-5D6E-409C-BE32-E72D297353CC}">
              <c16:uniqueId val="{00000001-5791-474C-9AC6-DA6AAD2FE787}"/>
            </c:ext>
          </c:extLst>
        </c:ser>
        <c:ser>
          <c:idx val="1"/>
          <c:order val="1"/>
          <c:tx>
            <c:strRef>
              <c:f>'Risk exposure pessimistic view'!$D$225</c:f>
              <c:strCache>
                <c:ptCount val="1"/>
              </c:strCache>
            </c:strRef>
          </c:tx>
          <c:spPr>
            <a:solidFill>
              <a:schemeClr val="accent2"/>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'Risk exposure pessimistic view'!$G$223:$Z$223</c15:sqref>
                  </c15:fullRef>
                </c:ext>
              </c:extLst>
              <c:f>'Risk exposure pessimistic view'!$G$223:$U$223</c:f>
              <c:numCache>
                <c:formatCode>General</c:formatCode>
                <c:ptCount val="15"/>
              </c:numCache>
            </c:numRef>
          </c:val>
          <c:extLst>
            <c:ext xmlns:c16="http://schemas.microsoft.com/office/drawing/2014/chart" uri="{C3380CC4-5D6E-409C-BE32-E72D297353CC}">
              <c16:uniqueId val="{00000002-5791-474C-9AC6-DA6AAD2FE787}"/>
            </c:ext>
          </c:extLst>
        </c:ser>
        <c:dLbls>
          <c:showLegendKey val="0"/>
          <c:showVal val="0"/>
          <c:showCatName val="0"/>
          <c:showSerName val="0"/>
          <c:showPercent val="0"/>
          <c:showBubbleSize val="0"/>
        </c:dLbls>
        <c:gapWidth val="219"/>
        <c:axId val="983537856"/>
        <c:axId val="1029660608"/>
      </c:barChart>
      <c:catAx>
        <c:axId val="98353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Operational</a:t>
                </a:r>
                <a:r>
                  <a:rPr lang="en-ZA" baseline="0"/>
                  <a:t>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60608"/>
        <c:crosses val="autoZero"/>
        <c:auto val="1"/>
        <c:lblAlgn val="ctr"/>
        <c:lblOffset val="100"/>
        <c:noMultiLvlLbl val="0"/>
      </c:catAx>
      <c:valAx>
        <c:axId val="1029660608"/>
        <c:scaling>
          <c:orientation val="minMax"/>
          <c:max val="30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Annual Saving &amp; Cost (R)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537856"/>
        <c:crosses val="autoZero"/>
        <c:crossBetween val="between"/>
      </c:valAx>
      <c:valAx>
        <c:axId val="560574320"/>
        <c:scaling>
          <c:orientation val="minMax"/>
          <c:max val="470000000"/>
          <c:min val="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Cumulative Net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07136"/>
        <c:crosses val="max"/>
        <c:crossBetween val="between"/>
      </c:valAx>
      <c:catAx>
        <c:axId val="58907136"/>
        <c:scaling>
          <c:orientation val="minMax"/>
        </c:scaling>
        <c:delete val="1"/>
        <c:axPos val="b"/>
        <c:majorTickMark val="out"/>
        <c:minorTickMark val="none"/>
        <c:tickLblPos val="nextTo"/>
        <c:crossAx val="5605743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col"/>
        <c:grouping val="stacked"/>
        <c:varyColors val="0"/>
        <c:ser>
          <c:idx val="0"/>
          <c:order val="0"/>
          <c:tx>
            <c:strRef>
              <c:f>'Initiative 1 Model'!$D$260</c:f>
              <c:strCache>
                <c:ptCount val="1"/>
              </c:strCache>
            </c:strRef>
          </c:tx>
          <c:spPr>
            <a:solidFill>
              <a:schemeClr val="accent1">
                <a:lumMod val="5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1 Model'!$G$258:$Z$258</c15:sqref>
                  </c15:fullRef>
                </c:ext>
              </c:extLst>
              <c:f>'Initiative 1 Model'!$G$258:$U$258</c:f>
              <c:numCache>
                <c:formatCode>General</c:formatCode>
                <c:ptCount val="15"/>
              </c:numCache>
            </c:numRef>
          </c:val>
          <c:extLst>
            <c:ext xmlns:c16="http://schemas.microsoft.com/office/drawing/2014/chart" uri="{C3380CC4-5D6E-409C-BE32-E72D297353CC}">
              <c16:uniqueId val="{00000000-F949-4576-90E7-62AB8D29D69B}"/>
            </c:ext>
          </c:extLst>
        </c:ser>
        <c:ser>
          <c:idx val="1"/>
          <c:order val="1"/>
          <c:tx>
            <c:strRef>
              <c:f>'Initiative 1 Model'!$D$261</c:f>
              <c:strCache>
                <c:ptCount val="1"/>
              </c:strCache>
            </c:strRef>
          </c:tx>
          <c:spPr>
            <a:solidFill>
              <a:schemeClr val="accent1">
                <a:lumMod val="75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1 Model'!$G$259:$Z$259</c15:sqref>
                  </c15:fullRef>
                </c:ext>
              </c:extLst>
              <c:f>'Initiative 1 Model'!$G$259:$U$259</c:f>
              <c:numCache>
                <c:formatCode>General</c:formatCode>
                <c:ptCount val="15"/>
              </c:numCache>
            </c:numRef>
          </c:val>
          <c:extLst>
            <c:ext xmlns:c16="http://schemas.microsoft.com/office/drawing/2014/chart" uri="{C3380CC4-5D6E-409C-BE32-E72D297353CC}">
              <c16:uniqueId val="{00000001-F949-4576-90E7-62AB8D29D69B}"/>
            </c:ext>
          </c:extLst>
        </c:ser>
        <c:ser>
          <c:idx val="2"/>
          <c:order val="2"/>
          <c:tx>
            <c:strRef>
              <c:f>'Initiative 1 Model'!$D$262</c:f>
              <c:strCache>
                <c:ptCount val="1"/>
              </c:strCache>
            </c:strRef>
          </c:tx>
          <c:spPr>
            <a:solidFill>
              <a:schemeClr val="accent1">
                <a:lumMod val="60000"/>
                <a:lumOff val="4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1 Model'!$G$260:$Z$260</c15:sqref>
                  </c15:fullRef>
                </c:ext>
              </c:extLst>
              <c:f>'Initiative 1 Model'!$G$260:$U$260</c:f>
              <c:numCache>
                <c:formatCode>General</c:formatCode>
                <c:ptCount val="15"/>
              </c:numCache>
            </c:numRef>
          </c:val>
          <c:extLst>
            <c:ext xmlns:c16="http://schemas.microsoft.com/office/drawing/2014/chart" uri="{C3380CC4-5D6E-409C-BE32-E72D297353CC}">
              <c16:uniqueId val="{00000002-F949-4576-90E7-62AB8D29D69B}"/>
            </c:ext>
          </c:extLst>
        </c:ser>
        <c:ser>
          <c:idx val="3"/>
          <c:order val="3"/>
          <c:tx>
            <c:strRef>
              <c:f>'Initiative 1 Model'!$D$263</c:f>
              <c:strCache>
                <c:ptCount val="1"/>
              </c:strCache>
            </c:strRef>
          </c:tx>
          <c:spPr>
            <a:solidFill>
              <a:schemeClr val="accent1">
                <a:lumMod val="40000"/>
                <a:lumOff val="6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1 Model'!$G$261:$Z$261</c15:sqref>
                  </c15:fullRef>
                </c:ext>
              </c:extLst>
              <c:f>'Initiative 1 Model'!$G$261:$U$261</c:f>
              <c:numCache>
                <c:formatCode>General</c:formatCode>
                <c:ptCount val="15"/>
              </c:numCache>
            </c:numRef>
          </c:val>
          <c:extLst>
            <c:ext xmlns:c16="http://schemas.microsoft.com/office/drawing/2014/chart" uri="{C3380CC4-5D6E-409C-BE32-E72D297353CC}">
              <c16:uniqueId val="{00000003-F949-4576-90E7-62AB8D29D69B}"/>
            </c:ext>
          </c:extLst>
        </c:ser>
        <c:ser>
          <c:idx val="4"/>
          <c:order val="4"/>
          <c:tx>
            <c:strRef>
              <c:f>'Initiative 1 Model'!$D$264</c:f>
              <c:strCache>
                <c:ptCount val="1"/>
              </c:strCache>
            </c:strRef>
          </c:tx>
          <c:spPr>
            <a:solidFill>
              <a:schemeClr val="accent1">
                <a:lumMod val="20000"/>
                <a:lumOff val="8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1 Model'!$G$262:$Z$262</c15:sqref>
                  </c15:fullRef>
                </c:ext>
              </c:extLst>
              <c:f>'Initiative 1 Model'!$G$262:$U$262</c:f>
              <c:numCache>
                <c:formatCode>General</c:formatCode>
                <c:ptCount val="15"/>
              </c:numCache>
            </c:numRef>
          </c:val>
          <c:extLst>
            <c:ext xmlns:c16="http://schemas.microsoft.com/office/drawing/2014/chart" uri="{C3380CC4-5D6E-409C-BE32-E72D297353CC}">
              <c16:uniqueId val="{00000004-F949-4576-90E7-62AB8D29D69B}"/>
            </c:ext>
          </c:extLst>
        </c:ser>
        <c:dLbls>
          <c:showLegendKey val="0"/>
          <c:showVal val="0"/>
          <c:showCatName val="0"/>
          <c:showSerName val="0"/>
          <c:showPercent val="0"/>
          <c:showBubbleSize val="0"/>
        </c:dLbls>
        <c:gapWidth val="327"/>
        <c:overlap val="100"/>
        <c:axId val="1024048448"/>
        <c:axId val="1029653536"/>
      </c:barChart>
      <c:lineChart>
        <c:grouping val="standard"/>
        <c:varyColors val="0"/>
        <c:ser>
          <c:idx val="5"/>
          <c:order val="5"/>
          <c:tx>
            <c:strRef>
              <c:f>'Initiative 1 Model'!$D$266</c:f>
              <c:strCache>
                <c:ptCount val="1"/>
              </c:strCache>
            </c:strRef>
          </c:tx>
          <c:spPr>
            <a:ln w="28575" cap="rnd">
              <a:solidFill>
                <a:schemeClr val="accent1">
                  <a:tint val="94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1 Model'!$G$264:$Z$264</c15:sqref>
                  </c15:fullRef>
                </c:ext>
              </c:extLst>
              <c:f>'Initiative 1 Model'!$G$264:$U$264</c:f>
              <c:numCache>
                <c:formatCode>General</c:formatCode>
                <c:ptCount val="15"/>
              </c:numCache>
            </c:numRef>
          </c:val>
          <c:smooth val="0"/>
          <c:extLst>
            <c:ext xmlns:c16="http://schemas.microsoft.com/office/drawing/2014/chart" uri="{C3380CC4-5D6E-409C-BE32-E72D297353CC}">
              <c16:uniqueId val="{00000005-F949-4576-90E7-62AB8D29D69B}"/>
            </c:ext>
          </c:extLst>
        </c:ser>
        <c:ser>
          <c:idx val="6"/>
          <c:order val="6"/>
          <c:tx>
            <c:strRef>
              <c:f>'Initiative 1 Model'!$D$267</c:f>
              <c:strCache>
                <c:ptCount val="1"/>
              </c:strCache>
            </c:strRef>
          </c:tx>
          <c:spPr>
            <a:ln w="28575" cap="rnd">
              <a:solidFill>
                <a:schemeClr val="accent1">
                  <a:tint val="81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1 Model'!$G$265:$Z$265</c15:sqref>
                  </c15:fullRef>
                </c:ext>
              </c:extLst>
              <c:f>'Initiative 1 Model'!$G$265:$U$265</c:f>
              <c:numCache>
                <c:formatCode>General</c:formatCode>
                <c:ptCount val="15"/>
              </c:numCache>
            </c:numRef>
          </c:val>
          <c:smooth val="0"/>
          <c:extLst>
            <c:ext xmlns:c16="http://schemas.microsoft.com/office/drawing/2014/chart" uri="{C3380CC4-5D6E-409C-BE32-E72D297353CC}">
              <c16:uniqueId val="{00000006-F949-4576-90E7-62AB8D29D69B}"/>
            </c:ext>
          </c:extLst>
        </c:ser>
        <c:ser>
          <c:idx val="7"/>
          <c:order val="7"/>
          <c:tx>
            <c:strRef>
              <c:f>'Initiative 1 Model'!$D$268</c:f>
              <c:strCache>
                <c:ptCount val="1"/>
              </c:strCache>
            </c:strRef>
          </c:tx>
          <c:spPr>
            <a:ln w="28575" cap="rnd">
              <a:solidFill>
                <a:schemeClr val="accent1">
                  <a:tint val="69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1 Model'!$G$266:$Z$266</c15:sqref>
                  </c15:fullRef>
                </c:ext>
              </c:extLst>
              <c:f>'Initiative 1 Model'!$G$266:$U$266</c:f>
              <c:numCache>
                <c:formatCode>General</c:formatCode>
                <c:ptCount val="15"/>
              </c:numCache>
            </c:numRef>
          </c:val>
          <c:smooth val="0"/>
          <c:extLst>
            <c:ext xmlns:c16="http://schemas.microsoft.com/office/drawing/2014/chart" uri="{C3380CC4-5D6E-409C-BE32-E72D297353CC}">
              <c16:uniqueId val="{00000007-F949-4576-90E7-62AB8D29D69B}"/>
            </c:ext>
          </c:extLst>
        </c:ser>
        <c:ser>
          <c:idx val="8"/>
          <c:order val="8"/>
          <c:tx>
            <c:strRef>
              <c:f>'Initiative 1 Model'!$D$269</c:f>
              <c:strCache>
                <c:ptCount val="1"/>
              </c:strCache>
            </c:strRef>
          </c:tx>
          <c:spPr>
            <a:ln w="28575" cap="rnd">
              <a:solidFill>
                <a:schemeClr val="accent1">
                  <a:tint val="56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1 Model'!$G$267:$Z$267</c15:sqref>
                  </c15:fullRef>
                </c:ext>
              </c:extLst>
              <c:f>'Initiative 1 Model'!$G$267:$U$267</c:f>
              <c:numCache>
                <c:formatCode>General</c:formatCode>
                <c:ptCount val="15"/>
              </c:numCache>
            </c:numRef>
          </c:val>
          <c:smooth val="0"/>
          <c:extLst>
            <c:ext xmlns:c16="http://schemas.microsoft.com/office/drawing/2014/chart" uri="{C3380CC4-5D6E-409C-BE32-E72D297353CC}">
              <c16:uniqueId val="{00000008-F949-4576-90E7-62AB8D29D69B}"/>
            </c:ext>
          </c:extLst>
        </c:ser>
        <c:ser>
          <c:idx val="9"/>
          <c:order val="9"/>
          <c:tx>
            <c:strRef>
              <c:f>'Initiative 1 Model'!$D$270</c:f>
              <c:strCache>
                <c:ptCount val="1"/>
              </c:strCache>
            </c:strRef>
          </c:tx>
          <c:spPr>
            <a:ln w="28575" cap="rnd">
              <a:solidFill>
                <a:schemeClr val="accent1">
                  <a:tint val="43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1 Model'!$G$268:$Z$268</c15:sqref>
                  </c15:fullRef>
                </c:ext>
              </c:extLst>
              <c:f>'Initiative 1 Model'!$G$268:$U$268</c:f>
              <c:numCache>
                <c:formatCode>General</c:formatCode>
                <c:ptCount val="15"/>
              </c:numCache>
            </c:numRef>
          </c:val>
          <c:smooth val="0"/>
          <c:extLst>
            <c:ext xmlns:c16="http://schemas.microsoft.com/office/drawing/2014/chart" uri="{C3380CC4-5D6E-409C-BE32-E72D297353CC}">
              <c16:uniqueId val="{00000009-F949-4576-90E7-62AB8D29D69B}"/>
            </c:ext>
          </c:extLst>
        </c:ser>
        <c:dLbls>
          <c:showLegendKey val="0"/>
          <c:showVal val="0"/>
          <c:showCatName val="0"/>
          <c:showSerName val="0"/>
          <c:showPercent val="0"/>
          <c:showBubbleSize val="0"/>
        </c:dLbls>
        <c:marker val="1"/>
        <c:smooth val="0"/>
        <c:axId val="1024058048"/>
        <c:axId val="1029654368"/>
      </c:lineChart>
      <c:catAx>
        <c:axId val="1024048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Year of Operation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53536"/>
        <c:crosses val="autoZero"/>
        <c:auto val="1"/>
        <c:lblAlgn val="ctr"/>
        <c:lblOffset val="100"/>
        <c:noMultiLvlLbl val="0"/>
      </c:catAx>
      <c:valAx>
        <c:axId val="1029653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48448"/>
        <c:crosses val="autoZero"/>
        <c:crossBetween val="between"/>
      </c:valAx>
      <c:valAx>
        <c:axId val="1029654368"/>
        <c:scaling>
          <c:orientation val="minMax"/>
          <c:max val="7.8"/>
          <c:min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Tariff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58048"/>
        <c:crosses val="max"/>
        <c:crossBetween val="between"/>
      </c:valAx>
      <c:catAx>
        <c:axId val="1024058048"/>
        <c:scaling>
          <c:orientation val="minMax"/>
        </c:scaling>
        <c:delete val="1"/>
        <c:axPos val="b"/>
        <c:majorTickMark val="out"/>
        <c:minorTickMark val="none"/>
        <c:tickLblPos val="nextTo"/>
        <c:crossAx val="10296543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2"/>
          <c:order val="2"/>
          <c:tx>
            <c:strRef>
              <c:f>'Initiative 1 Model'!$D$244</c:f>
              <c:strCache>
                <c:ptCount val="1"/>
              </c:strCache>
            </c:strRef>
          </c:tx>
          <c:spPr>
            <a:solidFill>
              <a:schemeClr val="bg1">
                <a:lumMod val="85000"/>
              </a:schemeClr>
            </a:solidFill>
            <a:ln>
              <a:noFill/>
            </a:ln>
            <a:effectLst/>
          </c:spP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1 Model'!$G$242:$Z$242</c15:sqref>
                  </c15:fullRef>
                </c:ext>
              </c:extLst>
              <c:f>'Initiative 1 Model'!$G$242:$U$242</c:f>
              <c:numCache>
                <c:formatCode>General</c:formatCode>
                <c:ptCount val="15"/>
              </c:numCache>
            </c:numRef>
          </c:val>
          <c:extLst>
            <c:ext xmlns:c16="http://schemas.microsoft.com/office/drawing/2014/chart" uri="{C3380CC4-5D6E-409C-BE32-E72D297353CC}">
              <c16:uniqueId val="{00000000-35F7-4D47-9139-3D9D4C1E9B1E}"/>
            </c:ext>
          </c:extLst>
        </c:ser>
        <c:dLbls>
          <c:showLegendKey val="0"/>
          <c:showVal val="0"/>
          <c:showCatName val="0"/>
          <c:showSerName val="0"/>
          <c:showPercent val="0"/>
          <c:showBubbleSize val="0"/>
        </c:dLbls>
        <c:axId val="58907136"/>
        <c:axId val="560574320"/>
      </c:areaChart>
      <c:barChart>
        <c:barDir val="col"/>
        <c:grouping val="clustered"/>
        <c:varyColors val="0"/>
        <c:ser>
          <c:idx val="0"/>
          <c:order val="0"/>
          <c:tx>
            <c:strRef>
              <c:f>'Initiative 1 Model'!$D$242</c:f>
              <c:strCache>
                <c:ptCount val="1"/>
              </c:strCache>
            </c:strRef>
          </c:tx>
          <c:spPr>
            <a:solidFill>
              <a:schemeClr val="accent1"/>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1 Model'!$G$240:$Z$240</c15:sqref>
                  </c15:fullRef>
                </c:ext>
              </c:extLst>
              <c:f>'Initiative 1 Model'!$G$240:$U$240</c:f>
              <c:numCache>
                <c:formatCode>General</c:formatCode>
                <c:ptCount val="15"/>
              </c:numCache>
            </c:numRef>
          </c:val>
          <c:extLst>
            <c:ext xmlns:c16="http://schemas.microsoft.com/office/drawing/2014/chart" uri="{C3380CC4-5D6E-409C-BE32-E72D297353CC}">
              <c16:uniqueId val="{00000001-35F7-4D47-9139-3D9D4C1E9B1E}"/>
            </c:ext>
          </c:extLst>
        </c:ser>
        <c:ser>
          <c:idx val="1"/>
          <c:order val="1"/>
          <c:tx>
            <c:strRef>
              <c:f>'Initiative 1 Model'!$D$243</c:f>
              <c:strCache>
                <c:ptCount val="1"/>
              </c:strCache>
            </c:strRef>
          </c:tx>
          <c:spPr>
            <a:solidFill>
              <a:schemeClr val="accent2"/>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1 Model'!$G$241:$Z$241</c15:sqref>
                  </c15:fullRef>
                </c:ext>
              </c:extLst>
              <c:f>'Initiative 1 Model'!$G$241:$U$241</c:f>
              <c:numCache>
                <c:formatCode>General</c:formatCode>
                <c:ptCount val="15"/>
              </c:numCache>
            </c:numRef>
          </c:val>
          <c:extLst>
            <c:ext xmlns:c16="http://schemas.microsoft.com/office/drawing/2014/chart" uri="{C3380CC4-5D6E-409C-BE32-E72D297353CC}">
              <c16:uniqueId val="{00000002-35F7-4D47-9139-3D9D4C1E9B1E}"/>
            </c:ext>
          </c:extLst>
        </c:ser>
        <c:dLbls>
          <c:showLegendKey val="0"/>
          <c:showVal val="0"/>
          <c:showCatName val="0"/>
          <c:showSerName val="0"/>
          <c:showPercent val="0"/>
          <c:showBubbleSize val="0"/>
        </c:dLbls>
        <c:gapWidth val="219"/>
        <c:axId val="983537856"/>
        <c:axId val="1029660608"/>
      </c:barChart>
      <c:catAx>
        <c:axId val="98353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Operational</a:t>
                </a:r>
                <a:r>
                  <a:rPr lang="en-ZA" baseline="0"/>
                  <a:t>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60608"/>
        <c:crosses val="autoZero"/>
        <c:auto val="1"/>
        <c:lblAlgn val="ctr"/>
        <c:lblOffset val="100"/>
        <c:noMultiLvlLbl val="0"/>
      </c:catAx>
      <c:valAx>
        <c:axId val="1029660608"/>
        <c:scaling>
          <c:orientation val="minMax"/>
          <c:max val="30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Annual Saving &amp; Cost (R)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537856"/>
        <c:crosses val="autoZero"/>
        <c:crossBetween val="between"/>
      </c:valAx>
      <c:valAx>
        <c:axId val="560574320"/>
        <c:scaling>
          <c:orientation val="minMax"/>
          <c:max val="470000000"/>
          <c:min val="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Cumulative Net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07136"/>
        <c:crosses val="max"/>
        <c:crossBetween val="between"/>
      </c:valAx>
      <c:catAx>
        <c:axId val="58907136"/>
        <c:scaling>
          <c:orientation val="minMax"/>
        </c:scaling>
        <c:delete val="1"/>
        <c:axPos val="b"/>
        <c:majorTickMark val="out"/>
        <c:minorTickMark val="none"/>
        <c:tickLblPos val="nextTo"/>
        <c:crossAx val="5605743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col"/>
        <c:grouping val="stacked"/>
        <c:varyColors val="0"/>
        <c:ser>
          <c:idx val="0"/>
          <c:order val="0"/>
          <c:tx>
            <c:strRef>
              <c:f>'Initiative 2 Model'!$D$260</c:f>
              <c:strCache>
                <c:ptCount val="1"/>
              </c:strCache>
            </c:strRef>
          </c:tx>
          <c:spPr>
            <a:solidFill>
              <a:schemeClr val="accent1">
                <a:lumMod val="5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2 Model'!$G$258:$Z$258</c15:sqref>
                  </c15:fullRef>
                </c:ext>
              </c:extLst>
              <c:f>'Initiative 2 Model'!$G$258:$U$258</c:f>
              <c:numCache>
                <c:formatCode>General</c:formatCode>
                <c:ptCount val="15"/>
              </c:numCache>
            </c:numRef>
          </c:val>
          <c:extLst>
            <c:ext xmlns:c16="http://schemas.microsoft.com/office/drawing/2014/chart" uri="{C3380CC4-5D6E-409C-BE32-E72D297353CC}">
              <c16:uniqueId val="{00000000-241D-48F8-80FE-D45D09848F21}"/>
            </c:ext>
          </c:extLst>
        </c:ser>
        <c:ser>
          <c:idx val="1"/>
          <c:order val="1"/>
          <c:tx>
            <c:strRef>
              <c:f>'Initiative 2 Model'!$D$261</c:f>
              <c:strCache>
                <c:ptCount val="1"/>
              </c:strCache>
            </c:strRef>
          </c:tx>
          <c:spPr>
            <a:solidFill>
              <a:schemeClr val="accent1">
                <a:lumMod val="75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2 Model'!$G$259:$Z$259</c15:sqref>
                  </c15:fullRef>
                </c:ext>
              </c:extLst>
              <c:f>'Initiative 2 Model'!$G$259:$U$259</c:f>
              <c:numCache>
                <c:formatCode>General</c:formatCode>
                <c:ptCount val="15"/>
              </c:numCache>
            </c:numRef>
          </c:val>
          <c:extLst>
            <c:ext xmlns:c16="http://schemas.microsoft.com/office/drawing/2014/chart" uri="{C3380CC4-5D6E-409C-BE32-E72D297353CC}">
              <c16:uniqueId val="{00000001-241D-48F8-80FE-D45D09848F21}"/>
            </c:ext>
          </c:extLst>
        </c:ser>
        <c:ser>
          <c:idx val="2"/>
          <c:order val="2"/>
          <c:tx>
            <c:strRef>
              <c:f>'Initiative 2 Model'!$D$262</c:f>
              <c:strCache>
                <c:ptCount val="1"/>
              </c:strCache>
            </c:strRef>
          </c:tx>
          <c:spPr>
            <a:solidFill>
              <a:schemeClr val="accent1">
                <a:lumMod val="60000"/>
                <a:lumOff val="4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2 Model'!$G$260:$Z$260</c15:sqref>
                  </c15:fullRef>
                </c:ext>
              </c:extLst>
              <c:f>'Initiative 2 Model'!$G$260:$U$260</c:f>
              <c:numCache>
                <c:formatCode>General</c:formatCode>
                <c:ptCount val="15"/>
              </c:numCache>
            </c:numRef>
          </c:val>
          <c:extLst>
            <c:ext xmlns:c16="http://schemas.microsoft.com/office/drawing/2014/chart" uri="{C3380CC4-5D6E-409C-BE32-E72D297353CC}">
              <c16:uniqueId val="{00000002-241D-48F8-80FE-D45D09848F21}"/>
            </c:ext>
          </c:extLst>
        </c:ser>
        <c:ser>
          <c:idx val="3"/>
          <c:order val="3"/>
          <c:tx>
            <c:strRef>
              <c:f>'Initiative 2 Model'!$D$263</c:f>
              <c:strCache>
                <c:ptCount val="1"/>
              </c:strCache>
            </c:strRef>
          </c:tx>
          <c:spPr>
            <a:solidFill>
              <a:schemeClr val="accent1">
                <a:lumMod val="40000"/>
                <a:lumOff val="6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2 Model'!$G$261:$Z$261</c15:sqref>
                  </c15:fullRef>
                </c:ext>
              </c:extLst>
              <c:f>'Initiative 2 Model'!$G$261:$U$261</c:f>
              <c:numCache>
                <c:formatCode>General</c:formatCode>
                <c:ptCount val="15"/>
              </c:numCache>
            </c:numRef>
          </c:val>
          <c:extLst>
            <c:ext xmlns:c16="http://schemas.microsoft.com/office/drawing/2014/chart" uri="{C3380CC4-5D6E-409C-BE32-E72D297353CC}">
              <c16:uniqueId val="{00000003-241D-48F8-80FE-D45D09848F21}"/>
            </c:ext>
          </c:extLst>
        </c:ser>
        <c:ser>
          <c:idx val="4"/>
          <c:order val="4"/>
          <c:tx>
            <c:strRef>
              <c:f>'Initiative 2 Model'!$D$264</c:f>
              <c:strCache>
                <c:ptCount val="1"/>
              </c:strCache>
            </c:strRef>
          </c:tx>
          <c:spPr>
            <a:solidFill>
              <a:schemeClr val="accent1">
                <a:lumMod val="20000"/>
                <a:lumOff val="8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2 Model'!$G$262:$Z$262</c15:sqref>
                  </c15:fullRef>
                </c:ext>
              </c:extLst>
              <c:f>'Initiative 2 Model'!$G$262:$U$262</c:f>
              <c:numCache>
                <c:formatCode>General</c:formatCode>
                <c:ptCount val="15"/>
              </c:numCache>
            </c:numRef>
          </c:val>
          <c:extLst>
            <c:ext xmlns:c16="http://schemas.microsoft.com/office/drawing/2014/chart" uri="{C3380CC4-5D6E-409C-BE32-E72D297353CC}">
              <c16:uniqueId val="{00000004-241D-48F8-80FE-D45D09848F21}"/>
            </c:ext>
          </c:extLst>
        </c:ser>
        <c:dLbls>
          <c:showLegendKey val="0"/>
          <c:showVal val="0"/>
          <c:showCatName val="0"/>
          <c:showSerName val="0"/>
          <c:showPercent val="0"/>
          <c:showBubbleSize val="0"/>
        </c:dLbls>
        <c:gapWidth val="327"/>
        <c:overlap val="100"/>
        <c:axId val="1024048448"/>
        <c:axId val="1029653536"/>
      </c:barChart>
      <c:lineChart>
        <c:grouping val="standard"/>
        <c:varyColors val="0"/>
        <c:ser>
          <c:idx val="5"/>
          <c:order val="5"/>
          <c:tx>
            <c:strRef>
              <c:f>'Initiative 2 Model'!$D$266</c:f>
              <c:strCache>
                <c:ptCount val="1"/>
              </c:strCache>
            </c:strRef>
          </c:tx>
          <c:spPr>
            <a:ln w="28575" cap="rnd">
              <a:solidFill>
                <a:schemeClr val="accent1">
                  <a:tint val="94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2 Model'!$G$264:$Z$264</c15:sqref>
                  </c15:fullRef>
                </c:ext>
              </c:extLst>
              <c:f>'Initiative 2 Model'!$G$264:$U$264</c:f>
              <c:numCache>
                <c:formatCode>General</c:formatCode>
                <c:ptCount val="15"/>
              </c:numCache>
            </c:numRef>
          </c:val>
          <c:smooth val="0"/>
          <c:extLst>
            <c:ext xmlns:c16="http://schemas.microsoft.com/office/drawing/2014/chart" uri="{C3380CC4-5D6E-409C-BE32-E72D297353CC}">
              <c16:uniqueId val="{00000005-241D-48F8-80FE-D45D09848F21}"/>
            </c:ext>
          </c:extLst>
        </c:ser>
        <c:ser>
          <c:idx val="6"/>
          <c:order val="6"/>
          <c:tx>
            <c:strRef>
              <c:f>'Initiative 2 Model'!$D$267</c:f>
              <c:strCache>
                <c:ptCount val="1"/>
              </c:strCache>
            </c:strRef>
          </c:tx>
          <c:spPr>
            <a:ln w="28575" cap="rnd">
              <a:solidFill>
                <a:schemeClr val="accent1">
                  <a:tint val="81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2 Model'!$G$265:$Z$265</c15:sqref>
                  </c15:fullRef>
                </c:ext>
              </c:extLst>
              <c:f>'Initiative 2 Model'!$G$265:$U$265</c:f>
              <c:numCache>
                <c:formatCode>General</c:formatCode>
                <c:ptCount val="15"/>
              </c:numCache>
            </c:numRef>
          </c:val>
          <c:smooth val="0"/>
          <c:extLst>
            <c:ext xmlns:c16="http://schemas.microsoft.com/office/drawing/2014/chart" uri="{C3380CC4-5D6E-409C-BE32-E72D297353CC}">
              <c16:uniqueId val="{00000006-241D-48F8-80FE-D45D09848F21}"/>
            </c:ext>
          </c:extLst>
        </c:ser>
        <c:ser>
          <c:idx val="7"/>
          <c:order val="7"/>
          <c:tx>
            <c:strRef>
              <c:f>'Initiative 2 Model'!$D$268</c:f>
              <c:strCache>
                <c:ptCount val="1"/>
              </c:strCache>
            </c:strRef>
          </c:tx>
          <c:spPr>
            <a:ln w="28575" cap="rnd">
              <a:solidFill>
                <a:schemeClr val="accent1">
                  <a:tint val="69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2 Model'!$G$266:$Z$266</c15:sqref>
                  </c15:fullRef>
                </c:ext>
              </c:extLst>
              <c:f>'Initiative 2 Model'!$G$266:$U$266</c:f>
              <c:numCache>
                <c:formatCode>General</c:formatCode>
                <c:ptCount val="15"/>
              </c:numCache>
            </c:numRef>
          </c:val>
          <c:smooth val="0"/>
          <c:extLst>
            <c:ext xmlns:c16="http://schemas.microsoft.com/office/drawing/2014/chart" uri="{C3380CC4-5D6E-409C-BE32-E72D297353CC}">
              <c16:uniqueId val="{00000007-241D-48F8-80FE-D45D09848F21}"/>
            </c:ext>
          </c:extLst>
        </c:ser>
        <c:ser>
          <c:idx val="8"/>
          <c:order val="8"/>
          <c:tx>
            <c:strRef>
              <c:f>'Initiative 2 Model'!$D$269</c:f>
              <c:strCache>
                <c:ptCount val="1"/>
              </c:strCache>
            </c:strRef>
          </c:tx>
          <c:spPr>
            <a:ln w="28575" cap="rnd">
              <a:solidFill>
                <a:schemeClr val="accent1">
                  <a:tint val="56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2 Model'!$G$267:$Z$267</c15:sqref>
                  </c15:fullRef>
                </c:ext>
              </c:extLst>
              <c:f>'Initiative 2 Model'!$G$267:$U$267</c:f>
              <c:numCache>
                <c:formatCode>General</c:formatCode>
                <c:ptCount val="15"/>
              </c:numCache>
            </c:numRef>
          </c:val>
          <c:smooth val="0"/>
          <c:extLst>
            <c:ext xmlns:c16="http://schemas.microsoft.com/office/drawing/2014/chart" uri="{C3380CC4-5D6E-409C-BE32-E72D297353CC}">
              <c16:uniqueId val="{00000008-241D-48F8-80FE-D45D09848F21}"/>
            </c:ext>
          </c:extLst>
        </c:ser>
        <c:ser>
          <c:idx val="9"/>
          <c:order val="9"/>
          <c:tx>
            <c:strRef>
              <c:f>'Initiative 2 Model'!$D$270</c:f>
              <c:strCache>
                <c:ptCount val="1"/>
              </c:strCache>
            </c:strRef>
          </c:tx>
          <c:spPr>
            <a:ln w="28575" cap="rnd">
              <a:solidFill>
                <a:schemeClr val="accent1">
                  <a:tint val="43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2 Model'!$G$268:$Z$268</c15:sqref>
                  </c15:fullRef>
                </c:ext>
              </c:extLst>
              <c:f>'Initiative 2 Model'!$G$268:$U$268</c:f>
              <c:numCache>
                <c:formatCode>General</c:formatCode>
                <c:ptCount val="15"/>
              </c:numCache>
            </c:numRef>
          </c:val>
          <c:smooth val="0"/>
          <c:extLst>
            <c:ext xmlns:c16="http://schemas.microsoft.com/office/drawing/2014/chart" uri="{C3380CC4-5D6E-409C-BE32-E72D297353CC}">
              <c16:uniqueId val="{00000009-241D-48F8-80FE-D45D09848F21}"/>
            </c:ext>
          </c:extLst>
        </c:ser>
        <c:dLbls>
          <c:showLegendKey val="0"/>
          <c:showVal val="0"/>
          <c:showCatName val="0"/>
          <c:showSerName val="0"/>
          <c:showPercent val="0"/>
          <c:showBubbleSize val="0"/>
        </c:dLbls>
        <c:marker val="1"/>
        <c:smooth val="0"/>
        <c:axId val="1024058048"/>
        <c:axId val="1029654368"/>
      </c:lineChart>
      <c:catAx>
        <c:axId val="1024048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Year of Operation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53536"/>
        <c:crosses val="autoZero"/>
        <c:auto val="1"/>
        <c:lblAlgn val="ctr"/>
        <c:lblOffset val="100"/>
        <c:noMultiLvlLbl val="0"/>
      </c:catAx>
      <c:valAx>
        <c:axId val="1029653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48448"/>
        <c:crosses val="autoZero"/>
        <c:crossBetween val="between"/>
      </c:valAx>
      <c:valAx>
        <c:axId val="1029654368"/>
        <c:scaling>
          <c:orientation val="minMax"/>
          <c:max val="7.8"/>
          <c:min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Tariff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58048"/>
        <c:crosses val="max"/>
        <c:crossBetween val="between"/>
      </c:valAx>
      <c:catAx>
        <c:axId val="1024058048"/>
        <c:scaling>
          <c:orientation val="minMax"/>
        </c:scaling>
        <c:delete val="1"/>
        <c:axPos val="b"/>
        <c:majorTickMark val="out"/>
        <c:minorTickMark val="none"/>
        <c:tickLblPos val="nextTo"/>
        <c:crossAx val="10296543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2"/>
          <c:order val="2"/>
          <c:tx>
            <c:strRef>
              <c:f>'Initiative 2 Model'!$D$244</c:f>
              <c:strCache>
                <c:ptCount val="1"/>
              </c:strCache>
            </c:strRef>
          </c:tx>
          <c:spPr>
            <a:solidFill>
              <a:schemeClr val="bg1">
                <a:lumMod val="85000"/>
              </a:schemeClr>
            </a:solidFill>
            <a:ln>
              <a:noFill/>
            </a:ln>
            <a:effectLst/>
          </c:spP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2 Model'!$G$242:$Z$242</c15:sqref>
                  </c15:fullRef>
                </c:ext>
              </c:extLst>
              <c:f>'Initiative 2 Model'!$G$242:$U$242</c:f>
              <c:numCache>
                <c:formatCode>General</c:formatCode>
                <c:ptCount val="15"/>
              </c:numCache>
            </c:numRef>
          </c:val>
          <c:extLst>
            <c:ext xmlns:c16="http://schemas.microsoft.com/office/drawing/2014/chart" uri="{C3380CC4-5D6E-409C-BE32-E72D297353CC}">
              <c16:uniqueId val="{00000000-9515-4635-8A95-C1CABD2ED17F}"/>
            </c:ext>
          </c:extLst>
        </c:ser>
        <c:dLbls>
          <c:showLegendKey val="0"/>
          <c:showVal val="0"/>
          <c:showCatName val="0"/>
          <c:showSerName val="0"/>
          <c:showPercent val="0"/>
          <c:showBubbleSize val="0"/>
        </c:dLbls>
        <c:axId val="58907136"/>
        <c:axId val="560574320"/>
      </c:areaChart>
      <c:barChart>
        <c:barDir val="col"/>
        <c:grouping val="clustered"/>
        <c:varyColors val="0"/>
        <c:ser>
          <c:idx val="0"/>
          <c:order val="0"/>
          <c:tx>
            <c:strRef>
              <c:f>'Initiative 2 Model'!$D$242</c:f>
              <c:strCache>
                <c:ptCount val="1"/>
              </c:strCache>
            </c:strRef>
          </c:tx>
          <c:spPr>
            <a:solidFill>
              <a:schemeClr val="accent1"/>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2 Model'!$G$240:$Z$240</c15:sqref>
                  </c15:fullRef>
                </c:ext>
              </c:extLst>
              <c:f>'Initiative 2 Model'!$G$240:$U$240</c:f>
              <c:numCache>
                <c:formatCode>General</c:formatCode>
                <c:ptCount val="15"/>
              </c:numCache>
            </c:numRef>
          </c:val>
          <c:extLst>
            <c:ext xmlns:c16="http://schemas.microsoft.com/office/drawing/2014/chart" uri="{C3380CC4-5D6E-409C-BE32-E72D297353CC}">
              <c16:uniqueId val="{00000001-9515-4635-8A95-C1CABD2ED17F}"/>
            </c:ext>
          </c:extLst>
        </c:ser>
        <c:ser>
          <c:idx val="1"/>
          <c:order val="1"/>
          <c:tx>
            <c:strRef>
              <c:f>'Initiative 2 Model'!$D$243</c:f>
              <c:strCache>
                <c:ptCount val="1"/>
              </c:strCache>
            </c:strRef>
          </c:tx>
          <c:spPr>
            <a:solidFill>
              <a:schemeClr val="accent2"/>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2 Model'!$G$241:$Z$241</c15:sqref>
                  </c15:fullRef>
                </c:ext>
              </c:extLst>
              <c:f>'Initiative 2 Model'!$G$241:$U$241</c:f>
              <c:numCache>
                <c:formatCode>General</c:formatCode>
                <c:ptCount val="15"/>
              </c:numCache>
            </c:numRef>
          </c:val>
          <c:extLst>
            <c:ext xmlns:c16="http://schemas.microsoft.com/office/drawing/2014/chart" uri="{C3380CC4-5D6E-409C-BE32-E72D297353CC}">
              <c16:uniqueId val="{00000002-9515-4635-8A95-C1CABD2ED17F}"/>
            </c:ext>
          </c:extLst>
        </c:ser>
        <c:dLbls>
          <c:showLegendKey val="0"/>
          <c:showVal val="0"/>
          <c:showCatName val="0"/>
          <c:showSerName val="0"/>
          <c:showPercent val="0"/>
          <c:showBubbleSize val="0"/>
        </c:dLbls>
        <c:gapWidth val="219"/>
        <c:axId val="983537856"/>
        <c:axId val="1029660608"/>
      </c:barChart>
      <c:catAx>
        <c:axId val="98353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Operational</a:t>
                </a:r>
                <a:r>
                  <a:rPr lang="en-ZA" baseline="0"/>
                  <a:t>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60608"/>
        <c:crosses val="autoZero"/>
        <c:auto val="1"/>
        <c:lblAlgn val="ctr"/>
        <c:lblOffset val="100"/>
        <c:noMultiLvlLbl val="0"/>
      </c:catAx>
      <c:valAx>
        <c:axId val="1029660608"/>
        <c:scaling>
          <c:orientation val="minMax"/>
          <c:max val="30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Annual Saving &amp; Cost (R)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537856"/>
        <c:crosses val="autoZero"/>
        <c:crossBetween val="between"/>
      </c:valAx>
      <c:valAx>
        <c:axId val="560574320"/>
        <c:scaling>
          <c:orientation val="minMax"/>
          <c:max val="470000000"/>
          <c:min val="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Cumulative Net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07136"/>
        <c:crosses val="max"/>
        <c:crossBetween val="between"/>
      </c:valAx>
      <c:catAx>
        <c:axId val="58907136"/>
        <c:scaling>
          <c:orientation val="minMax"/>
        </c:scaling>
        <c:delete val="1"/>
        <c:axPos val="b"/>
        <c:majorTickMark val="out"/>
        <c:minorTickMark val="none"/>
        <c:tickLblPos val="nextTo"/>
        <c:crossAx val="5605743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col"/>
        <c:grouping val="stacked"/>
        <c:varyColors val="0"/>
        <c:ser>
          <c:idx val="0"/>
          <c:order val="0"/>
          <c:tx>
            <c:strRef>
              <c:f>'Initiative 3 Model'!$D$260</c:f>
              <c:strCache>
                <c:ptCount val="1"/>
              </c:strCache>
            </c:strRef>
          </c:tx>
          <c:spPr>
            <a:solidFill>
              <a:schemeClr val="accent1">
                <a:lumMod val="5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3 Model'!$G$258:$Z$258</c15:sqref>
                  </c15:fullRef>
                </c:ext>
              </c:extLst>
              <c:f>'Initiative 3 Model'!$G$258:$U$258</c:f>
              <c:numCache>
                <c:formatCode>General</c:formatCode>
                <c:ptCount val="15"/>
              </c:numCache>
            </c:numRef>
          </c:val>
          <c:extLst>
            <c:ext xmlns:c16="http://schemas.microsoft.com/office/drawing/2014/chart" uri="{C3380CC4-5D6E-409C-BE32-E72D297353CC}">
              <c16:uniqueId val="{00000000-67DF-4558-98BA-DE27CFA27285}"/>
            </c:ext>
          </c:extLst>
        </c:ser>
        <c:ser>
          <c:idx val="1"/>
          <c:order val="1"/>
          <c:tx>
            <c:strRef>
              <c:f>'Initiative 3 Model'!$D$261</c:f>
              <c:strCache>
                <c:ptCount val="1"/>
              </c:strCache>
            </c:strRef>
          </c:tx>
          <c:spPr>
            <a:solidFill>
              <a:schemeClr val="accent1">
                <a:lumMod val="75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3 Model'!$G$259:$Z$259</c15:sqref>
                  </c15:fullRef>
                </c:ext>
              </c:extLst>
              <c:f>'Initiative 3 Model'!$G$259:$U$259</c:f>
              <c:numCache>
                <c:formatCode>General</c:formatCode>
                <c:ptCount val="15"/>
              </c:numCache>
            </c:numRef>
          </c:val>
          <c:extLst>
            <c:ext xmlns:c16="http://schemas.microsoft.com/office/drawing/2014/chart" uri="{C3380CC4-5D6E-409C-BE32-E72D297353CC}">
              <c16:uniqueId val="{00000001-67DF-4558-98BA-DE27CFA27285}"/>
            </c:ext>
          </c:extLst>
        </c:ser>
        <c:ser>
          <c:idx val="2"/>
          <c:order val="2"/>
          <c:tx>
            <c:strRef>
              <c:f>'Initiative 3 Model'!$D$262</c:f>
              <c:strCache>
                <c:ptCount val="1"/>
              </c:strCache>
            </c:strRef>
          </c:tx>
          <c:spPr>
            <a:solidFill>
              <a:schemeClr val="accent1">
                <a:lumMod val="60000"/>
                <a:lumOff val="4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3 Model'!$G$260:$Z$260</c15:sqref>
                  </c15:fullRef>
                </c:ext>
              </c:extLst>
              <c:f>'Initiative 3 Model'!$G$260:$U$260</c:f>
              <c:numCache>
                <c:formatCode>General</c:formatCode>
                <c:ptCount val="15"/>
              </c:numCache>
            </c:numRef>
          </c:val>
          <c:extLst>
            <c:ext xmlns:c16="http://schemas.microsoft.com/office/drawing/2014/chart" uri="{C3380CC4-5D6E-409C-BE32-E72D297353CC}">
              <c16:uniqueId val="{00000002-67DF-4558-98BA-DE27CFA27285}"/>
            </c:ext>
          </c:extLst>
        </c:ser>
        <c:ser>
          <c:idx val="3"/>
          <c:order val="3"/>
          <c:tx>
            <c:strRef>
              <c:f>'Initiative 3 Model'!$D$263</c:f>
              <c:strCache>
                <c:ptCount val="1"/>
              </c:strCache>
            </c:strRef>
          </c:tx>
          <c:spPr>
            <a:solidFill>
              <a:schemeClr val="accent1">
                <a:lumMod val="40000"/>
                <a:lumOff val="6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3 Model'!$G$261:$Z$261</c15:sqref>
                  </c15:fullRef>
                </c:ext>
              </c:extLst>
              <c:f>'Initiative 3 Model'!$G$261:$U$261</c:f>
              <c:numCache>
                <c:formatCode>General</c:formatCode>
                <c:ptCount val="15"/>
              </c:numCache>
            </c:numRef>
          </c:val>
          <c:extLst>
            <c:ext xmlns:c16="http://schemas.microsoft.com/office/drawing/2014/chart" uri="{C3380CC4-5D6E-409C-BE32-E72D297353CC}">
              <c16:uniqueId val="{00000003-67DF-4558-98BA-DE27CFA27285}"/>
            </c:ext>
          </c:extLst>
        </c:ser>
        <c:ser>
          <c:idx val="4"/>
          <c:order val="4"/>
          <c:tx>
            <c:strRef>
              <c:f>'Initiative 3 Model'!$D$264</c:f>
              <c:strCache>
                <c:ptCount val="1"/>
              </c:strCache>
            </c:strRef>
          </c:tx>
          <c:spPr>
            <a:solidFill>
              <a:schemeClr val="accent1">
                <a:lumMod val="20000"/>
                <a:lumOff val="8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3 Model'!$G$262:$Z$262</c15:sqref>
                  </c15:fullRef>
                </c:ext>
              </c:extLst>
              <c:f>'Initiative 3 Model'!$G$262:$U$262</c:f>
              <c:numCache>
                <c:formatCode>General</c:formatCode>
                <c:ptCount val="15"/>
              </c:numCache>
            </c:numRef>
          </c:val>
          <c:extLst>
            <c:ext xmlns:c16="http://schemas.microsoft.com/office/drawing/2014/chart" uri="{C3380CC4-5D6E-409C-BE32-E72D297353CC}">
              <c16:uniqueId val="{00000004-67DF-4558-98BA-DE27CFA27285}"/>
            </c:ext>
          </c:extLst>
        </c:ser>
        <c:dLbls>
          <c:showLegendKey val="0"/>
          <c:showVal val="0"/>
          <c:showCatName val="0"/>
          <c:showSerName val="0"/>
          <c:showPercent val="0"/>
          <c:showBubbleSize val="0"/>
        </c:dLbls>
        <c:gapWidth val="327"/>
        <c:overlap val="100"/>
        <c:axId val="1024048448"/>
        <c:axId val="1029653536"/>
      </c:barChart>
      <c:lineChart>
        <c:grouping val="standard"/>
        <c:varyColors val="0"/>
        <c:ser>
          <c:idx val="5"/>
          <c:order val="5"/>
          <c:tx>
            <c:strRef>
              <c:f>'Initiative 3 Model'!$D$266</c:f>
              <c:strCache>
                <c:ptCount val="1"/>
              </c:strCache>
            </c:strRef>
          </c:tx>
          <c:spPr>
            <a:ln w="28575" cap="rnd">
              <a:solidFill>
                <a:schemeClr val="accent1">
                  <a:tint val="94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3 Model'!$G$264:$Z$264</c15:sqref>
                  </c15:fullRef>
                </c:ext>
              </c:extLst>
              <c:f>'Initiative 3 Model'!$G$264:$U$264</c:f>
              <c:numCache>
                <c:formatCode>General</c:formatCode>
                <c:ptCount val="15"/>
              </c:numCache>
            </c:numRef>
          </c:val>
          <c:smooth val="0"/>
          <c:extLst>
            <c:ext xmlns:c16="http://schemas.microsoft.com/office/drawing/2014/chart" uri="{C3380CC4-5D6E-409C-BE32-E72D297353CC}">
              <c16:uniqueId val="{00000005-67DF-4558-98BA-DE27CFA27285}"/>
            </c:ext>
          </c:extLst>
        </c:ser>
        <c:ser>
          <c:idx val="6"/>
          <c:order val="6"/>
          <c:tx>
            <c:strRef>
              <c:f>'Initiative 3 Model'!$D$267</c:f>
              <c:strCache>
                <c:ptCount val="1"/>
              </c:strCache>
            </c:strRef>
          </c:tx>
          <c:spPr>
            <a:ln w="28575" cap="rnd">
              <a:solidFill>
                <a:schemeClr val="accent1">
                  <a:tint val="81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3 Model'!$G$265:$Z$265</c15:sqref>
                  </c15:fullRef>
                </c:ext>
              </c:extLst>
              <c:f>'Initiative 3 Model'!$G$265:$U$265</c:f>
              <c:numCache>
                <c:formatCode>General</c:formatCode>
                <c:ptCount val="15"/>
              </c:numCache>
            </c:numRef>
          </c:val>
          <c:smooth val="0"/>
          <c:extLst>
            <c:ext xmlns:c16="http://schemas.microsoft.com/office/drawing/2014/chart" uri="{C3380CC4-5D6E-409C-BE32-E72D297353CC}">
              <c16:uniqueId val="{00000006-67DF-4558-98BA-DE27CFA27285}"/>
            </c:ext>
          </c:extLst>
        </c:ser>
        <c:ser>
          <c:idx val="7"/>
          <c:order val="7"/>
          <c:tx>
            <c:strRef>
              <c:f>'Initiative 3 Model'!$D$268</c:f>
              <c:strCache>
                <c:ptCount val="1"/>
              </c:strCache>
            </c:strRef>
          </c:tx>
          <c:spPr>
            <a:ln w="28575" cap="rnd">
              <a:solidFill>
                <a:schemeClr val="accent1">
                  <a:tint val="69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3 Model'!$G$266:$Z$266</c15:sqref>
                  </c15:fullRef>
                </c:ext>
              </c:extLst>
              <c:f>'Initiative 3 Model'!$G$266:$U$266</c:f>
              <c:numCache>
                <c:formatCode>General</c:formatCode>
                <c:ptCount val="15"/>
              </c:numCache>
            </c:numRef>
          </c:val>
          <c:smooth val="0"/>
          <c:extLst>
            <c:ext xmlns:c16="http://schemas.microsoft.com/office/drawing/2014/chart" uri="{C3380CC4-5D6E-409C-BE32-E72D297353CC}">
              <c16:uniqueId val="{00000007-67DF-4558-98BA-DE27CFA27285}"/>
            </c:ext>
          </c:extLst>
        </c:ser>
        <c:ser>
          <c:idx val="8"/>
          <c:order val="8"/>
          <c:tx>
            <c:strRef>
              <c:f>'Initiative 3 Model'!$D$269</c:f>
              <c:strCache>
                <c:ptCount val="1"/>
              </c:strCache>
            </c:strRef>
          </c:tx>
          <c:spPr>
            <a:ln w="28575" cap="rnd">
              <a:solidFill>
                <a:schemeClr val="accent1">
                  <a:tint val="56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3 Model'!$G$267:$Z$267</c15:sqref>
                  </c15:fullRef>
                </c:ext>
              </c:extLst>
              <c:f>'Initiative 3 Model'!$G$267:$U$267</c:f>
              <c:numCache>
                <c:formatCode>General</c:formatCode>
                <c:ptCount val="15"/>
              </c:numCache>
            </c:numRef>
          </c:val>
          <c:smooth val="0"/>
          <c:extLst>
            <c:ext xmlns:c16="http://schemas.microsoft.com/office/drawing/2014/chart" uri="{C3380CC4-5D6E-409C-BE32-E72D297353CC}">
              <c16:uniqueId val="{00000008-67DF-4558-98BA-DE27CFA27285}"/>
            </c:ext>
          </c:extLst>
        </c:ser>
        <c:ser>
          <c:idx val="9"/>
          <c:order val="9"/>
          <c:tx>
            <c:strRef>
              <c:f>'Initiative 3 Model'!$D$270</c:f>
              <c:strCache>
                <c:ptCount val="1"/>
              </c:strCache>
            </c:strRef>
          </c:tx>
          <c:spPr>
            <a:ln w="28575" cap="rnd">
              <a:solidFill>
                <a:schemeClr val="accent1">
                  <a:tint val="43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3 Model'!$G$268:$Z$268</c15:sqref>
                  </c15:fullRef>
                </c:ext>
              </c:extLst>
              <c:f>'Initiative 3 Model'!$G$268:$U$268</c:f>
              <c:numCache>
                <c:formatCode>General</c:formatCode>
                <c:ptCount val="15"/>
              </c:numCache>
            </c:numRef>
          </c:val>
          <c:smooth val="0"/>
          <c:extLst>
            <c:ext xmlns:c16="http://schemas.microsoft.com/office/drawing/2014/chart" uri="{C3380CC4-5D6E-409C-BE32-E72D297353CC}">
              <c16:uniqueId val="{00000009-67DF-4558-98BA-DE27CFA27285}"/>
            </c:ext>
          </c:extLst>
        </c:ser>
        <c:dLbls>
          <c:showLegendKey val="0"/>
          <c:showVal val="0"/>
          <c:showCatName val="0"/>
          <c:showSerName val="0"/>
          <c:showPercent val="0"/>
          <c:showBubbleSize val="0"/>
        </c:dLbls>
        <c:marker val="1"/>
        <c:smooth val="0"/>
        <c:axId val="1024058048"/>
        <c:axId val="1029654368"/>
      </c:lineChart>
      <c:catAx>
        <c:axId val="1024048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Year of Operation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53536"/>
        <c:crosses val="autoZero"/>
        <c:auto val="1"/>
        <c:lblAlgn val="ctr"/>
        <c:lblOffset val="100"/>
        <c:noMultiLvlLbl val="0"/>
      </c:catAx>
      <c:valAx>
        <c:axId val="1029653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48448"/>
        <c:crosses val="autoZero"/>
        <c:crossBetween val="between"/>
      </c:valAx>
      <c:valAx>
        <c:axId val="1029654368"/>
        <c:scaling>
          <c:orientation val="minMax"/>
          <c:max val="7.8"/>
          <c:min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Tariff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58048"/>
        <c:crosses val="max"/>
        <c:crossBetween val="between"/>
      </c:valAx>
      <c:catAx>
        <c:axId val="1024058048"/>
        <c:scaling>
          <c:orientation val="minMax"/>
        </c:scaling>
        <c:delete val="1"/>
        <c:axPos val="b"/>
        <c:majorTickMark val="out"/>
        <c:minorTickMark val="none"/>
        <c:tickLblPos val="nextTo"/>
        <c:crossAx val="10296543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2"/>
          <c:order val="2"/>
          <c:tx>
            <c:strRef>
              <c:f>'Initiative 3 Model'!$D$244</c:f>
              <c:strCache>
                <c:ptCount val="1"/>
              </c:strCache>
            </c:strRef>
          </c:tx>
          <c:spPr>
            <a:solidFill>
              <a:schemeClr val="bg1">
                <a:lumMod val="85000"/>
              </a:schemeClr>
            </a:solidFill>
            <a:ln>
              <a:noFill/>
            </a:ln>
            <a:effectLst/>
          </c:spP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3 Model'!$G$242:$Z$242</c15:sqref>
                  </c15:fullRef>
                </c:ext>
              </c:extLst>
              <c:f>'Initiative 3 Model'!$G$242:$U$242</c:f>
              <c:numCache>
                <c:formatCode>General</c:formatCode>
                <c:ptCount val="15"/>
              </c:numCache>
            </c:numRef>
          </c:val>
          <c:extLst>
            <c:ext xmlns:c16="http://schemas.microsoft.com/office/drawing/2014/chart" uri="{C3380CC4-5D6E-409C-BE32-E72D297353CC}">
              <c16:uniqueId val="{00000000-18D1-41A1-B251-F5812021AEA5}"/>
            </c:ext>
          </c:extLst>
        </c:ser>
        <c:dLbls>
          <c:showLegendKey val="0"/>
          <c:showVal val="0"/>
          <c:showCatName val="0"/>
          <c:showSerName val="0"/>
          <c:showPercent val="0"/>
          <c:showBubbleSize val="0"/>
        </c:dLbls>
        <c:axId val="58907136"/>
        <c:axId val="560574320"/>
      </c:areaChart>
      <c:barChart>
        <c:barDir val="col"/>
        <c:grouping val="clustered"/>
        <c:varyColors val="0"/>
        <c:ser>
          <c:idx val="0"/>
          <c:order val="0"/>
          <c:tx>
            <c:strRef>
              <c:f>'Initiative 3 Model'!$D$242</c:f>
              <c:strCache>
                <c:ptCount val="1"/>
              </c:strCache>
            </c:strRef>
          </c:tx>
          <c:spPr>
            <a:solidFill>
              <a:schemeClr val="accent1"/>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3 Model'!$G$240:$Z$240</c15:sqref>
                  </c15:fullRef>
                </c:ext>
              </c:extLst>
              <c:f>'Initiative 3 Model'!$G$240:$U$240</c:f>
              <c:numCache>
                <c:formatCode>General</c:formatCode>
                <c:ptCount val="15"/>
              </c:numCache>
            </c:numRef>
          </c:val>
          <c:extLst>
            <c:ext xmlns:c16="http://schemas.microsoft.com/office/drawing/2014/chart" uri="{C3380CC4-5D6E-409C-BE32-E72D297353CC}">
              <c16:uniqueId val="{00000001-18D1-41A1-B251-F5812021AEA5}"/>
            </c:ext>
          </c:extLst>
        </c:ser>
        <c:ser>
          <c:idx val="1"/>
          <c:order val="1"/>
          <c:tx>
            <c:strRef>
              <c:f>'Initiative 3 Model'!$D$243</c:f>
              <c:strCache>
                <c:ptCount val="1"/>
              </c:strCache>
            </c:strRef>
          </c:tx>
          <c:spPr>
            <a:solidFill>
              <a:schemeClr val="accent2"/>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3 Model'!$G$241:$Z$241</c15:sqref>
                  </c15:fullRef>
                </c:ext>
              </c:extLst>
              <c:f>'Initiative 3 Model'!$G$241:$U$241</c:f>
              <c:numCache>
                <c:formatCode>General</c:formatCode>
                <c:ptCount val="15"/>
              </c:numCache>
            </c:numRef>
          </c:val>
          <c:extLst>
            <c:ext xmlns:c16="http://schemas.microsoft.com/office/drawing/2014/chart" uri="{C3380CC4-5D6E-409C-BE32-E72D297353CC}">
              <c16:uniqueId val="{00000002-18D1-41A1-B251-F5812021AEA5}"/>
            </c:ext>
          </c:extLst>
        </c:ser>
        <c:dLbls>
          <c:showLegendKey val="0"/>
          <c:showVal val="0"/>
          <c:showCatName val="0"/>
          <c:showSerName val="0"/>
          <c:showPercent val="0"/>
          <c:showBubbleSize val="0"/>
        </c:dLbls>
        <c:gapWidth val="219"/>
        <c:axId val="983537856"/>
        <c:axId val="1029660608"/>
      </c:barChart>
      <c:catAx>
        <c:axId val="98353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Operational</a:t>
                </a:r>
                <a:r>
                  <a:rPr lang="en-ZA" baseline="0"/>
                  <a:t>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60608"/>
        <c:crosses val="autoZero"/>
        <c:auto val="1"/>
        <c:lblAlgn val="ctr"/>
        <c:lblOffset val="100"/>
        <c:noMultiLvlLbl val="0"/>
      </c:catAx>
      <c:valAx>
        <c:axId val="1029660608"/>
        <c:scaling>
          <c:orientation val="minMax"/>
          <c:max val="30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Annual Saving &amp; Cost (R)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537856"/>
        <c:crosses val="autoZero"/>
        <c:crossBetween val="between"/>
      </c:valAx>
      <c:valAx>
        <c:axId val="560574320"/>
        <c:scaling>
          <c:orientation val="minMax"/>
          <c:max val="470000000"/>
          <c:min val="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Cumulative Net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07136"/>
        <c:crosses val="max"/>
        <c:crossBetween val="between"/>
      </c:valAx>
      <c:catAx>
        <c:axId val="58907136"/>
        <c:scaling>
          <c:orientation val="minMax"/>
        </c:scaling>
        <c:delete val="1"/>
        <c:axPos val="b"/>
        <c:majorTickMark val="out"/>
        <c:minorTickMark val="none"/>
        <c:tickLblPos val="nextTo"/>
        <c:crossAx val="5605743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col"/>
        <c:grouping val="stacked"/>
        <c:varyColors val="0"/>
        <c:ser>
          <c:idx val="0"/>
          <c:order val="0"/>
          <c:tx>
            <c:strRef>
              <c:f>'Initiative 4 Model'!$D$260</c:f>
              <c:strCache>
                <c:ptCount val="1"/>
              </c:strCache>
            </c:strRef>
          </c:tx>
          <c:spPr>
            <a:solidFill>
              <a:schemeClr val="accent1">
                <a:lumMod val="5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4 Model'!$G$258:$Z$258</c15:sqref>
                  </c15:fullRef>
                </c:ext>
              </c:extLst>
              <c:f>'Initiative 4 Model'!$G$258:$U$258</c:f>
              <c:numCache>
                <c:formatCode>General</c:formatCode>
                <c:ptCount val="15"/>
              </c:numCache>
            </c:numRef>
          </c:val>
          <c:extLst>
            <c:ext xmlns:c16="http://schemas.microsoft.com/office/drawing/2014/chart" uri="{C3380CC4-5D6E-409C-BE32-E72D297353CC}">
              <c16:uniqueId val="{00000000-0903-46A3-A35C-AAE59C2E03AB}"/>
            </c:ext>
          </c:extLst>
        </c:ser>
        <c:ser>
          <c:idx val="1"/>
          <c:order val="1"/>
          <c:tx>
            <c:strRef>
              <c:f>'Initiative 4 Model'!$D$261</c:f>
              <c:strCache>
                <c:ptCount val="1"/>
              </c:strCache>
            </c:strRef>
          </c:tx>
          <c:spPr>
            <a:solidFill>
              <a:schemeClr val="accent1">
                <a:lumMod val="75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4 Model'!$G$259:$Z$259</c15:sqref>
                  </c15:fullRef>
                </c:ext>
              </c:extLst>
              <c:f>'Initiative 4 Model'!$G$259:$U$259</c:f>
              <c:numCache>
                <c:formatCode>General</c:formatCode>
                <c:ptCount val="15"/>
              </c:numCache>
            </c:numRef>
          </c:val>
          <c:extLst>
            <c:ext xmlns:c16="http://schemas.microsoft.com/office/drawing/2014/chart" uri="{C3380CC4-5D6E-409C-BE32-E72D297353CC}">
              <c16:uniqueId val="{00000001-0903-46A3-A35C-AAE59C2E03AB}"/>
            </c:ext>
          </c:extLst>
        </c:ser>
        <c:ser>
          <c:idx val="2"/>
          <c:order val="2"/>
          <c:tx>
            <c:strRef>
              <c:f>'Initiative 4 Model'!$D$262</c:f>
              <c:strCache>
                <c:ptCount val="1"/>
              </c:strCache>
            </c:strRef>
          </c:tx>
          <c:spPr>
            <a:solidFill>
              <a:schemeClr val="accent1">
                <a:lumMod val="60000"/>
                <a:lumOff val="4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4 Model'!$G$260:$Z$260</c15:sqref>
                  </c15:fullRef>
                </c:ext>
              </c:extLst>
              <c:f>'Initiative 4 Model'!$G$260:$U$260</c:f>
              <c:numCache>
                <c:formatCode>General</c:formatCode>
                <c:ptCount val="15"/>
              </c:numCache>
            </c:numRef>
          </c:val>
          <c:extLst>
            <c:ext xmlns:c16="http://schemas.microsoft.com/office/drawing/2014/chart" uri="{C3380CC4-5D6E-409C-BE32-E72D297353CC}">
              <c16:uniqueId val="{00000002-0903-46A3-A35C-AAE59C2E03AB}"/>
            </c:ext>
          </c:extLst>
        </c:ser>
        <c:ser>
          <c:idx val="3"/>
          <c:order val="3"/>
          <c:tx>
            <c:strRef>
              <c:f>'Initiative 4 Model'!$D$263</c:f>
              <c:strCache>
                <c:ptCount val="1"/>
              </c:strCache>
            </c:strRef>
          </c:tx>
          <c:spPr>
            <a:solidFill>
              <a:schemeClr val="accent1">
                <a:lumMod val="40000"/>
                <a:lumOff val="6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4 Model'!$G$261:$Z$261</c15:sqref>
                  </c15:fullRef>
                </c:ext>
              </c:extLst>
              <c:f>'Initiative 4 Model'!$G$261:$U$261</c:f>
              <c:numCache>
                <c:formatCode>General</c:formatCode>
                <c:ptCount val="15"/>
              </c:numCache>
            </c:numRef>
          </c:val>
          <c:extLst>
            <c:ext xmlns:c16="http://schemas.microsoft.com/office/drawing/2014/chart" uri="{C3380CC4-5D6E-409C-BE32-E72D297353CC}">
              <c16:uniqueId val="{00000003-0903-46A3-A35C-AAE59C2E03AB}"/>
            </c:ext>
          </c:extLst>
        </c:ser>
        <c:ser>
          <c:idx val="4"/>
          <c:order val="4"/>
          <c:tx>
            <c:strRef>
              <c:f>'Initiative 4 Model'!$D$264</c:f>
              <c:strCache>
                <c:ptCount val="1"/>
              </c:strCache>
            </c:strRef>
          </c:tx>
          <c:spPr>
            <a:solidFill>
              <a:schemeClr val="accent1">
                <a:lumMod val="20000"/>
                <a:lumOff val="8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4 Model'!$G$262:$Z$262</c15:sqref>
                  </c15:fullRef>
                </c:ext>
              </c:extLst>
              <c:f>'Initiative 4 Model'!$G$262:$U$262</c:f>
              <c:numCache>
                <c:formatCode>General</c:formatCode>
                <c:ptCount val="15"/>
              </c:numCache>
            </c:numRef>
          </c:val>
          <c:extLst>
            <c:ext xmlns:c16="http://schemas.microsoft.com/office/drawing/2014/chart" uri="{C3380CC4-5D6E-409C-BE32-E72D297353CC}">
              <c16:uniqueId val="{00000004-0903-46A3-A35C-AAE59C2E03AB}"/>
            </c:ext>
          </c:extLst>
        </c:ser>
        <c:dLbls>
          <c:showLegendKey val="0"/>
          <c:showVal val="0"/>
          <c:showCatName val="0"/>
          <c:showSerName val="0"/>
          <c:showPercent val="0"/>
          <c:showBubbleSize val="0"/>
        </c:dLbls>
        <c:gapWidth val="327"/>
        <c:overlap val="100"/>
        <c:axId val="1024048448"/>
        <c:axId val="1029653536"/>
      </c:barChart>
      <c:lineChart>
        <c:grouping val="standard"/>
        <c:varyColors val="0"/>
        <c:ser>
          <c:idx val="5"/>
          <c:order val="5"/>
          <c:tx>
            <c:strRef>
              <c:f>'Initiative 4 Model'!$D$266</c:f>
              <c:strCache>
                <c:ptCount val="1"/>
              </c:strCache>
            </c:strRef>
          </c:tx>
          <c:spPr>
            <a:ln w="28575" cap="rnd">
              <a:solidFill>
                <a:schemeClr val="accent1">
                  <a:tint val="94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4 Model'!$G$264:$Z$264</c15:sqref>
                  </c15:fullRef>
                </c:ext>
              </c:extLst>
              <c:f>'Initiative 4 Model'!$G$264:$U$264</c:f>
              <c:numCache>
                <c:formatCode>General</c:formatCode>
                <c:ptCount val="15"/>
              </c:numCache>
            </c:numRef>
          </c:val>
          <c:smooth val="0"/>
          <c:extLst>
            <c:ext xmlns:c16="http://schemas.microsoft.com/office/drawing/2014/chart" uri="{C3380CC4-5D6E-409C-BE32-E72D297353CC}">
              <c16:uniqueId val="{00000005-0903-46A3-A35C-AAE59C2E03AB}"/>
            </c:ext>
          </c:extLst>
        </c:ser>
        <c:ser>
          <c:idx val="6"/>
          <c:order val="6"/>
          <c:tx>
            <c:strRef>
              <c:f>'Initiative 4 Model'!$D$267</c:f>
              <c:strCache>
                <c:ptCount val="1"/>
              </c:strCache>
            </c:strRef>
          </c:tx>
          <c:spPr>
            <a:ln w="28575" cap="rnd">
              <a:solidFill>
                <a:schemeClr val="accent1">
                  <a:tint val="81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4 Model'!$G$265:$Z$265</c15:sqref>
                  </c15:fullRef>
                </c:ext>
              </c:extLst>
              <c:f>'Initiative 4 Model'!$G$265:$U$265</c:f>
              <c:numCache>
                <c:formatCode>General</c:formatCode>
                <c:ptCount val="15"/>
              </c:numCache>
            </c:numRef>
          </c:val>
          <c:smooth val="0"/>
          <c:extLst>
            <c:ext xmlns:c16="http://schemas.microsoft.com/office/drawing/2014/chart" uri="{C3380CC4-5D6E-409C-BE32-E72D297353CC}">
              <c16:uniqueId val="{00000006-0903-46A3-A35C-AAE59C2E03AB}"/>
            </c:ext>
          </c:extLst>
        </c:ser>
        <c:ser>
          <c:idx val="7"/>
          <c:order val="7"/>
          <c:tx>
            <c:strRef>
              <c:f>'Initiative 4 Model'!$D$268</c:f>
              <c:strCache>
                <c:ptCount val="1"/>
              </c:strCache>
            </c:strRef>
          </c:tx>
          <c:spPr>
            <a:ln w="28575" cap="rnd">
              <a:solidFill>
                <a:schemeClr val="accent1">
                  <a:tint val="69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4 Model'!$G$266:$Z$266</c15:sqref>
                  </c15:fullRef>
                </c:ext>
              </c:extLst>
              <c:f>'Initiative 4 Model'!$G$266:$U$266</c:f>
              <c:numCache>
                <c:formatCode>General</c:formatCode>
                <c:ptCount val="15"/>
              </c:numCache>
            </c:numRef>
          </c:val>
          <c:smooth val="0"/>
          <c:extLst>
            <c:ext xmlns:c16="http://schemas.microsoft.com/office/drawing/2014/chart" uri="{C3380CC4-5D6E-409C-BE32-E72D297353CC}">
              <c16:uniqueId val="{00000007-0903-46A3-A35C-AAE59C2E03AB}"/>
            </c:ext>
          </c:extLst>
        </c:ser>
        <c:ser>
          <c:idx val="8"/>
          <c:order val="8"/>
          <c:tx>
            <c:strRef>
              <c:f>'Initiative 4 Model'!$D$269</c:f>
              <c:strCache>
                <c:ptCount val="1"/>
              </c:strCache>
            </c:strRef>
          </c:tx>
          <c:spPr>
            <a:ln w="28575" cap="rnd">
              <a:solidFill>
                <a:schemeClr val="accent1">
                  <a:tint val="56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4 Model'!$G$267:$Z$267</c15:sqref>
                  </c15:fullRef>
                </c:ext>
              </c:extLst>
              <c:f>'Initiative 4 Model'!$G$267:$U$267</c:f>
              <c:numCache>
                <c:formatCode>General</c:formatCode>
                <c:ptCount val="15"/>
              </c:numCache>
            </c:numRef>
          </c:val>
          <c:smooth val="0"/>
          <c:extLst>
            <c:ext xmlns:c16="http://schemas.microsoft.com/office/drawing/2014/chart" uri="{C3380CC4-5D6E-409C-BE32-E72D297353CC}">
              <c16:uniqueId val="{00000008-0903-46A3-A35C-AAE59C2E03AB}"/>
            </c:ext>
          </c:extLst>
        </c:ser>
        <c:ser>
          <c:idx val="9"/>
          <c:order val="9"/>
          <c:tx>
            <c:strRef>
              <c:f>'Initiative 4 Model'!$D$270</c:f>
              <c:strCache>
                <c:ptCount val="1"/>
              </c:strCache>
            </c:strRef>
          </c:tx>
          <c:spPr>
            <a:ln w="28575" cap="rnd">
              <a:solidFill>
                <a:schemeClr val="accent1">
                  <a:tint val="43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4 Model'!$G$268:$Z$268</c15:sqref>
                  </c15:fullRef>
                </c:ext>
              </c:extLst>
              <c:f>'Initiative 4 Model'!$G$268:$U$268</c:f>
              <c:numCache>
                <c:formatCode>General</c:formatCode>
                <c:ptCount val="15"/>
              </c:numCache>
            </c:numRef>
          </c:val>
          <c:smooth val="0"/>
          <c:extLst>
            <c:ext xmlns:c16="http://schemas.microsoft.com/office/drawing/2014/chart" uri="{C3380CC4-5D6E-409C-BE32-E72D297353CC}">
              <c16:uniqueId val="{00000009-0903-46A3-A35C-AAE59C2E03AB}"/>
            </c:ext>
          </c:extLst>
        </c:ser>
        <c:dLbls>
          <c:showLegendKey val="0"/>
          <c:showVal val="0"/>
          <c:showCatName val="0"/>
          <c:showSerName val="0"/>
          <c:showPercent val="0"/>
          <c:showBubbleSize val="0"/>
        </c:dLbls>
        <c:marker val="1"/>
        <c:smooth val="0"/>
        <c:axId val="1024058048"/>
        <c:axId val="1029654368"/>
      </c:lineChart>
      <c:catAx>
        <c:axId val="1024048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Year of Operation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53536"/>
        <c:crosses val="autoZero"/>
        <c:auto val="1"/>
        <c:lblAlgn val="ctr"/>
        <c:lblOffset val="100"/>
        <c:noMultiLvlLbl val="0"/>
      </c:catAx>
      <c:valAx>
        <c:axId val="1029653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48448"/>
        <c:crosses val="autoZero"/>
        <c:crossBetween val="between"/>
      </c:valAx>
      <c:valAx>
        <c:axId val="1029654368"/>
        <c:scaling>
          <c:orientation val="minMax"/>
          <c:max val="7.8"/>
          <c:min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Tariff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58048"/>
        <c:crosses val="max"/>
        <c:crossBetween val="between"/>
      </c:valAx>
      <c:catAx>
        <c:axId val="1024058048"/>
        <c:scaling>
          <c:orientation val="minMax"/>
        </c:scaling>
        <c:delete val="1"/>
        <c:axPos val="b"/>
        <c:majorTickMark val="out"/>
        <c:minorTickMark val="none"/>
        <c:tickLblPos val="nextTo"/>
        <c:crossAx val="10296543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2"/>
          <c:order val="2"/>
          <c:tx>
            <c:strRef>
              <c:f>'Initiative 4 Model'!$D$244</c:f>
              <c:strCache>
                <c:ptCount val="1"/>
              </c:strCache>
            </c:strRef>
          </c:tx>
          <c:spPr>
            <a:solidFill>
              <a:schemeClr val="bg1">
                <a:lumMod val="85000"/>
              </a:schemeClr>
            </a:solidFill>
            <a:ln>
              <a:noFill/>
            </a:ln>
            <a:effectLst/>
          </c:spP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4 Model'!$G$242:$Z$242</c15:sqref>
                  </c15:fullRef>
                </c:ext>
              </c:extLst>
              <c:f>'Initiative 4 Model'!$G$242:$U$242</c:f>
              <c:numCache>
                <c:formatCode>General</c:formatCode>
                <c:ptCount val="15"/>
              </c:numCache>
            </c:numRef>
          </c:val>
          <c:extLst>
            <c:ext xmlns:c16="http://schemas.microsoft.com/office/drawing/2014/chart" uri="{C3380CC4-5D6E-409C-BE32-E72D297353CC}">
              <c16:uniqueId val="{00000000-37A2-485D-B3EA-304194E13ACF}"/>
            </c:ext>
          </c:extLst>
        </c:ser>
        <c:dLbls>
          <c:showLegendKey val="0"/>
          <c:showVal val="0"/>
          <c:showCatName val="0"/>
          <c:showSerName val="0"/>
          <c:showPercent val="0"/>
          <c:showBubbleSize val="0"/>
        </c:dLbls>
        <c:axId val="58907136"/>
        <c:axId val="560574320"/>
      </c:areaChart>
      <c:barChart>
        <c:barDir val="col"/>
        <c:grouping val="clustered"/>
        <c:varyColors val="0"/>
        <c:ser>
          <c:idx val="0"/>
          <c:order val="0"/>
          <c:tx>
            <c:strRef>
              <c:f>'Initiative 4 Model'!$D$242</c:f>
              <c:strCache>
                <c:ptCount val="1"/>
              </c:strCache>
            </c:strRef>
          </c:tx>
          <c:spPr>
            <a:solidFill>
              <a:schemeClr val="accent1"/>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4 Model'!$G$240:$Z$240</c15:sqref>
                  </c15:fullRef>
                </c:ext>
              </c:extLst>
              <c:f>'Initiative 4 Model'!$G$240:$U$240</c:f>
              <c:numCache>
                <c:formatCode>General</c:formatCode>
                <c:ptCount val="15"/>
              </c:numCache>
            </c:numRef>
          </c:val>
          <c:extLst>
            <c:ext xmlns:c16="http://schemas.microsoft.com/office/drawing/2014/chart" uri="{C3380CC4-5D6E-409C-BE32-E72D297353CC}">
              <c16:uniqueId val="{00000001-37A2-485D-B3EA-304194E13ACF}"/>
            </c:ext>
          </c:extLst>
        </c:ser>
        <c:ser>
          <c:idx val="1"/>
          <c:order val="1"/>
          <c:tx>
            <c:strRef>
              <c:f>'Initiative 4 Model'!$D$243</c:f>
              <c:strCache>
                <c:ptCount val="1"/>
              </c:strCache>
            </c:strRef>
          </c:tx>
          <c:spPr>
            <a:solidFill>
              <a:schemeClr val="accent2"/>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4 Model'!$G$241:$Z$241</c15:sqref>
                  </c15:fullRef>
                </c:ext>
              </c:extLst>
              <c:f>'Initiative 4 Model'!$G$241:$U$241</c:f>
              <c:numCache>
                <c:formatCode>General</c:formatCode>
                <c:ptCount val="15"/>
              </c:numCache>
            </c:numRef>
          </c:val>
          <c:extLst>
            <c:ext xmlns:c16="http://schemas.microsoft.com/office/drawing/2014/chart" uri="{C3380CC4-5D6E-409C-BE32-E72D297353CC}">
              <c16:uniqueId val="{00000002-37A2-485D-B3EA-304194E13ACF}"/>
            </c:ext>
          </c:extLst>
        </c:ser>
        <c:dLbls>
          <c:showLegendKey val="0"/>
          <c:showVal val="0"/>
          <c:showCatName val="0"/>
          <c:showSerName val="0"/>
          <c:showPercent val="0"/>
          <c:showBubbleSize val="0"/>
        </c:dLbls>
        <c:gapWidth val="219"/>
        <c:axId val="983537856"/>
        <c:axId val="1029660608"/>
      </c:barChart>
      <c:catAx>
        <c:axId val="98353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Operational</a:t>
                </a:r>
                <a:r>
                  <a:rPr lang="en-ZA" baseline="0"/>
                  <a:t>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60608"/>
        <c:crosses val="autoZero"/>
        <c:auto val="1"/>
        <c:lblAlgn val="ctr"/>
        <c:lblOffset val="100"/>
        <c:noMultiLvlLbl val="0"/>
      </c:catAx>
      <c:valAx>
        <c:axId val="1029660608"/>
        <c:scaling>
          <c:orientation val="minMax"/>
          <c:max val="30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Annual Saving &amp; Cost (R)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537856"/>
        <c:crosses val="autoZero"/>
        <c:crossBetween val="between"/>
      </c:valAx>
      <c:valAx>
        <c:axId val="560574320"/>
        <c:scaling>
          <c:orientation val="minMax"/>
          <c:max val="470000000"/>
          <c:min val="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Cumulative Net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07136"/>
        <c:crosses val="max"/>
        <c:crossBetween val="between"/>
      </c:valAx>
      <c:catAx>
        <c:axId val="58907136"/>
        <c:scaling>
          <c:orientation val="minMax"/>
        </c:scaling>
        <c:delete val="1"/>
        <c:axPos val="b"/>
        <c:majorTickMark val="out"/>
        <c:minorTickMark val="none"/>
        <c:tickLblPos val="nextTo"/>
        <c:crossAx val="5605743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col"/>
        <c:grouping val="stacked"/>
        <c:varyColors val="0"/>
        <c:ser>
          <c:idx val="0"/>
          <c:order val="0"/>
          <c:tx>
            <c:strRef>
              <c:f>'Initiative 5 Model'!$D$260</c:f>
              <c:strCache>
                <c:ptCount val="1"/>
              </c:strCache>
            </c:strRef>
          </c:tx>
          <c:spPr>
            <a:solidFill>
              <a:schemeClr val="accent1">
                <a:lumMod val="5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5 Model'!$G$258:$Z$258</c15:sqref>
                  </c15:fullRef>
                </c:ext>
              </c:extLst>
              <c:f>'Initiative 5 Model'!$G$258:$U$258</c:f>
              <c:numCache>
                <c:formatCode>General</c:formatCode>
                <c:ptCount val="15"/>
              </c:numCache>
            </c:numRef>
          </c:val>
          <c:extLst>
            <c:ext xmlns:c16="http://schemas.microsoft.com/office/drawing/2014/chart" uri="{C3380CC4-5D6E-409C-BE32-E72D297353CC}">
              <c16:uniqueId val="{00000000-1E96-4192-8BAF-54F77B69ACE8}"/>
            </c:ext>
          </c:extLst>
        </c:ser>
        <c:ser>
          <c:idx val="1"/>
          <c:order val="1"/>
          <c:tx>
            <c:strRef>
              <c:f>'Initiative 5 Model'!$D$261</c:f>
              <c:strCache>
                <c:ptCount val="1"/>
              </c:strCache>
            </c:strRef>
          </c:tx>
          <c:spPr>
            <a:solidFill>
              <a:schemeClr val="accent1">
                <a:lumMod val="75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5 Model'!$G$259:$Z$259</c15:sqref>
                  </c15:fullRef>
                </c:ext>
              </c:extLst>
              <c:f>'Initiative 5 Model'!$G$259:$U$259</c:f>
              <c:numCache>
                <c:formatCode>General</c:formatCode>
                <c:ptCount val="15"/>
              </c:numCache>
            </c:numRef>
          </c:val>
          <c:extLst>
            <c:ext xmlns:c16="http://schemas.microsoft.com/office/drawing/2014/chart" uri="{C3380CC4-5D6E-409C-BE32-E72D297353CC}">
              <c16:uniqueId val="{00000001-1E96-4192-8BAF-54F77B69ACE8}"/>
            </c:ext>
          </c:extLst>
        </c:ser>
        <c:ser>
          <c:idx val="2"/>
          <c:order val="2"/>
          <c:tx>
            <c:strRef>
              <c:f>'Initiative 5 Model'!$D$262</c:f>
              <c:strCache>
                <c:ptCount val="1"/>
              </c:strCache>
            </c:strRef>
          </c:tx>
          <c:spPr>
            <a:solidFill>
              <a:schemeClr val="accent1">
                <a:lumMod val="60000"/>
                <a:lumOff val="4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5 Model'!$G$260:$Z$260</c15:sqref>
                  </c15:fullRef>
                </c:ext>
              </c:extLst>
              <c:f>'Initiative 5 Model'!$G$260:$U$260</c:f>
              <c:numCache>
                <c:formatCode>General</c:formatCode>
                <c:ptCount val="15"/>
              </c:numCache>
            </c:numRef>
          </c:val>
          <c:extLst>
            <c:ext xmlns:c16="http://schemas.microsoft.com/office/drawing/2014/chart" uri="{C3380CC4-5D6E-409C-BE32-E72D297353CC}">
              <c16:uniqueId val="{00000002-1E96-4192-8BAF-54F77B69ACE8}"/>
            </c:ext>
          </c:extLst>
        </c:ser>
        <c:ser>
          <c:idx val="3"/>
          <c:order val="3"/>
          <c:tx>
            <c:strRef>
              <c:f>'Initiative 5 Model'!$D$263</c:f>
              <c:strCache>
                <c:ptCount val="1"/>
              </c:strCache>
            </c:strRef>
          </c:tx>
          <c:spPr>
            <a:solidFill>
              <a:schemeClr val="accent1">
                <a:lumMod val="40000"/>
                <a:lumOff val="6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5 Model'!$G$261:$Z$261</c15:sqref>
                  </c15:fullRef>
                </c:ext>
              </c:extLst>
              <c:f>'Initiative 5 Model'!$G$261:$U$261</c:f>
              <c:numCache>
                <c:formatCode>General</c:formatCode>
                <c:ptCount val="15"/>
              </c:numCache>
            </c:numRef>
          </c:val>
          <c:extLst>
            <c:ext xmlns:c16="http://schemas.microsoft.com/office/drawing/2014/chart" uri="{C3380CC4-5D6E-409C-BE32-E72D297353CC}">
              <c16:uniqueId val="{00000003-1E96-4192-8BAF-54F77B69ACE8}"/>
            </c:ext>
          </c:extLst>
        </c:ser>
        <c:ser>
          <c:idx val="4"/>
          <c:order val="4"/>
          <c:tx>
            <c:strRef>
              <c:f>'Initiative 5 Model'!$D$264</c:f>
              <c:strCache>
                <c:ptCount val="1"/>
              </c:strCache>
            </c:strRef>
          </c:tx>
          <c:spPr>
            <a:solidFill>
              <a:schemeClr val="accent1">
                <a:lumMod val="20000"/>
                <a:lumOff val="80000"/>
              </a:schemeClr>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5 Model'!$G$262:$Z$262</c15:sqref>
                  </c15:fullRef>
                </c:ext>
              </c:extLst>
              <c:f>'Initiative 5 Model'!$G$262:$U$262</c:f>
              <c:numCache>
                <c:formatCode>General</c:formatCode>
                <c:ptCount val="15"/>
              </c:numCache>
            </c:numRef>
          </c:val>
          <c:extLst>
            <c:ext xmlns:c16="http://schemas.microsoft.com/office/drawing/2014/chart" uri="{C3380CC4-5D6E-409C-BE32-E72D297353CC}">
              <c16:uniqueId val="{00000004-1E96-4192-8BAF-54F77B69ACE8}"/>
            </c:ext>
          </c:extLst>
        </c:ser>
        <c:dLbls>
          <c:showLegendKey val="0"/>
          <c:showVal val="0"/>
          <c:showCatName val="0"/>
          <c:showSerName val="0"/>
          <c:showPercent val="0"/>
          <c:showBubbleSize val="0"/>
        </c:dLbls>
        <c:gapWidth val="327"/>
        <c:overlap val="100"/>
        <c:axId val="1024048448"/>
        <c:axId val="1029653536"/>
      </c:barChart>
      <c:lineChart>
        <c:grouping val="standard"/>
        <c:varyColors val="0"/>
        <c:ser>
          <c:idx val="5"/>
          <c:order val="5"/>
          <c:tx>
            <c:strRef>
              <c:f>'Initiative 5 Model'!$D$266</c:f>
              <c:strCache>
                <c:ptCount val="1"/>
              </c:strCache>
            </c:strRef>
          </c:tx>
          <c:spPr>
            <a:ln w="28575" cap="rnd">
              <a:solidFill>
                <a:schemeClr val="accent1">
                  <a:tint val="94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5 Model'!$G$264:$Z$264</c15:sqref>
                  </c15:fullRef>
                </c:ext>
              </c:extLst>
              <c:f>'Initiative 5 Model'!$G$264:$U$264</c:f>
              <c:numCache>
                <c:formatCode>General</c:formatCode>
                <c:ptCount val="15"/>
              </c:numCache>
            </c:numRef>
          </c:val>
          <c:smooth val="0"/>
          <c:extLst>
            <c:ext xmlns:c16="http://schemas.microsoft.com/office/drawing/2014/chart" uri="{C3380CC4-5D6E-409C-BE32-E72D297353CC}">
              <c16:uniqueId val="{00000005-1E96-4192-8BAF-54F77B69ACE8}"/>
            </c:ext>
          </c:extLst>
        </c:ser>
        <c:ser>
          <c:idx val="6"/>
          <c:order val="6"/>
          <c:tx>
            <c:strRef>
              <c:f>'Initiative 5 Model'!$D$267</c:f>
              <c:strCache>
                <c:ptCount val="1"/>
              </c:strCache>
            </c:strRef>
          </c:tx>
          <c:spPr>
            <a:ln w="28575" cap="rnd">
              <a:solidFill>
                <a:schemeClr val="accent1">
                  <a:tint val="81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5 Model'!$G$265:$Z$265</c15:sqref>
                  </c15:fullRef>
                </c:ext>
              </c:extLst>
              <c:f>'Initiative 5 Model'!$G$265:$U$265</c:f>
              <c:numCache>
                <c:formatCode>General</c:formatCode>
                <c:ptCount val="15"/>
              </c:numCache>
            </c:numRef>
          </c:val>
          <c:smooth val="0"/>
          <c:extLst>
            <c:ext xmlns:c16="http://schemas.microsoft.com/office/drawing/2014/chart" uri="{C3380CC4-5D6E-409C-BE32-E72D297353CC}">
              <c16:uniqueId val="{00000006-1E96-4192-8BAF-54F77B69ACE8}"/>
            </c:ext>
          </c:extLst>
        </c:ser>
        <c:ser>
          <c:idx val="7"/>
          <c:order val="7"/>
          <c:tx>
            <c:strRef>
              <c:f>'Initiative 5 Model'!$D$268</c:f>
              <c:strCache>
                <c:ptCount val="1"/>
              </c:strCache>
            </c:strRef>
          </c:tx>
          <c:spPr>
            <a:ln w="28575" cap="rnd">
              <a:solidFill>
                <a:schemeClr val="accent1">
                  <a:tint val="69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5 Model'!$G$266:$Z$266</c15:sqref>
                  </c15:fullRef>
                </c:ext>
              </c:extLst>
              <c:f>'Initiative 5 Model'!$G$266:$U$266</c:f>
              <c:numCache>
                <c:formatCode>General</c:formatCode>
                <c:ptCount val="15"/>
              </c:numCache>
            </c:numRef>
          </c:val>
          <c:smooth val="0"/>
          <c:extLst>
            <c:ext xmlns:c16="http://schemas.microsoft.com/office/drawing/2014/chart" uri="{C3380CC4-5D6E-409C-BE32-E72D297353CC}">
              <c16:uniqueId val="{00000007-1E96-4192-8BAF-54F77B69ACE8}"/>
            </c:ext>
          </c:extLst>
        </c:ser>
        <c:ser>
          <c:idx val="8"/>
          <c:order val="8"/>
          <c:tx>
            <c:strRef>
              <c:f>'Initiative 5 Model'!$D$269</c:f>
              <c:strCache>
                <c:ptCount val="1"/>
              </c:strCache>
            </c:strRef>
          </c:tx>
          <c:spPr>
            <a:ln w="28575" cap="rnd">
              <a:solidFill>
                <a:schemeClr val="accent1">
                  <a:tint val="56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5 Model'!$G$267:$Z$267</c15:sqref>
                  </c15:fullRef>
                </c:ext>
              </c:extLst>
              <c:f>'Initiative 5 Model'!$G$267:$U$267</c:f>
              <c:numCache>
                <c:formatCode>General</c:formatCode>
                <c:ptCount val="15"/>
              </c:numCache>
            </c:numRef>
          </c:val>
          <c:smooth val="0"/>
          <c:extLst>
            <c:ext xmlns:c16="http://schemas.microsoft.com/office/drawing/2014/chart" uri="{C3380CC4-5D6E-409C-BE32-E72D297353CC}">
              <c16:uniqueId val="{00000008-1E96-4192-8BAF-54F77B69ACE8}"/>
            </c:ext>
          </c:extLst>
        </c:ser>
        <c:ser>
          <c:idx val="9"/>
          <c:order val="9"/>
          <c:tx>
            <c:strRef>
              <c:f>'Initiative 5 Model'!$D$270</c:f>
              <c:strCache>
                <c:ptCount val="1"/>
              </c:strCache>
            </c:strRef>
          </c:tx>
          <c:spPr>
            <a:ln w="28575" cap="rnd">
              <a:solidFill>
                <a:schemeClr val="accent1">
                  <a:tint val="43000"/>
                </a:schemeClr>
              </a:solidFill>
              <a:prstDash val="sysDot"/>
              <a:round/>
            </a:ln>
            <a:effectLst/>
          </c:spPr>
          <c:marker>
            <c:symbol val="none"/>
          </c:marke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5 Model'!$G$268:$Z$268</c15:sqref>
                  </c15:fullRef>
                </c:ext>
              </c:extLst>
              <c:f>'Initiative 5 Model'!$G$268:$U$268</c:f>
              <c:numCache>
                <c:formatCode>General</c:formatCode>
                <c:ptCount val="15"/>
              </c:numCache>
            </c:numRef>
          </c:val>
          <c:smooth val="0"/>
          <c:extLst>
            <c:ext xmlns:c16="http://schemas.microsoft.com/office/drawing/2014/chart" uri="{C3380CC4-5D6E-409C-BE32-E72D297353CC}">
              <c16:uniqueId val="{00000009-1E96-4192-8BAF-54F77B69ACE8}"/>
            </c:ext>
          </c:extLst>
        </c:ser>
        <c:dLbls>
          <c:showLegendKey val="0"/>
          <c:showVal val="0"/>
          <c:showCatName val="0"/>
          <c:showSerName val="0"/>
          <c:showPercent val="0"/>
          <c:showBubbleSize val="0"/>
        </c:dLbls>
        <c:marker val="1"/>
        <c:smooth val="0"/>
        <c:axId val="1024058048"/>
        <c:axId val="1029654368"/>
      </c:lineChart>
      <c:catAx>
        <c:axId val="10240484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Year of Operation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53536"/>
        <c:crosses val="autoZero"/>
        <c:auto val="1"/>
        <c:lblAlgn val="ctr"/>
        <c:lblOffset val="100"/>
        <c:noMultiLvlLbl val="0"/>
      </c:catAx>
      <c:valAx>
        <c:axId val="10296535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48448"/>
        <c:crosses val="autoZero"/>
        <c:crossBetween val="between"/>
      </c:valAx>
      <c:valAx>
        <c:axId val="1029654368"/>
        <c:scaling>
          <c:orientation val="minMax"/>
          <c:max val="7.8"/>
          <c:min val="1"/>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Tariff index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058048"/>
        <c:crosses val="max"/>
        <c:crossBetween val="between"/>
      </c:valAx>
      <c:catAx>
        <c:axId val="1024058048"/>
        <c:scaling>
          <c:orientation val="minMax"/>
        </c:scaling>
        <c:delete val="1"/>
        <c:axPos val="b"/>
        <c:majorTickMark val="out"/>
        <c:minorTickMark val="none"/>
        <c:tickLblPos val="nextTo"/>
        <c:crossAx val="10296543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2"/>
          <c:order val="2"/>
          <c:tx>
            <c:strRef>
              <c:f>'Initiative 5 Model'!$D$244</c:f>
              <c:strCache>
                <c:ptCount val="1"/>
              </c:strCache>
            </c:strRef>
          </c:tx>
          <c:spPr>
            <a:solidFill>
              <a:schemeClr val="bg1">
                <a:lumMod val="85000"/>
              </a:schemeClr>
            </a:solidFill>
            <a:ln>
              <a:noFill/>
            </a:ln>
            <a:effectLst/>
          </c:spPr>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5 Model'!$G$242:$Z$242</c15:sqref>
                  </c15:fullRef>
                </c:ext>
              </c:extLst>
              <c:f>'Initiative 5 Model'!$G$242:$U$242</c:f>
              <c:numCache>
                <c:formatCode>General</c:formatCode>
                <c:ptCount val="15"/>
              </c:numCache>
            </c:numRef>
          </c:val>
          <c:extLst>
            <c:ext xmlns:c16="http://schemas.microsoft.com/office/drawing/2014/chart" uri="{C3380CC4-5D6E-409C-BE32-E72D297353CC}">
              <c16:uniqueId val="{00000000-7BAC-4015-9133-E286EBCABBDD}"/>
            </c:ext>
          </c:extLst>
        </c:ser>
        <c:dLbls>
          <c:showLegendKey val="0"/>
          <c:showVal val="0"/>
          <c:showCatName val="0"/>
          <c:showSerName val="0"/>
          <c:showPercent val="0"/>
          <c:showBubbleSize val="0"/>
        </c:dLbls>
        <c:axId val="58907136"/>
        <c:axId val="560574320"/>
      </c:areaChart>
      <c:barChart>
        <c:barDir val="col"/>
        <c:grouping val="clustered"/>
        <c:varyColors val="0"/>
        <c:ser>
          <c:idx val="0"/>
          <c:order val="0"/>
          <c:tx>
            <c:strRef>
              <c:f>'Initiative 5 Model'!$D$242</c:f>
              <c:strCache>
                <c:ptCount val="1"/>
              </c:strCache>
            </c:strRef>
          </c:tx>
          <c:spPr>
            <a:solidFill>
              <a:schemeClr val="accent1"/>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5 Model'!$G$240:$Z$240</c15:sqref>
                  </c15:fullRef>
                </c:ext>
              </c:extLst>
              <c:f>'Initiative 5 Model'!$G$240:$U$240</c:f>
              <c:numCache>
                <c:formatCode>General</c:formatCode>
                <c:ptCount val="15"/>
              </c:numCache>
            </c:numRef>
          </c:val>
          <c:extLst>
            <c:ext xmlns:c16="http://schemas.microsoft.com/office/drawing/2014/chart" uri="{C3380CC4-5D6E-409C-BE32-E72D297353CC}">
              <c16:uniqueId val="{00000001-7BAC-4015-9133-E286EBCABBDD}"/>
            </c:ext>
          </c:extLst>
        </c:ser>
        <c:ser>
          <c:idx val="1"/>
          <c:order val="1"/>
          <c:tx>
            <c:strRef>
              <c:f>'Initiative 5 Model'!$D$243</c:f>
              <c:strCache>
                <c:ptCount val="1"/>
              </c:strCache>
            </c:strRef>
          </c:tx>
          <c:spPr>
            <a:solidFill>
              <a:schemeClr val="accent2"/>
            </a:solidFill>
            <a:ln>
              <a:noFill/>
            </a:ln>
            <a:effectLst/>
          </c:spPr>
          <c:invertIfNegative val="0"/>
          <c:cat>
            <c:strLit>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'Initiative 5 Model'!$G$241:$Z$241</c15:sqref>
                  </c15:fullRef>
                </c:ext>
              </c:extLst>
              <c:f>'Initiative 5 Model'!$G$241:$U$241</c:f>
              <c:numCache>
                <c:formatCode>General</c:formatCode>
                <c:ptCount val="15"/>
              </c:numCache>
            </c:numRef>
          </c:val>
          <c:extLst>
            <c:ext xmlns:c16="http://schemas.microsoft.com/office/drawing/2014/chart" uri="{C3380CC4-5D6E-409C-BE32-E72D297353CC}">
              <c16:uniqueId val="{00000002-7BAC-4015-9133-E286EBCABBDD}"/>
            </c:ext>
          </c:extLst>
        </c:ser>
        <c:dLbls>
          <c:showLegendKey val="0"/>
          <c:showVal val="0"/>
          <c:showCatName val="0"/>
          <c:showSerName val="0"/>
          <c:showPercent val="0"/>
          <c:showBubbleSize val="0"/>
        </c:dLbls>
        <c:gapWidth val="219"/>
        <c:axId val="983537856"/>
        <c:axId val="1029660608"/>
      </c:barChart>
      <c:catAx>
        <c:axId val="9835378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Operational</a:t>
                </a:r>
                <a:r>
                  <a:rPr lang="en-ZA" baseline="0"/>
                  <a:t>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660608"/>
        <c:crosses val="autoZero"/>
        <c:auto val="1"/>
        <c:lblAlgn val="ctr"/>
        <c:lblOffset val="100"/>
        <c:noMultiLvlLbl val="0"/>
      </c:catAx>
      <c:valAx>
        <c:axId val="1029660608"/>
        <c:scaling>
          <c:orientation val="minMax"/>
          <c:max val="3000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Annual Saving &amp; Cost (R)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3537856"/>
        <c:crosses val="autoZero"/>
        <c:crossBetween val="between"/>
      </c:valAx>
      <c:valAx>
        <c:axId val="560574320"/>
        <c:scaling>
          <c:orientation val="minMax"/>
          <c:max val="470000000"/>
          <c:min val="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Cumulative Net Saving</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07136"/>
        <c:crosses val="max"/>
        <c:crossBetween val="between"/>
      </c:valAx>
      <c:catAx>
        <c:axId val="58907136"/>
        <c:scaling>
          <c:orientation val="minMax"/>
        </c:scaling>
        <c:delete val="1"/>
        <c:axPos val="b"/>
        <c:majorTickMark val="out"/>
        <c:minorTickMark val="none"/>
        <c:tickLblPos val="nextTo"/>
        <c:crossAx val="5605743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withinLinear" id="14">
  <a:schemeClr val="accent1"/>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withinLinear" id="14">
  <a:schemeClr val="accent1"/>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withinLinear" id="14">
  <a:schemeClr val="accent1"/>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withinLinear" id="14">
  <a:schemeClr val="accent1"/>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withinLinear" id="14">
  <a:schemeClr val="accent1"/>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withinLinear" id="14">
  <a:schemeClr val="accent1"/>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png"/></Relationships>
</file>

<file path=xl/drawings/_rels/drawing7.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chart" Target="../charts/chart14.xml"/><Relationship Id="rId18" Type="http://schemas.openxmlformats.org/officeDocument/2006/relationships/chart" Target="../charts/chart19.xml"/><Relationship Id="rId3" Type="http://schemas.openxmlformats.org/officeDocument/2006/relationships/chart" Target="../charts/chart12.xml"/><Relationship Id="rId21" Type="http://schemas.openxmlformats.org/officeDocument/2006/relationships/chart" Target="../charts/chart22.xml"/><Relationship Id="rId7" Type="http://schemas.openxmlformats.org/officeDocument/2006/relationships/image" Target="../media/image14.png"/><Relationship Id="rId12" Type="http://schemas.openxmlformats.org/officeDocument/2006/relationships/chart" Target="../charts/chart13.xml"/><Relationship Id="rId17" Type="http://schemas.openxmlformats.org/officeDocument/2006/relationships/chart" Target="../charts/chart18.xml"/><Relationship Id="rId2" Type="http://schemas.openxmlformats.org/officeDocument/2006/relationships/chart" Target="../charts/chart11.xml"/><Relationship Id="rId16" Type="http://schemas.openxmlformats.org/officeDocument/2006/relationships/chart" Target="../charts/chart17.xml"/><Relationship Id="rId20" Type="http://schemas.openxmlformats.org/officeDocument/2006/relationships/chart" Target="../charts/chart21.xml"/><Relationship Id="rId1" Type="http://schemas.openxmlformats.org/officeDocument/2006/relationships/chart" Target="../charts/chart10.xml"/><Relationship Id="rId6" Type="http://schemas.openxmlformats.org/officeDocument/2006/relationships/image" Target="../media/image13.png"/><Relationship Id="rId11" Type="http://schemas.openxmlformats.org/officeDocument/2006/relationships/image" Target="../media/image18.png"/><Relationship Id="rId24" Type="http://schemas.openxmlformats.org/officeDocument/2006/relationships/chart" Target="../charts/chart25.xml"/><Relationship Id="rId5" Type="http://schemas.openxmlformats.org/officeDocument/2006/relationships/image" Target="../media/image12.png"/><Relationship Id="rId15" Type="http://schemas.openxmlformats.org/officeDocument/2006/relationships/chart" Target="../charts/chart16.xml"/><Relationship Id="rId23" Type="http://schemas.openxmlformats.org/officeDocument/2006/relationships/chart" Target="../charts/chart24.xml"/><Relationship Id="rId10" Type="http://schemas.openxmlformats.org/officeDocument/2006/relationships/image" Target="../media/image17.png"/><Relationship Id="rId19" Type="http://schemas.openxmlformats.org/officeDocument/2006/relationships/chart" Target="../charts/chart20.xml"/><Relationship Id="rId4" Type="http://schemas.openxmlformats.org/officeDocument/2006/relationships/image" Target="../media/image11.png"/><Relationship Id="rId9" Type="http://schemas.openxmlformats.org/officeDocument/2006/relationships/image" Target="../media/image16.png"/><Relationship Id="rId14" Type="http://schemas.openxmlformats.org/officeDocument/2006/relationships/chart" Target="../charts/chart15.xml"/><Relationship Id="rId22"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4" Type="http://schemas.openxmlformats.org/officeDocument/2006/relationships/chart" Target="../charts/chart29.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35.xml"/><Relationship Id="rId1" Type="http://schemas.openxmlformats.org/officeDocument/2006/relationships/chart" Target="../charts/chart3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39.xml"/><Relationship Id="rId1" Type="http://schemas.openxmlformats.org/officeDocument/2006/relationships/chart" Target="../charts/chart3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9</xdr:col>
      <xdr:colOff>205740</xdr:colOff>
      <xdr:row>7</xdr:row>
      <xdr:rowOff>26670</xdr:rowOff>
    </xdr:from>
    <xdr:to>
      <xdr:col>13</xdr:col>
      <xdr:colOff>243840</xdr:colOff>
      <xdr:row>18</xdr:row>
      <xdr:rowOff>104775</xdr:rowOff>
    </xdr:to>
    <xdr:sp macro="" textlink="">
      <xdr:nvSpPr>
        <xdr:cNvPr id="2" name="Rectangle 1">
          <a:extLst>
            <a:ext uri="{FF2B5EF4-FFF2-40B4-BE49-F238E27FC236}">
              <a16:creationId xmlns:a16="http://schemas.microsoft.com/office/drawing/2014/main" id="{98937B82-C0CD-4DAD-81EF-34C0E767C70D}"/>
            </a:ext>
          </a:extLst>
        </xdr:cNvPr>
        <xdr:cNvSpPr/>
      </xdr:nvSpPr>
      <xdr:spPr>
        <a:xfrm>
          <a:off x="8220075" y="1291590"/>
          <a:ext cx="2476500" cy="206883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000"/>
            <a:t>Business</a:t>
          </a:r>
          <a:r>
            <a:rPr lang="en-GB" sz="2000" baseline="0"/>
            <a:t> as Usual:</a:t>
          </a:r>
        </a:p>
        <a:p>
          <a:pPr algn="ctr"/>
          <a:r>
            <a:rPr lang="en-GB" sz="900"/>
            <a:t>Water</a:t>
          </a:r>
          <a:r>
            <a:rPr lang="en-GB" sz="900" baseline="0"/>
            <a:t> Consumption (municipal vs ground, per year/day)</a:t>
          </a:r>
          <a:br>
            <a:rPr lang="en-GB" sz="900" baseline="0"/>
          </a:br>
          <a:r>
            <a:rPr lang="en-GB" sz="900" baseline="0"/>
            <a:t>Municipal water cost</a:t>
          </a:r>
          <a:br>
            <a:rPr lang="en-GB" sz="900" baseline="0"/>
          </a:br>
          <a:r>
            <a:rPr lang="en-GB" sz="900" baseline="0"/>
            <a:t>Groundwater: cost, abstracted, portion of eff</a:t>
          </a:r>
          <a:br>
            <a:rPr lang="en-GB" sz="900" baseline="0"/>
          </a:br>
          <a:r>
            <a:rPr lang="en-GB" sz="900" baseline="0"/>
            <a:t>Annual Revenue</a:t>
          </a:r>
          <a:br>
            <a:rPr lang="en-GB" sz="900" baseline="0"/>
          </a:br>
          <a:r>
            <a:rPr lang="en-GB" sz="900" baseline="0"/>
            <a:t>Solids vs Steriles production ratio</a:t>
          </a:r>
          <a:br>
            <a:rPr lang="en-GB" sz="900" baseline="0"/>
          </a:br>
          <a:r>
            <a:rPr lang="en-GB" sz="900" baseline="0"/>
            <a:t>Annual water treatment costs</a:t>
          </a:r>
          <a:br>
            <a:rPr lang="en-GB" sz="900" baseline="0"/>
          </a:br>
          <a:r>
            <a:rPr lang="en-GB" sz="900" baseline="0"/>
            <a:t>Municipal Supply Failure</a:t>
          </a:r>
        </a:p>
        <a:p>
          <a:pPr algn="ctr"/>
          <a:r>
            <a:rPr lang="en-GB" sz="900" baseline="0"/>
            <a:t>Groundwater Supply Failure</a:t>
          </a:r>
          <a:br>
            <a:rPr lang="en-GB" sz="900" baseline="0"/>
          </a:br>
          <a:r>
            <a:rPr lang="en-GB" sz="900" baseline="0"/>
            <a:t>WTP Capacity: shortfall?</a:t>
          </a:r>
          <a:br>
            <a:rPr lang="en-GB" sz="900" baseline="0"/>
          </a:br>
          <a:r>
            <a:rPr lang="en-GB" sz="900" baseline="0"/>
            <a:t>Risk Exposure</a:t>
          </a:r>
          <a:br>
            <a:rPr lang="en-GB" sz="900" baseline="0"/>
          </a:br>
          <a:r>
            <a:rPr lang="en-GB" sz="900" baseline="0"/>
            <a:t>True Cost/Value of Water (actual R/kl)</a:t>
          </a:r>
          <a:br>
            <a:rPr lang="en-GB" sz="1800" baseline="0"/>
          </a:br>
          <a:endParaRPr lang="en-GB" sz="1800"/>
        </a:p>
      </xdr:txBody>
    </xdr:sp>
    <xdr:clientData/>
  </xdr:twoCellAnchor>
  <xdr:twoCellAnchor>
    <xdr:from>
      <xdr:col>9</xdr:col>
      <xdr:colOff>219075</xdr:colOff>
      <xdr:row>22</xdr:row>
      <xdr:rowOff>19050</xdr:rowOff>
    </xdr:from>
    <xdr:to>
      <xdr:col>13</xdr:col>
      <xdr:colOff>266700</xdr:colOff>
      <xdr:row>28</xdr:row>
      <xdr:rowOff>152400</xdr:rowOff>
    </xdr:to>
    <xdr:sp macro="" textlink="">
      <xdr:nvSpPr>
        <xdr:cNvPr id="3" name="Rectangle 2">
          <a:extLst>
            <a:ext uri="{FF2B5EF4-FFF2-40B4-BE49-F238E27FC236}">
              <a16:creationId xmlns:a16="http://schemas.microsoft.com/office/drawing/2014/main" id="{C956CE90-CB9B-4715-B811-013EC836AE56}"/>
            </a:ext>
          </a:extLst>
        </xdr:cNvPr>
        <xdr:cNvSpPr/>
      </xdr:nvSpPr>
      <xdr:spPr>
        <a:xfrm>
          <a:off x="8227695" y="3996690"/>
          <a:ext cx="2487930" cy="122301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a:t>Strategic Outlook</a:t>
          </a:r>
        </a:p>
      </xdr:txBody>
    </xdr:sp>
    <xdr:clientData/>
  </xdr:twoCellAnchor>
  <xdr:twoCellAnchor>
    <xdr:from>
      <xdr:col>8</xdr:col>
      <xdr:colOff>361950</xdr:colOff>
      <xdr:row>5</xdr:row>
      <xdr:rowOff>142875</xdr:rowOff>
    </xdr:from>
    <xdr:to>
      <xdr:col>14</xdr:col>
      <xdr:colOff>190500</xdr:colOff>
      <xdr:row>34</xdr:row>
      <xdr:rowOff>0</xdr:rowOff>
    </xdr:to>
    <xdr:sp macro="" textlink="">
      <xdr:nvSpPr>
        <xdr:cNvPr id="4" name="Rectangle 3">
          <a:extLst>
            <a:ext uri="{FF2B5EF4-FFF2-40B4-BE49-F238E27FC236}">
              <a16:creationId xmlns:a16="http://schemas.microsoft.com/office/drawing/2014/main" id="{F307A721-B0C2-48AC-B580-B2B270611FAD}"/>
            </a:ext>
          </a:extLst>
        </xdr:cNvPr>
        <xdr:cNvSpPr/>
      </xdr:nvSpPr>
      <xdr:spPr>
        <a:xfrm>
          <a:off x="7759065" y="1045845"/>
          <a:ext cx="3489960" cy="5107305"/>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1299883</xdr:colOff>
      <xdr:row>122</xdr:row>
      <xdr:rowOff>33618</xdr:rowOff>
    </xdr:from>
    <xdr:to>
      <xdr:col>5</xdr:col>
      <xdr:colOff>302559</xdr:colOff>
      <xdr:row>125</xdr:row>
      <xdr:rowOff>56029</xdr:rowOff>
    </xdr:to>
    <xdr:sp macro="[0]!Muni_Esclalation_Scenario" textlink="">
      <xdr:nvSpPr>
        <xdr:cNvPr id="2" name="Rectangle: Rounded Corners 1">
          <a:extLst>
            <a:ext uri="{FF2B5EF4-FFF2-40B4-BE49-F238E27FC236}">
              <a16:creationId xmlns:a16="http://schemas.microsoft.com/office/drawing/2014/main" id="{2A3B7186-342F-4694-AF1A-3F0678186E90}"/>
            </a:ext>
          </a:extLst>
        </xdr:cNvPr>
        <xdr:cNvSpPr/>
      </xdr:nvSpPr>
      <xdr:spPr bwMode="auto">
        <a:xfrm>
          <a:off x="1734223" y="20668578"/>
          <a:ext cx="1989716" cy="525331"/>
        </a:xfrm>
        <a:prstGeom prst="roundRect">
          <a:avLst/>
        </a:prstGeom>
        <a:solidFill>
          <a:srgbClr val="0070C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r>
            <a:rPr lang="en-ZA" sz="1000" b="1">
              <a:solidFill>
                <a:schemeClr val="bg1"/>
              </a:solidFill>
              <a:latin typeface="Arial" panose="020B0604020202020204" pitchFamily="34" charset="0"/>
              <a:cs typeface="Arial" panose="020B0604020202020204" pitchFamily="34" charset="0"/>
            </a:rPr>
            <a:t>Run Escalation Scenario Macro</a:t>
          </a:r>
        </a:p>
      </xdr:txBody>
    </xdr:sp>
    <xdr:clientData/>
  </xdr:twoCellAnchor>
  <xdr:twoCellAnchor>
    <xdr:from>
      <xdr:col>3</xdr:col>
      <xdr:colOff>0</xdr:colOff>
      <xdr:row>144</xdr:row>
      <xdr:rowOff>0</xdr:rowOff>
    </xdr:from>
    <xdr:to>
      <xdr:col>12</xdr:col>
      <xdr:colOff>498663</xdr:colOff>
      <xdr:row>179</xdr:row>
      <xdr:rowOff>133353</xdr:rowOff>
    </xdr:to>
    <xdr:graphicFrame macro="">
      <xdr:nvGraphicFramePr>
        <xdr:cNvPr id="3" name="Chart 2">
          <a:extLst>
            <a:ext uri="{FF2B5EF4-FFF2-40B4-BE49-F238E27FC236}">
              <a16:creationId xmlns:a16="http://schemas.microsoft.com/office/drawing/2014/main" id="{7B24A964-77BD-437F-A843-A868B4791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143</xdr:row>
      <xdr:rowOff>190499</xdr:rowOff>
    </xdr:from>
    <xdr:to>
      <xdr:col>24</xdr:col>
      <xdr:colOff>313765</xdr:colOff>
      <xdr:row>179</xdr:row>
      <xdr:rowOff>44823</xdr:rowOff>
    </xdr:to>
    <xdr:graphicFrame macro="">
      <xdr:nvGraphicFramePr>
        <xdr:cNvPr id="4" name="Chart 3">
          <a:extLst>
            <a:ext uri="{FF2B5EF4-FFF2-40B4-BE49-F238E27FC236}">
              <a16:creationId xmlns:a16="http://schemas.microsoft.com/office/drawing/2014/main" id="{9FB7C9BF-0BC1-4EC5-A845-1AAE4559E2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619883</xdr:colOff>
      <xdr:row>145</xdr:row>
      <xdr:rowOff>118304</xdr:rowOff>
    </xdr:from>
    <xdr:to>
      <xdr:col>7</xdr:col>
      <xdr:colOff>519036</xdr:colOff>
      <xdr:row>149</xdr:row>
      <xdr:rowOff>146429</xdr:rowOff>
    </xdr:to>
    <xdr:sp macro="[0]!Muni_Esclalation_Scenario" textlink="">
      <xdr:nvSpPr>
        <xdr:cNvPr id="4" name="Rectangle: Rounded Corners 3">
          <a:extLst>
            <a:ext uri="{FF2B5EF4-FFF2-40B4-BE49-F238E27FC236}">
              <a16:creationId xmlns:a16="http://schemas.microsoft.com/office/drawing/2014/main" id="{798A9648-C07C-4B20-BADC-C8B6BA9C2A5E}"/>
            </a:ext>
          </a:extLst>
        </xdr:cNvPr>
        <xdr:cNvSpPr/>
      </xdr:nvSpPr>
      <xdr:spPr bwMode="auto">
        <a:xfrm>
          <a:off x="6129230" y="26214639"/>
          <a:ext cx="2085573" cy="547671"/>
        </a:xfrm>
        <a:prstGeom prst="roundRect">
          <a:avLst/>
        </a:prstGeom>
        <a:solidFill>
          <a:srgbClr val="0070C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r>
            <a:rPr lang="en-ZA" sz="1000" b="1">
              <a:solidFill>
                <a:schemeClr val="bg1"/>
              </a:solidFill>
              <a:latin typeface="Arial" panose="020B0604020202020204" pitchFamily="34" charset="0"/>
              <a:cs typeface="Arial" panose="020B0604020202020204" pitchFamily="34" charset="0"/>
            </a:rPr>
            <a:t>Run Escalation Scenario Macro</a:t>
          </a:r>
        </a:p>
      </xdr:txBody>
    </xdr:sp>
    <xdr:clientData/>
  </xdr:twoCellAnchor>
  <xdr:twoCellAnchor>
    <xdr:from>
      <xdr:col>3</xdr:col>
      <xdr:colOff>119062</xdr:colOff>
      <xdr:row>217</xdr:row>
      <xdr:rowOff>160454</xdr:rowOff>
    </xdr:from>
    <xdr:to>
      <xdr:col>12</xdr:col>
      <xdr:colOff>617725</xdr:colOff>
      <xdr:row>253</xdr:row>
      <xdr:rowOff>120624</xdr:rowOff>
    </xdr:to>
    <xdr:graphicFrame macro="">
      <xdr:nvGraphicFramePr>
        <xdr:cNvPr id="6" name="Chart 5">
          <a:extLst>
            <a:ext uri="{FF2B5EF4-FFF2-40B4-BE49-F238E27FC236}">
              <a16:creationId xmlns:a16="http://schemas.microsoft.com/office/drawing/2014/main" id="{1BC22326-268B-4754-997D-C3F75938A2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1299883</xdr:colOff>
      <xdr:row>239</xdr:row>
      <xdr:rowOff>33618</xdr:rowOff>
    </xdr:from>
    <xdr:to>
      <xdr:col>5</xdr:col>
      <xdr:colOff>302559</xdr:colOff>
      <xdr:row>242</xdr:row>
      <xdr:rowOff>56029</xdr:rowOff>
    </xdr:to>
    <xdr:sp macro="[0]!Muni_Esclalation_Scenario" textlink="">
      <xdr:nvSpPr>
        <xdr:cNvPr id="2" name="Rectangle: Rounded Corners 1">
          <a:extLst>
            <a:ext uri="{FF2B5EF4-FFF2-40B4-BE49-F238E27FC236}">
              <a16:creationId xmlns:a16="http://schemas.microsoft.com/office/drawing/2014/main" id="{22767BB4-99D7-4A09-8334-17F13A7CD6FA}"/>
            </a:ext>
          </a:extLst>
        </xdr:cNvPr>
        <xdr:cNvSpPr/>
      </xdr:nvSpPr>
      <xdr:spPr bwMode="auto">
        <a:xfrm>
          <a:off x="1730413" y="21120063"/>
          <a:ext cx="1991621" cy="542476"/>
        </a:xfrm>
        <a:prstGeom prst="roundRect">
          <a:avLst/>
        </a:prstGeom>
        <a:solidFill>
          <a:srgbClr val="0070C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r>
            <a:rPr lang="en-ZA" sz="1000" b="1">
              <a:solidFill>
                <a:schemeClr val="bg1"/>
              </a:solidFill>
              <a:latin typeface="Arial" panose="020B0604020202020204" pitchFamily="34" charset="0"/>
              <a:cs typeface="Arial" panose="020B0604020202020204" pitchFamily="34" charset="0"/>
            </a:rPr>
            <a:t>Run Escalation Scenario Macro</a:t>
          </a:r>
        </a:p>
      </xdr:txBody>
    </xdr:sp>
    <xdr:clientData/>
  </xdr:twoCellAnchor>
  <xdr:twoCellAnchor>
    <xdr:from>
      <xdr:col>3</xdr:col>
      <xdr:colOff>0</xdr:colOff>
      <xdr:row>261</xdr:row>
      <xdr:rowOff>0</xdr:rowOff>
    </xdr:from>
    <xdr:to>
      <xdr:col>12</xdr:col>
      <xdr:colOff>498663</xdr:colOff>
      <xdr:row>296</xdr:row>
      <xdr:rowOff>133353</xdr:rowOff>
    </xdr:to>
    <xdr:graphicFrame macro="">
      <xdr:nvGraphicFramePr>
        <xdr:cNvPr id="3" name="Chart 2">
          <a:extLst>
            <a:ext uri="{FF2B5EF4-FFF2-40B4-BE49-F238E27FC236}">
              <a16:creationId xmlns:a16="http://schemas.microsoft.com/office/drawing/2014/main" id="{73008AFC-719C-408F-96D6-F6109494CE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260</xdr:row>
      <xdr:rowOff>190499</xdr:rowOff>
    </xdr:from>
    <xdr:to>
      <xdr:col>24</xdr:col>
      <xdr:colOff>313765</xdr:colOff>
      <xdr:row>296</xdr:row>
      <xdr:rowOff>44823</xdr:rowOff>
    </xdr:to>
    <xdr:graphicFrame macro="">
      <xdr:nvGraphicFramePr>
        <xdr:cNvPr id="4" name="Chart 3">
          <a:extLst>
            <a:ext uri="{FF2B5EF4-FFF2-40B4-BE49-F238E27FC236}">
              <a16:creationId xmlns:a16="http://schemas.microsoft.com/office/drawing/2014/main" id="{A4577413-6924-4A79-A4C5-B7A1F5D2AE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1299883</xdr:colOff>
      <xdr:row>256</xdr:row>
      <xdr:rowOff>33618</xdr:rowOff>
    </xdr:from>
    <xdr:to>
      <xdr:col>5</xdr:col>
      <xdr:colOff>302559</xdr:colOff>
      <xdr:row>259</xdr:row>
      <xdr:rowOff>56029</xdr:rowOff>
    </xdr:to>
    <xdr:sp macro="[0]!Muni_Esclalation_Scenario" textlink="">
      <xdr:nvSpPr>
        <xdr:cNvPr id="2" name="Rectangle: Rounded Corners 1">
          <a:extLst>
            <a:ext uri="{FF2B5EF4-FFF2-40B4-BE49-F238E27FC236}">
              <a16:creationId xmlns:a16="http://schemas.microsoft.com/office/drawing/2014/main" id="{B73CA2E9-D147-4E58-98B4-A23CF513235E}"/>
            </a:ext>
          </a:extLst>
        </xdr:cNvPr>
        <xdr:cNvSpPr/>
      </xdr:nvSpPr>
      <xdr:spPr bwMode="auto">
        <a:xfrm>
          <a:off x="1730413" y="41398788"/>
          <a:ext cx="2658371" cy="542476"/>
        </a:xfrm>
        <a:prstGeom prst="roundRect">
          <a:avLst/>
        </a:prstGeom>
        <a:solidFill>
          <a:srgbClr val="0070C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r>
            <a:rPr lang="en-ZA" sz="1000" b="1">
              <a:solidFill>
                <a:schemeClr val="bg1"/>
              </a:solidFill>
              <a:latin typeface="Arial" panose="020B0604020202020204" pitchFamily="34" charset="0"/>
              <a:cs typeface="Arial" panose="020B0604020202020204" pitchFamily="34" charset="0"/>
            </a:rPr>
            <a:t>Run Escalation Scenario Macro</a:t>
          </a:r>
        </a:p>
      </xdr:txBody>
    </xdr:sp>
    <xdr:clientData/>
  </xdr:twoCellAnchor>
  <xdr:twoCellAnchor>
    <xdr:from>
      <xdr:col>3</xdr:col>
      <xdr:colOff>0</xdr:colOff>
      <xdr:row>278</xdr:row>
      <xdr:rowOff>0</xdr:rowOff>
    </xdr:from>
    <xdr:to>
      <xdr:col>12</xdr:col>
      <xdr:colOff>498663</xdr:colOff>
      <xdr:row>313</xdr:row>
      <xdr:rowOff>133353</xdr:rowOff>
    </xdr:to>
    <xdr:graphicFrame macro="">
      <xdr:nvGraphicFramePr>
        <xdr:cNvPr id="3" name="Chart 2">
          <a:extLst>
            <a:ext uri="{FF2B5EF4-FFF2-40B4-BE49-F238E27FC236}">
              <a16:creationId xmlns:a16="http://schemas.microsoft.com/office/drawing/2014/main" id="{37CFE8C6-C9CC-4CB4-9C27-F4F913DD8A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277</xdr:row>
      <xdr:rowOff>190499</xdr:rowOff>
    </xdr:from>
    <xdr:to>
      <xdr:col>24</xdr:col>
      <xdr:colOff>313765</xdr:colOff>
      <xdr:row>313</xdr:row>
      <xdr:rowOff>44823</xdr:rowOff>
    </xdr:to>
    <xdr:graphicFrame macro="">
      <xdr:nvGraphicFramePr>
        <xdr:cNvPr id="4" name="Chart 3">
          <a:extLst>
            <a:ext uri="{FF2B5EF4-FFF2-40B4-BE49-F238E27FC236}">
              <a16:creationId xmlns:a16="http://schemas.microsoft.com/office/drawing/2014/main" id="{71A827F5-E309-4EDB-BE1C-64015D13F4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30</xdr:col>
      <xdr:colOff>784564</xdr:colOff>
      <xdr:row>0</xdr:row>
      <xdr:rowOff>0</xdr:rowOff>
    </xdr:from>
    <xdr:ext cx="2481115" cy="1068251"/>
    <xdr:pic>
      <xdr:nvPicPr>
        <xdr:cNvPr id="2" name="Picture 1">
          <a:extLst>
            <a:ext uri="{FF2B5EF4-FFF2-40B4-BE49-F238E27FC236}">
              <a16:creationId xmlns:a16="http://schemas.microsoft.com/office/drawing/2014/main" id="{7A3E8381-C0B9-4BB4-840A-21D116F411F7}"/>
            </a:ext>
          </a:extLst>
        </xdr:cNvPr>
        <xdr:cNvPicPr>
          <a:picLocks noChangeAspect="1"/>
        </xdr:cNvPicPr>
      </xdr:nvPicPr>
      <xdr:blipFill>
        <a:blip xmlns:r="http://schemas.openxmlformats.org/officeDocument/2006/relationships" r:embed="rId1"/>
        <a:stretch>
          <a:fillRect/>
        </a:stretch>
      </xdr:blipFill>
      <xdr:spPr>
        <a:xfrm>
          <a:off x="20482264" y="6541911"/>
          <a:ext cx="2481115" cy="1068251"/>
        </a:xfrm>
        <a:prstGeom prst="rect">
          <a:avLst/>
        </a:prstGeom>
      </xdr:spPr>
    </xdr:pic>
    <xdr:clientData/>
  </xdr:oneCellAnchor>
  <xdr:twoCellAnchor editAs="oneCell">
    <xdr:from>
      <xdr:col>8</xdr:col>
      <xdr:colOff>579438</xdr:colOff>
      <xdr:row>132</xdr:row>
      <xdr:rowOff>22928</xdr:rowOff>
    </xdr:from>
    <xdr:to>
      <xdr:col>22</xdr:col>
      <xdr:colOff>440521</xdr:colOff>
      <xdr:row>142</xdr:row>
      <xdr:rowOff>16182</xdr:rowOff>
    </xdr:to>
    <xdr:pic>
      <xdr:nvPicPr>
        <xdr:cNvPr id="3" name="Picture 2">
          <a:extLst>
            <a:ext uri="{FF2B5EF4-FFF2-40B4-BE49-F238E27FC236}">
              <a16:creationId xmlns:a16="http://schemas.microsoft.com/office/drawing/2014/main" id="{D8949E5B-D423-4EB7-B911-3022BC77A1A1}"/>
            </a:ext>
          </a:extLst>
        </xdr:cNvPr>
        <xdr:cNvPicPr>
          <a:picLocks noChangeAspect="1"/>
        </xdr:cNvPicPr>
      </xdr:nvPicPr>
      <xdr:blipFill>
        <a:blip xmlns:r="http://schemas.openxmlformats.org/officeDocument/2006/relationships" r:embed="rId2"/>
        <a:stretch>
          <a:fillRect/>
        </a:stretch>
      </xdr:blipFill>
      <xdr:spPr>
        <a:xfrm>
          <a:off x="6766878" y="23065808"/>
          <a:ext cx="8551277" cy="1825867"/>
        </a:xfrm>
        <a:prstGeom prst="rect">
          <a:avLst/>
        </a:prstGeom>
      </xdr:spPr>
    </xdr:pic>
    <xdr:clientData/>
  </xdr:twoCellAnchor>
  <xdr:twoCellAnchor editAs="oneCell">
    <xdr:from>
      <xdr:col>10</xdr:col>
      <xdr:colOff>166687</xdr:colOff>
      <xdr:row>116</xdr:row>
      <xdr:rowOff>158751</xdr:rowOff>
    </xdr:from>
    <xdr:to>
      <xdr:col>10</xdr:col>
      <xdr:colOff>327230</xdr:colOff>
      <xdr:row>118</xdr:row>
      <xdr:rowOff>18308</xdr:rowOff>
    </xdr:to>
    <xdr:pic>
      <xdr:nvPicPr>
        <xdr:cNvPr id="4" name="'RedLight'">
          <a:extLst>
            <a:ext uri="{FF2B5EF4-FFF2-40B4-BE49-F238E27FC236}">
              <a16:creationId xmlns:a16="http://schemas.microsoft.com/office/drawing/2014/main" id="{A5A3BC28-93D9-42CD-9E9D-BFDE4BD2BCD2}"/>
            </a:ext>
          </a:extLst>
        </xdr:cNvPr>
        <xdr:cNvPicPr>
          <a:picLocks noChangeAspect="1"/>
        </xdr:cNvPicPr>
      </xdr:nvPicPr>
      <xdr:blipFill>
        <a:blip xmlns:r="http://schemas.openxmlformats.org/officeDocument/2006/relationships" r:embed="rId3"/>
        <a:stretch>
          <a:fillRect/>
        </a:stretch>
      </xdr:blipFill>
      <xdr:spPr>
        <a:xfrm>
          <a:off x="7573327" y="20275551"/>
          <a:ext cx="156733" cy="229128"/>
        </a:xfrm>
        <a:prstGeom prst="rect">
          <a:avLst/>
        </a:prstGeom>
      </xdr:spPr>
    </xdr:pic>
    <xdr:clientData/>
  </xdr:twoCellAnchor>
  <xdr:twoCellAnchor editAs="oneCell">
    <xdr:from>
      <xdr:col>10</xdr:col>
      <xdr:colOff>166687</xdr:colOff>
      <xdr:row>117</xdr:row>
      <xdr:rowOff>166687</xdr:rowOff>
    </xdr:from>
    <xdr:to>
      <xdr:col>10</xdr:col>
      <xdr:colOff>327342</xdr:colOff>
      <xdr:row>119</xdr:row>
      <xdr:rowOff>19368</xdr:rowOff>
    </xdr:to>
    <xdr:pic>
      <xdr:nvPicPr>
        <xdr:cNvPr id="5" name="'OrangeLight'">
          <a:extLst>
            <a:ext uri="{FF2B5EF4-FFF2-40B4-BE49-F238E27FC236}">
              <a16:creationId xmlns:a16="http://schemas.microsoft.com/office/drawing/2014/main" id="{4F41B7C5-7FF6-4535-86B5-12C32F97CB6C}"/>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r="97172" b="40018"/>
        <a:stretch/>
      </xdr:blipFill>
      <xdr:spPr bwMode="auto">
        <a:xfrm>
          <a:off x="7573327" y="20466367"/>
          <a:ext cx="156845" cy="214630"/>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10</xdr:col>
      <xdr:colOff>166687</xdr:colOff>
      <xdr:row>118</xdr:row>
      <xdr:rowOff>174625</xdr:rowOff>
    </xdr:from>
    <xdr:to>
      <xdr:col>10</xdr:col>
      <xdr:colOff>358457</xdr:colOff>
      <xdr:row>120</xdr:row>
      <xdr:rowOff>53340</xdr:rowOff>
    </xdr:to>
    <xdr:pic>
      <xdr:nvPicPr>
        <xdr:cNvPr id="6" name="'YellowLight'">
          <a:extLst>
            <a:ext uri="{FF2B5EF4-FFF2-40B4-BE49-F238E27FC236}">
              <a16:creationId xmlns:a16="http://schemas.microsoft.com/office/drawing/2014/main" id="{F2825AA0-FC5A-4481-B032-3B900EBC68CE}"/>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1" r="96667" b="30020"/>
        <a:stretch/>
      </xdr:blipFill>
      <xdr:spPr bwMode="auto">
        <a:xfrm>
          <a:off x="7573327" y="20657185"/>
          <a:ext cx="195580" cy="2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10</xdr:col>
      <xdr:colOff>166687</xdr:colOff>
      <xdr:row>119</xdr:row>
      <xdr:rowOff>174625</xdr:rowOff>
    </xdr:from>
    <xdr:to>
      <xdr:col>10</xdr:col>
      <xdr:colOff>340042</xdr:colOff>
      <xdr:row>121</xdr:row>
      <xdr:rowOff>40639</xdr:rowOff>
    </xdr:to>
    <xdr:pic>
      <xdr:nvPicPr>
        <xdr:cNvPr id="7" name="'GreenLight'">
          <a:extLst>
            <a:ext uri="{FF2B5EF4-FFF2-40B4-BE49-F238E27FC236}">
              <a16:creationId xmlns:a16="http://schemas.microsoft.com/office/drawing/2014/main" id="{CD29504C-5876-4EE0-9C57-8856481D6245}"/>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r="96975" b="32863"/>
        <a:stretch/>
      </xdr:blipFill>
      <xdr:spPr bwMode="auto">
        <a:xfrm>
          <a:off x="7573327" y="20840065"/>
          <a:ext cx="173355" cy="23177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10</xdr:col>
      <xdr:colOff>246066</xdr:colOff>
      <xdr:row>122</xdr:row>
      <xdr:rowOff>0</xdr:rowOff>
    </xdr:from>
    <xdr:to>
      <xdr:col>10</xdr:col>
      <xdr:colOff>438868</xdr:colOff>
      <xdr:row>123</xdr:row>
      <xdr:rowOff>60028</xdr:rowOff>
    </xdr:to>
    <xdr:pic>
      <xdr:nvPicPr>
        <xdr:cNvPr id="8" name="Picture 7">
          <a:extLst>
            <a:ext uri="{FF2B5EF4-FFF2-40B4-BE49-F238E27FC236}">
              <a16:creationId xmlns:a16="http://schemas.microsoft.com/office/drawing/2014/main" id="{10EBE129-A00B-42C5-B853-A4D44CFF7E2A}"/>
            </a:ext>
          </a:extLst>
        </xdr:cNvPr>
        <xdr:cNvPicPr>
          <a:picLocks noChangeAspect="1"/>
        </xdr:cNvPicPr>
      </xdr:nvPicPr>
      <xdr:blipFill>
        <a:blip xmlns:r="http://schemas.openxmlformats.org/officeDocument/2006/relationships" r:embed="rId7"/>
        <a:stretch>
          <a:fillRect/>
        </a:stretch>
      </xdr:blipFill>
      <xdr:spPr>
        <a:xfrm>
          <a:off x="7652706" y="21214080"/>
          <a:ext cx="188992" cy="239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763904</xdr:colOff>
          <xdr:row>122</xdr:row>
          <xdr:rowOff>6</xdr:rowOff>
        </xdr:from>
        <xdr:to>
          <xdr:col>14</xdr:col>
          <xdr:colOff>150800</xdr:colOff>
          <xdr:row>123</xdr:row>
          <xdr:rowOff>6</xdr:rowOff>
        </xdr:to>
        <xdr:pic>
          <xdr:nvPicPr>
            <xdr:cNvPr id="9" name="Picture 8">
              <a:extLst>
                <a:ext uri="{FF2B5EF4-FFF2-40B4-BE49-F238E27FC236}">
                  <a16:creationId xmlns:a16="http://schemas.microsoft.com/office/drawing/2014/main" id="{5B91D575-FC1A-4153-9968-3C29E2CE1BF4}"/>
                </a:ext>
              </a:extLst>
            </xdr:cNvPr>
            <xdr:cNvPicPr>
              <a:picLocks noChangeAspect="1" noChangeArrowheads="1"/>
              <a:extLst>
                <a:ext uri="{84589F7E-364E-4C9E-8A38-B11213B215E9}">
                  <a14:cameraTool cellRange="$M$123" spid="_x0000_s63627"/>
                </a:ext>
              </a:extLst>
            </xdr:cNvPicPr>
          </xdr:nvPicPr>
          <xdr:blipFill>
            <a:blip xmlns:r="http://schemas.openxmlformats.org/officeDocument/2006/relationships" r:embed="rId8"/>
            <a:srcRect/>
            <a:stretch>
              <a:fillRect/>
            </a:stretch>
          </xdr:blipFill>
          <xdr:spPr bwMode="auto">
            <a:xfrm>
              <a:off x="9423990" y="17561040"/>
              <a:ext cx="766379" cy="186121"/>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18</xdr:col>
      <xdr:colOff>0</xdr:colOff>
      <xdr:row>115</xdr:row>
      <xdr:rowOff>0</xdr:rowOff>
    </xdr:from>
    <xdr:to>
      <xdr:col>29</xdr:col>
      <xdr:colOff>95404</xdr:colOff>
      <xdr:row>119</xdr:row>
      <xdr:rowOff>79688</xdr:rowOff>
    </xdr:to>
    <xdr:pic>
      <xdr:nvPicPr>
        <xdr:cNvPr id="10" name="Picture 9">
          <a:extLst>
            <a:ext uri="{FF2B5EF4-FFF2-40B4-BE49-F238E27FC236}">
              <a16:creationId xmlns:a16="http://schemas.microsoft.com/office/drawing/2014/main" id="{CA5EDE43-C23A-36EB-5C89-6054E397B034}"/>
            </a:ext>
          </a:extLst>
        </xdr:cNvPr>
        <xdr:cNvPicPr>
          <a:picLocks noChangeAspect="1"/>
        </xdr:cNvPicPr>
      </xdr:nvPicPr>
      <xdr:blipFill>
        <a:blip xmlns:r="http://schemas.openxmlformats.org/officeDocument/2006/relationships" r:embed="rId9"/>
        <a:stretch>
          <a:fillRect/>
        </a:stretch>
      </xdr:blipFill>
      <xdr:spPr>
        <a:xfrm>
          <a:off x="12603655" y="14784552"/>
          <a:ext cx="6835732" cy="815411"/>
        </a:xfrm>
        <a:prstGeom prst="rect">
          <a:avLst/>
        </a:prstGeom>
      </xdr:spPr>
    </xdr:pic>
    <xdr:clientData/>
  </xdr:twoCellAnchor>
  <xdr:oneCellAnchor>
    <xdr:from>
      <xdr:col>30</xdr:col>
      <xdr:colOff>784564</xdr:colOff>
      <xdr:row>14</xdr:row>
      <xdr:rowOff>0</xdr:rowOff>
    </xdr:from>
    <xdr:ext cx="2481115" cy="1068251"/>
    <xdr:pic>
      <xdr:nvPicPr>
        <xdr:cNvPr id="11" name="Picture 10">
          <a:extLst>
            <a:ext uri="{FF2B5EF4-FFF2-40B4-BE49-F238E27FC236}">
              <a16:creationId xmlns:a16="http://schemas.microsoft.com/office/drawing/2014/main" id="{3D22A776-9950-40E6-BB0D-0D7B754DE7EE}"/>
            </a:ext>
          </a:extLst>
        </xdr:cNvPr>
        <xdr:cNvPicPr>
          <a:picLocks noChangeAspect="1"/>
        </xdr:cNvPicPr>
      </xdr:nvPicPr>
      <xdr:blipFill>
        <a:blip xmlns:r="http://schemas.openxmlformats.org/officeDocument/2006/relationships" r:embed="rId1"/>
        <a:stretch>
          <a:fillRect/>
        </a:stretch>
      </xdr:blipFill>
      <xdr:spPr>
        <a:xfrm>
          <a:off x="20458528" y="0"/>
          <a:ext cx="2481115" cy="1068251"/>
        </a:xfrm>
        <a:prstGeom prst="rect">
          <a:avLst/>
        </a:prstGeom>
      </xdr:spPr>
    </xdr:pic>
    <xdr:clientData/>
  </xdr:oneCellAnchor>
  <xdr:oneCellAnchor>
    <xdr:from>
      <xdr:col>30</xdr:col>
      <xdr:colOff>784564</xdr:colOff>
      <xdr:row>28</xdr:row>
      <xdr:rowOff>0</xdr:rowOff>
    </xdr:from>
    <xdr:ext cx="2481115" cy="1068251"/>
    <xdr:pic>
      <xdr:nvPicPr>
        <xdr:cNvPr id="12" name="Picture 11">
          <a:extLst>
            <a:ext uri="{FF2B5EF4-FFF2-40B4-BE49-F238E27FC236}">
              <a16:creationId xmlns:a16="http://schemas.microsoft.com/office/drawing/2014/main" id="{66A59948-2C4F-4215-B177-FE86538CFA0C}"/>
            </a:ext>
          </a:extLst>
        </xdr:cNvPr>
        <xdr:cNvPicPr>
          <a:picLocks noChangeAspect="1"/>
        </xdr:cNvPicPr>
      </xdr:nvPicPr>
      <xdr:blipFill>
        <a:blip xmlns:r="http://schemas.openxmlformats.org/officeDocument/2006/relationships" r:embed="rId1"/>
        <a:stretch>
          <a:fillRect/>
        </a:stretch>
      </xdr:blipFill>
      <xdr:spPr>
        <a:xfrm>
          <a:off x="20458528" y="2605690"/>
          <a:ext cx="2481115" cy="1068251"/>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3</xdr:col>
      <xdr:colOff>1299883</xdr:colOff>
      <xdr:row>195</xdr:row>
      <xdr:rowOff>33618</xdr:rowOff>
    </xdr:from>
    <xdr:to>
      <xdr:col>5</xdr:col>
      <xdr:colOff>302559</xdr:colOff>
      <xdr:row>198</xdr:row>
      <xdr:rowOff>56029</xdr:rowOff>
    </xdr:to>
    <xdr:sp macro="[0]!Muni_Esclalation_Scenario" textlink="">
      <xdr:nvSpPr>
        <xdr:cNvPr id="2" name="Rectangle: Rounded Corners 1">
          <a:extLst>
            <a:ext uri="{FF2B5EF4-FFF2-40B4-BE49-F238E27FC236}">
              <a16:creationId xmlns:a16="http://schemas.microsoft.com/office/drawing/2014/main" id="{01F5B889-1105-40A7-A1A8-359620B969B0}"/>
            </a:ext>
          </a:extLst>
        </xdr:cNvPr>
        <xdr:cNvSpPr/>
      </xdr:nvSpPr>
      <xdr:spPr bwMode="auto">
        <a:xfrm>
          <a:off x="1730413" y="21120063"/>
          <a:ext cx="1991621" cy="542476"/>
        </a:xfrm>
        <a:prstGeom prst="roundRect">
          <a:avLst/>
        </a:prstGeom>
        <a:solidFill>
          <a:srgbClr val="0070C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r>
            <a:rPr lang="en-ZA" sz="1000" b="1">
              <a:solidFill>
                <a:schemeClr val="bg1"/>
              </a:solidFill>
              <a:latin typeface="Arial" panose="020B0604020202020204" pitchFamily="34" charset="0"/>
              <a:cs typeface="Arial" panose="020B0604020202020204" pitchFamily="34" charset="0"/>
            </a:rPr>
            <a:t>Run Escalation Scenario Macro</a:t>
          </a:r>
        </a:p>
      </xdr:txBody>
    </xdr:sp>
    <xdr:clientData/>
  </xdr:twoCellAnchor>
  <xdr:twoCellAnchor>
    <xdr:from>
      <xdr:col>3</xdr:col>
      <xdr:colOff>0</xdr:colOff>
      <xdr:row>217</xdr:row>
      <xdr:rowOff>0</xdr:rowOff>
    </xdr:from>
    <xdr:to>
      <xdr:col>12</xdr:col>
      <xdr:colOff>498663</xdr:colOff>
      <xdr:row>252</xdr:row>
      <xdr:rowOff>133353</xdr:rowOff>
    </xdr:to>
    <xdr:graphicFrame macro="">
      <xdr:nvGraphicFramePr>
        <xdr:cNvPr id="3" name="Chart 2">
          <a:extLst>
            <a:ext uri="{FF2B5EF4-FFF2-40B4-BE49-F238E27FC236}">
              <a16:creationId xmlns:a16="http://schemas.microsoft.com/office/drawing/2014/main" id="{C934B075-58D5-4327-B091-B5AED44BBF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216</xdr:row>
      <xdr:rowOff>190499</xdr:rowOff>
    </xdr:from>
    <xdr:to>
      <xdr:col>24</xdr:col>
      <xdr:colOff>313765</xdr:colOff>
      <xdr:row>252</xdr:row>
      <xdr:rowOff>44823</xdr:rowOff>
    </xdr:to>
    <xdr:graphicFrame macro="">
      <xdr:nvGraphicFramePr>
        <xdr:cNvPr id="4" name="Chart 3">
          <a:extLst>
            <a:ext uri="{FF2B5EF4-FFF2-40B4-BE49-F238E27FC236}">
              <a16:creationId xmlns:a16="http://schemas.microsoft.com/office/drawing/2014/main" id="{671040C4-50C0-40E7-A6F3-CC898FAD89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438150</xdr:colOff>
      <xdr:row>1</xdr:row>
      <xdr:rowOff>47625</xdr:rowOff>
    </xdr:from>
    <xdr:to>
      <xdr:col>7</xdr:col>
      <xdr:colOff>144347</xdr:colOff>
      <xdr:row>11</xdr:row>
      <xdr:rowOff>28769</xdr:rowOff>
    </xdr:to>
    <xdr:graphicFrame macro="">
      <xdr:nvGraphicFramePr>
        <xdr:cNvPr id="2" name="Chart 1">
          <a:extLst>
            <a:ext uri="{FF2B5EF4-FFF2-40B4-BE49-F238E27FC236}">
              <a16:creationId xmlns:a16="http://schemas.microsoft.com/office/drawing/2014/main" id="{BF53A72B-D2BC-4581-8684-B7FAA3EDDA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333375</xdr:colOff>
      <xdr:row>13</xdr:row>
      <xdr:rowOff>28575</xdr:rowOff>
    </xdr:from>
    <xdr:to>
      <xdr:col>8</xdr:col>
      <xdr:colOff>43904</xdr:colOff>
      <xdr:row>28</xdr:row>
      <xdr:rowOff>120016</xdr:rowOff>
    </xdr:to>
    <xdr:graphicFrame macro="">
      <xdr:nvGraphicFramePr>
        <xdr:cNvPr id="3" name="Chart 2">
          <a:extLst>
            <a:ext uri="{FF2B5EF4-FFF2-40B4-BE49-F238E27FC236}">
              <a16:creationId xmlns:a16="http://schemas.microsoft.com/office/drawing/2014/main" id="{5917947C-3156-4C9A-98E9-F42A321F1F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200025</xdr:colOff>
      <xdr:row>13</xdr:row>
      <xdr:rowOff>0</xdr:rowOff>
    </xdr:from>
    <xdr:to>
      <xdr:col>24</xdr:col>
      <xdr:colOff>421341</xdr:colOff>
      <xdr:row>30</xdr:row>
      <xdr:rowOff>89647</xdr:rowOff>
    </xdr:to>
    <xdr:graphicFrame macro="">
      <xdr:nvGraphicFramePr>
        <xdr:cNvPr id="4" name="Chart 3">
          <a:extLst>
            <a:ext uri="{FF2B5EF4-FFF2-40B4-BE49-F238E27FC236}">
              <a16:creationId xmlns:a16="http://schemas.microsoft.com/office/drawing/2014/main" id="{E1907317-3C10-4FE3-8FBF-4C192F3466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26</xdr:col>
      <xdr:colOff>183574</xdr:colOff>
      <xdr:row>37</xdr:row>
      <xdr:rowOff>70103</xdr:rowOff>
    </xdr:from>
    <xdr:to>
      <xdr:col>40</xdr:col>
      <xdr:colOff>209943</xdr:colOff>
      <xdr:row>63</xdr:row>
      <xdr:rowOff>77865</xdr:rowOff>
    </xdr:to>
    <xdr:pic>
      <xdr:nvPicPr>
        <xdr:cNvPr id="5" name="Picture 4">
          <a:extLst>
            <a:ext uri="{FF2B5EF4-FFF2-40B4-BE49-F238E27FC236}">
              <a16:creationId xmlns:a16="http://schemas.microsoft.com/office/drawing/2014/main" id="{3C29F6A8-0A34-4F24-B163-ABF8DCFF9155}"/>
            </a:ext>
          </a:extLst>
        </xdr:cNvPr>
        <xdr:cNvPicPr>
          <a:picLocks noChangeAspect="1"/>
        </xdr:cNvPicPr>
      </xdr:nvPicPr>
      <xdr:blipFill>
        <a:blip xmlns:r="http://schemas.openxmlformats.org/officeDocument/2006/relationships" r:embed="rId4"/>
        <a:stretch>
          <a:fillRect/>
        </a:stretch>
      </xdr:blipFill>
      <xdr:spPr>
        <a:xfrm>
          <a:off x="15943119" y="6477830"/>
          <a:ext cx="8508469" cy="4510490"/>
        </a:xfrm>
        <a:prstGeom prst="rect">
          <a:avLst/>
        </a:prstGeom>
      </xdr:spPr>
    </xdr:pic>
    <xdr:clientData/>
  </xdr:twoCellAnchor>
  <xdr:twoCellAnchor editAs="oneCell">
    <xdr:from>
      <xdr:col>31</xdr:col>
      <xdr:colOff>493059</xdr:colOff>
      <xdr:row>64</xdr:row>
      <xdr:rowOff>107556</xdr:rowOff>
    </xdr:from>
    <xdr:to>
      <xdr:col>45</xdr:col>
      <xdr:colOff>515618</xdr:colOff>
      <xdr:row>91</xdr:row>
      <xdr:rowOff>2646</xdr:rowOff>
    </xdr:to>
    <xdr:pic>
      <xdr:nvPicPr>
        <xdr:cNvPr id="6" name="Picture 5">
          <a:extLst>
            <a:ext uri="{FF2B5EF4-FFF2-40B4-BE49-F238E27FC236}">
              <a16:creationId xmlns:a16="http://schemas.microsoft.com/office/drawing/2014/main" id="{6D74F465-4224-4BA6-B19E-B64F7DC7BD0E}"/>
            </a:ext>
          </a:extLst>
        </xdr:cNvPr>
        <xdr:cNvPicPr>
          <a:picLocks noChangeAspect="1"/>
        </xdr:cNvPicPr>
      </xdr:nvPicPr>
      <xdr:blipFill>
        <a:blip xmlns:r="http://schemas.openxmlformats.org/officeDocument/2006/relationships" r:embed="rId5"/>
        <a:stretch>
          <a:fillRect/>
        </a:stretch>
      </xdr:blipFill>
      <xdr:spPr>
        <a:xfrm>
          <a:off x="19390659" y="11008638"/>
          <a:ext cx="8556959" cy="4493984"/>
        </a:xfrm>
        <a:prstGeom prst="rect">
          <a:avLst/>
        </a:prstGeom>
      </xdr:spPr>
    </xdr:pic>
    <xdr:clientData/>
  </xdr:twoCellAnchor>
  <xdr:twoCellAnchor editAs="oneCell">
    <xdr:from>
      <xdr:col>42</xdr:col>
      <xdr:colOff>31544</xdr:colOff>
      <xdr:row>7</xdr:row>
      <xdr:rowOff>0</xdr:rowOff>
    </xdr:from>
    <xdr:to>
      <xdr:col>56</xdr:col>
      <xdr:colOff>22667</xdr:colOff>
      <xdr:row>33</xdr:row>
      <xdr:rowOff>2236</xdr:rowOff>
    </xdr:to>
    <xdr:pic>
      <xdr:nvPicPr>
        <xdr:cNvPr id="7" name="Picture 6">
          <a:extLst>
            <a:ext uri="{FF2B5EF4-FFF2-40B4-BE49-F238E27FC236}">
              <a16:creationId xmlns:a16="http://schemas.microsoft.com/office/drawing/2014/main" id="{7A04B438-7009-49FC-842B-93C067B022F9}"/>
            </a:ext>
          </a:extLst>
        </xdr:cNvPr>
        <xdr:cNvPicPr>
          <a:picLocks noChangeAspect="1"/>
        </xdr:cNvPicPr>
      </xdr:nvPicPr>
      <xdr:blipFill>
        <a:blip xmlns:r="http://schemas.openxmlformats.org/officeDocument/2006/relationships" r:embed="rId6"/>
        <a:stretch>
          <a:fillRect/>
        </a:stretch>
      </xdr:blipFill>
      <xdr:spPr>
        <a:xfrm>
          <a:off x="25489271" y="1212273"/>
          <a:ext cx="8475127" cy="4504963"/>
        </a:xfrm>
        <a:prstGeom prst="rect">
          <a:avLst/>
        </a:prstGeom>
      </xdr:spPr>
    </xdr:pic>
    <xdr:clientData/>
  </xdr:twoCellAnchor>
  <xdr:twoCellAnchor editAs="oneCell">
    <xdr:from>
      <xdr:col>29</xdr:col>
      <xdr:colOff>252943</xdr:colOff>
      <xdr:row>9</xdr:row>
      <xdr:rowOff>135740</xdr:rowOff>
    </xdr:from>
    <xdr:to>
      <xdr:col>38</xdr:col>
      <xdr:colOff>210852</xdr:colOff>
      <xdr:row>18</xdr:row>
      <xdr:rowOff>130678</xdr:rowOff>
    </xdr:to>
    <xdr:pic>
      <xdr:nvPicPr>
        <xdr:cNvPr id="8" name="Picture 7">
          <a:extLst>
            <a:ext uri="{FF2B5EF4-FFF2-40B4-BE49-F238E27FC236}">
              <a16:creationId xmlns:a16="http://schemas.microsoft.com/office/drawing/2014/main" id="{840EDBA9-26ED-49C2-B83E-B7D52691989E}"/>
            </a:ext>
          </a:extLst>
        </xdr:cNvPr>
        <xdr:cNvPicPr>
          <a:picLocks noChangeAspect="1"/>
        </xdr:cNvPicPr>
      </xdr:nvPicPr>
      <xdr:blipFill>
        <a:blip xmlns:r="http://schemas.openxmlformats.org/officeDocument/2006/relationships" r:embed="rId7"/>
        <a:stretch>
          <a:fillRect/>
        </a:stretch>
      </xdr:blipFill>
      <xdr:spPr>
        <a:xfrm>
          <a:off x="17830898" y="1694376"/>
          <a:ext cx="5413136" cy="1553575"/>
        </a:xfrm>
        <a:prstGeom prst="rect">
          <a:avLst/>
        </a:prstGeom>
      </xdr:spPr>
    </xdr:pic>
    <xdr:clientData/>
  </xdr:twoCellAnchor>
  <xdr:twoCellAnchor editAs="oneCell">
    <xdr:from>
      <xdr:col>29</xdr:col>
      <xdr:colOff>282918</xdr:colOff>
      <xdr:row>20</xdr:row>
      <xdr:rowOff>42596</xdr:rowOff>
    </xdr:from>
    <xdr:to>
      <xdr:col>34</xdr:col>
      <xdr:colOff>39719</xdr:colOff>
      <xdr:row>29</xdr:row>
      <xdr:rowOff>55050</xdr:rowOff>
    </xdr:to>
    <xdr:pic>
      <xdr:nvPicPr>
        <xdr:cNvPr id="9" name="Picture 8">
          <a:extLst>
            <a:ext uri="{FF2B5EF4-FFF2-40B4-BE49-F238E27FC236}">
              <a16:creationId xmlns:a16="http://schemas.microsoft.com/office/drawing/2014/main" id="{B7F381CB-D367-408B-B97C-E0C541EA744A}"/>
            </a:ext>
          </a:extLst>
        </xdr:cNvPr>
        <xdr:cNvPicPr>
          <a:picLocks noChangeAspect="1"/>
        </xdr:cNvPicPr>
      </xdr:nvPicPr>
      <xdr:blipFill>
        <a:blip xmlns:r="http://schemas.openxmlformats.org/officeDocument/2006/relationships" r:embed="rId8"/>
        <a:stretch>
          <a:fillRect/>
        </a:stretch>
      </xdr:blipFill>
      <xdr:spPr>
        <a:xfrm>
          <a:off x="17892262" y="3495409"/>
          <a:ext cx="2792895" cy="1558599"/>
        </a:xfrm>
        <a:prstGeom prst="rect">
          <a:avLst/>
        </a:prstGeom>
      </xdr:spPr>
    </xdr:pic>
    <xdr:clientData/>
  </xdr:twoCellAnchor>
  <xdr:twoCellAnchor editAs="oneCell">
    <xdr:from>
      <xdr:col>35</xdr:col>
      <xdr:colOff>112718</xdr:colOff>
      <xdr:row>19</xdr:row>
      <xdr:rowOff>14518</xdr:rowOff>
    </xdr:from>
    <xdr:to>
      <xdr:col>39</xdr:col>
      <xdr:colOff>499483</xdr:colOff>
      <xdr:row>34</xdr:row>
      <xdr:rowOff>32647</xdr:rowOff>
    </xdr:to>
    <xdr:pic>
      <xdr:nvPicPr>
        <xdr:cNvPr id="10" name="Picture 9">
          <a:extLst>
            <a:ext uri="{FF2B5EF4-FFF2-40B4-BE49-F238E27FC236}">
              <a16:creationId xmlns:a16="http://schemas.microsoft.com/office/drawing/2014/main" id="{044335DA-23BD-4C94-955F-3214AED63F00}"/>
            </a:ext>
          </a:extLst>
        </xdr:cNvPr>
        <xdr:cNvPicPr>
          <a:picLocks noChangeAspect="1"/>
        </xdr:cNvPicPr>
      </xdr:nvPicPr>
      <xdr:blipFill>
        <a:blip xmlns:r="http://schemas.openxmlformats.org/officeDocument/2006/relationships" r:embed="rId9"/>
        <a:stretch>
          <a:fillRect/>
        </a:stretch>
      </xdr:blipFill>
      <xdr:spPr>
        <a:xfrm>
          <a:off x="21494701" y="3259587"/>
          <a:ext cx="2830420" cy="2580026"/>
        </a:xfrm>
        <a:prstGeom prst="rect">
          <a:avLst/>
        </a:prstGeom>
      </xdr:spPr>
    </xdr:pic>
    <xdr:clientData/>
  </xdr:twoCellAnchor>
  <xdr:twoCellAnchor editAs="oneCell">
    <xdr:from>
      <xdr:col>42</xdr:col>
      <xdr:colOff>452005</xdr:colOff>
      <xdr:row>35</xdr:row>
      <xdr:rowOff>19273</xdr:rowOff>
    </xdr:from>
    <xdr:to>
      <xdr:col>51</xdr:col>
      <xdr:colOff>115955</xdr:colOff>
      <xdr:row>50</xdr:row>
      <xdr:rowOff>54484</xdr:rowOff>
    </xdr:to>
    <xdr:pic>
      <xdr:nvPicPr>
        <xdr:cNvPr id="11" name="Picture 10">
          <a:extLst>
            <a:ext uri="{FF2B5EF4-FFF2-40B4-BE49-F238E27FC236}">
              <a16:creationId xmlns:a16="http://schemas.microsoft.com/office/drawing/2014/main" id="{2EEA54EA-966F-42D1-825F-C2A0A427EE0C}"/>
            </a:ext>
          </a:extLst>
        </xdr:cNvPr>
        <xdr:cNvPicPr>
          <a:picLocks noChangeAspect="1"/>
        </xdr:cNvPicPr>
      </xdr:nvPicPr>
      <xdr:blipFill>
        <a:blip xmlns:r="http://schemas.openxmlformats.org/officeDocument/2006/relationships" r:embed="rId10"/>
        <a:stretch>
          <a:fillRect/>
        </a:stretch>
      </xdr:blipFill>
      <xdr:spPr>
        <a:xfrm>
          <a:off x="25909732" y="6080637"/>
          <a:ext cx="5121083" cy="2632938"/>
        </a:xfrm>
        <a:prstGeom prst="rect">
          <a:avLst/>
        </a:prstGeom>
      </xdr:spPr>
    </xdr:pic>
    <xdr:clientData/>
  </xdr:twoCellAnchor>
  <xdr:twoCellAnchor editAs="oneCell">
    <xdr:from>
      <xdr:col>42</xdr:col>
      <xdr:colOff>592975</xdr:colOff>
      <xdr:row>52</xdr:row>
      <xdr:rowOff>49840</xdr:rowOff>
    </xdr:from>
    <xdr:to>
      <xdr:col>49</xdr:col>
      <xdr:colOff>133678</xdr:colOff>
      <xdr:row>69</xdr:row>
      <xdr:rowOff>60660</xdr:rowOff>
    </xdr:to>
    <xdr:pic>
      <xdr:nvPicPr>
        <xdr:cNvPr id="12" name="Picture 11">
          <a:extLst>
            <a:ext uri="{FF2B5EF4-FFF2-40B4-BE49-F238E27FC236}">
              <a16:creationId xmlns:a16="http://schemas.microsoft.com/office/drawing/2014/main" id="{572C8BCB-4CA0-4EA3-AF3E-BF14A2007B32}"/>
            </a:ext>
          </a:extLst>
        </xdr:cNvPr>
        <xdr:cNvPicPr>
          <a:picLocks noChangeAspect="1"/>
        </xdr:cNvPicPr>
      </xdr:nvPicPr>
      <xdr:blipFill>
        <a:blip xmlns:r="http://schemas.openxmlformats.org/officeDocument/2006/relationships" r:embed="rId11"/>
        <a:stretch>
          <a:fillRect/>
        </a:stretch>
      </xdr:blipFill>
      <xdr:spPr>
        <a:xfrm>
          <a:off x="26050702" y="9055295"/>
          <a:ext cx="3783658" cy="2954910"/>
        </a:xfrm>
        <a:prstGeom prst="rect">
          <a:avLst/>
        </a:prstGeom>
      </xdr:spPr>
    </xdr:pic>
    <xdr:clientData/>
  </xdr:twoCellAnchor>
  <xdr:twoCellAnchor>
    <xdr:from>
      <xdr:col>0</xdr:col>
      <xdr:colOff>340178</xdr:colOff>
      <xdr:row>30</xdr:row>
      <xdr:rowOff>149679</xdr:rowOff>
    </xdr:from>
    <xdr:to>
      <xdr:col>8</xdr:col>
      <xdr:colOff>50707</xdr:colOff>
      <xdr:row>46</xdr:row>
      <xdr:rowOff>64228</xdr:rowOff>
    </xdr:to>
    <xdr:graphicFrame macro="">
      <xdr:nvGraphicFramePr>
        <xdr:cNvPr id="13" name="Chart 12">
          <a:extLst>
            <a:ext uri="{FF2B5EF4-FFF2-40B4-BE49-F238E27FC236}">
              <a16:creationId xmlns:a16="http://schemas.microsoft.com/office/drawing/2014/main" id="{AC300CC8-C462-4052-8BC1-7A531BAB4E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408215</xdr:colOff>
      <xdr:row>31</xdr:row>
      <xdr:rowOff>0</xdr:rowOff>
    </xdr:from>
    <xdr:to>
      <xdr:col>20</xdr:col>
      <xdr:colOff>52231</xdr:colOff>
      <xdr:row>46</xdr:row>
      <xdr:rowOff>170716</xdr:rowOff>
    </xdr:to>
    <xdr:graphicFrame macro="">
      <xdr:nvGraphicFramePr>
        <xdr:cNvPr id="14" name="Chart 13">
          <a:extLst>
            <a:ext uri="{FF2B5EF4-FFF2-40B4-BE49-F238E27FC236}">
              <a16:creationId xmlns:a16="http://schemas.microsoft.com/office/drawing/2014/main" id="{78A22A2A-FE54-406D-AD43-3C96F97613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0</xdr:colOff>
      <xdr:row>49</xdr:row>
      <xdr:rowOff>0</xdr:rowOff>
    </xdr:from>
    <xdr:to>
      <xdr:col>11</xdr:col>
      <xdr:colOff>262053</xdr:colOff>
      <xdr:row>64</xdr:row>
      <xdr:rowOff>174525</xdr:rowOff>
    </xdr:to>
    <xdr:graphicFrame macro="">
      <xdr:nvGraphicFramePr>
        <xdr:cNvPr id="15" name="Chart 14">
          <a:extLst>
            <a:ext uri="{FF2B5EF4-FFF2-40B4-BE49-F238E27FC236}">
              <a16:creationId xmlns:a16="http://schemas.microsoft.com/office/drawing/2014/main" id="{74C49C72-73D3-40C0-A717-69286E3CFE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544285</xdr:colOff>
      <xdr:row>48</xdr:row>
      <xdr:rowOff>108858</xdr:rowOff>
    </xdr:from>
    <xdr:to>
      <xdr:col>24</xdr:col>
      <xdr:colOff>190207</xdr:colOff>
      <xdr:row>64</xdr:row>
      <xdr:rowOff>106490</xdr:rowOff>
    </xdr:to>
    <xdr:graphicFrame macro="">
      <xdr:nvGraphicFramePr>
        <xdr:cNvPr id="16" name="Chart 15">
          <a:extLst>
            <a:ext uri="{FF2B5EF4-FFF2-40B4-BE49-F238E27FC236}">
              <a16:creationId xmlns:a16="http://schemas.microsoft.com/office/drawing/2014/main" id="{6534D1AA-2D70-4C23-9A7C-583183FD40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202202</xdr:colOff>
      <xdr:row>66</xdr:row>
      <xdr:rowOff>60143</xdr:rowOff>
    </xdr:from>
    <xdr:to>
      <xdr:col>7</xdr:col>
      <xdr:colOff>487952</xdr:colOff>
      <xdr:row>81</xdr:row>
      <xdr:rowOff>161381</xdr:rowOff>
    </xdr:to>
    <xdr:graphicFrame macro="">
      <xdr:nvGraphicFramePr>
        <xdr:cNvPr id="18" name="Chart 17">
          <a:extLst>
            <a:ext uri="{FF2B5EF4-FFF2-40B4-BE49-F238E27FC236}">
              <a16:creationId xmlns:a16="http://schemas.microsoft.com/office/drawing/2014/main" id="{A6F339B4-7610-A4A9-C091-E27A2771F9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7</xdr:col>
      <xdr:colOff>536776</xdr:colOff>
      <xdr:row>66</xdr:row>
      <xdr:rowOff>51034</xdr:rowOff>
    </xdr:from>
    <xdr:to>
      <xdr:col>15</xdr:col>
      <xdr:colOff>212110</xdr:colOff>
      <xdr:row>81</xdr:row>
      <xdr:rowOff>154177</xdr:rowOff>
    </xdr:to>
    <xdr:graphicFrame macro="">
      <xdr:nvGraphicFramePr>
        <xdr:cNvPr id="19" name="Chart 18">
          <a:extLst>
            <a:ext uri="{FF2B5EF4-FFF2-40B4-BE49-F238E27FC236}">
              <a16:creationId xmlns:a16="http://schemas.microsoft.com/office/drawing/2014/main" id="{6931BBA6-62F9-4557-8097-6EC6320B30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237228</xdr:colOff>
      <xdr:row>82</xdr:row>
      <xdr:rowOff>73958</xdr:rowOff>
    </xdr:from>
    <xdr:to>
      <xdr:col>9</xdr:col>
      <xdr:colOff>493059</xdr:colOff>
      <xdr:row>99</xdr:row>
      <xdr:rowOff>22412</xdr:rowOff>
    </xdr:to>
    <xdr:graphicFrame macro="">
      <xdr:nvGraphicFramePr>
        <xdr:cNvPr id="17" name="Chart 16">
          <a:extLst>
            <a:ext uri="{FF2B5EF4-FFF2-40B4-BE49-F238E27FC236}">
              <a16:creationId xmlns:a16="http://schemas.microsoft.com/office/drawing/2014/main" id="{35783EE1-FF50-52A0-4312-DF2A85A484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588307</xdr:colOff>
      <xdr:row>82</xdr:row>
      <xdr:rowOff>58943</xdr:rowOff>
    </xdr:from>
    <xdr:to>
      <xdr:col>25</xdr:col>
      <xdr:colOff>258535</xdr:colOff>
      <xdr:row>100</xdr:row>
      <xdr:rowOff>163285</xdr:rowOff>
    </xdr:to>
    <xdr:graphicFrame macro="">
      <xdr:nvGraphicFramePr>
        <xdr:cNvPr id="20" name="Chart 19">
          <a:extLst>
            <a:ext uri="{FF2B5EF4-FFF2-40B4-BE49-F238E27FC236}">
              <a16:creationId xmlns:a16="http://schemas.microsoft.com/office/drawing/2014/main" id="{9A7CCF46-5EA9-9F48-AEA7-1AF1B6D8A9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208985</xdr:colOff>
      <xdr:row>103</xdr:row>
      <xdr:rowOff>29527</xdr:rowOff>
    </xdr:from>
    <xdr:to>
      <xdr:col>10</xdr:col>
      <xdr:colOff>584270</xdr:colOff>
      <xdr:row>122</xdr:row>
      <xdr:rowOff>100785</xdr:rowOff>
    </xdr:to>
    <xdr:graphicFrame macro="">
      <xdr:nvGraphicFramePr>
        <xdr:cNvPr id="21" name="Chart 20">
          <a:extLst>
            <a:ext uri="{FF2B5EF4-FFF2-40B4-BE49-F238E27FC236}">
              <a16:creationId xmlns:a16="http://schemas.microsoft.com/office/drawing/2014/main" id="{E70B6809-55DC-B571-EE57-E35EF6C44E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11</xdr:col>
      <xdr:colOff>210308</xdr:colOff>
      <xdr:row>103</xdr:row>
      <xdr:rowOff>26421</xdr:rowOff>
    </xdr:from>
    <xdr:to>
      <xdr:col>23</xdr:col>
      <xdr:colOff>135833</xdr:colOff>
      <xdr:row>122</xdr:row>
      <xdr:rowOff>173729</xdr:rowOff>
    </xdr:to>
    <xdr:graphicFrame macro="">
      <xdr:nvGraphicFramePr>
        <xdr:cNvPr id="22" name="Chart 21">
          <a:extLst>
            <a:ext uri="{FF2B5EF4-FFF2-40B4-BE49-F238E27FC236}">
              <a16:creationId xmlns:a16="http://schemas.microsoft.com/office/drawing/2014/main" id="{CC3D8CF2-099F-8537-774B-DB0598FAED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26</xdr:col>
      <xdr:colOff>501968</xdr:colOff>
      <xdr:row>96</xdr:row>
      <xdr:rowOff>55246</xdr:rowOff>
    </xdr:from>
    <xdr:to>
      <xdr:col>36</xdr:col>
      <xdr:colOff>41413</xdr:colOff>
      <xdr:row>114</xdr:row>
      <xdr:rowOff>41413</xdr:rowOff>
    </xdr:to>
    <xdr:graphicFrame macro="">
      <xdr:nvGraphicFramePr>
        <xdr:cNvPr id="23" name="Chart 22">
          <a:extLst>
            <a:ext uri="{FF2B5EF4-FFF2-40B4-BE49-F238E27FC236}">
              <a16:creationId xmlns:a16="http://schemas.microsoft.com/office/drawing/2014/main" id="{C5B01341-4D57-8C67-2529-B5929B7C6A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16</xdr:col>
      <xdr:colOff>85165</xdr:colOff>
      <xdr:row>65</xdr:row>
      <xdr:rowOff>107576</xdr:rowOff>
    </xdr:from>
    <xdr:to>
      <xdr:col>23</xdr:col>
      <xdr:colOff>389965</xdr:colOff>
      <xdr:row>81</xdr:row>
      <xdr:rowOff>125506</xdr:rowOff>
    </xdr:to>
    <xdr:graphicFrame macro="">
      <xdr:nvGraphicFramePr>
        <xdr:cNvPr id="24" name="Chart 23">
          <a:extLst>
            <a:ext uri="{FF2B5EF4-FFF2-40B4-BE49-F238E27FC236}">
              <a16:creationId xmlns:a16="http://schemas.microsoft.com/office/drawing/2014/main" id="{F25FA6B5-3AD2-A50A-0770-9ED717F59B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23</xdr:col>
      <xdr:colOff>546847</xdr:colOff>
      <xdr:row>65</xdr:row>
      <xdr:rowOff>125506</xdr:rowOff>
    </xdr:from>
    <xdr:to>
      <xdr:col>31</xdr:col>
      <xdr:colOff>242047</xdr:colOff>
      <xdr:row>81</xdr:row>
      <xdr:rowOff>143436</xdr:rowOff>
    </xdr:to>
    <xdr:graphicFrame macro="">
      <xdr:nvGraphicFramePr>
        <xdr:cNvPr id="26" name="Chart 25">
          <a:extLst>
            <a:ext uri="{FF2B5EF4-FFF2-40B4-BE49-F238E27FC236}">
              <a16:creationId xmlns:a16="http://schemas.microsoft.com/office/drawing/2014/main" id="{EC546C04-5C5E-4B88-9EC7-67B1BCA39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340994</xdr:colOff>
      <xdr:row>1</xdr:row>
      <xdr:rowOff>134302</xdr:rowOff>
    </xdr:from>
    <xdr:to>
      <xdr:col>12</xdr:col>
      <xdr:colOff>19049</xdr:colOff>
      <xdr:row>22</xdr:row>
      <xdr:rowOff>38100</xdr:rowOff>
    </xdr:to>
    <xdr:graphicFrame macro="">
      <xdr:nvGraphicFramePr>
        <xdr:cNvPr id="2" name="Chart 1">
          <a:extLst>
            <a:ext uri="{FF2B5EF4-FFF2-40B4-BE49-F238E27FC236}">
              <a16:creationId xmlns:a16="http://schemas.microsoft.com/office/drawing/2014/main" id="{4F4455FF-A33C-B534-A83A-E346C43F0E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379094</xdr:colOff>
      <xdr:row>1</xdr:row>
      <xdr:rowOff>130901</xdr:rowOff>
    </xdr:from>
    <xdr:to>
      <xdr:col>26</xdr:col>
      <xdr:colOff>544286</xdr:colOff>
      <xdr:row>21</xdr:row>
      <xdr:rowOff>149679</xdr:rowOff>
    </xdr:to>
    <xdr:graphicFrame macro="">
      <xdr:nvGraphicFramePr>
        <xdr:cNvPr id="3" name="Chart 2">
          <a:extLst>
            <a:ext uri="{FF2B5EF4-FFF2-40B4-BE49-F238E27FC236}">
              <a16:creationId xmlns:a16="http://schemas.microsoft.com/office/drawing/2014/main" id="{49762944-7239-B508-67EC-50D9297E91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503465</xdr:colOff>
      <xdr:row>24</xdr:row>
      <xdr:rowOff>2720</xdr:rowOff>
    </xdr:from>
    <xdr:to>
      <xdr:col>11</xdr:col>
      <xdr:colOff>530678</xdr:colOff>
      <xdr:row>41</xdr:row>
      <xdr:rowOff>122463</xdr:rowOff>
    </xdr:to>
    <xdr:graphicFrame macro="">
      <xdr:nvGraphicFramePr>
        <xdr:cNvPr id="4" name="Chart 3">
          <a:extLst>
            <a:ext uri="{FF2B5EF4-FFF2-40B4-BE49-F238E27FC236}">
              <a16:creationId xmlns:a16="http://schemas.microsoft.com/office/drawing/2014/main" id="{5853AA4A-BA72-9453-F2F6-0056B20935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397599</xdr:colOff>
      <xdr:row>23</xdr:row>
      <xdr:rowOff>152400</xdr:rowOff>
    </xdr:from>
    <xdr:to>
      <xdr:col>24</xdr:col>
      <xdr:colOff>571500</xdr:colOff>
      <xdr:row>42</xdr:row>
      <xdr:rowOff>68036</xdr:rowOff>
    </xdr:to>
    <xdr:graphicFrame macro="">
      <xdr:nvGraphicFramePr>
        <xdr:cNvPr id="5" name="Chart 4">
          <a:extLst>
            <a:ext uri="{FF2B5EF4-FFF2-40B4-BE49-F238E27FC236}">
              <a16:creationId xmlns:a16="http://schemas.microsoft.com/office/drawing/2014/main" id="{6CF53BD6-5941-5CCF-B74E-1DF51CF853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1299883</xdr:colOff>
      <xdr:row>232</xdr:row>
      <xdr:rowOff>33618</xdr:rowOff>
    </xdr:from>
    <xdr:to>
      <xdr:col>5</xdr:col>
      <xdr:colOff>302559</xdr:colOff>
      <xdr:row>235</xdr:row>
      <xdr:rowOff>56029</xdr:rowOff>
    </xdr:to>
    <xdr:sp macro="[0]!Muni_Esclalation_Scenario" textlink="">
      <xdr:nvSpPr>
        <xdr:cNvPr id="2" name="Rectangle: Rounded Corners 1">
          <a:extLst>
            <a:ext uri="{FF2B5EF4-FFF2-40B4-BE49-F238E27FC236}">
              <a16:creationId xmlns:a16="http://schemas.microsoft.com/office/drawing/2014/main" id="{DB3A10B4-24CC-4B56-B7A5-FFB82175A82C}"/>
            </a:ext>
          </a:extLst>
        </xdr:cNvPr>
        <xdr:cNvSpPr/>
      </xdr:nvSpPr>
      <xdr:spPr bwMode="auto">
        <a:xfrm>
          <a:off x="1734223" y="41958858"/>
          <a:ext cx="2652656" cy="525331"/>
        </a:xfrm>
        <a:prstGeom prst="roundRect">
          <a:avLst/>
        </a:prstGeom>
        <a:solidFill>
          <a:srgbClr val="0070C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r>
            <a:rPr lang="en-ZA" sz="1000" b="1">
              <a:solidFill>
                <a:schemeClr val="bg1"/>
              </a:solidFill>
              <a:latin typeface="Arial" panose="020B0604020202020204" pitchFamily="34" charset="0"/>
              <a:cs typeface="Arial" panose="020B0604020202020204" pitchFamily="34" charset="0"/>
            </a:rPr>
            <a:t>Run Escalation Scenario Macro</a:t>
          </a:r>
        </a:p>
      </xdr:txBody>
    </xdr:sp>
    <xdr:clientData/>
  </xdr:twoCellAnchor>
  <xdr:twoCellAnchor>
    <xdr:from>
      <xdr:col>3</xdr:col>
      <xdr:colOff>0</xdr:colOff>
      <xdr:row>254</xdr:row>
      <xdr:rowOff>0</xdr:rowOff>
    </xdr:from>
    <xdr:to>
      <xdr:col>12</xdr:col>
      <xdr:colOff>498663</xdr:colOff>
      <xdr:row>289</xdr:row>
      <xdr:rowOff>133353</xdr:rowOff>
    </xdr:to>
    <xdr:graphicFrame macro="">
      <xdr:nvGraphicFramePr>
        <xdr:cNvPr id="3" name="Chart 2">
          <a:extLst>
            <a:ext uri="{FF2B5EF4-FFF2-40B4-BE49-F238E27FC236}">
              <a16:creationId xmlns:a16="http://schemas.microsoft.com/office/drawing/2014/main" id="{DFCE2DB0-4A80-4941-823B-C3C5541EED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253</xdr:row>
      <xdr:rowOff>190499</xdr:rowOff>
    </xdr:from>
    <xdr:to>
      <xdr:col>24</xdr:col>
      <xdr:colOff>313765</xdr:colOff>
      <xdr:row>289</xdr:row>
      <xdr:rowOff>44823</xdr:rowOff>
    </xdr:to>
    <xdr:graphicFrame macro="">
      <xdr:nvGraphicFramePr>
        <xdr:cNvPr id="4" name="Chart 3">
          <a:extLst>
            <a:ext uri="{FF2B5EF4-FFF2-40B4-BE49-F238E27FC236}">
              <a16:creationId xmlns:a16="http://schemas.microsoft.com/office/drawing/2014/main" id="{91FBF316-0C16-412F-8D4A-E5EAE11737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1299883</xdr:colOff>
      <xdr:row>250</xdr:row>
      <xdr:rowOff>33618</xdr:rowOff>
    </xdr:from>
    <xdr:to>
      <xdr:col>5</xdr:col>
      <xdr:colOff>302559</xdr:colOff>
      <xdr:row>253</xdr:row>
      <xdr:rowOff>56029</xdr:rowOff>
    </xdr:to>
    <xdr:sp macro="[0]!Muni_Esclalation_Scenario" textlink="">
      <xdr:nvSpPr>
        <xdr:cNvPr id="2" name="Rectangle: Rounded Corners 1">
          <a:extLst>
            <a:ext uri="{FF2B5EF4-FFF2-40B4-BE49-F238E27FC236}">
              <a16:creationId xmlns:a16="http://schemas.microsoft.com/office/drawing/2014/main" id="{6C454F57-7F2E-4015-8385-4C778637A74B}"/>
            </a:ext>
          </a:extLst>
        </xdr:cNvPr>
        <xdr:cNvSpPr/>
      </xdr:nvSpPr>
      <xdr:spPr bwMode="auto">
        <a:xfrm>
          <a:off x="1734223" y="43863858"/>
          <a:ext cx="2660276" cy="525331"/>
        </a:xfrm>
        <a:prstGeom prst="roundRect">
          <a:avLst/>
        </a:prstGeom>
        <a:solidFill>
          <a:srgbClr val="0070C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r>
            <a:rPr lang="en-ZA" sz="1000" b="1">
              <a:solidFill>
                <a:schemeClr val="bg1"/>
              </a:solidFill>
              <a:latin typeface="Arial" panose="020B0604020202020204" pitchFamily="34" charset="0"/>
              <a:cs typeface="Arial" panose="020B0604020202020204" pitchFamily="34" charset="0"/>
            </a:rPr>
            <a:t>Run Escalation Scenario Macro</a:t>
          </a:r>
        </a:p>
      </xdr:txBody>
    </xdr:sp>
    <xdr:clientData/>
  </xdr:twoCellAnchor>
  <xdr:twoCellAnchor>
    <xdr:from>
      <xdr:col>3</xdr:col>
      <xdr:colOff>0</xdr:colOff>
      <xdr:row>272</xdr:row>
      <xdr:rowOff>0</xdr:rowOff>
    </xdr:from>
    <xdr:to>
      <xdr:col>12</xdr:col>
      <xdr:colOff>498663</xdr:colOff>
      <xdr:row>307</xdr:row>
      <xdr:rowOff>133353</xdr:rowOff>
    </xdr:to>
    <xdr:graphicFrame macro="">
      <xdr:nvGraphicFramePr>
        <xdr:cNvPr id="3" name="Chart 2">
          <a:extLst>
            <a:ext uri="{FF2B5EF4-FFF2-40B4-BE49-F238E27FC236}">
              <a16:creationId xmlns:a16="http://schemas.microsoft.com/office/drawing/2014/main" id="{C3E2239C-3C81-4FD3-92FA-AB0134D0AC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271</xdr:row>
      <xdr:rowOff>190499</xdr:rowOff>
    </xdr:from>
    <xdr:to>
      <xdr:col>24</xdr:col>
      <xdr:colOff>313765</xdr:colOff>
      <xdr:row>307</xdr:row>
      <xdr:rowOff>44823</xdr:rowOff>
    </xdr:to>
    <xdr:graphicFrame macro="">
      <xdr:nvGraphicFramePr>
        <xdr:cNvPr id="4" name="Chart 3">
          <a:extLst>
            <a:ext uri="{FF2B5EF4-FFF2-40B4-BE49-F238E27FC236}">
              <a16:creationId xmlns:a16="http://schemas.microsoft.com/office/drawing/2014/main" id="{A521296D-AD11-4C39-8A53-451C57720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1299883</xdr:colOff>
      <xdr:row>250</xdr:row>
      <xdr:rowOff>33618</xdr:rowOff>
    </xdr:from>
    <xdr:to>
      <xdr:col>5</xdr:col>
      <xdr:colOff>302559</xdr:colOff>
      <xdr:row>253</xdr:row>
      <xdr:rowOff>56029</xdr:rowOff>
    </xdr:to>
    <xdr:sp macro="[0]!Muni_Esclalation_Scenario" textlink="">
      <xdr:nvSpPr>
        <xdr:cNvPr id="2" name="Rectangle: Rounded Corners 1">
          <a:extLst>
            <a:ext uri="{FF2B5EF4-FFF2-40B4-BE49-F238E27FC236}">
              <a16:creationId xmlns:a16="http://schemas.microsoft.com/office/drawing/2014/main" id="{427CE671-6C49-4B3C-9E82-CF7ED1EB38D8}"/>
            </a:ext>
          </a:extLst>
        </xdr:cNvPr>
        <xdr:cNvSpPr/>
      </xdr:nvSpPr>
      <xdr:spPr bwMode="auto">
        <a:xfrm>
          <a:off x="1734223" y="43863858"/>
          <a:ext cx="2660276" cy="525331"/>
        </a:xfrm>
        <a:prstGeom prst="roundRect">
          <a:avLst/>
        </a:prstGeom>
        <a:solidFill>
          <a:srgbClr val="0070C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r>
            <a:rPr lang="en-ZA" sz="1000" b="1">
              <a:solidFill>
                <a:schemeClr val="bg1"/>
              </a:solidFill>
              <a:latin typeface="Arial" panose="020B0604020202020204" pitchFamily="34" charset="0"/>
              <a:cs typeface="Arial" panose="020B0604020202020204" pitchFamily="34" charset="0"/>
            </a:rPr>
            <a:t>Run Escalation Scenario Macro</a:t>
          </a:r>
        </a:p>
      </xdr:txBody>
    </xdr:sp>
    <xdr:clientData/>
  </xdr:twoCellAnchor>
  <xdr:twoCellAnchor>
    <xdr:from>
      <xdr:col>3</xdr:col>
      <xdr:colOff>0</xdr:colOff>
      <xdr:row>272</xdr:row>
      <xdr:rowOff>0</xdr:rowOff>
    </xdr:from>
    <xdr:to>
      <xdr:col>12</xdr:col>
      <xdr:colOff>498663</xdr:colOff>
      <xdr:row>307</xdr:row>
      <xdr:rowOff>133353</xdr:rowOff>
    </xdr:to>
    <xdr:graphicFrame macro="">
      <xdr:nvGraphicFramePr>
        <xdr:cNvPr id="3" name="Chart 2">
          <a:extLst>
            <a:ext uri="{FF2B5EF4-FFF2-40B4-BE49-F238E27FC236}">
              <a16:creationId xmlns:a16="http://schemas.microsoft.com/office/drawing/2014/main" id="{709620A8-DABD-4750-B758-5C7089DF8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271</xdr:row>
      <xdr:rowOff>190499</xdr:rowOff>
    </xdr:from>
    <xdr:to>
      <xdr:col>24</xdr:col>
      <xdr:colOff>313765</xdr:colOff>
      <xdr:row>307</xdr:row>
      <xdr:rowOff>44823</xdr:rowOff>
    </xdr:to>
    <xdr:graphicFrame macro="">
      <xdr:nvGraphicFramePr>
        <xdr:cNvPr id="4" name="Chart 3">
          <a:extLst>
            <a:ext uri="{FF2B5EF4-FFF2-40B4-BE49-F238E27FC236}">
              <a16:creationId xmlns:a16="http://schemas.microsoft.com/office/drawing/2014/main" id="{60EA9A16-AEFF-4A84-88B9-88B232DD3B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1299883</xdr:colOff>
      <xdr:row>250</xdr:row>
      <xdr:rowOff>33618</xdr:rowOff>
    </xdr:from>
    <xdr:to>
      <xdr:col>5</xdr:col>
      <xdr:colOff>302559</xdr:colOff>
      <xdr:row>253</xdr:row>
      <xdr:rowOff>56029</xdr:rowOff>
    </xdr:to>
    <xdr:sp macro="[0]!Muni_Esclalation_Scenario" textlink="">
      <xdr:nvSpPr>
        <xdr:cNvPr id="2" name="Rectangle: Rounded Corners 1">
          <a:extLst>
            <a:ext uri="{FF2B5EF4-FFF2-40B4-BE49-F238E27FC236}">
              <a16:creationId xmlns:a16="http://schemas.microsoft.com/office/drawing/2014/main" id="{FAD1902C-91AC-497A-9DAE-A61BADDF40D7}"/>
            </a:ext>
          </a:extLst>
        </xdr:cNvPr>
        <xdr:cNvSpPr/>
      </xdr:nvSpPr>
      <xdr:spPr bwMode="auto">
        <a:xfrm>
          <a:off x="1734223" y="43863858"/>
          <a:ext cx="2660276" cy="525331"/>
        </a:xfrm>
        <a:prstGeom prst="roundRect">
          <a:avLst/>
        </a:prstGeom>
        <a:solidFill>
          <a:srgbClr val="0070C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r>
            <a:rPr lang="en-ZA" sz="1000" b="1">
              <a:solidFill>
                <a:schemeClr val="bg1"/>
              </a:solidFill>
              <a:latin typeface="Arial" panose="020B0604020202020204" pitchFamily="34" charset="0"/>
              <a:cs typeface="Arial" panose="020B0604020202020204" pitchFamily="34" charset="0"/>
            </a:rPr>
            <a:t>Run Escalation Scenario Macro</a:t>
          </a:r>
        </a:p>
      </xdr:txBody>
    </xdr:sp>
    <xdr:clientData/>
  </xdr:twoCellAnchor>
  <xdr:twoCellAnchor>
    <xdr:from>
      <xdr:col>3</xdr:col>
      <xdr:colOff>0</xdr:colOff>
      <xdr:row>272</xdr:row>
      <xdr:rowOff>0</xdr:rowOff>
    </xdr:from>
    <xdr:to>
      <xdr:col>12</xdr:col>
      <xdr:colOff>498663</xdr:colOff>
      <xdr:row>307</xdr:row>
      <xdr:rowOff>133353</xdr:rowOff>
    </xdr:to>
    <xdr:graphicFrame macro="">
      <xdr:nvGraphicFramePr>
        <xdr:cNvPr id="3" name="Chart 2">
          <a:extLst>
            <a:ext uri="{FF2B5EF4-FFF2-40B4-BE49-F238E27FC236}">
              <a16:creationId xmlns:a16="http://schemas.microsoft.com/office/drawing/2014/main" id="{089D6E94-7C6A-4CE1-B6DA-374875059E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271</xdr:row>
      <xdr:rowOff>190499</xdr:rowOff>
    </xdr:from>
    <xdr:to>
      <xdr:col>24</xdr:col>
      <xdr:colOff>313765</xdr:colOff>
      <xdr:row>307</xdr:row>
      <xdr:rowOff>44823</xdr:rowOff>
    </xdr:to>
    <xdr:graphicFrame macro="">
      <xdr:nvGraphicFramePr>
        <xdr:cNvPr id="4" name="Chart 3">
          <a:extLst>
            <a:ext uri="{FF2B5EF4-FFF2-40B4-BE49-F238E27FC236}">
              <a16:creationId xmlns:a16="http://schemas.microsoft.com/office/drawing/2014/main" id="{7BF0E077-E1C5-4A81-8AB7-AF971CCAB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1299883</xdr:colOff>
      <xdr:row>250</xdr:row>
      <xdr:rowOff>33618</xdr:rowOff>
    </xdr:from>
    <xdr:to>
      <xdr:col>5</xdr:col>
      <xdr:colOff>302559</xdr:colOff>
      <xdr:row>253</xdr:row>
      <xdr:rowOff>56029</xdr:rowOff>
    </xdr:to>
    <xdr:sp macro="[0]!Muni_Esclalation_Scenario" textlink="">
      <xdr:nvSpPr>
        <xdr:cNvPr id="2" name="Rectangle: Rounded Corners 1">
          <a:extLst>
            <a:ext uri="{FF2B5EF4-FFF2-40B4-BE49-F238E27FC236}">
              <a16:creationId xmlns:a16="http://schemas.microsoft.com/office/drawing/2014/main" id="{9E14D120-720B-4F4A-8B65-5FB5804B2358}"/>
            </a:ext>
          </a:extLst>
        </xdr:cNvPr>
        <xdr:cNvSpPr/>
      </xdr:nvSpPr>
      <xdr:spPr bwMode="auto">
        <a:xfrm>
          <a:off x="1734223" y="43863858"/>
          <a:ext cx="2660276" cy="525331"/>
        </a:xfrm>
        <a:prstGeom prst="roundRect">
          <a:avLst/>
        </a:prstGeom>
        <a:solidFill>
          <a:srgbClr val="0070C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r>
            <a:rPr lang="en-ZA" sz="1000" b="1">
              <a:solidFill>
                <a:schemeClr val="bg1"/>
              </a:solidFill>
              <a:latin typeface="Arial" panose="020B0604020202020204" pitchFamily="34" charset="0"/>
              <a:cs typeface="Arial" panose="020B0604020202020204" pitchFamily="34" charset="0"/>
            </a:rPr>
            <a:t>Run Escalation Scenario Macro</a:t>
          </a:r>
        </a:p>
      </xdr:txBody>
    </xdr:sp>
    <xdr:clientData/>
  </xdr:twoCellAnchor>
  <xdr:twoCellAnchor>
    <xdr:from>
      <xdr:col>3</xdr:col>
      <xdr:colOff>0</xdr:colOff>
      <xdr:row>272</xdr:row>
      <xdr:rowOff>0</xdr:rowOff>
    </xdr:from>
    <xdr:to>
      <xdr:col>12</xdr:col>
      <xdr:colOff>498663</xdr:colOff>
      <xdr:row>307</xdr:row>
      <xdr:rowOff>133353</xdr:rowOff>
    </xdr:to>
    <xdr:graphicFrame macro="">
      <xdr:nvGraphicFramePr>
        <xdr:cNvPr id="3" name="Chart 2">
          <a:extLst>
            <a:ext uri="{FF2B5EF4-FFF2-40B4-BE49-F238E27FC236}">
              <a16:creationId xmlns:a16="http://schemas.microsoft.com/office/drawing/2014/main" id="{789FB609-D215-4D93-BDC3-54C7BC9EBD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271</xdr:row>
      <xdr:rowOff>190499</xdr:rowOff>
    </xdr:from>
    <xdr:to>
      <xdr:col>24</xdr:col>
      <xdr:colOff>313765</xdr:colOff>
      <xdr:row>307</xdr:row>
      <xdr:rowOff>44823</xdr:rowOff>
    </xdr:to>
    <xdr:graphicFrame macro="">
      <xdr:nvGraphicFramePr>
        <xdr:cNvPr id="4" name="Chart 3">
          <a:extLst>
            <a:ext uri="{FF2B5EF4-FFF2-40B4-BE49-F238E27FC236}">
              <a16:creationId xmlns:a16="http://schemas.microsoft.com/office/drawing/2014/main" id="{6AC46751-CAB8-4823-A422-3214985091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1299883</xdr:colOff>
      <xdr:row>250</xdr:row>
      <xdr:rowOff>33618</xdr:rowOff>
    </xdr:from>
    <xdr:to>
      <xdr:col>5</xdr:col>
      <xdr:colOff>302559</xdr:colOff>
      <xdr:row>253</xdr:row>
      <xdr:rowOff>56029</xdr:rowOff>
    </xdr:to>
    <xdr:sp macro="[0]!Muni_Esclalation_Scenario" textlink="">
      <xdr:nvSpPr>
        <xdr:cNvPr id="2" name="Rectangle: Rounded Corners 1">
          <a:extLst>
            <a:ext uri="{FF2B5EF4-FFF2-40B4-BE49-F238E27FC236}">
              <a16:creationId xmlns:a16="http://schemas.microsoft.com/office/drawing/2014/main" id="{BA9E783A-9E47-4586-980D-9711BF53C01A}"/>
            </a:ext>
          </a:extLst>
        </xdr:cNvPr>
        <xdr:cNvSpPr/>
      </xdr:nvSpPr>
      <xdr:spPr bwMode="auto">
        <a:xfrm>
          <a:off x="1734223" y="43863858"/>
          <a:ext cx="2660276" cy="525331"/>
        </a:xfrm>
        <a:prstGeom prst="roundRect">
          <a:avLst/>
        </a:prstGeom>
        <a:solidFill>
          <a:srgbClr val="0070C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r>
            <a:rPr lang="en-ZA" sz="1000" b="1">
              <a:solidFill>
                <a:schemeClr val="bg1"/>
              </a:solidFill>
              <a:latin typeface="Arial" panose="020B0604020202020204" pitchFamily="34" charset="0"/>
              <a:cs typeface="Arial" panose="020B0604020202020204" pitchFamily="34" charset="0"/>
            </a:rPr>
            <a:t>Run Escalation Scenario Macro</a:t>
          </a:r>
        </a:p>
      </xdr:txBody>
    </xdr:sp>
    <xdr:clientData/>
  </xdr:twoCellAnchor>
  <xdr:twoCellAnchor>
    <xdr:from>
      <xdr:col>3</xdr:col>
      <xdr:colOff>0</xdr:colOff>
      <xdr:row>272</xdr:row>
      <xdr:rowOff>0</xdr:rowOff>
    </xdr:from>
    <xdr:to>
      <xdr:col>12</xdr:col>
      <xdr:colOff>498663</xdr:colOff>
      <xdr:row>307</xdr:row>
      <xdr:rowOff>133353</xdr:rowOff>
    </xdr:to>
    <xdr:graphicFrame macro="">
      <xdr:nvGraphicFramePr>
        <xdr:cNvPr id="3" name="Chart 2">
          <a:extLst>
            <a:ext uri="{FF2B5EF4-FFF2-40B4-BE49-F238E27FC236}">
              <a16:creationId xmlns:a16="http://schemas.microsoft.com/office/drawing/2014/main" id="{60F17A4A-A9E9-4E34-ACAE-B4C2BDD90E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271</xdr:row>
      <xdr:rowOff>190499</xdr:rowOff>
    </xdr:from>
    <xdr:to>
      <xdr:col>24</xdr:col>
      <xdr:colOff>313765</xdr:colOff>
      <xdr:row>307</xdr:row>
      <xdr:rowOff>44823</xdr:rowOff>
    </xdr:to>
    <xdr:graphicFrame macro="">
      <xdr:nvGraphicFramePr>
        <xdr:cNvPr id="4" name="Chart 3">
          <a:extLst>
            <a:ext uri="{FF2B5EF4-FFF2-40B4-BE49-F238E27FC236}">
              <a16:creationId xmlns:a16="http://schemas.microsoft.com/office/drawing/2014/main" id="{7C42346E-EF4F-46BA-87F2-EEE473BFD8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Green%20Campus%20Partners\Deals\Active%20Deals\RWJ\Boselks1\shared%20folders\Documents%20and%20Settings\Herb%20Zien\Local%20Settings\Temporary%20Internet%20Files\OLK18\FMsymphonyIII%20one%20tower%20JCI%20CAPEX%20100%25%20Equity%20(2).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personal/mike_smith_talbot_co_za/Documents/Projects/03590%20Neopak%20-%20Rosslyn%20AD/Clover_Clayville%20AD%20Feasibility_Biogas%20and%20Energy%20estimates_for%20Rev3_20220207.xlsx" TargetMode="External"/><Relationship Id="rId1" Type="http://schemas.openxmlformats.org/officeDocument/2006/relationships/externalLinkPath" Target="/personal/mike_smith_talbot_co_za/Documents/Projects/03590%20Neopak%20-%20Rosslyn%20AD/Clover_Clayville%20AD%20Feasibility_Biogas%20and%20Energy%20estimates_for%20Rev3_20220207.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talbottheartofwater.sharepoint.com/sites/AspenWERC/Shared%20Documents/Aspen/Model/Aspen%20Model%20v1.xlsx" TargetMode="External"/><Relationship Id="rId1" Type="http://schemas.openxmlformats.org/officeDocument/2006/relationships/externalLinkPath" Target="Aspen%20Model%20v1.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talbottheartofwater.sharepoint.com/sites/AspenWERC/Shared%20Documents/Aspen/Model/Draft%20Water%20Risk%20Profile%20Model_Devland%20Final.xlsx" TargetMode="External"/><Relationship Id="rId1" Type="http://schemas.openxmlformats.org/officeDocument/2006/relationships/externalLinkPath" Target="Draft%20Water%20Risk%20Profile%20Model_Devland%20Fin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Water Recovery"/>
      <sheetName val="3rd Draft - National"/>
      <sheetName val="Clover_Clayville AD Feasibility"/>
    </sheetNames>
    <definedNames>
      <definedName name="Loan_Start" refersTo="#REF!"/>
    </definedNames>
    <sheetDataSet>
      <sheetData sheetId="0" refreshError="1"/>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U Model"/>
      <sheetName val="Availability Model"/>
      <sheetName val="Dashboard"/>
      <sheetName val="Questions"/>
    </sheetNames>
    <sheetDataSet>
      <sheetData sheetId="0"/>
      <sheetData sheetId="1"/>
      <sheetData sheetId="2">
        <row r="4">
          <cell r="H4" t="str">
            <v>High</v>
          </cell>
          <cell r="J4" t="str">
            <v>High</v>
          </cell>
          <cell r="L4" t="str">
            <v>High</v>
          </cell>
          <cell r="N4" t="str">
            <v>High</v>
          </cell>
        </row>
        <row r="5">
          <cell r="H5" t="str">
            <v>Medium to High</v>
          </cell>
          <cell r="J5" t="str">
            <v>Poor</v>
          </cell>
          <cell r="L5" t="str">
            <v>Poor</v>
          </cell>
          <cell r="N5" t="str">
            <v>Poor</v>
          </cell>
        </row>
        <row r="7">
          <cell r="H7" t="str">
            <v>Excellent</v>
          </cell>
          <cell r="J7"/>
          <cell r="L7"/>
          <cell r="N7"/>
        </row>
      </sheetData>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evland Profiling"/>
      <sheetName val="DEVLAND Dashboard"/>
      <sheetName val="DEVLAND Initiatives"/>
      <sheetName val="Sheet1"/>
      <sheetName val="Pivot Tables"/>
      <sheetName val="Availability Model"/>
      <sheetName val="Results Table"/>
      <sheetName val="BaU Model"/>
      <sheetName val="Strategy Model"/>
    </sheetNames>
    <sheetDataSet>
      <sheetData sheetId="0"/>
      <sheetData sheetId="1">
        <row r="13">
          <cell r="BK13" t="str">
            <v>Poor</v>
          </cell>
          <cell r="BM13" t="str">
            <v>Poor</v>
          </cell>
          <cell r="BO13" t="str">
            <v>Poor</v>
          </cell>
          <cell r="BQ13" t="str">
            <v>Poor</v>
          </cell>
        </row>
        <row r="15">
          <cell r="BK15" t="str">
            <v>Excellent</v>
          </cell>
          <cell r="BM15" t="str">
            <v>Excellent</v>
          </cell>
          <cell r="BO15" t="str">
            <v>Excellent</v>
          </cell>
          <cell r="BQ15" t="str">
            <v>Excellent</v>
          </cell>
        </row>
        <row r="16">
          <cell r="BK16" t="str">
            <v>Poor</v>
          </cell>
          <cell r="BM16" t="str">
            <v>Poor</v>
          </cell>
          <cell r="BO16" t="str">
            <v>Poor</v>
          </cell>
          <cell r="BQ16" t="str">
            <v>Poor</v>
          </cell>
        </row>
        <row r="17">
          <cell r="BK17" t="str">
            <v>Very Poor</v>
          </cell>
          <cell r="BM17" t="str">
            <v>Very Poor</v>
          </cell>
          <cell r="BO17" t="str">
            <v>Very Poor</v>
          </cell>
          <cell r="BQ17" t="str">
            <v>Very Poor</v>
          </cell>
        </row>
        <row r="18">
          <cell r="BK18" t="str">
            <v>Excellent</v>
          </cell>
          <cell r="BM18" t="str">
            <v>Excellent</v>
          </cell>
          <cell r="BO18" t="str">
            <v>Excellent</v>
          </cell>
          <cell r="BQ18" t="str">
            <v>Excellent</v>
          </cell>
        </row>
        <row r="19">
          <cell r="BK19" t="str">
            <v>Critical State</v>
          </cell>
          <cell r="BM19" t="str">
            <v>Critical State</v>
          </cell>
          <cell r="BO19" t="str">
            <v>Critical State</v>
          </cell>
          <cell r="BQ19" t="str">
            <v>Critical State</v>
          </cell>
        </row>
        <row r="21">
          <cell r="BK21" t="str">
            <v>Excellent</v>
          </cell>
          <cell r="BM21" t="str">
            <v>Excellent</v>
          </cell>
          <cell r="BO21" t="str">
            <v>Excellent</v>
          </cell>
          <cell r="BQ21" t="str">
            <v>Excellent</v>
          </cell>
        </row>
        <row r="22">
          <cell r="BK22" t="str">
            <v>Average</v>
          </cell>
          <cell r="BM22" t="str">
            <v>Average</v>
          </cell>
          <cell r="BO22" t="str">
            <v>Average</v>
          </cell>
          <cell r="BQ22" t="str">
            <v>Average</v>
          </cell>
        </row>
        <row r="23">
          <cell r="BK23" t="str">
            <v>Excellent</v>
          </cell>
          <cell r="BM23" t="str">
            <v>Excellent</v>
          </cell>
          <cell r="BO23" t="str">
            <v>Excellent</v>
          </cell>
          <cell r="BQ23" t="str">
            <v>Excellent</v>
          </cell>
        </row>
      </sheetData>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Loren Steyn" id="{8254ECE4-4463-4098-BCA1-336D71CAF7DD}" userId="S::Loren.Steyn@talbot.co.za::f0f0e712-fbcb-480d-af6a-f53ea6e3ff1a"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16" dT="2025-05-15T12:02:44.44" personId="{8254ECE4-4463-4098-BCA1-336D71CAF7DD}" id="{CC683E75-611F-4CD4-AB8F-655BA1A72F95}">
    <text>Start of B50 for Aspen reporting</text>
  </threadedComment>
  <threadedComment ref="C27" dT="2025-05-28T13:24:24.18" personId="{8254ECE4-4463-4098-BCA1-336D71CAF7DD}" id="{178ED000-0962-4FAD-8C5E-A31CD5070200}">
    <text>We can use this to calculate the fixed costs Aspen is not able to recover due to lost production</text>
  </threadedComment>
  <threadedComment ref="C27" dT="2025-06-17T11:39:01.67" personId="{8254ECE4-4463-4098-BCA1-336D71CAF7DD}" id="{B2196F4D-14F2-4792-BB9C-5E055538A4A7}" parentId="{178ED000-0962-4FAD-8C5E-A31CD5070200}">
    <text>Assume 10% GP</text>
  </threadedComment>
  <threadedComment ref="C29" dT="2025-05-28T13:24:24.18" personId="{8254ECE4-4463-4098-BCA1-336D71CAF7DD}" id="{2FFBF58D-F9EE-4C19-9254-60E9519E1884}">
    <text>We can use this to calculate the fixed costs Aspen is not able to recover due to lost production</text>
  </threadedComment>
  <threadedComment ref="C29" dT="2025-06-17T11:39:01.67" personId="{8254ECE4-4463-4098-BCA1-336D71CAF7DD}" id="{06A1EB40-6185-4585-92F2-BDF295628D59}" parentId="{2FFBF58D-F9EE-4C19-9254-60E9519E1884}">
    <text>Assume 10% GP</text>
  </threadedComment>
  <threadedComment ref="C38" dT="2025-05-29T13:25:14.60" personId="{8254ECE4-4463-4098-BCA1-336D71CAF7DD}" id="{6064E504-90E6-4C6C-AD63-7EBDEAA4AB12}">
    <text>Take total consumption of previous year, apply 5% reduction</text>
  </threadedComment>
  <threadedComment ref="C43" dT="2025-05-29T13:26:40.68" personId="{8254ECE4-4463-4098-BCA1-336D71CAF7DD}" id="{E4A230EE-D8E7-4E07-A1CD-C5B87BDE6B85}">
    <text>Average over 6-months</text>
  </threadedComment>
  <threadedComment ref="C45" dT="2025-06-09T13:50:37.92" personId="{8254ECE4-4463-4098-BCA1-336D71CAF7DD}" id="{E1368235-0019-462F-A8D5-25F6A627E527}">
    <text>This is based on COD only since all parameters are within permit limits</text>
  </threadedComment>
  <threadedComment ref="C52" dT="2025-06-05T09:26:36.85" personId="{8254ECE4-4463-4098-BCA1-336D71CAF7DD}" id="{8F392A0F-C7CD-47BC-9326-57B4A9D6F484}">
    <text>No annual increase assumed currently. Increase would depend on elec tariff, chemical costs, consumables and labour. So this would be a combination of elec and CPI</text>
  </threadedComment>
  <threadedComment ref="C54" dT="2025-05-29T13:32:54.46" personId="{8254ECE4-4463-4098-BCA1-336D71CAF7DD}" id="{8B238A93-E262-4C7D-ABB7-71B5B62E53B5}">
    <text>Get high-level plant summary from doc and ask GPT to estimate OPEX</text>
  </threadedComment>
  <threadedComment ref="C55" dT="2025-06-05T09:23:51.67" personId="{8254ECE4-4463-4098-BCA1-336D71CAF7DD}" id="{BAE26FEC-A782-4D72-AF60-E8925DF4FBA2}">
    <text>This is a ChatGPT estimate based on 1m3/h output, 16 hrs/d, 365 days/yr.
I have given it a steam, water and electricity cost to work with. Everything else is an assumption</text>
  </threadedComment>
  <threadedComment ref="C55" dT="2025-06-05T09:24:56.61" personId="{8254ECE4-4463-4098-BCA1-336D71CAF7DD}" id="{A1CD7231-7C8F-4461-B80F-29984444FFC7}" parentId="{BAE26FEC-A782-4D72-AF60-E8925DF4FBA2}">
    <text>8% annual increase</text>
  </threadedComment>
  <threadedComment ref="C56" dT="2025-05-29T13:32:24.33" personId="{8254ECE4-4463-4098-BCA1-336D71CAF7DD}" id="{5917C95B-9A19-4904-A29B-781A293DA2D6}">
    <text>Check what Peter shared</text>
  </threadedComment>
  <threadedComment ref="C57" dT="2025-05-29T12:35:42.53" personId="{8254ECE4-4463-4098-BCA1-336D71CAF7DD}" id="{FE550FAB-4BC0-4435-A198-D7BAA61E3406}">
    <text>6.8 - 13.4 R/m3</text>
  </threadedComment>
  <threadedComment ref="C58" dT="2025-05-29T12:35:42.53" personId="{8254ECE4-4463-4098-BCA1-336D71CAF7DD}" id="{6A045D7E-E4C1-45AA-BC3D-27B8EF6AAED3}">
    <text>Based on Sov, scaled for volume</text>
  </threadedComment>
  <threadedComment ref="I58" dT="2025-06-09T06:55:04.64" personId="{8254ECE4-4463-4098-BCA1-336D71CAF7DD}" id="{80A69804-F9C6-410D-9DA5-E690E6F0E088}">
    <text>TBC</text>
  </threadedComment>
  <threadedComment ref="I58" dT="2025-06-17T07:13:13.13" personId="{8254ECE4-4463-4098-BCA1-336D71CAF7DD}" id="{0222E2EC-2CD1-42D2-997A-ADF2EC4A78C3}" parentId="{80A69804-F9C6-410D-9DA5-E690E6F0E088}">
    <text>Sov OPEX is 34.51 R/m3 for bigger volume, does this make sense?</text>
  </threadedComment>
  <threadedComment ref="I58" dT="2025-06-17T11:54:09.30" personId="{8254ECE4-4463-4098-BCA1-336D71CAF7DD}" id="{90F071FC-AC28-4CD7-847A-0FCB4AF17124}" parentId="{80A69804-F9C6-410D-9DA5-E690E6F0E088}">
    <text>The OPEX number includes paying off CAPEX...</text>
  </threadedComment>
  <threadedComment ref="C59" dT="2025-05-29T12:35:42.53" personId="{8254ECE4-4463-4098-BCA1-336D71CAF7DD}" id="{9E3F402D-0048-46C9-ABD7-494A7F7053E0}">
    <text>Depends on condensate return %</text>
  </threadedComment>
  <threadedComment ref="C59" dT="2025-06-05T09:25:13.55" personId="{8254ECE4-4463-4098-BCA1-336D71CAF7DD}" id="{1FB9758D-985A-4BC4-991F-6B7F6250422A}" parentId="{9E3F402D-0048-46C9-ABD7-494A7F7053E0}">
    <text xml:space="preserve">5% annual increase
</text>
  </threadedComment>
  <threadedComment ref="C61" dT="2025-07-08T10:39:39.05" personId="{8254ECE4-4463-4098-BCA1-336D71CAF7DD}" id="{41BE0779-CB6B-4ED2-AB71-4F94C991EFA9}">
    <text>Groundwater, PW, boiler feed, rainwater</text>
  </threadedComment>
  <threadedComment ref="C70" dT="2025-06-17T07:15:37.59" personId="{8254ECE4-4463-4098-BCA1-336D71CAF7DD}" id="{21BC674A-1B63-4A37-AA27-A90AE2C496AE}">
    <text>Current borehole quality data, so we can see if quality has changed since initial study</text>
  </threadedComment>
  <threadedComment ref="C113" dT="2025-06-09T08:27:54.83" personId="{8254ECE4-4463-4098-BCA1-336D71CAF7DD}" id="{7D4DA3AF-B95D-49FA-91E1-D64E2EEA48D5}">
    <text>ChatGPT</text>
  </threadedComment>
  <threadedComment ref="C114" dT="2025-06-09T08:28:02.77" personId="{8254ECE4-4463-4098-BCA1-336D71CAF7DD}" id="{0CF6B8CA-F048-4A16-9250-C8DB882A642B}">
    <text>ChatGPT</text>
  </threadedComment>
  <threadedComment ref="C117" dT="2025-06-09T08:28:10.90" personId="{8254ECE4-4463-4098-BCA1-336D71CAF7DD}" id="{FE8A9210-0ABD-4FE4-A3B2-D1D54EF9065D}">
    <text>ChatGPT</text>
  </threadedComment>
  <threadedComment ref="C118" dT="2025-06-09T08:28:25.17" personId="{8254ECE4-4463-4098-BCA1-336D71CAF7DD}" id="{8A30ED4D-6EA2-4FB3-9A65-6089DCD635DC}">
    <text>ChatGPT</text>
  </threadedComment>
  <threadedComment ref="C119" dT="2025-06-09T08:28:32.57" personId="{8254ECE4-4463-4098-BCA1-336D71CAF7DD}" id="{A151A4FA-2364-4DA2-B4AD-A443E5780E3D}">
    <text>ChatGPT</text>
  </threadedComment>
  <threadedComment ref="E200" dT="2025-07-10T08:55:17.02" personId="{8254ECE4-4463-4098-BCA1-336D71CAF7DD}" id="{C9AD22F4-220A-4997-9E20-8982C6F10F69}">
    <text>Pumping, chlorine dosing, maintenance and monitoring</text>
  </threadedComment>
</ThreadedComments>
</file>

<file path=xl/threadedComments/threadedComment2.xml><?xml version="1.0" encoding="utf-8"?>
<ThreadedComments xmlns="http://schemas.microsoft.com/office/spreadsheetml/2018/threadedcomments" xmlns:x="http://schemas.openxmlformats.org/spreadsheetml/2006/main">
  <threadedComment ref="W10" dT="2025-07-08T09:42:46.54" personId="{8254ECE4-4463-4098-BCA1-336D71CAF7DD}" id="{8313C789-35A2-4648-BD61-2E964C77A873}">
    <text>Demand risk</text>
  </threadedComment>
  <threadedComment ref="AB10" dT="2025-07-08T09:42:55.49" personId="{8254ECE4-4463-4098-BCA1-336D71CAF7DD}" id="{B81F460E-39FF-44B6-9294-2F30B2C04284}">
    <text>Availability risk</text>
  </threadedComment>
  <threadedComment ref="D15" dT="2025-07-07T07:28:34.19" personId="{8254ECE4-4463-4098-BCA1-336D71CAF7DD}" id="{EA532AD6-BFD5-43B0-A795-8B3B49925007}">
    <text>Will only be groundwater for now</text>
  </threadedComment>
  <threadedComment ref="N15" dT="2025-07-18T10:56:56.55" personId="{8254ECE4-4463-4098-BCA1-336D71CAF7DD}" id="{6FE56966-4F53-45F5-AC7D-DA0DF420DD82}">
    <text>Second borehole</text>
  </threadedComment>
  <threadedComment ref="D19" dT="2025-07-10T12:19:09.60" personId="{8254ECE4-4463-4098-BCA1-336D71CAF7DD}" id="{9753063A-AA0B-40DD-B576-6F6CA4A71C15}">
    <text>Storage capacity + non-municipal daily supply</text>
  </threadedComment>
  <threadedComment ref="N23" dT="2025-07-10T08:15:09.93" personId="{8254ECE4-4463-4098-BCA1-336D71CAF7DD}" id="{73F48198-76E1-447C-9A56-6A95B482951E}">
    <text>NH3 condensers come online</text>
  </threadedComment>
  <threadedComment ref="Q23" dT="2025-07-18T10:58:41.10" personId="{8254ECE4-4463-4098-BCA1-336D71CAF7DD}" id="{301E9840-0927-407E-89F2-5A48680CB660}">
    <text>SVP3 ramp up ends</text>
  </threadedComment>
  <threadedComment ref="D67" dT="2025-06-09T13:50:37.92" personId="{8254ECE4-4463-4098-BCA1-336D71CAF7DD}" id="{7315202C-12D5-4073-967E-C9D9DC2A8386}">
    <text>This is based on COD only since all parameters are within permit limits</text>
  </threadedComment>
  <threadedComment ref="D69" dT="2025-06-05T09:26:36.85" personId="{8254ECE4-4463-4098-BCA1-336D71CAF7DD}" id="{E4F27893-3C88-43B2-8C7E-092C19E62C68}">
    <text>No annual increase assumed currently. Increase would depend on elec tariff, chemical costs, consumables and labour. So this would be a combination of elec and CPI</text>
  </threadedComment>
  <threadedComment ref="D70" dT="2025-05-29T13:32:54.46" personId="{8254ECE4-4463-4098-BCA1-336D71CAF7DD}" id="{7C9BEFB3-9BF6-4F59-A822-57754F4151C1}">
    <text>Get high-level plant summary from doc and ask GPT to estimate OPEX</text>
  </threadedComment>
  <threadedComment ref="D71" dT="2025-06-05T09:23:51.67" personId="{8254ECE4-4463-4098-BCA1-336D71CAF7DD}" id="{4A2124F0-ADCD-4E0A-9146-8967382A5BC2}">
    <text>This is a ChatGPT estimate based on 1m3/h output, 16 hrs/d, 365 days/yr.
I have given it a steam, water and electricity cost to work with. Everything else is an assumption</text>
  </threadedComment>
  <threadedComment ref="D71" dT="2025-06-05T09:24:56.61" personId="{8254ECE4-4463-4098-BCA1-336D71CAF7DD}" id="{4E501BEB-5E3A-41BA-A61C-79EE9C340C91}" parentId="{4A2124F0-ADCD-4E0A-9146-8967382A5BC2}">
    <text>8% annual increase</text>
  </threadedComment>
  <threadedComment ref="D72" dT="2025-05-29T13:32:24.33" personId="{8254ECE4-4463-4098-BCA1-336D71CAF7DD}" id="{E5DD4718-5122-4CBD-AB4E-0A641258F969}">
    <text>Check what Peter shared</text>
  </threadedComment>
  <threadedComment ref="D73" dT="2025-05-29T12:35:42.53" personId="{8254ECE4-4463-4098-BCA1-336D71CAF7DD}" id="{C730C40E-7B18-41CD-9A2D-A2CF247ECA80}">
    <text>6.8 - 13.4 R/m3</text>
  </threadedComment>
  <threadedComment ref="D74" dT="2025-05-29T12:35:42.53" personId="{8254ECE4-4463-4098-BCA1-336D71CAF7DD}" id="{74275A15-6D36-44FA-A10B-04F3EE1E46A9}">
    <text>Based on Sov, scaled for volume</text>
  </threadedComment>
  <threadedComment ref="D86" dT="2025-07-07T08:19:59.87" personId="{8254ECE4-4463-4098-BCA1-336D71CAF7DD}" id="{25F41C65-227A-445E-862F-93F5301401D6}">
    <text>Can get an average volume estimate from the steam bills</text>
  </threadedComment>
  <threadedComment ref="D141" dT="2025-06-17T12:36:26.30" personId="{8254ECE4-4463-4098-BCA1-336D71CAF7DD}" id="{D2F6509B-7274-4BC5-94A5-59D467658B27}">
    <text>Adjusting plant setpoints or replacement rates on consumables due to varying quality of incoming water</text>
  </threadedComment>
  <threadedComment ref="D144" dT="2025-06-12T13:01:43.64" personId="{8254ECE4-4463-4098-BCA1-336D71CAF7DD}" id="{BBDAB5A2-C726-4EAA-893E-CD57A6EC74BD}">
    <text>Most basic way to model is: what is sustainable abstraction? Is the site above, at or below this</text>
  </threadedComment>
  <threadedComment ref="D144" dT="2025-07-04T10:59:55.20" personId="{8254ECE4-4463-4098-BCA1-336D71CAF7DD}" id="{3D5DF060-5BFA-4CF0-8C57-32023C4E1511}" parentId="{BBDAB5A2-C726-4EAA-893E-CD57A6EC74BD}">
    <text xml:space="preserve">But we have insufficient data on this.
Ideally we would also know the anticipated lifespan of the borehole, but the site needs to do analysis yearly for this.
</text>
  </threadedComment>
  <threadedComment ref="D144" dT="2025-07-04T11:00:41.54" personId="{8254ECE4-4463-4098-BCA1-336D71CAF7DD}" id="{81BE3A7F-BA60-496C-8684-F59455B0D3F7}" parentId="{BBDAB5A2-C726-4EAA-893E-CD57A6EC74BD}">
    <text xml:space="preserve">For now, we can assume this borehole will last 20 years as per the WUL. This means it would be offline from 2040.
</text>
  </threadedComment>
</ThreadedComments>
</file>

<file path=xl/threadedComments/threadedComment3.xml><?xml version="1.0" encoding="utf-8"?>
<ThreadedComments xmlns="http://schemas.microsoft.com/office/spreadsheetml/2018/threadedcomments" xmlns:x="http://schemas.openxmlformats.org/spreadsheetml/2006/main">
  <threadedComment ref="W10" dT="2025-07-08T09:42:46.54" personId="{8254ECE4-4463-4098-BCA1-336D71CAF7DD}" id="{B87087A9-2730-463B-81BF-BA2E92A9C2EE}">
    <text>Demand risk</text>
  </threadedComment>
  <threadedComment ref="AB10" dT="2025-07-08T09:42:55.49" personId="{8254ECE4-4463-4098-BCA1-336D71CAF7DD}" id="{AB93ED4E-3006-4BE7-83D8-E22436AD0813}">
    <text>Availability risk</text>
  </threadedComment>
  <threadedComment ref="D16" dT="2025-07-07T07:28:34.19" personId="{8254ECE4-4463-4098-BCA1-336D71CAF7DD}" id="{662AE780-4BA1-4B2D-BE3B-A3AB1511271A}">
    <text>BH1 WUL not extended</text>
  </threadedComment>
  <threadedComment ref="AC19" dT="2025-07-23T10:02:32.87" personId="{8254ECE4-4463-4098-BCA1-336D71CAF7DD}" id="{CCF4755C-78DE-41EC-9344-A7FB36840E5E}">
    <text xml:space="preserve">Deficit of 119ML/yr without desal and BH WUL expires. This equates to 9.2 mil Rand if it must be municipal water.
</text>
  </threadedComment>
  <threadedComment ref="AC19" dT="2025-07-23T10:03:23.62" personId="{8254ECE4-4463-4098-BCA1-336D71CAF7DD}" id="{0B58E8C6-5818-4F68-8E2C-6081CBA21DEA}" parentId="{CCF4755C-78DE-41EC-9344-A7FB36840E5E}">
    <text>If the 119ML/yr came from desal instead, this amounts to 1.5mil Rand for the year.</text>
  </threadedComment>
  <threadedComment ref="AC19" dT="2025-07-23T10:04:40.34" personId="{8254ECE4-4463-4098-BCA1-336D71CAF7DD}" id="{941C4F66-19BD-403C-9730-647152FE821D}" parentId="{CCF4755C-78DE-41EC-9344-A7FB36840E5E}">
    <text>See below scenario 2 where WUL does not expire in 2040, then they have sufficient alternate water (ground, rain, rec) to supply whole site</text>
  </threadedComment>
  <threadedComment ref="D21" dT="2025-07-07T07:28:34.19" personId="{8254ECE4-4463-4098-BCA1-336D71CAF7DD}" id="{214ED204-4B74-4550-AFF0-8F1703629EF0}">
    <text>BH1 WUL not extended</text>
  </threadedComment>
  <threadedComment ref="D79" dT="2025-06-09T13:50:37.92" personId="{8254ECE4-4463-4098-BCA1-336D71CAF7DD}" id="{1C407FD4-F9F0-4C89-838A-5841F2DED272}">
    <text>This is based on COD only since all parameters are within permit limits</text>
  </threadedComment>
  <threadedComment ref="D80" dT="2025-06-05T09:26:36.85" personId="{8254ECE4-4463-4098-BCA1-336D71CAF7DD}" id="{FDEB1982-8AE6-4DDA-922E-829EC72BE687}">
    <text>No annual increase assumed currently. Increase would depend on elec tariff, chemical costs, consumables and labour. So this would be a combination of elec and CPI</text>
  </threadedComment>
  <threadedComment ref="D81" dT="2025-05-29T13:32:54.46" personId="{8254ECE4-4463-4098-BCA1-336D71CAF7DD}" id="{8F26D1C4-2583-4886-B371-8CEBF1B160B6}">
    <text>Get high-level plant summary from doc and ask GPT to estimate OPEX</text>
  </threadedComment>
  <threadedComment ref="D82" dT="2025-06-05T09:23:51.67" personId="{8254ECE4-4463-4098-BCA1-336D71CAF7DD}" id="{15FA683D-FE9E-4EC4-8784-750D3E836E2E}">
    <text>This is a ChatGPT estimate based on 1m3/h output, 16 hrs/d, 365 days/yr.
I have given it a steam, water and electricity cost to work with. Everything else is an assumption</text>
  </threadedComment>
  <threadedComment ref="D82" dT="2025-06-05T09:24:56.61" personId="{8254ECE4-4463-4098-BCA1-336D71CAF7DD}" id="{DB43C112-6E49-4744-A4AD-F4F39443553D}" parentId="{15FA683D-FE9E-4EC4-8784-750D3E836E2E}">
    <text>8% annual increase</text>
  </threadedComment>
  <threadedComment ref="D83" dT="2025-05-29T13:32:24.33" personId="{8254ECE4-4463-4098-BCA1-336D71CAF7DD}" id="{1543D5BF-0F67-46AC-85BA-CB58A8439AF1}">
    <text>Check what Peter shared</text>
  </threadedComment>
  <threadedComment ref="D84" dT="2025-05-29T12:35:42.53" personId="{8254ECE4-4463-4098-BCA1-336D71CAF7DD}" id="{84DEFB63-08CB-4343-BD7C-59868066C9D6}">
    <text>6.8 - 13.4 R/m3</text>
  </threadedComment>
  <threadedComment ref="D85" dT="2025-05-29T12:35:42.53" personId="{8254ECE4-4463-4098-BCA1-336D71CAF7DD}" id="{C84AC8F2-4B51-454F-8E06-8C299657925A}">
    <text>Based on Sov, scaled for volume</text>
  </threadedComment>
  <threadedComment ref="D86" dT="2025-05-29T12:35:42.53" personId="{8254ECE4-4463-4098-BCA1-336D71CAF7DD}" id="{4C483C2F-74C6-4ECD-A950-2A1444623881}">
    <text>Based on Sov, scaled for volume</text>
  </threadedComment>
  <threadedComment ref="D101" dT="2025-07-07T08:19:59.87" personId="{8254ECE4-4463-4098-BCA1-336D71CAF7DD}" id="{47EA0330-4D95-4536-85C1-F2BA48D17DAD}">
    <text>Can get an average volume estimate from the steam bills</text>
  </threadedComment>
  <threadedComment ref="D158" dT="2025-06-17T12:36:26.30" personId="{8254ECE4-4463-4098-BCA1-336D71CAF7DD}" id="{9266EBC2-C20A-4EA8-B6C8-F415B391DAAF}">
    <text>Adjusting plant setpoints or replacement rates on consumables due to varying quality of incoming water</text>
  </threadedComment>
  <threadedComment ref="D161" dT="2025-06-12T13:01:43.64" personId="{8254ECE4-4463-4098-BCA1-336D71CAF7DD}" id="{327F32B6-4F7D-4F24-946B-6A6A949E9C00}">
    <text>Most basic way to model is: what is sustainable abstraction? Is the site above, at or below this</text>
  </threadedComment>
  <threadedComment ref="D161" dT="2025-07-04T10:59:55.20" personId="{8254ECE4-4463-4098-BCA1-336D71CAF7DD}" id="{C60B317B-0F61-49C7-8DF5-F3DE47937C5A}" parentId="{327F32B6-4F7D-4F24-946B-6A6A949E9C00}">
    <text xml:space="preserve">But we have insufficient data on this.
Ideally we would also know the anticipated lifespan of the borehole, but the site needs to do analysis yearly for this.
</text>
  </threadedComment>
  <threadedComment ref="D161" dT="2025-07-04T11:00:41.54" personId="{8254ECE4-4463-4098-BCA1-336D71CAF7DD}" id="{3F695061-0040-45CA-963B-163AADB70EBE}" parentId="{327F32B6-4F7D-4F24-946B-6A6A949E9C00}">
    <text xml:space="preserve">For now, we can assume this borehole will last 20 years as per the WUL. This means it would be offline from 2040.
</text>
  </threadedComment>
</ThreadedComments>
</file>

<file path=xl/threadedComments/threadedComment4.xml><?xml version="1.0" encoding="utf-8"?>
<ThreadedComments xmlns="http://schemas.microsoft.com/office/spreadsheetml/2018/threadedcomments" xmlns:x="http://schemas.openxmlformats.org/spreadsheetml/2006/main">
  <threadedComment ref="D117" dT="2025-07-14T07:57:33.44" personId="{8254ECE4-4463-4098-BCA1-336D71CAF7DD}" id="{50B51EFB-6303-4DFA-8FEE-649DE04F698F}">
    <text>Only from 2025</text>
  </threadedComment>
  <threadedComment ref="D144" dT="2025-07-23T13:47:03.65" personId="{8254ECE4-4463-4098-BCA1-336D71CAF7DD}" id="{740F2375-C35D-4C6F-824C-64A8FBA81C5C}">
    <text>This is the kl savings per year</text>
  </threadedComment>
  <threadedComment ref="D153" dT="2025-07-23T13:47:18.81" personId="{8254ECE4-4463-4098-BCA1-336D71CAF7DD}" id="{F91EA636-AA80-45FD-B4DE-F1EF6326F3FE}">
    <text>This is the kl savings per year</text>
  </threadedComment>
  <threadedComment ref="D168" dT="2025-07-23T13:47:18.81" personId="{8254ECE4-4463-4098-BCA1-336D71CAF7DD}" id="{25F914A3-92B2-4A4C-91DA-E6BEC0310EF8}">
    <text>This is the kl savings per year</text>
  </threadedComment>
  <threadedComment ref="D180" dT="2025-07-23T14:20:59.10" personId="{8254ECE4-4463-4098-BCA1-336D71CAF7DD}" id="{AFDF161F-A380-43AF-A112-EC5649A8766D}">
    <text>Buffer against needing municipal water</text>
  </threadedComment>
  <threadedComment ref="D181" dT="2025-07-23T14:11:58.48" personId="{8254ECE4-4463-4098-BCA1-336D71CAF7DD}" id="{C9A29851-E332-4B4C-A75C-7A9C7FA5CB4F}">
    <text>Can only take into account groundwater volume</text>
  </threadedComment>
  <threadedComment ref="D183" dT="2025-07-23T13:47:18.81" personId="{8254ECE4-4463-4098-BCA1-336D71CAF7DD}" id="{703F0931-A055-4093-B33A-1F07095AE0A4}">
    <text>This is the kl savings per year</text>
  </threadedComment>
</ThreadedComments>
</file>

<file path=xl/threadedComments/threadedComment5.xml><?xml version="1.0" encoding="utf-8"?>
<ThreadedComments xmlns="http://schemas.microsoft.com/office/spreadsheetml/2018/threadedcomments" xmlns:x="http://schemas.openxmlformats.org/spreadsheetml/2006/main">
  <threadedComment ref="B2" dT="2025-08-05T08:21:19.15" personId="{8254ECE4-4463-4098-BCA1-336D71CAF7DD}" id="{B0F44A6C-0DC7-4361-9A2E-F9FCE632415A}">
    <text xml:space="preserve">This is pessimistic view. Poorly monitored and maintained industrial boreholes have a life span of X years. This borehole is not currently being monitored as we’d suggest, so we have no information to suggest that the license will be extended.
We are also being pessimistic regarding the 2nd BH. This is assuming the quality is too bad or that for some reason Aspen is unable to obtain a WUL for it. We do not think scenario 1 is 
likely
</text>
  </threadedComment>
  <threadedComment ref="B10" dT="2025-08-05T08:23:06.40" personId="{8254ECE4-4463-4098-BCA1-336D71CAF7DD}" id="{92F46E60-AF23-402D-AC38-988E2941806A}">
    <text>Again, a pessimistic view on securing the 2nd borehole.
An optimistic view on the current BH WUL. If the BH is properly maintained, monitored for recharge and quality and abstraction remains sustainable, it is possible that the WUL is extended beyond 2040. A total lifespan of 25+ years is possible for a well maintained industrial BH.</text>
  </threadedComment>
  <threadedComment ref="B10" dT="2025-08-05T08:26:47.36" personId="{8254ECE4-4463-4098-BCA1-336D71CAF7DD}" id="{242D507C-9A32-4374-B654-1AA7F4720984}" parentId="{92F46E60-AF23-402D-AC38-988E2941806A}">
    <text>We don’t think it’s likely that Aspen will not get an additional BH, it is possible that the WUL is extended. It is also possible that the 2nd BH does not deliver same volume or does not match quality requirements of the WTP. This is tricky to model, we would need additional time and more information to do so</text>
  </threadedComment>
  <threadedComment ref="B18" dT="2025-08-05T08:27:51.58" personId="{8254ECE4-4463-4098-BCA1-336D71CAF7DD}" id="{800A7D62-AA5F-4D78-AEC5-17699E4D4FAF}">
    <text xml:space="preserve">This is the scenario we have used in the presentation and report. It is the most balanced in terms of optimistic and pessimistic views. Aspen to comment on what they believe/know to be most likely
</text>
  </threadedComment>
  <threadedComment ref="B27" dT="2025-08-05T09:32:11.41" personId="{8254ECE4-4463-4098-BCA1-336D71CAF7DD}" id="{5FA24532-5904-4C98-95BC-EA9BD08D0DA7}">
    <text>This is the optimistic view. Significantly reduced requirement for supplementing groundwater supply.</text>
  </threadedComment>
</ThreadedComments>
</file>

<file path=xl/threadedComments/threadedComment6.xml><?xml version="1.0" encoding="utf-8"?>
<ThreadedComments xmlns="http://schemas.microsoft.com/office/spreadsheetml/2018/threadedcomments" xmlns:x="http://schemas.openxmlformats.org/spreadsheetml/2006/main">
  <threadedComment ref="W10" dT="2025-07-08T09:42:46.54" personId="{8254ECE4-4463-4098-BCA1-336D71CAF7DD}" id="{3650B3A4-3E54-4C6A-A684-7234F4370C8F}">
    <text>Demand risk</text>
  </threadedComment>
  <threadedComment ref="AB10" dT="2025-07-08T09:42:55.49" personId="{8254ECE4-4463-4098-BCA1-336D71CAF7DD}" id="{52B56640-3963-40B9-81B8-242644B6D7A0}">
    <text>Availability risk</text>
  </threadedComment>
  <threadedComment ref="D15" dT="2025-07-07T07:28:34.19" personId="{8254ECE4-4463-4098-BCA1-336D71CAF7DD}" id="{32829F10-4911-411C-856B-39DB2A904BAC}">
    <text>Will only be groundwater for now</text>
  </threadedComment>
  <threadedComment ref="N15" dT="2025-07-18T10:56:56.55" personId="{8254ECE4-4463-4098-BCA1-336D71CAF7DD}" id="{A7583906-F795-4010-82B3-305E1C3977A1}">
    <text>Second borehole</text>
  </threadedComment>
  <threadedComment ref="D19" dT="2025-07-10T12:19:09.60" personId="{8254ECE4-4463-4098-BCA1-336D71CAF7DD}" id="{3044A267-0BF0-4D1C-A656-8FF4A53F5B59}">
    <text>Storage capacity + non-municipal daily supply</text>
  </threadedComment>
  <threadedComment ref="N23" dT="2025-07-10T08:15:09.93" personId="{8254ECE4-4463-4098-BCA1-336D71CAF7DD}" id="{935C8B5D-0DA5-4B90-86F2-5594C982975E}">
    <text>NH3 condensers come online</text>
  </threadedComment>
  <threadedComment ref="Q23" dT="2025-07-18T10:58:41.10" personId="{8254ECE4-4463-4098-BCA1-336D71CAF7DD}" id="{394B433F-3471-4AAB-B03D-A2C676281E9D}">
    <text>SVP3 ramp up ends</text>
  </threadedComment>
  <threadedComment ref="D67" dT="2025-06-09T13:50:37.92" personId="{8254ECE4-4463-4098-BCA1-336D71CAF7DD}" id="{64711B11-BFDF-4A5A-BF42-6BCC04C39D09}">
    <text>This is based on COD only since all parameters are within permit limits</text>
  </threadedComment>
  <threadedComment ref="D69" dT="2025-06-05T09:26:36.85" personId="{8254ECE4-4463-4098-BCA1-336D71CAF7DD}" id="{F754FD92-6CF6-451B-A9E9-58E6B58CD4EA}">
    <text>No annual increase assumed currently. Increase would depend on elec tariff, chemical costs, consumables and labour. So this would be a combination of elec and CPI</text>
  </threadedComment>
  <threadedComment ref="D70" dT="2025-05-29T13:32:54.46" personId="{8254ECE4-4463-4098-BCA1-336D71CAF7DD}" id="{37D90A88-A304-433B-BBBD-ECAA2B89078B}">
    <text>Get high-level plant summary from doc and ask GPT to estimate OPEX</text>
  </threadedComment>
  <threadedComment ref="D71" dT="2025-06-05T09:23:51.67" personId="{8254ECE4-4463-4098-BCA1-336D71CAF7DD}" id="{0B7DC3AC-6CC8-4453-AB51-BDCFE5DCB594}">
    <text>This is a ChatGPT estimate based on 1m3/h output, 16 hrs/d, 365 days/yr.
I have given it a steam, water and electricity cost to work with. Everything else is an assumption</text>
  </threadedComment>
  <threadedComment ref="D71" dT="2025-06-05T09:24:56.61" personId="{8254ECE4-4463-4098-BCA1-336D71CAF7DD}" id="{2C678F3A-2983-46D6-908E-3A24FF2200D8}" parentId="{0B7DC3AC-6CC8-4453-AB51-BDCFE5DCB594}">
    <text>8% annual increase</text>
  </threadedComment>
  <threadedComment ref="D72" dT="2025-05-29T13:32:24.33" personId="{8254ECE4-4463-4098-BCA1-336D71CAF7DD}" id="{3D13C4FA-761D-451A-87F6-D06476A61F96}">
    <text>Check what Peter shared</text>
  </threadedComment>
  <threadedComment ref="D73" dT="2025-05-29T12:35:42.53" personId="{8254ECE4-4463-4098-BCA1-336D71CAF7DD}" id="{A32F50CE-7535-4D1E-B96D-9DC71E8109DD}">
    <text>6.8 - 13.4 R/m3</text>
  </threadedComment>
  <threadedComment ref="D74" dT="2025-05-29T12:35:42.53" personId="{8254ECE4-4463-4098-BCA1-336D71CAF7DD}" id="{9A186E89-6950-406E-A146-73CDAEA16C94}">
    <text>Based on Sov, scaled for volume</text>
  </threadedComment>
  <threadedComment ref="D86" dT="2025-07-07T08:19:59.87" personId="{8254ECE4-4463-4098-BCA1-336D71CAF7DD}" id="{4EA6C79F-F084-4FBE-A5C6-D128F0A31EC0}">
    <text>Can get an average volume estimate from the steam bills</text>
  </threadedComment>
  <threadedComment ref="D141" dT="2025-06-17T12:36:26.30" personId="{8254ECE4-4463-4098-BCA1-336D71CAF7DD}" id="{6EFF5BE5-A435-451A-9C18-316607357EBC}">
    <text>Adjusting plant setpoints or replacement rates on consumables due to varying quality of incoming water</text>
  </threadedComment>
  <threadedComment ref="D144" dT="2025-06-12T13:01:43.64" personId="{8254ECE4-4463-4098-BCA1-336D71CAF7DD}" id="{7DD6B0B3-0555-4DB1-BC34-9A9DB9DC281F}">
    <text>Most basic way to model is: what is sustainable abstraction? Is the site above, at or below this</text>
  </threadedComment>
  <threadedComment ref="D144" dT="2025-07-04T10:59:55.20" personId="{8254ECE4-4463-4098-BCA1-336D71CAF7DD}" id="{746B024F-3D63-4898-BB21-6D08162CF414}" parentId="{7DD6B0B3-0555-4DB1-BC34-9A9DB9DC281F}">
    <text xml:space="preserve">But we have insufficient data on this.
Ideally we would also know the anticipated lifespan of the borehole, but the site needs to do analysis yearly for this.
</text>
  </threadedComment>
  <threadedComment ref="D144" dT="2025-07-04T11:00:41.54" personId="{8254ECE4-4463-4098-BCA1-336D71CAF7DD}" id="{CEDC3D0F-32C3-48C3-9B6B-52FAB0C5D0D6}" parentId="{7DD6B0B3-0555-4DB1-BC34-9A9DB9DC281F}">
    <text xml:space="preserve">For now, we can assume this borehole will last 20 years as per the WUL. This means it would be offline from 2040.
</text>
  </threadedComment>
</ThreadedComments>
</file>

<file path=xl/threadedComments/threadedComment7.xml><?xml version="1.0" encoding="utf-8"?>
<ThreadedComments xmlns="http://schemas.microsoft.com/office/spreadsheetml/2018/threadedcomments" xmlns:x="http://schemas.openxmlformats.org/spreadsheetml/2006/main">
  <threadedComment ref="F7" dT="2025-07-09T07:07:07.79" personId="{8254ECE4-4463-4098-BCA1-336D71CAF7DD}" id="{411672FB-AA96-45BC-B0DE-CECC261D2542}">
    <text>Each SVP Facility packages different products</text>
  </threadedComment>
</ThreadedComments>
</file>

<file path=xl/threadedComments/threadedComment8.xml><?xml version="1.0" encoding="utf-8"?>
<ThreadedComments xmlns="http://schemas.microsoft.com/office/spreadsheetml/2018/threadedcomments" xmlns:x="http://schemas.openxmlformats.org/spreadsheetml/2006/main">
  <threadedComment ref="W10" dT="2025-07-08T09:42:46.54" personId="{8254ECE4-4463-4098-BCA1-336D71CAF7DD}" id="{8A034FF1-A137-4FF4-B6FD-6E327CCB53BA}">
    <text>Demand risk</text>
  </threadedComment>
  <threadedComment ref="AB10" dT="2025-07-08T09:42:55.49" personId="{8254ECE4-4463-4098-BCA1-336D71CAF7DD}" id="{402041FF-FA38-4957-8EF6-12C6A630F835}">
    <text>Availability risk</text>
  </threadedComment>
  <threadedComment ref="D16" dT="2025-07-07T07:28:34.19" personId="{8254ECE4-4463-4098-BCA1-336D71CAF7DD}" id="{7B069339-9B64-45DD-84F2-A68B676F1264}">
    <text>BH1 WUL not extended</text>
  </threadedComment>
  <threadedComment ref="AC17" dT="2025-07-23T10:02:32.87" personId="{8254ECE4-4463-4098-BCA1-336D71CAF7DD}" id="{3A5B0C78-A522-46EC-B6EA-437789BA67E8}">
    <text xml:space="preserve">Deficit of 119ML/yr without desal and BH WUL expires. This equates to 9.2 mil Rand if it must be municipal water.
</text>
  </threadedComment>
  <threadedComment ref="AC17" dT="2025-07-23T10:03:23.62" personId="{8254ECE4-4463-4098-BCA1-336D71CAF7DD}" id="{3BDDDDFA-3EE0-4EF6-9C4D-77AC6CD066A1}" parentId="{3A5B0C78-A522-46EC-B6EA-437789BA67E8}">
    <text>If the 119ML/yr came from desal instead, this amounts to 1.5mil Rand for the year.</text>
  </threadedComment>
  <threadedComment ref="AC17" dT="2025-07-23T10:04:40.34" personId="{8254ECE4-4463-4098-BCA1-336D71CAF7DD}" id="{54A210EB-3D71-4357-AA82-41283CF5588A}" parentId="{3A5B0C78-A522-46EC-B6EA-437789BA67E8}">
    <text>See below scenario 2 where WUL does not expire in 2040, then they have sufficient alternate water (ground, rain, rec) to supply whole site</text>
  </threadedComment>
  <threadedComment ref="D19" dT="2025-07-07T07:28:34.19" personId="{8254ECE4-4463-4098-BCA1-336D71CAF7DD}" id="{EF0C4154-229E-4CC1-9979-7625FDC29A5B}">
    <text>BH1 WUL not extended</text>
  </threadedComment>
  <threadedComment ref="D73" dT="2025-06-09T13:50:37.92" personId="{8254ECE4-4463-4098-BCA1-336D71CAF7DD}" id="{78D007BC-E51E-4AD2-9588-AE6DDB098DDC}">
    <text>This is based on COD only since all parameters are within permit limits</text>
  </threadedComment>
  <threadedComment ref="D74" dT="2025-06-05T09:26:36.85" personId="{8254ECE4-4463-4098-BCA1-336D71CAF7DD}" id="{9D0BA51B-A633-4EAF-A359-CB0B960F7573}">
    <text>No annual increase assumed currently. Increase would depend on elec tariff, chemical costs, consumables and labour. So this would be a combination of elec and CPI</text>
  </threadedComment>
  <threadedComment ref="D75" dT="2025-05-29T13:32:54.46" personId="{8254ECE4-4463-4098-BCA1-336D71CAF7DD}" id="{83635451-0C9B-4537-83E7-23459E0D13F4}">
    <text>Get high-level plant summary from doc and ask GPT to estimate OPEX</text>
  </threadedComment>
  <threadedComment ref="D76" dT="2025-06-05T09:23:51.67" personId="{8254ECE4-4463-4098-BCA1-336D71CAF7DD}" id="{C7DD4CD4-23AD-4ABD-87B9-6469BF1A93AA}">
    <text>This is a ChatGPT estimate based on 1m3/h output, 16 hrs/d, 365 days/yr.
I have given it a steam, water and electricity cost to work with. Everything else is an assumption</text>
  </threadedComment>
  <threadedComment ref="D76" dT="2025-06-05T09:24:56.61" personId="{8254ECE4-4463-4098-BCA1-336D71CAF7DD}" id="{495F4F3D-0FD2-4035-B009-73C689437E1B}" parentId="{C7DD4CD4-23AD-4ABD-87B9-6469BF1A93AA}">
    <text>8% annual increase</text>
  </threadedComment>
  <threadedComment ref="D77" dT="2025-05-29T13:32:24.33" personId="{8254ECE4-4463-4098-BCA1-336D71CAF7DD}" id="{13706B5D-1B93-4E39-ADBE-1C94A4500B13}">
    <text>Check what Peter shared</text>
  </threadedComment>
  <threadedComment ref="D78" dT="2025-05-29T12:35:42.53" personId="{8254ECE4-4463-4098-BCA1-336D71CAF7DD}" id="{A74C4F57-E6F8-4B97-A2AD-D152EE237949}">
    <text>6.8 - 13.4 R/m3</text>
  </threadedComment>
  <threadedComment ref="D79" dT="2025-05-29T12:35:42.53" personId="{8254ECE4-4463-4098-BCA1-336D71CAF7DD}" id="{CA39ECD2-427F-4C6E-8A60-09175035A781}">
    <text>Based on Sov, scaled for volume</text>
  </threadedComment>
  <threadedComment ref="D80" dT="2025-05-29T12:35:42.53" personId="{8254ECE4-4463-4098-BCA1-336D71CAF7DD}" id="{E70FA9FA-1FA6-4123-B600-9B4A1225D4D3}">
    <text>Based on Sov, scaled for volume</text>
  </threadedComment>
  <threadedComment ref="D95" dT="2025-07-07T08:19:59.87" personId="{8254ECE4-4463-4098-BCA1-336D71CAF7DD}" id="{FA0B68C8-87BC-48FA-BC8B-375BB9822827}">
    <text>Can get an average volume estimate from the steam bills</text>
  </threadedComment>
  <threadedComment ref="D152" dT="2025-06-17T12:36:26.30" personId="{8254ECE4-4463-4098-BCA1-336D71CAF7DD}" id="{4C3DECB6-B4DF-49A9-B8F4-8BE8A6CDFA44}">
    <text>Adjusting plant setpoints or replacement rates on consumables due to varying quality of incoming water</text>
  </threadedComment>
  <threadedComment ref="D155" dT="2025-06-12T13:01:43.64" personId="{8254ECE4-4463-4098-BCA1-336D71CAF7DD}" id="{04E9AC0C-F949-40AD-BEB8-98894FC5DCA9}">
    <text>Most basic way to model is: what is sustainable abstraction? Is the site above, at or below this</text>
  </threadedComment>
  <threadedComment ref="D155" dT="2025-07-04T10:59:55.20" personId="{8254ECE4-4463-4098-BCA1-336D71CAF7DD}" id="{264D2745-3280-43FC-8A0F-FE83017F74D4}" parentId="{04E9AC0C-F949-40AD-BEB8-98894FC5DCA9}">
    <text xml:space="preserve">But we have insufficient data on this.
Ideally we would also know the anticipated lifespan of the borehole, but the site needs to do analysis yearly for this.
</text>
  </threadedComment>
  <threadedComment ref="D155" dT="2025-07-04T11:00:41.54" personId="{8254ECE4-4463-4098-BCA1-336D71CAF7DD}" id="{99217C92-C860-4B1E-AAAA-E44CA86EF930}" parentId="{04E9AC0C-F949-40AD-BEB8-98894FC5DCA9}">
    <text xml:space="preserve">For now, we can assume this borehole will last 20 years as per the WUL. This means it would be offline from 2040.
</text>
  </threadedComment>
</ThreadedComments>
</file>

<file path=xl/threadedComments/threadedComment9.xml><?xml version="1.0" encoding="utf-8"?>
<ThreadedComments xmlns="http://schemas.microsoft.com/office/spreadsheetml/2018/threadedcomments" xmlns:x="http://schemas.openxmlformats.org/spreadsheetml/2006/main">
  <threadedComment ref="W10" dT="2025-07-08T09:42:46.54" personId="{8254ECE4-4463-4098-BCA1-336D71CAF7DD}" id="{1B681CE8-510D-42D0-9978-BD657037B825}">
    <text>Demand risk</text>
  </threadedComment>
  <threadedComment ref="AB10" dT="2025-07-08T09:42:55.49" personId="{8254ECE4-4463-4098-BCA1-336D71CAF7DD}" id="{2832623E-CECA-4652-A7E5-6600A74D53CA}">
    <text>Availability risk</text>
  </threadedComment>
  <threadedComment ref="D16" dT="2025-07-07T07:28:34.19" personId="{8254ECE4-4463-4098-BCA1-336D71CAF7DD}" id="{81FE2CCC-3CB7-4054-A2EE-DD8968476CAB}">
    <text>BH1 WUL not extended</text>
  </threadedComment>
  <threadedComment ref="AC17" dT="2025-07-23T10:02:32.87" personId="{8254ECE4-4463-4098-BCA1-336D71CAF7DD}" id="{BD5F8F6E-3CB9-465A-8453-A5E77FAAFCE4}">
    <text xml:space="preserve">Deficit of 119ML/yr without desal and BH WUL expires. This equates to 9.2 mil Rand if it must be municipal water.
</text>
  </threadedComment>
  <threadedComment ref="AC17" dT="2025-07-23T10:03:23.62" personId="{8254ECE4-4463-4098-BCA1-336D71CAF7DD}" id="{3CA25E79-9E87-41B4-801F-4B5F9EC1DF2A}" parentId="{BD5F8F6E-3CB9-465A-8453-A5E77FAAFCE4}">
    <text>If the 119ML/yr came from desal instead, this amounts to 1.5mil Rand for the year.</text>
  </threadedComment>
  <threadedComment ref="AC17" dT="2025-07-23T10:04:40.34" personId="{8254ECE4-4463-4098-BCA1-336D71CAF7DD}" id="{646F0649-2A57-4C8A-A9CA-C8A9BE914DC2}" parentId="{BD5F8F6E-3CB9-465A-8453-A5E77FAAFCE4}">
    <text>See below scenario 2 where WUL does not expire in 2040, then they have sufficient alternate water (ground, rain, rec) to supply whole site</text>
  </threadedComment>
  <threadedComment ref="D19" dT="2025-07-07T07:28:34.19" personId="{8254ECE4-4463-4098-BCA1-336D71CAF7DD}" id="{743DAEA8-31A0-45B6-B05F-ADD2622F6929}">
    <text>BH1 WUL not extended</text>
  </threadedComment>
  <threadedComment ref="D73" dT="2025-06-09T13:50:37.92" personId="{8254ECE4-4463-4098-BCA1-336D71CAF7DD}" id="{5AF6BED9-74C3-4FE4-A85B-5B6619ACBEB6}">
    <text>This is based on COD only since all parameters are within permit limits</text>
  </threadedComment>
  <threadedComment ref="D74" dT="2025-06-05T09:26:36.85" personId="{8254ECE4-4463-4098-BCA1-336D71CAF7DD}" id="{F8288A22-EAC3-4749-B30A-DCACEAD7128D}">
    <text>No annual increase assumed currently. Increase would depend on elec tariff, chemical costs, consumables and labour. So this would be a combination of elec and CPI</text>
  </threadedComment>
  <threadedComment ref="D75" dT="2025-05-29T13:32:54.46" personId="{8254ECE4-4463-4098-BCA1-336D71CAF7DD}" id="{A5C9C579-9695-433B-B80A-ED330967FD6C}">
    <text>Get high-level plant summary from doc and ask GPT to estimate OPEX</text>
  </threadedComment>
  <threadedComment ref="D76" dT="2025-06-05T09:23:51.67" personId="{8254ECE4-4463-4098-BCA1-336D71CAF7DD}" id="{237F4695-D9FC-4B21-8923-167925A2E0BB}">
    <text>This is a ChatGPT estimate based on 1m3/h output, 16 hrs/d, 365 days/yr.
I have given it a steam, water and electricity cost to work with. Everything else is an assumption</text>
  </threadedComment>
  <threadedComment ref="D76" dT="2025-06-05T09:24:56.61" personId="{8254ECE4-4463-4098-BCA1-336D71CAF7DD}" id="{51AAE700-E160-4156-8B41-44C8781C34E5}" parentId="{237F4695-D9FC-4B21-8923-167925A2E0BB}">
    <text>8% annual increase</text>
  </threadedComment>
  <threadedComment ref="D77" dT="2025-05-29T13:32:24.33" personId="{8254ECE4-4463-4098-BCA1-336D71CAF7DD}" id="{8CD9B69E-C81E-431D-8B99-E9D0A48B9EA7}">
    <text>Check what Peter shared</text>
  </threadedComment>
  <threadedComment ref="D78" dT="2025-05-29T12:35:42.53" personId="{8254ECE4-4463-4098-BCA1-336D71CAF7DD}" id="{3F497F86-CB08-4F9C-BDEA-F2D74F807276}">
    <text>6.8 - 13.4 R/m3</text>
  </threadedComment>
  <threadedComment ref="D79" dT="2025-05-29T12:35:42.53" personId="{8254ECE4-4463-4098-BCA1-336D71CAF7DD}" id="{F65C02B5-CF4E-4984-A7CA-310301B26267}">
    <text>Based on Sov, scaled for volume</text>
  </threadedComment>
  <threadedComment ref="D80" dT="2025-05-29T12:35:42.53" personId="{8254ECE4-4463-4098-BCA1-336D71CAF7DD}" id="{4908204B-AA5E-4696-87CB-924C64E5A626}">
    <text>Based on Sov, scaled for volume</text>
  </threadedComment>
  <threadedComment ref="D95" dT="2025-07-07T08:19:59.87" personId="{8254ECE4-4463-4098-BCA1-336D71CAF7DD}" id="{5DC0F3C8-EFE6-4866-ABCB-C536BC6DE103}">
    <text>Can get an average volume estimate from the steam bills</text>
  </threadedComment>
  <threadedComment ref="D152" dT="2025-06-17T12:36:26.30" personId="{8254ECE4-4463-4098-BCA1-336D71CAF7DD}" id="{B39EEE81-55FA-47C2-866E-6D6908B7E6B6}">
    <text>Adjusting plant setpoints or replacement rates on consumables due to varying quality of incoming water</text>
  </threadedComment>
  <threadedComment ref="D155" dT="2025-06-12T13:01:43.64" personId="{8254ECE4-4463-4098-BCA1-336D71CAF7DD}" id="{4EEA356A-B42A-4BB0-A771-AA4407532F66}">
    <text>Most basic way to model is: what is sustainable abstraction? Is the site above, at or below this</text>
  </threadedComment>
  <threadedComment ref="D155" dT="2025-07-04T10:59:55.20" personId="{8254ECE4-4463-4098-BCA1-336D71CAF7DD}" id="{6767D335-8304-4BBF-92F7-F54BE4799536}" parentId="{4EEA356A-B42A-4BB0-A771-AA4407532F66}">
    <text xml:space="preserve">But we have insufficient data on this.
Ideally we would also know the anticipated lifespan of the borehole, but the site needs to do analysis yearly for this.
</text>
  </threadedComment>
  <threadedComment ref="D155" dT="2025-07-04T11:00:41.54" personId="{8254ECE4-4463-4098-BCA1-336D71CAF7DD}" id="{3D6E230B-2D19-47F3-920C-CE3F55B1443A}" parentId="{4EEA356A-B42A-4BB0-A771-AA4407532F66}">
    <text xml:space="preserve">For now, we can assume this borehole will last 20 years as per the WUL. This means it would be offline from 2040.
</text>
  </threadedComment>
</ThreadedComments>
</file>

<file path=xl/threadedComments/threadedComment10.xml><?xml version="1.0" encoding="utf-8"?>
<ThreadedComments xmlns="http://schemas.microsoft.com/office/spreadsheetml/2018/threadedcomments" xmlns:x="http://schemas.openxmlformats.org/spreadsheetml/2006/main">
  <threadedComment ref="W10" dT="2025-07-08T09:42:46.54" personId="{8254ECE4-4463-4098-BCA1-336D71CAF7DD}" id="{FC35B6B2-9CF5-41DB-B622-F222D0DA1518}">
    <text>Demand risk</text>
  </threadedComment>
  <threadedComment ref="AB10" dT="2025-07-08T09:42:55.49" personId="{8254ECE4-4463-4098-BCA1-336D71CAF7DD}" id="{97808297-77D6-4C5E-A536-DBCBBC41804D}">
    <text>Availability risk</text>
  </threadedComment>
  <threadedComment ref="D16" dT="2025-07-07T07:28:34.19" personId="{8254ECE4-4463-4098-BCA1-336D71CAF7DD}" id="{27F5434E-1D31-437F-88B5-C95A315E294A}">
    <text>BH1 WUL not extended</text>
  </threadedComment>
  <threadedComment ref="AC17" dT="2025-07-23T10:02:32.87" personId="{8254ECE4-4463-4098-BCA1-336D71CAF7DD}" id="{BF783B1C-FA77-4198-A35D-027A6CFCE84A}">
    <text xml:space="preserve">Deficit of 119ML/yr without desal and BH WUL expires. This equates to 9.2 mil Rand if it must be municipal water.
</text>
  </threadedComment>
  <threadedComment ref="AC17" dT="2025-07-23T10:03:23.62" personId="{8254ECE4-4463-4098-BCA1-336D71CAF7DD}" id="{047C33D5-3FC1-4BF5-8514-8C7CDC7CC63A}" parentId="{BF783B1C-FA77-4198-A35D-027A6CFCE84A}">
    <text>If the 119ML/yr came from desal instead, this amounts to 1.5mil Rand for the year.</text>
  </threadedComment>
  <threadedComment ref="AC17" dT="2025-07-23T10:04:40.34" personId="{8254ECE4-4463-4098-BCA1-336D71CAF7DD}" id="{8E660D4F-2F45-4416-A303-CA9FDC06BBBD}" parentId="{BF783B1C-FA77-4198-A35D-027A6CFCE84A}">
    <text>See below scenario 2 where WUL does not expire in 2040, then they have sufficient alternate water (ground, rain, rec) to supply whole site</text>
  </threadedComment>
  <threadedComment ref="D19" dT="2025-07-07T07:28:34.19" personId="{8254ECE4-4463-4098-BCA1-336D71CAF7DD}" id="{E493FDA3-152C-4E70-B64C-B2D8EC97DEB0}">
    <text>BH1 WUL not extended</text>
  </threadedComment>
  <threadedComment ref="D73" dT="2025-06-09T13:50:37.92" personId="{8254ECE4-4463-4098-BCA1-336D71CAF7DD}" id="{88D9BC7D-1E0E-46BB-8BE6-0621A74B6A84}">
    <text>This is based on COD only since all parameters are within permit limits</text>
  </threadedComment>
  <threadedComment ref="D74" dT="2025-06-05T09:26:36.85" personId="{8254ECE4-4463-4098-BCA1-336D71CAF7DD}" id="{3101D4B6-8D35-4EEC-9372-3FD703E29326}">
    <text>No annual increase assumed currently. Increase would depend on elec tariff, chemical costs, consumables and labour. So this would be a combination of elec and CPI</text>
  </threadedComment>
  <threadedComment ref="D75" dT="2025-05-29T13:32:54.46" personId="{8254ECE4-4463-4098-BCA1-336D71CAF7DD}" id="{90A2253A-26F6-46E2-BC2C-ED56BE342C6B}">
    <text>Get high-level plant summary from doc and ask GPT to estimate OPEX</text>
  </threadedComment>
  <threadedComment ref="D76" dT="2025-06-05T09:23:51.67" personId="{8254ECE4-4463-4098-BCA1-336D71CAF7DD}" id="{2FEE0245-EA4D-4372-8328-26A2550DADD6}">
    <text>This is a ChatGPT estimate based on 1m3/h output, 16 hrs/d, 365 days/yr.
I have given it a steam, water and electricity cost to work with. Everything else is an assumption</text>
  </threadedComment>
  <threadedComment ref="D76" dT="2025-06-05T09:24:56.61" personId="{8254ECE4-4463-4098-BCA1-336D71CAF7DD}" id="{E3D1734B-BEBF-48B6-A0B9-9EAF73E45832}" parentId="{2FEE0245-EA4D-4372-8328-26A2550DADD6}">
    <text>8% annual increase</text>
  </threadedComment>
  <threadedComment ref="D77" dT="2025-05-29T13:32:24.33" personId="{8254ECE4-4463-4098-BCA1-336D71CAF7DD}" id="{55456B62-F36B-4631-826D-08D336FCE770}">
    <text>Check what Peter shared</text>
  </threadedComment>
  <threadedComment ref="D78" dT="2025-05-29T12:35:42.53" personId="{8254ECE4-4463-4098-BCA1-336D71CAF7DD}" id="{1DCE9DDF-8B7C-4951-BAAC-DD1BB68178BC}">
    <text>6.8 - 13.4 R/m3</text>
  </threadedComment>
  <threadedComment ref="D79" dT="2025-05-29T12:35:42.53" personId="{8254ECE4-4463-4098-BCA1-336D71CAF7DD}" id="{005861E1-53CF-4418-82BB-919F0E72C555}">
    <text>Based on Sov, scaled for volume</text>
  </threadedComment>
  <threadedComment ref="D80" dT="2025-05-29T12:35:42.53" personId="{8254ECE4-4463-4098-BCA1-336D71CAF7DD}" id="{3244DD65-49D2-4241-82A8-CB7D9A0C97A0}">
    <text>Based on Sov, scaled for volume</text>
  </threadedComment>
  <threadedComment ref="D95" dT="2025-07-07T08:19:59.87" personId="{8254ECE4-4463-4098-BCA1-336D71CAF7DD}" id="{0B2002C1-FD48-4F7C-8FA6-FF08566389F1}">
    <text>Can get an average volume estimate from the steam bills</text>
  </threadedComment>
  <threadedComment ref="D152" dT="2025-06-17T12:36:26.30" personId="{8254ECE4-4463-4098-BCA1-336D71CAF7DD}" id="{6DF14899-C600-497D-8C0D-81302D963140}">
    <text>Adjusting plant setpoints or replacement rates on consumables due to varying quality of incoming water</text>
  </threadedComment>
  <threadedComment ref="D155" dT="2025-06-12T13:01:43.64" personId="{8254ECE4-4463-4098-BCA1-336D71CAF7DD}" id="{322FB5A8-3A9E-4E8F-B0F2-7868914FA9FD}">
    <text>Most basic way to model is: what is sustainable abstraction? Is the site above, at or below this</text>
  </threadedComment>
  <threadedComment ref="D155" dT="2025-07-04T10:59:55.20" personId="{8254ECE4-4463-4098-BCA1-336D71CAF7DD}" id="{4E8FBB71-7E10-416D-9F0B-FF5A10B9C432}" parentId="{322FB5A8-3A9E-4E8F-B0F2-7868914FA9FD}">
    <text xml:space="preserve">But we have insufficient data on this.
Ideally we would also know the anticipated lifespan of the borehole, but the site needs to do analysis yearly for this.
</text>
  </threadedComment>
  <threadedComment ref="D155" dT="2025-07-04T11:00:41.54" personId="{8254ECE4-4463-4098-BCA1-336D71CAF7DD}" id="{A9BCC413-330B-4419-8A3A-1EDC83CAA3B1}" parentId="{322FB5A8-3A9E-4E8F-B0F2-7868914FA9FD}">
    <text xml:space="preserve">For now, we can assume this borehole will last 20 years as per the WUL. This means it would be offline from 2040.
</text>
  </threadedComment>
</ThreadedComments>
</file>

<file path=xl/threadedComments/threadedComment11.xml><?xml version="1.0" encoding="utf-8"?>
<ThreadedComments xmlns="http://schemas.microsoft.com/office/spreadsheetml/2018/threadedcomments" xmlns:x="http://schemas.openxmlformats.org/spreadsheetml/2006/main">
  <threadedComment ref="W10" dT="2025-07-08T09:42:46.54" personId="{8254ECE4-4463-4098-BCA1-336D71CAF7DD}" id="{3A26CB58-249E-4075-BF14-53A7EF2C6D0A}">
    <text>Demand risk</text>
  </threadedComment>
  <threadedComment ref="AB10" dT="2025-07-08T09:42:55.49" personId="{8254ECE4-4463-4098-BCA1-336D71CAF7DD}" id="{F7A14E71-A548-4CCB-9D99-82CAF3C1D9DF}">
    <text>Availability risk</text>
  </threadedComment>
  <threadedComment ref="D16" dT="2025-07-07T07:28:34.19" personId="{8254ECE4-4463-4098-BCA1-336D71CAF7DD}" id="{48E7806D-0FCA-4F54-B085-B34A7E69A119}">
    <text>BH1 WUL not extended</text>
  </threadedComment>
  <threadedComment ref="AC17" dT="2025-07-23T10:02:32.87" personId="{8254ECE4-4463-4098-BCA1-336D71CAF7DD}" id="{0CB263DF-02FD-42CD-AD26-18ADA4FB91EC}">
    <text xml:space="preserve">Deficit of 119ML/yr without desal and BH WUL expires. This equates to 9.2 mil Rand if it must be municipal water.
</text>
  </threadedComment>
  <threadedComment ref="AC17" dT="2025-07-23T10:03:23.62" personId="{8254ECE4-4463-4098-BCA1-336D71CAF7DD}" id="{F2207C05-13CE-4FEE-96AC-660749F7A973}" parentId="{0CB263DF-02FD-42CD-AD26-18ADA4FB91EC}">
    <text>If the 119ML/yr came from desal instead, this amounts to 1.5mil Rand for the year.</text>
  </threadedComment>
  <threadedComment ref="AC17" dT="2025-07-23T10:04:40.34" personId="{8254ECE4-4463-4098-BCA1-336D71CAF7DD}" id="{A51E8EBB-548C-49C5-A18C-DDDA85703C68}" parentId="{0CB263DF-02FD-42CD-AD26-18ADA4FB91EC}">
    <text>See below scenario 2 where WUL does not expire in 2040, then they have sufficient alternate water (ground, rain, rec) to supply whole site</text>
  </threadedComment>
  <threadedComment ref="D19" dT="2025-07-07T07:28:34.19" personId="{8254ECE4-4463-4098-BCA1-336D71CAF7DD}" id="{4FEB79B0-DDF1-4F7F-BECB-C596FEDFB62B}">
    <text>BH1 WUL not extended</text>
  </threadedComment>
  <threadedComment ref="D73" dT="2025-06-09T13:50:37.92" personId="{8254ECE4-4463-4098-BCA1-336D71CAF7DD}" id="{8A7EEF97-54EF-4B10-B507-8FD9C173E58F}">
    <text>This is based on COD only since all parameters are within permit limits</text>
  </threadedComment>
  <threadedComment ref="D74" dT="2025-06-05T09:26:36.85" personId="{8254ECE4-4463-4098-BCA1-336D71CAF7DD}" id="{2214EB60-B931-4E85-8B69-BCA59C052360}">
    <text>No annual increase assumed currently. Increase would depend on elec tariff, chemical costs, consumables and labour. So this would be a combination of elec and CPI</text>
  </threadedComment>
  <threadedComment ref="D75" dT="2025-05-29T13:32:54.46" personId="{8254ECE4-4463-4098-BCA1-336D71CAF7DD}" id="{BF711438-9999-46C6-A3A3-0A2F0F623CBE}">
    <text>Get high-level plant summary from doc and ask GPT to estimate OPEX</text>
  </threadedComment>
  <threadedComment ref="D76" dT="2025-06-05T09:23:51.67" personId="{8254ECE4-4463-4098-BCA1-336D71CAF7DD}" id="{A36D44C3-C042-4FB5-BF06-6A5FE0D3AB82}">
    <text>This is a ChatGPT estimate based on 1m3/h output, 16 hrs/d, 365 days/yr.
I have given it a steam, water and electricity cost to work with. Everything else is an assumption</text>
  </threadedComment>
  <threadedComment ref="D76" dT="2025-06-05T09:24:56.61" personId="{8254ECE4-4463-4098-BCA1-336D71CAF7DD}" id="{6202B0A5-8692-4EBA-B074-DC11EDA0E77D}" parentId="{A36D44C3-C042-4FB5-BF06-6A5FE0D3AB82}">
    <text>8% annual increase</text>
  </threadedComment>
  <threadedComment ref="D77" dT="2025-05-29T13:32:24.33" personId="{8254ECE4-4463-4098-BCA1-336D71CAF7DD}" id="{8D8EB421-0F5D-4C9E-8283-16156E7C1EF7}">
    <text>Check what Peter shared</text>
  </threadedComment>
  <threadedComment ref="D78" dT="2025-05-29T12:35:42.53" personId="{8254ECE4-4463-4098-BCA1-336D71CAF7DD}" id="{C4D43483-8900-4970-8A6B-B0B5DF1E89B4}">
    <text>6.8 - 13.4 R/m3</text>
  </threadedComment>
  <threadedComment ref="D79" dT="2025-05-29T12:35:42.53" personId="{8254ECE4-4463-4098-BCA1-336D71CAF7DD}" id="{1548C28F-B82C-4E86-805D-0AB5C8EA9FDC}">
    <text>Based on Sov, scaled for volume</text>
  </threadedComment>
  <threadedComment ref="D80" dT="2025-05-29T12:35:42.53" personId="{8254ECE4-4463-4098-BCA1-336D71CAF7DD}" id="{5EFBF536-B171-4F68-BD46-7EBA64168BBE}">
    <text>Based on Sov, scaled for volume</text>
  </threadedComment>
  <threadedComment ref="D95" dT="2025-07-07T08:19:59.87" personId="{8254ECE4-4463-4098-BCA1-336D71CAF7DD}" id="{ECD2C8A2-3788-4697-85CF-A258B0CF0289}">
    <text>Can get an average volume estimate from the steam bills</text>
  </threadedComment>
  <threadedComment ref="D152" dT="2025-06-17T12:36:26.30" personId="{8254ECE4-4463-4098-BCA1-336D71CAF7DD}" id="{254E6094-29C7-4DC4-8B3E-55C4E565815D}">
    <text>Adjusting plant setpoints or replacement rates on consumables due to varying quality of incoming water</text>
  </threadedComment>
  <threadedComment ref="D155" dT="2025-06-12T13:01:43.64" personId="{8254ECE4-4463-4098-BCA1-336D71CAF7DD}" id="{C0308916-7111-44EF-8D0F-3E6EDB4B2CF4}">
    <text>Most basic way to model is: what is sustainable abstraction? Is the site above, at or below this</text>
  </threadedComment>
  <threadedComment ref="D155" dT="2025-07-04T10:59:55.20" personId="{8254ECE4-4463-4098-BCA1-336D71CAF7DD}" id="{81BCCDE7-DFE2-4397-AA10-3DFB4771F58D}" parentId="{C0308916-7111-44EF-8D0F-3E6EDB4B2CF4}">
    <text xml:space="preserve">But we have insufficient data on this.
Ideally we would also know the anticipated lifespan of the borehole, but the site needs to do analysis yearly for this.
</text>
  </threadedComment>
  <threadedComment ref="D155" dT="2025-07-04T11:00:41.54" personId="{8254ECE4-4463-4098-BCA1-336D71CAF7DD}" id="{27FF11E2-91BB-4A2D-9C33-3BB7F9AB65BA}" parentId="{C0308916-7111-44EF-8D0F-3E6EDB4B2CF4}">
    <text xml:space="preserve">For now, we can assume this borehole will last 20 years as per the WUL. This means it would be offline from 2040.
</text>
  </threadedComment>
</ThreadedComments>
</file>

<file path=xl/threadedComments/threadedComment12.xml><?xml version="1.0" encoding="utf-8"?>
<ThreadedComments xmlns="http://schemas.microsoft.com/office/spreadsheetml/2018/threadedcomments" xmlns:x="http://schemas.openxmlformats.org/spreadsheetml/2006/main">
  <threadedComment ref="W10" dT="2025-07-08T09:42:46.54" personId="{8254ECE4-4463-4098-BCA1-336D71CAF7DD}" id="{AB2A11C6-47CC-41FF-9A31-1F9FCF5F6637}">
    <text>Demand risk</text>
  </threadedComment>
  <threadedComment ref="AB10" dT="2025-07-08T09:42:55.49" personId="{8254ECE4-4463-4098-BCA1-336D71CAF7DD}" id="{9936EA8A-C9AF-4B72-AED9-2A46D771B696}">
    <text>Availability risk</text>
  </threadedComment>
  <threadedComment ref="D16" dT="2025-07-07T07:28:34.19" personId="{8254ECE4-4463-4098-BCA1-336D71CAF7DD}" id="{4699FAE8-71F7-4C86-AC59-CC6F9268C0EF}">
    <text>BH1 WUL not extended</text>
  </threadedComment>
  <threadedComment ref="AC17" dT="2025-07-23T10:02:32.87" personId="{8254ECE4-4463-4098-BCA1-336D71CAF7DD}" id="{DEA091B4-70BA-4611-84BB-5DE55F57F4D5}">
    <text xml:space="preserve">Deficit of 119ML/yr without desal and BH WUL expires. This equates to 9.2 mil Rand if it must be municipal water.
</text>
  </threadedComment>
  <threadedComment ref="AC17" dT="2025-07-23T10:03:23.62" personId="{8254ECE4-4463-4098-BCA1-336D71CAF7DD}" id="{37C2CE25-FD52-4EA5-BA34-FCB33D5C9616}" parentId="{DEA091B4-70BA-4611-84BB-5DE55F57F4D5}">
    <text>If the 119ML/yr came from desal instead, this amounts to 1.5mil Rand for the year.</text>
  </threadedComment>
  <threadedComment ref="AC17" dT="2025-07-23T10:04:40.34" personId="{8254ECE4-4463-4098-BCA1-336D71CAF7DD}" id="{3F8EF55D-04E6-4270-B0D4-BF4C53B18F00}" parentId="{DEA091B4-70BA-4611-84BB-5DE55F57F4D5}">
    <text>See below scenario 2 where WUL does not expire in 2040, then they have sufficient alternate water (ground, rain, rec) to supply whole site</text>
  </threadedComment>
  <threadedComment ref="D19" dT="2025-07-07T07:28:34.19" personId="{8254ECE4-4463-4098-BCA1-336D71CAF7DD}" id="{4355BA73-8FC1-468E-939C-5572BC8EE45A}">
    <text>BH1 WUL not extended</text>
  </threadedComment>
  <threadedComment ref="D73" dT="2025-06-09T13:50:37.92" personId="{8254ECE4-4463-4098-BCA1-336D71CAF7DD}" id="{3D395A95-C688-4B3B-AB0A-0B897E82BB63}">
    <text>This is based on COD only since all parameters are within permit limits</text>
  </threadedComment>
  <threadedComment ref="D74" dT="2025-06-05T09:26:36.85" personId="{8254ECE4-4463-4098-BCA1-336D71CAF7DD}" id="{F34D2FDD-A865-4CB3-9D2C-9A7F1C808354}">
    <text>No annual increase assumed currently. Increase would depend on elec tariff, chemical costs, consumables and labour. So this would be a combination of elec and CPI</text>
  </threadedComment>
  <threadedComment ref="D75" dT="2025-05-29T13:32:54.46" personId="{8254ECE4-4463-4098-BCA1-336D71CAF7DD}" id="{4A770335-71DF-433C-B000-FC2954E78C98}">
    <text>Get high-level plant summary from doc and ask GPT to estimate OPEX</text>
  </threadedComment>
  <threadedComment ref="D76" dT="2025-06-05T09:23:51.67" personId="{8254ECE4-4463-4098-BCA1-336D71CAF7DD}" id="{70AAA196-CB28-4631-A4CD-D3338C6FC8B2}">
    <text>This is a ChatGPT estimate based on 1m3/h output, 16 hrs/d, 365 days/yr.
I have given it a steam, water and electricity cost to work with. Everything else is an assumption</text>
  </threadedComment>
  <threadedComment ref="D76" dT="2025-06-05T09:24:56.61" personId="{8254ECE4-4463-4098-BCA1-336D71CAF7DD}" id="{AC0D7726-1948-447E-AA3A-45B75F173A9C}" parentId="{70AAA196-CB28-4631-A4CD-D3338C6FC8B2}">
    <text>8% annual increase</text>
  </threadedComment>
  <threadedComment ref="D77" dT="2025-05-29T13:32:24.33" personId="{8254ECE4-4463-4098-BCA1-336D71CAF7DD}" id="{61D0627A-6CC7-4BA1-824C-96877149FC22}">
    <text>Check what Peter shared</text>
  </threadedComment>
  <threadedComment ref="D78" dT="2025-05-29T12:35:42.53" personId="{8254ECE4-4463-4098-BCA1-336D71CAF7DD}" id="{212F0808-1BD2-4CC2-9B4E-A386556EA415}">
    <text>6.8 - 13.4 R/m3</text>
  </threadedComment>
  <threadedComment ref="D79" dT="2025-05-29T12:35:42.53" personId="{8254ECE4-4463-4098-BCA1-336D71CAF7DD}" id="{3C5598EC-B1A2-4C82-9A27-7767F4FD3EEE}">
    <text>Based on Sov, scaled for volume</text>
  </threadedComment>
  <threadedComment ref="D80" dT="2025-05-29T12:35:42.53" personId="{8254ECE4-4463-4098-BCA1-336D71CAF7DD}" id="{63CB9344-1FF0-40F5-8C08-B79CE25D77BA}">
    <text>Based on Sov, scaled for volume</text>
  </threadedComment>
  <threadedComment ref="D95" dT="2025-07-07T08:19:59.87" personId="{8254ECE4-4463-4098-BCA1-336D71CAF7DD}" id="{03DFE0C4-730C-4D66-A092-409379154BE5}">
    <text>Can get an average volume estimate from the steam bills</text>
  </threadedComment>
  <threadedComment ref="D152" dT="2025-06-17T12:36:26.30" personId="{8254ECE4-4463-4098-BCA1-336D71CAF7DD}" id="{4C6E0C42-623C-4FF6-9002-BAA2B5022C6B}">
    <text>Adjusting plant setpoints or replacement rates on consumables due to varying quality of incoming water</text>
  </threadedComment>
  <threadedComment ref="D155" dT="2025-06-12T13:01:43.64" personId="{8254ECE4-4463-4098-BCA1-336D71CAF7DD}" id="{80F16522-3FA7-422C-8F5E-565F802FA466}">
    <text>Most basic way to model is: what is sustainable abstraction? Is the site above, at or below this</text>
  </threadedComment>
  <threadedComment ref="D155" dT="2025-07-04T10:59:55.20" personId="{8254ECE4-4463-4098-BCA1-336D71CAF7DD}" id="{4AA01F85-EEB1-4403-9548-9ABA28896E86}" parentId="{80F16522-3FA7-422C-8F5E-565F802FA466}">
    <text xml:space="preserve">But we have insufficient data on this.
Ideally we would also know the anticipated lifespan of the borehole, but the site needs to do analysis yearly for this.
</text>
  </threadedComment>
  <threadedComment ref="D155" dT="2025-07-04T11:00:41.54" personId="{8254ECE4-4463-4098-BCA1-336D71CAF7DD}" id="{C53730EF-C3A6-4784-9FA9-B46C4D8D8126}" parentId="{80F16522-3FA7-422C-8F5E-565F802FA466}">
    <text xml:space="preserve">For now, we can assume this borehole will last 20 years as per the WUL. This means it would be offline from 2040.
</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microsoft.com/office/2017/10/relationships/threadedComment" Target="../threadedComments/threadedComment8.xml"/><Relationship Id="rId4"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microsoft.com/office/2017/10/relationships/threadedComment" Target="../threadedComments/threadedComment9.xml"/><Relationship Id="rId4" Type="http://schemas.openxmlformats.org/officeDocument/2006/relationships/comments" Target="../comments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microsoft.com/office/2017/10/relationships/threadedComment" Target="../threadedComments/threadedComment10.xml"/><Relationship Id="rId4" Type="http://schemas.openxmlformats.org/officeDocument/2006/relationships/comments" Target="../comments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microsoft.com/office/2017/10/relationships/threadedComment" Target="../threadedComments/threadedComment11.xml"/><Relationship Id="rId4" Type="http://schemas.openxmlformats.org/officeDocument/2006/relationships/comments" Target="../comments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microsoft.com/office/2017/10/relationships/threadedComment" Target="../threadedComments/threadedComment12.xml"/><Relationship Id="rId4" Type="http://schemas.openxmlformats.org/officeDocument/2006/relationships/comments" Target="../comments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69F6F-C2C1-4E94-8BDE-5469DAB6D4B5}">
  <dimension ref="B5:Q22"/>
  <sheetViews>
    <sheetView topLeftCell="A11" workbookViewId="0"/>
  </sheetViews>
  <sheetFormatPr defaultColWidth="8.85546875" defaultRowHeight="15"/>
  <cols>
    <col min="1" max="3" width="8.85546875" style="55"/>
    <col min="4" max="4" width="12.140625" style="55" customWidth="1"/>
    <col min="5" max="5" width="42.42578125" style="55" bestFit="1" customWidth="1"/>
    <col min="6" max="16384" width="8.85546875" style="55"/>
  </cols>
  <sheetData>
    <row r="5" spans="2:17">
      <c r="E5" s="55" t="s">
        <v>163</v>
      </c>
      <c r="J5" s="55" t="s">
        <v>164</v>
      </c>
      <c r="P5" s="55" t="s">
        <v>165</v>
      </c>
      <c r="Q5" s="55" t="s">
        <v>166</v>
      </c>
    </row>
    <row r="6" spans="2:17">
      <c r="B6" s="55" t="s">
        <v>167</v>
      </c>
    </row>
    <row r="7" spans="2:17">
      <c r="B7" s="55" t="s">
        <v>168</v>
      </c>
      <c r="D7" s="55" t="s">
        <v>99</v>
      </c>
      <c r="E7" s="55" t="s">
        <v>21</v>
      </c>
      <c r="F7" s="56" t="s">
        <v>169</v>
      </c>
    </row>
    <row r="8" spans="2:17">
      <c r="B8" s="55" t="s">
        <v>170</v>
      </c>
      <c r="D8" s="55" t="s">
        <v>99</v>
      </c>
      <c r="E8" s="55" t="s">
        <v>105</v>
      </c>
      <c r="F8" s="55" t="s">
        <v>106</v>
      </c>
    </row>
    <row r="9" spans="2:17">
      <c r="B9" s="55" t="s">
        <v>171</v>
      </c>
      <c r="D9" s="55" t="s">
        <v>99</v>
      </c>
      <c r="E9" s="55" t="s">
        <v>100</v>
      </c>
      <c r="F9" s="55" t="s">
        <v>101</v>
      </c>
      <c r="P9" s="55" t="s">
        <v>172</v>
      </c>
    </row>
    <row r="10" spans="2:17">
      <c r="B10" s="55" t="s">
        <v>173</v>
      </c>
      <c r="D10" s="55" t="s">
        <v>99</v>
      </c>
      <c r="E10" s="55" t="s">
        <v>102</v>
      </c>
      <c r="F10" s="55" t="s">
        <v>174</v>
      </c>
    </row>
    <row r="11" spans="2:17">
      <c r="B11" s="55" t="s">
        <v>175</v>
      </c>
      <c r="D11" s="55" t="s">
        <v>99</v>
      </c>
      <c r="E11" s="55" t="s">
        <v>107</v>
      </c>
      <c r="F11" s="55" t="s">
        <v>108</v>
      </c>
      <c r="P11" s="55" t="s">
        <v>176</v>
      </c>
    </row>
    <row r="13" spans="2:17">
      <c r="P13" s="55" t="s">
        <v>177</v>
      </c>
    </row>
    <row r="15" spans="2:17">
      <c r="D15" s="55" t="s">
        <v>143</v>
      </c>
      <c r="E15" s="55" t="s">
        <v>178</v>
      </c>
    </row>
    <row r="16" spans="2:17">
      <c r="D16" s="55" t="s">
        <v>143</v>
      </c>
      <c r="E16" s="55" t="s">
        <v>179</v>
      </c>
    </row>
    <row r="17" spans="4:5">
      <c r="D17" s="55" t="s">
        <v>143</v>
      </c>
      <c r="E17" s="55" t="s">
        <v>180</v>
      </c>
    </row>
    <row r="18" spans="4:5">
      <c r="D18" s="55" t="s">
        <v>115</v>
      </c>
      <c r="E18" s="55" t="s">
        <v>181</v>
      </c>
    </row>
    <row r="19" spans="4:5">
      <c r="D19" s="55" t="s">
        <v>143</v>
      </c>
      <c r="E19" s="55" t="s">
        <v>182</v>
      </c>
    </row>
    <row r="20" spans="4:5">
      <c r="D20" s="55" t="s">
        <v>183</v>
      </c>
      <c r="E20" s="55" t="s">
        <v>184</v>
      </c>
    </row>
    <row r="21" spans="4:5">
      <c r="D21" s="55" t="s">
        <v>109</v>
      </c>
      <c r="E21" s="55" t="s">
        <v>185</v>
      </c>
    </row>
    <row r="22" spans="4:5">
      <c r="D22" s="55" t="s">
        <v>186</v>
      </c>
      <c r="E22" s="55" t="s">
        <v>187</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DFBD6-0E26-4D30-8DD5-BF415A970F04}">
  <sheetPr codeName="Sheet18">
    <tabColor theme="0" tint="-0.14999847407452621"/>
  </sheetPr>
  <dimension ref="A1:AA3"/>
  <sheetViews>
    <sheetView workbookViewId="0"/>
  </sheetViews>
  <sheetFormatPr defaultColWidth="9.140625" defaultRowHeight="12.75"/>
  <cols>
    <col min="1" max="3" width="2.140625" customWidth="1"/>
    <col min="4" max="4" width="30" customWidth="1"/>
    <col min="5" max="5" width="13.5703125" customWidth="1"/>
    <col min="6" max="6" width="13.28515625" customWidth="1"/>
    <col min="7" max="26" width="15.28515625" customWidth="1"/>
    <col min="27" max="27" width="2.28515625" customWidth="1"/>
    <col min="57" max="57" width="1.28515625" customWidth="1"/>
    <col min="58" max="58" width="0.7109375" customWidth="1"/>
    <col min="59" max="59" width="1.28515625" customWidth="1"/>
    <col min="61" max="70" width="14" customWidth="1"/>
    <col min="71" max="71" width="16.28515625" customWidth="1"/>
  </cols>
  <sheetData>
    <row r="1" spans="1:27" ht="23.25">
      <c r="A1" s="30" t="s">
        <v>91</v>
      </c>
      <c r="B1" s="30"/>
      <c r="C1" s="30"/>
      <c r="D1" s="30"/>
      <c r="E1" s="30"/>
      <c r="F1" s="30"/>
      <c r="G1" s="30"/>
      <c r="H1" s="30"/>
      <c r="I1" s="30"/>
      <c r="J1" s="30"/>
      <c r="K1" s="30"/>
      <c r="L1" s="30"/>
      <c r="M1" s="30"/>
      <c r="N1" s="30"/>
      <c r="O1" s="30"/>
      <c r="P1" s="30"/>
      <c r="Q1" s="30"/>
      <c r="R1" s="30"/>
      <c r="S1" s="30"/>
      <c r="T1" s="30"/>
      <c r="U1" s="30"/>
      <c r="V1" s="30"/>
      <c r="W1" s="30"/>
      <c r="X1" s="30"/>
      <c r="Y1" s="30"/>
      <c r="Z1" s="30"/>
      <c r="AA1" s="30"/>
    </row>
    <row r="2" spans="1:27" ht="15.75">
      <c r="A2" s="17" t="str">
        <f>Name_Model</f>
        <v>Aspen PE</v>
      </c>
      <c r="B2" s="17"/>
      <c r="C2" s="17"/>
      <c r="D2" s="17"/>
      <c r="E2" s="17"/>
      <c r="F2" s="17"/>
      <c r="G2" s="17"/>
      <c r="H2" s="17"/>
      <c r="I2" s="17"/>
      <c r="J2" s="17"/>
      <c r="K2" s="17"/>
      <c r="L2" s="17"/>
      <c r="M2" s="17"/>
      <c r="N2" s="17"/>
      <c r="O2" s="17"/>
      <c r="P2" s="17"/>
      <c r="Q2" s="17"/>
      <c r="R2" s="17"/>
      <c r="S2" s="17"/>
      <c r="T2" s="17"/>
      <c r="U2" s="17"/>
      <c r="V2" s="17"/>
      <c r="W2" s="17"/>
      <c r="X2" s="17"/>
      <c r="Y2" s="17"/>
      <c r="Z2" s="17"/>
      <c r="AA2" s="17"/>
    </row>
    <row r="3" spans="1:27" ht="15.75">
      <c r="D3" s="45"/>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theme="1"/>
    <pageSetUpPr fitToPage="1"/>
  </sheetPr>
  <dimension ref="A1:M36"/>
  <sheetViews>
    <sheetView workbookViewId="0"/>
  </sheetViews>
  <sheetFormatPr defaultColWidth="0" defaultRowHeight="12.75" customHeight="1" zeroHeight="1"/>
  <cols>
    <col min="1" max="1" width="2.28515625" customWidth="1"/>
    <col min="2" max="2" width="8.85546875" customWidth="1"/>
    <col min="3" max="3" width="10.28515625" customWidth="1"/>
    <col min="4" max="4" width="7.28515625" customWidth="1"/>
    <col min="5" max="11" width="8.85546875" customWidth="1"/>
    <col min="12" max="12" width="4.85546875" customWidth="1"/>
    <col min="13" max="13" width="10" hidden="1" customWidth="1"/>
    <col min="14" max="16384" width="8.28515625" hidden="1"/>
  </cols>
  <sheetData>
    <row r="1" ht="1.5" customHeight="1"/>
    <row r="2"/>
    <row r="3"/>
    <row r="4"/>
    <row r="5"/>
    <row r="6"/>
    <row r="7"/>
    <row r="8"/>
    <row r="9"/>
    <row r="10"/>
    <row r="11"/>
    <row r="12"/>
    <row r="13"/>
    <row r="14"/>
    <row r="15"/>
    <row r="16"/>
    <row r="17"/>
    <row r="18"/>
    <row r="19"/>
    <row r="20"/>
    <row r="21"/>
    <row r="22"/>
    <row r="23"/>
    <row r="24"/>
    <row r="25"/>
    <row r="26"/>
    <row r="27"/>
    <row r="28"/>
    <row r="29"/>
    <row r="30"/>
    <row r="31"/>
    <row r="32"/>
    <row r="33"/>
    <row r="34"/>
    <row r="35"/>
    <row r="36"/>
  </sheetData>
  <sheetProtection formatCells="0" formatColumns="0" formatRows="0"/>
  <pageMargins left="0.7"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9328B-3EE1-4C9E-9EA9-245260B44F19}">
  <sheetPr codeName="Sheet14">
    <tabColor rgb="FF00B0F0"/>
  </sheetPr>
  <dimension ref="A1:XFC33"/>
  <sheetViews>
    <sheetView workbookViewId="0"/>
  </sheetViews>
  <sheetFormatPr defaultColWidth="0" defaultRowHeight="12.75" customHeight="1" zeroHeight="1"/>
  <cols>
    <col min="1" max="2" width="1.7109375" customWidth="1"/>
    <col min="3" max="3" width="24.7109375" customWidth="1"/>
    <col min="4" max="4" width="80.85546875" bestFit="1" customWidth="1"/>
    <col min="5" max="5" width="12.85546875" customWidth="1"/>
    <col min="6" max="6" width="9.140625" customWidth="1"/>
    <col min="7" max="16383" width="9.140625" hidden="1"/>
    <col min="16384" max="16384" width="4.5703125" hidden="1"/>
  </cols>
  <sheetData>
    <row r="1" spans="1:7" ht="23.25">
      <c r="A1" s="11" t="s">
        <v>13</v>
      </c>
      <c r="B1" s="5"/>
      <c r="C1" s="5"/>
      <c r="D1" s="5"/>
      <c r="E1" s="5"/>
      <c r="F1" s="5"/>
      <c r="G1" s="5"/>
    </row>
    <row r="2" spans="1:7" ht="23.25">
      <c r="A2" s="21"/>
      <c r="C2" s="15" t="s">
        <v>90</v>
      </c>
    </row>
    <row r="3" spans="1:7" ht="23.25">
      <c r="A3" s="21"/>
    </row>
    <row r="4" spans="1:7" ht="23.25">
      <c r="A4" s="21"/>
      <c r="C4" s="14" t="s">
        <v>23</v>
      </c>
      <c r="D4" s="14" t="s">
        <v>86</v>
      </c>
    </row>
    <row r="5" spans="1:7"/>
    <row r="6" spans="1:7"/>
    <row r="7" spans="1:7"/>
    <row r="8" spans="1:7"/>
    <row r="9" spans="1:7"/>
    <row r="10" spans="1:7">
      <c r="C10" s="43"/>
    </row>
    <row r="11" spans="1:7">
      <c r="C11" s="7"/>
      <c r="D11" s="42"/>
    </row>
    <row r="12" spans="1:7">
      <c r="C12" s="7"/>
    </row>
    <row r="13" spans="1:7"/>
    <row r="14" spans="1:7"/>
    <row r="15" spans="1:7"/>
    <row r="16" spans="1:7"/>
    <row r="17" spans="4:4"/>
    <row r="18" spans="4:4"/>
    <row r="19" spans="4:4"/>
    <row r="20" spans="4:4"/>
    <row r="21" spans="4:4"/>
    <row r="22" spans="4:4"/>
    <row r="23" spans="4:4"/>
    <row r="24" spans="4:4"/>
    <row r="25" spans="4:4"/>
    <row r="26" spans="4:4"/>
    <row r="27" spans="4:4"/>
    <row r="28" spans="4:4"/>
    <row r="29" spans="4:4"/>
    <row r="30" spans="4:4">
      <c r="D30" s="16"/>
    </row>
    <row r="31" spans="4:4"/>
    <row r="32" spans="4:4"/>
    <row r="33"/>
  </sheetData>
  <pageMargins left="0.75" right="0.75" top="1" bottom="1" header="0.5" footer="0.5"/>
  <pageSetup paperSize="9" orientation="portrait" horizontalDpi="1200" verticalDpi="1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rgb="FF00B0F0"/>
  </sheetPr>
  <dimension ref="A1:Q47"/>
  <sheetViews>
    <sheetView workbookViewId="0"/>
  </sheetViews>
  <sheetFormatPr defaultColWidth="0" defaultRowHeight="0" customHeight="1" zeroHeight="1"/>
  <cols>
    <col min="1" max="2" width="3.7109375" customWidth="1"/>
    <col min="3" max="3" width="16" customWidth="1"/>
    <col min="4" max="4" width="3.5703125" customWidth="1"/>
    <col min="5" max="5" width="10.85546875" customWidth="1"/>
    <col min="6" max="6" width="3.5703125" customWidth="1"/>
    <col min="7" max="17" width="9.140625" customWidth="1"/>
    <col min="18" max="16384" width="10.28515625" hidden="1"/>
  </cols>
  <sheetData>
    <row r="1" spans="3:16" ht="12.75"/>
    <row r="2" spans="3:16" ht="18">
      <c r="C2" s="15" t="s">
        <v>24</v>
      </c>
    </row>
    <row r="3" spans="3:16" ht="12.75"/>
    <row r="4" spans="3:16" ht="12.75"/>
    <row r="5" spans="3:16" ht="12.75"/>
    <row r="6" spans="3:16" ht="15.75" thickBot="1">
      <c r="C6" s="24" t="s">
        <v>25</v>
      </c>
      <c r="D6" s="25"/>
      <c r="E6" s="24" t="s">
        <v>26</v>
      </c>
      <c r="F6" s="25"/>
      <c r="G6" s="24" t="s">
        <v>27</v>
      </c>
      <c r="H6" s="25"/>
      <c r="I6" s="25"/>
      <c r="J6" s="25"/>
      <c r="K6" s="25"/>
      <c r="L6" s="25"/>
      <c r="M6" s="25"/>
      <c r="N6" s="25"/>
      <c r="O6" s="25"/>
      <c r="P6" s="25"/>
    </row>
    <row r="7" spans="3:16" ht="12.75"/>
    <row r="8" spans="3:16" ht="18">
      <c r="C8" t="s">
        <v>4</v>
      </c>
      <c r="E8" s="15" t="s">
        <v>4</v>
      </c>
    </row>
    <row r="9" spans="3:16" ht="12.75"/>
    <row r="10" spans="3:16" ht="15">
      <c r="C10" t="s">
        <v>5</v>
      </c>
      <c r="E10" s="4" t="s">
        <v>5</v>
      </c>
    </row>
    <row r="11" spans="3:16" ht="12.75"/>
    <row r="12" spans="3:16" ht="12.75">
      <c r="C12" t="s">
        <v>6</v>
      </c>
      <c r="E12" s="3" t="s">
        <v>6</v>
      </c>
    </row>
    <row r="13" spans="3:16" ht="12.75"/>
    <row r="14" spans="3:16" ht="14.25">
      <c r="C14" t="s">
        <v>14</v>
      </c>
      <c r="E14" s="2">
        <v>100</v>
      </c>
      <c r="G14" s="27" t="s">
        <v>28</v>
      </c>
    </row>
    <row r="15" spans="3:16" ht="12.75"/>
    <row r="16" spans="3:16" ht="14.25">
      <c r="C16" t="s">
        <v>29</v>
      </c>
      <c r="E16" s="29">
        <v>100</v>
      </c>
      <c r="G16" s="27" t="s">
        <v>30</v>
      </c>
    </row>
    <row r="17" spans="3:7" ht="12.75"/>
    <row r="18" spans="3:7" ht="14.25">
      <c r="C18" t="s">
        <v>11</v>
      </c>
      <c r="E18" s="31"/>
      <c r="G18" s="27" t="s">
        <v>31</v>
      </c>
    </row>
    <row r="19" spans="3:7" ht="14.25">
      <c r="G19" s="28"/>
    </row>
    <row r="20" spans="3:7" ht="14.25">
      <c r="C20" t="s">
        <v>32</v>
      </c>
      <c r="E20" s="22">
        <v>100</v>
      </c>
      <c r="G20" s="27" t="s">
        <v>33</v>
      </c>
    </row>
    <row r="21" spans="3:7" ht="14.25">
      <c r="G21" s="28"/>
    </row>
    <row r="22" spans="3:7" ht="14.25">
      <c r="C22" t="s">
        <v>34</v>
      </c>
      <c r="E22" s="6">
        <v>100</v>
      </c>
      <c r="G22" s="27" t="s">
        <v>35</v>
      </c>
    </row>
    <row r="23" spans="3:7" ht="14.25">
      <c r="G23" s="28"/>
    </row>
    <row r="24" spans="3:7" ht="14.25">
      <c r="C24" t="s">
        <v>36</v>
      </c>
      <c r="E24" s="23">
        <v>100</v>
      </c>
      <c r="G24" s="27" t="s">
        <v>37</v>
      </c>
    </row>
    <row r="25" spans="3:7" ht="14.25">
      <c r="G25" s="28"/>
    </row>
    <row r="26" spans="3:7" ht="14.25">
      <c r="C26" t="s">
        <v>10</v>
      </c>
      <c r="E26" s="20">
        <v>100</v>
      </c>
      <c r="G26" s="27" t="s">
        <v>38</v>
      </c>
    </row>
    <row r="27" spans="3:7" ht="14.25">
      <c r="G27" s="28"/>
    </row>
    <row r="28" spans="3:7" ht="14.25">
      <c r="C28" t="s">
        <v>39</v>
      </c>
      <c r="E28" s="16" t="s">
        <v>82</v>
      </c>
      <c r="G28" s="27" t="s">
        <v>40</v>
      </c>
    </row>
    <row r="29" spans="3:7" ht="14.25">
      <c r="G29" s="28"/>
    </row>
    <row r="30" spans="3:7" ht="14.25">
      <c r="C30" t="s">
        <v>7</v>
      </c>
      <c r="E30" s="13">
        <v>100</v>
      </c>
      <c r="G30" s="27" t="s">
        <v>41</v>
      </c>
    </row>
    <row r="31" spans="3:7" ht="14.25">
      <c r="G31" s="28"/>
    </row>
    <row r="32" spans="3:7" ht="14.25">
      <c r="C32" t="s">
        <v>42</v>
      </c>
      <c r="E32" s="18" t="s">
        <v>43</v>
      </c>
      <c r="G32" s="27" t="s">
        <v>44</v>
      </c>
    </row>
    <row r="33" spans="3:7" ht="14.25">
      <c r="G33" s="28"/>
    </row>
    <row r="34" spans="3:7" ht="14.25">
      <c r="C34" t="s">
        <v>45</v>
      </c>
      <c r="E34" s="8">
        <v>1</v>
      </c>
      <c r="G34" s="27" t="s">
        <v>46</v>
      </c>
    </row>
    <row r="35" spans="3:7" ht="14.25">
      <c r="E35" s="26"/>
      <c r="G35" s="27"/>
    </row>
    <row r="36" spans="3:7" ht="15" thickBot="1">
      <c r="C36" t="s">
        <v>9</v>
      </c>
      <c r="E36" s="35">
        <v>100</v>
      </c>
      <c r="G36" s="27" t="s">
        <v>47</v>
      </c>
    </row>
    <row r="37" spans="3:7" ht="13.5" thickTop="1"/>
    <row r="38" spans="3:7" ht="12.75"/>
    <row r="39" spans="3:7" ht="12.75"/>
    <row r="40" spans="3:7" ht="12.75"/>
    <row r="41" spans="3:7" ht="12.75"/>
    <row r="42" spans="3:7" ht="12.75"/>
    <row r="43" spans="3:7" ht="12.75"/>
    <row r="44" spans="3:7" ht="12.75"/>
    <row r="45" spans="3:7" ht="14.25" hidden="1" customHeight="1"/>
    <row r="46" spans="3:7" ht="14.25" hidden="1" customHeight="1"/>
    <row r="47" spans="3:7" ht="14.25" hidden="1" customHeigh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rgb="FF00B0F0"/>
  </sheetPr>
  <dimension ref="A1:XFC37"/>
  <sheetViews>
    <sheetView workbookViewId="0"/>
  </sheetViews>
  <sheetFormatPr defaultColWidth="0" defaultRowHeight="12.75" zeroHeight="1"/>
  <cols>
    <col min="1" max="2" width="1.7109375" customWidth="1"/>
    <col min="3" max="3" width="24.7109375" customWidth="1"/>
    <col min="4" max="4" width="7.28515625" customWidth="1"/>
    <col min="5" max="5" width="11.85546875" bestFit="1" customWidth="1"/>
    <col min="6" max="6" width="46" bestFit="1" customWidth="1"/>
    <col min="7" max="7" width="12.85546875" customWidth="1"/>
    <col min="8" max="8" width="9.140625" customWidth="1"/>
    <col min="9" max="16383" width="9.140625" hidden="1"/>
    <col min="16384" max="16384" width="4.5703125" hidden="1"/>
  </cols>
  <sheetData>
    <row r="1" spans="1:9" ht="23.25">
      <c r="A1" s="11" t="s">
        <v>13</v>
      </c>
      <c r="B1" s="5"/>
      <c r="C1" s="5"/>
      <c r="D1" s="5"/>
      <c r="E1" s="5"/>
      <c r="F1" s="5"/>
      <c r="G1" s="5"/>
      <c r="H1" s="5"/>
      <c r="I1" s="5"/>
    </row>
    <row r="2" spans="1:9" ht="23.25">
      <c r="A2" s="21"/>
      <c r="C2" s="15" t="s">
        <v>49</v>
      </c>
    </row>
    <row r="3" spans="1:9" ht="23.25">
      <c r="A3" s="21"/>
    </row>
    <row r="4" spans="1:9" ht="23.25">
      <c r="A4" s="21"/>
      <c r="C4" s="14" t="s">
        <v>23</v>
      </c>
      <c r="D4" s="14" t="s">
        <v>8</v>
      </c>
      <c r="E4" s="14"/>
      <c r="F4" s="14" t="s">
        <v>22</v>
      </c>
    </row>
    <row r="5" spans="1:9" ht="23.25">
      <c r="A5" s="21"/>
    </row>
    <row r="6" spans="1:9" ht="18">
      <c r="C6" s="15" t="s">
        <v>50</v>
      </c>
    </row>
    <row r="7" spans="1:9">
      <c r="C7" s="7" t="s">
        <v>51</v>
      </c>
      <c r="D7" s="16" t="s">
        <v>3</v>
      </c>
      <c r="F7" s="12" t="s">
        <v>92</v>
      </c>
    </row>
    <row r="8" spans="1:9">
      <c r="D8" s="16"/>
    </row>
    <row r="9" spans="1:9" ht="18">
      <c r="C9" s="15" t="s">
        <v>0</v>
      </c>
      <c r="D9" s="16"/>
    </row>
    <row r="10" spans="1:9">
      <c r="C10" s="7" t="s">
        <v>52</v>
      </c>
      <c r="D10" s="16" t="s">
        <v>12</v>
      </c>
      <c r="F10" s="12">
        <v>365</v>
      </c>
    </row>
    <row r="11" spans="1:9">
      <c r="C11" s="7" t="s">
        <v>53</v>
      </c>
      <c r="D11" s="16" t="s">
        <v>12</v>
      </c>
      <c r="F11" s="12">
        <v>12</v>
      </c>
    </row>
    <row r="12" spans="1:9">
      <c r="C12" s="7" t="s">
        <v>54</v>
      </c>
      <c r="D12" s="16" t="s">
        <v>12</v>
      </c>
      <c r="F12" s="12">
        <v>4</v>
      </c>
    </row>
    <row r="13" spans="1:9">
      <c r="C13" s="7" t="s">
        <v>55</v>
      </c>
      <c r="D13" s="16" t="s">
        <v>12</v>
      </c>
      <c r="F13" s="12">
        <v>3</v>
      </c>
    </row>
    <row r="14" spans="1:9">
      <c r="C14" s="7" t="s">
        <v>69</v>
      </c>
      <c r="D14" s="16" t="s">
        <v>12</v>
      </c>
      <c r="F14" s="12">
        <v>24</v>
      </c>
    </row>
    <row r="15" spans="1:9">
      <c r="C15" t="s">
        <v>1</v>
      </c>
      <c r="D15" s="16" t="s">
        <v>12</v>
      </c>
      <c r="F15" s="1">
        <v>1000</v>
      </c>
    </row>
    <row r="16" spans="1:9">
      <c r="C16" t="s">
        <v>2</v>
      </c>
      <c r="D16" s="16" t="s">
        <v>12</v>
      </c>
      <c r="F16" s="1">
        <v>1000000</v>
      </c>
    </row>
    <row r="17" spans="3:6">
      <c r="C17" s="7" t="s">
        <v>56</v>
      </c>
      <c r="D17" s="16" t="s">
        <v>12</v>
      </c>
      <c r="F17" s="19">
        <v>9.9999999999999995E-8</v>
      </c>
    </row>
    <row r="18" spans="3:6">
      <c r="C18" s="7" t="s">
        <v>57</v>
      </c>
      <c r="D18" s="16" t="s">
        <v>12</v>
      </c>
      <c r="F18" s="32">
        <v>9.9999999999999995E-7</v>
      </c>
    </row>
    <row r="19" spans="3:6">
      <c r="C19" t="s">
        <v>60</v>
      </c>
      <c r="D19" s="16" t="s">
        <v>12</v>
      </c>
      <c r="F19" s="12">
        <v>6</v>
      </c>
    </row>
    <row r="20" spans="3:6"/>
    <row r="21" spans="3:6" ht="18">
      <c r="C21" s="15" t="s">
        <v>87</v>
      </c>
    </row>
    <row r="22" spans="3:6">
      <c r="C22" s="7" t="s">
        <v>88</v>
      </c>
      <c r="D22" s="16" t="s">
        <v>20</v>
      </c>
      <c r="F22" s="46">
        <v>3.5000000000000003E-2</v>
      </c>
    </row>
    <row r="23" spans="3:6">
      <c r="C23" s="7" t="s">
        <v>89</v>
      </c>
      <c r="D23" s="16" t="s">
        <v>20</v>
      </c>
      <c r="F23" s="46">
        <v>7.0000000000000007E-2</v>
      </c>
    </row>
    <row r="24" spans="3:6"/>
    <row r="25" spans="3:6" ht="18">
      <c r="C25" s="15" t="s">
        <v>59</v>
      </c>
    </row>
    <row r="26" spans="3:6" ht="15">
      <c r="C26" s="4" t="s">
        <v>61</v>
      </c>
    </row>
    <row r="27" spans="3:6">
      <c r="C27" s="7" t="s">
        <v>62</v>
      </c>
      <c r="D27" s="16" t="s">
        <v>68</v>
      </c>
      <c r="F27" s="33">
        <v>1</v>
      </c>
    </row>
    <row r="28" spans="3:6">
      <c r="C28" s="7" t="s">
        <v>63</v>
      </c>
      <c r="D28" s="16" t="s">
        <v>68</v>
      </c>
      <c r="F28" s="33">
        <v>0</v>
      </c>
    </row>
    <row r="29" spans="3:6">
      <c r="D29" s="16"/>
    </row>
    <row r="30" spans="3:6">
      <c r="C30" t="s">
        <v>64</v>
      </c>
      <c r="D30" s="16" t="s">
        <v>68</v>
      </c>
      <c r="F30" s="34">
        <v>1</v>
      </c>
    </row>
    <row r="31" spans="3:6">
      <c r="C31" t="s">
        <v>65</v>
      </c>
      <c r="D31" s="16" t="s">
        <v>68</v>
      </c>
      <c r="F31" s="34">
        <f>+F30+1</f>
        <v>2</v>
      </c>
    </row>
    <row r="32" spans="3:6">
      <c r="C32" t="s">
        <v>66</v>
      </c>
      <c r="D32" s="16" t="s">
        <v>68</v>
      </c>
      <c r="F32" s="34">
        <f>+F31+1</f>
        <v>3</v>
      </c>
    </row>
    <row r="33" spans="3:6">
      <c r="C33" t="s">
        <v>67</v>
      </c>
      <c r="D33" s="16" t="s">
        <v>68</v>
      </c>
      <c r="F33" s="34">
        <f>+F32+1</f>
        <v>4</v>
      </c>
    </row>
    <row r="34" spans="3:6">
      <c r="D34" s="16"/>
    </row>
    <row r="35" spans="3:6"/>
    <row r="36" spans="3:6"/>
    <row r="37" spans="3:6"/>
  </sheetData>
  <phoneticPr fontId="9"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C0B4F-3039-4F5D-BFAC-4E71A3DCCD21}">
  <sheetPr codeName="Sheet17">
    <tabColor theme="0" tint="-0.14999847407452621"/>
  </sheetPr>
  <dimension ref="A1:AA211"/>
  <sheetViews>
    <sheetView zoomScale="115" zoomScaleNormal="115" workbookViewId="0">
      <selection activeCell="C50" sqref="C50"/>
    </sheetView>
  </sheetViews>
  <sheetFormatPr defaultColWidth="9.140625" defaultRowHeight="12.75" outlineLevelRow="1"/>
  <cols>
    <col min="1" max="2" width="2.140625" customWidth="1"/>
    <col min="3" max="3" width="31.28515625" bestFit="1" customWidth="1"/>
    <col min="4" max="4" width="30" style="16" customWidth="1"/>
    <col min="5" max="5" width="15" bestFit="1" customWidth="1"/>
    <col min="6" max="6" width="13.28515625" customWidth="1"/>
    <col min="7" max="7" width="18.5703125" customWidth="1"/>
    <col min="8" max="26" width="15.28515625" customWidth="1"/>
    <col min="27" max="27" width="2.28515625" customWidth="1"/>
    <col min="57" max="57" width="1.28515625" customWidth="1"/>
    <col min="58" max="58" width="0.7109375" customWidth="1"/>
    <col min="59" max="59" width="1.28515625" customWidth="1"/>
    <col min="61" max="70" width="14" customWidth="1"/>
    <col min="71" max="71" width="16.28515625" customWidth="1"/>
  </cols>
  <sheetData>
    <row r="1" spans="1:27" ht="23.25">
      <c r="A1" s="30" t="s">
        <v>93</v>
      </c>
      <c r="B1" s="30"/>
      <c r="C1" s="30"/>
      <c r="D1" s="30"/>
      <c r="E1" s="30"/>
      <c r="F1" s="30"/>
      <c r="G1" s="30"/>
      <c r="H1" s="30"/>
      <c r="I1" s="30"/>
      <c r="J1" s="30"/>
      <c r="K1" s="30"/>
      <c r="L1" s="30"/>
      <c r="M1" s="30"/>
      <c r="N1" s="30"/>
      <c r="O1" s="30"/>
      <c r="P1" s="30"/>
      <c r="Q1" s="30"/>
      <c r="R1" s="30"/>
      <c r="S1" s="30"/>
      <c r="T1" s="30"/>
      <c r="U1" s="30"/>
      <c r="V1" s="30"/>
      <c r="W1" s="30"/>
      <c r="X1" s="30"/>
      <c r="Y1" s="30"/>
      <c r="Z1" s="30"/>
      <c r="AA1" s="30"/>
    </row>
    <row r="2" spans="1:27" ht="15.75">
      <c r="A2" s="17" t="str">
        <f>Name_Model</f>
        <v>Aspen PE</v>
      </c>
      <c r="B2" s="17"/>
      <c r="C2" s="17"/>
      <c r="D2" s="17"/>
      <c r="E2" s="17"/>
      <c r="F2" s="17"/>
      <c r="G2" s="17"/>
      <c r="H2" s="17"/>
      <c r="I2" s="17"/>
      <c r="J2" s="17"/>
      <c r="K2" s="17"/>
      <c r="L2" s="17"/>
      <c r="M2" s="17"/>
      <c r="N2" s="17"/>
      <c r="O2" s="17"/>
      <c r="P2" s="17"/>
      <c r="Q2" s="17"/>
      <c r="R2" s="17"/>
      <c r="S2" s="17"/>
      <c r="T2" s="17"/>
      <c r="U2" s="17"/>
      <c r="V2" s="17"/>
      <c r="W2" s="17"/>
      <c r="X2" s="17"/>
      <c r="Y2" s="17"/>
      <c r="Z2" s="17"/>
      <c r="AA2" s="17"/>
    </row>
    <row r="4" spans="1:27" ht="24" thickBot="1">
      <c r="C4" s="47" t="s">
        <v>15</v>
      </c>
      <c r="E4" s="47"/>
    </row>
    <row r="5" spans="1:27" ht="18">
      <c r="C5" s="15" t="s">
        <v>16</v>
      </c>
    </row>
    <row r="6" spans="1:27">
      <c r="C6" s="7" t="s">
        <v>94</v>
      </c>
      <c r="D6" s="16" t="s">
        <v>17</v>
      </c>
      <c r="E6" s="48">
        <v>44742</v>
      </c>
    </row>
    <row r="8" spans="1:27" ht="18">
      <c r="C8" s="15" t="s">
        <v>95</v>
      </c>
    </row>
    <row r="9" spans="1:27" outlineLevel="1">
      <c r="C9" s="7" t="s">
        <v>16</v>
      </c>
      <c r="D9" s="16" t="s">
        <v>17</v>
      </c>
      <c r="E9" s="49">
        <f>E6+1</f>
        <v>44743</v>
      </c>
    </row>
    <row r="10" spans="1:27" outlineLevel="1">
      <c r="C10" s="7" t="s">
        <v>96</v>
      </c>
      <c r="D10" s="16" t="s">
        <v>97</v>
      </c>
      <c r="E10" s="50">
        <v>2</v>
      </c>
    </row>
    <row r="11" spans="1:27" outlineLevel="1">
      <c r="C11" s="7" t="s">
        <v>18</v>
      </c>
      <c r="D11" s="16" t="s">
        <v>17</v>
      </c>
      <c r="E11" s="49">
        <f>EOMONTH(E9,E10*Months_Yr-1)</f>
        <v>45473</v>
      </c>
    </row>
    <row r="13" spans="1:27" ht="18">
      <c r="C13" s="15" t="s">
        <v>98</v>
      </c>
    </row>
    <row r="14" spans="1:27" outlineLevel="1">
      <c r="C14" s="7" t="s">
        <v>16</v>
      </c>
      <c r="D14" s="16" t="s">
        <v>17</v>
      </c>
      <c r="E14" s="49">
        <f>E11+1</f>
        <v>45474</v>
      </c>
    </row>
    <row r="15" spans="1:27" outlineLevel="1">
      <c r="C15" s="7" t="s">
        <v>96</v>
      </c>
      <c r="D15" s="16" t="s">
        <v>97</v>
      </c>
      <c r="E15" s="50">
        <v>25</v>
      </c>
    </row>
    <row r="16" spans="1:27" outlineLevel="1">
      <c r="C16" s="7" t="s">
        <v>18</v>
      </c>
      <c r="D16" s="16" t="s">
        <v>17</v>
      </c>
      <c r="E16" s="49">
        <f>EOMONTH(E14,E15*Months_Yr-1)</f>
        <v>54604</v>
      </c>
    </row>
    <row r="22" spans="3:14" ht="18">
      <c r="C22" s="15" t="s">
        <v>99</v>
      </c>
    </row>
    <row r="23" spans="3:14" ht="18" outlineLevel="1">
      <c r="C23" s="15"/>
      <c r="E23" s="52">
        <f>YEAR(Model_Start)+1</f>
        <v>2023</v>
      </c>
      <c r="F23" s="36">
        <f>E23+1</f>
        <v>2024</v>
      </c>
      <c r="G23" s="36">
        <f t="shared" ref="G23:J23" si="0">F23+1</f>
        <v>2025</v>
      </c>
      <c r="H23" s="36">
        <f t="shared" si="0"/>
        <v>2026</v>
      </c>
      <c r="I23" s="36">
        <f t="shared" si="0"/>
        <v>2027</v>
      </c>
      <c r="J23" s="53">
        <f t="shared" si="0"/>
        <v>2028</v>
      </c>
    </row>
    <row r="24" spans="3:14" outlineLevel="1">
      <c r="C24" s="7" t="s">
        <v>100</v>
      </c>
      <c r="D24" s="16" t="s">
        <v>101</v>
      </c>
      <c r="E24" s="51">
        <v>0.06</v>
      </c>
      <c r="F24" s="51">
        <v>0.06</v>
      </c>
      <c r="G24" s="51">
        <v>0.06</v>
      </c>
      <c r="H24" s="51">
        <v>0.06</v>
      </c>
      <c r="I24" s="51">
        <v>0.06</v>
      </c>
      <c r="J24" s="51">
        <v>0.06</v>
      </c>
    </row>
    <row r="25" spans="3:14" outlineLevel="1">
      <c r="C25" s="7" t="s">
        <v>102</v>
      </c>
      <c r="D25" s="16" t="s">
        <v>104</v>
      </c>
      <c r="E25" s="2">
        <v>18.45</v>
      </c>
      <c r="F25" s="2">
        <v>18.329999999999998</v>
      </c>
      <c r="G25" s="2">
        <v>18.89</v>
      </c>
      <c r="H25" s="54">
        <v>19</v>
      </c>
      <c r="I25" s="54">
        <f t="shared" ref="I25:J25" si="1">H25*(1+I24)</f>
        <v>20.14</v>
      </c>
      <c r="J25" s="54">
        <f t="shared" si="1"/>
        <v>21.348400000000002</v>
      </c>
    </row>
    <row r="26" spans="3:14" outlineLevel="1">
      <c r="C26" s="7" t="s">
        <v>105</v>
      </c>
      <c r="D26" s="16" t="s">
        <v>106</v>
      </c>
      <c r="E26" s="2">
        <v>365</v>
      </c>
      <c r="F26" s="2">
        <v>365</v>
      </c>
      <c r="G26" s="2">
        <v>365</v>
      </c>
      <c r="H26" s="2">
        <v>365</v>
      </c>
      <c r="I26" s="2">
        <v>365</v>
      </c>
      <c r="J26" s="2">
        <v>365</v>
      </c>
    </row>
    <row r="27" spans="3:14" outlineLevel="1">
      <c r="C27" s="7" t="s">
        <v>398</v>
      </c>
      <c r="D27" s="16" t="s">
        <v>246</v>
      </c>
      <c r="E27" s="40"/>
      <c r="F27" s="40"/>
      <c r="G27" s="137">
        <v>2000000000</v>
      </c>
      <c r="H27" s="40"/>
      <c r="I27" s="40"/>
      <c r="J27" s="40"/>
    </row>
    <row r="28" spans="3:14" outlineLevel="1">
      <c r="C28" s="7"/>
    </row>
    <row r="29" spans="3:14" outlineLevel="1">
      <c r="C29" s="7" t="s">
        <v>358</v>
      </c>
      <c r="D29" s="16" t="s">
        <v>101</v>
      </c>
      <c r="E29" s="54">
        <v>0</v>
      </c>
    </row>
    <row r="30" spans="3:14">
      <c r="D30" s="58"/>
    </row>
    <row r="31" spans="3:14" ht="18">
      <c r="C31" s="15" t="s">
        <v>109</v>
      </c>
    </row>
    <row r="32" spans="3:14" ht="18" outlineLevel="1">
      <c r="C32" s="15"/>
      <c r="E32" s="52">
        <v>2022</v>
      </c>
      <c r="F32" s="52">
        <f>YEAR(Model_Start)+1</f>
        <v>2023</v>
      </c>
      <c r="G32" s="36">
        <f>F32+1</f>
        <v>2024</v>
      </c>
      <c r="H32" s="36">
        <f t="shared" ref="H32:I32" si="2">G32+1</f>
        <v>2025</v>
      </c>
      <c r="I32" s="36">
        <f t="shared" si="2"/>
        <v>2026</v>
      </c>
      <c r="J32" s="36">
        <f>I32+1</f>
        <v>2027</v>
      </c>
      <c r="K32" s="53">
        <f>J32+1</f>
        <v>2028</v>
      </c>
      <c r="N32" s="115">
        <v>3204114.6302</v>
      </c>
    </row>
    <row r="33" spans="3:14" outlineLevel="1">
      <c r="C33" s="7" t="s">
        <v>111</v>
      </c>
      <c r="D33" s="16" t="s">
        <v>113</v>
      </c>
      <c r="E33" s="40"/>
      <c r="F33" s="40"/>
      <c r="G33" s="40"/>
      <c r="H33" s="40"/>
      <c r="I33" s="40"/>
      <c r="J33" s="40"/>
      <c r="K33" s="40"/>
    </row>
    <row r="34" spans="3:14" outlineLevel="1">
      <c r="C34" s="7" t="s">
        <v>110</v>
      </c>
      <c r="D34" s="16" t="s">
        <v>113</v>
      </c>
      <c r="E34" s="114">
        <v>3204114.6302</v>
      </c>
      <c r="F34" s="2">
        <v>3015625</v>
      </c>
      <c r="G34" s="2">
        <v>3142103</v>
      </c>
      <c r="H34" s="114">
        <v>2753745.5733333337</v>
      </c>
      <c r="I34" s="2"/>
      <c r="J34" s="2"/>
      <c r="K34" s="2"/>
      <c r="L34" s="10">
        <f>(F34-N32)/N32</f>
        <v>-5.8827367917306549E-2</v>
      </c>
      <c r="M34" s="10">
        <f>(G34-F34)/F34</f>
        <v>4.1940891191709843E-2</v>
      </c>
      <c r="N34" s="10">
        <f>(H34-G34)/G34</f>
        <v>-0.1235979300063258</v>
      </c>
    </row>
    <row r="35" spans="3:14" outlineLevel="1">
      <c r="C35" s="7" t="s">
        <v>214</v>
      </c>
      <c r="D35" s="16" t="s">
        <v>216</v>
      </c>
      <c r="E35" s="40"/>
      <c r="F35" s="2">
        <v>0.77</v>
      </c>
      <c r="G35" s="2">
        <v>0.84</v>
      </c>
      <c r="H35" s="2">
        <v>0.76</v>
      </c>
      <c r="I35" s="2">
        <v>0.7</v>
      </c>
      <c r="J35" s="2">
        <v>0.6</v>
      </c>
      <c r="K35" s="2">
        <v>0.4</v>
      </c>
    </row>
    <row r="36" spans="3:14" outlineLevel="1">
      <c r="C36" s="7" t="s">
        <v>215</v>
      </c>
      <c r="D36" s="16" t="s">
        <v>216</v>
      </c>
      <c r="E36" s="40"/>
      <c r="F36" s="2">
        <v>0.23</v>
      </c>
      <c r="G36" s="2">
        <v>0.16</v>
      </c>
      <c r="H36" s="2">
        <v>0.24</v>
      </c>
      <c r="I36" s="2">
        <v>0.3</v>
      </c>
      <c r="J36" s="2">
        <v>0.4</v>
      </c>
      <c r="K36" s="2">
        <v>0.6</v>
      </c>
      <c r="M36" s="132">
        <v>77</v>
      </c>
    </row>
    <row r="37" spans="3:14" outlineLevel="1">
      <c r="C37" s="7" t="s">
        <v>112</v>
      </c>
      <c r="D37" s="16" t="s">
        <v>114</v>
      </c>
      <c r="E37" s="40"/>
      <c r="F37" s="2">
        <v>6.4000000000000001E-2</v>
      </c>
      <c r="G37" s="2">
        <v>5.8000000000000003E-2</v>
      </c>
      <c r="H37" s="2">
        <v>6.9000000000000006E-2</v>
      </c>
      <c r="I37" s="2"/>
      <c r="J37" s="2"/>
      <c r="K37" s="2"/>
      <c r="M37">
        <v>23</v>
      </c>
    </row>
    <row r="38" spans="3:14" outlineLevel="1">
      <c r="C38" s="7" t="s">
        <v>376</v>
      </c>
      <c r="D38" s="16" t="s">
        <v>114</v>
      </c>
      <c r="E38" s="40"/>
      <c r="F38" s="2">
        <v>6.4000000000000001E-2</v>
      </c>
      <c r="G38" s="2"/>
      <c r="H38" s="2"/>
      <c r="I38" s="2"/>
      <c r="J38" s="2"/>
      <c r="K38" s="2"/>
    </row>
    <row r="40" spans="3:14" ht="18">
      <c r="C40" s="15" t="s">
        <v>115</v>
      </c>
    </row>
    <row r="41" spans="3:14" outlineLevel="1">
      <c r="E41" s="52">
        <f>YEAR(Model_Start)+1</f>
        <v>2023</v>
      </c>
      <c r="F41" s="36">
        <f>E41+1</f>
        <v>2024</v>
      </c>
      <c r="G41" s="36">
        <f t="shared" ref="G41:J41" si="3">F41+1</f>
        <v>2025</v>
      </c>
      <c r="H41" s="36">
        <f t="shared" si="3"/>
        <v>2026</v>
      </c>
      <c r="I41" s="36">
        <f t="shared" si="3"/>
        <v>2027</v>
      </c>
      <c r="J41" s="53">
        <f t="shared" si="3"/>
        <v>2028</v>
      </c>
    </row>
    <row r="42" spans="3:14" outlineLevel="1">
      <c r="C42" s="7" t="s">
        <v>116</v>
      </c>
      <c r="D42" s="16" t="s">
        <v>118</v>
      </c>
      <c r="E42" s="2">
        <v>27.73</v>
      </c>
      <c r="F42" s="54">
        <v>29.5</v>
      </c>
      <c r="G42" s="2">
        <v>30.24</v>
      </c>
      <c r="H42" s="2">
        <v>32.06</v>
      </c>
      <c r="I42" s="2">
        <v>33.659999999999997</v>
      </c>
      <c r="J42" s="2"/>
    </row>
    <row r="43" spans="3:14" outlineLevel="1">
      <c r="C43" s="7" t="s">
        <v>117</v>
      </c>
      <c r="D43" s="16" t="s">
        <v>196</v>
      </c>
      <c r="E43" s="2">
        <v>2</v>
      </c>
      <c r="F43" s="2">
        <v>2.2999999999999998</v>
      </c>
      <c r="G43" s="2">
        <v>2.6</v>
      </c>
      <c r="H43" s="2"/>
      <c r="I43" s="2"/>
      <c r="J43" s="2"/>
    </row>
    <row r="44" spans="3:14" outlineLevel="1">
      <c r="C44" s="7" t="s">
        <v>238</v>
      </c>
      <c r="D44" s="16" t="s">
        <v>118</v>
      </c>
      <c r="E44" s="2">
        <v>20.47</v>
      </c>
      <c r="F44" s="2">
        <v>21.78</v>
      </c>
      <c r="G44" s="2">
        <v>23.09</v>
      </c>
      <c r="H44" s="54">
        <v>24.475000000000001</v>
      </c>
      <c r="I44" s="2"/>
      <c r="J44" s="2"/>
    </row>
    <row r="45" spans="3:14" outlineLevel="1">
      <c r="C45" s="7" t="s">
        <v>239</v>
      </c>
      <c r="D45" s="16" t="s">
        <v>118</v>
      </c>
      <c r="E45" s="2">
        <v>3.29</v>
      </c>
      <c r="F45" s="2">
        <v>3.5</v>
      </c>
      <c r="G45" s="2">
        <v>3.73</v>
      </c>
      <c r="H45" s="2">
        <v>3.95</v>
      </c>
      <c r="I45" s="2"/>
      <c r="J45" s="2"/>
    </row>
    <row r="46" spans="3:14" outlineLevel="1"/>
    <row r="47" spans="3:14" outlineLevel="1">
      <c r="C47" s="7" t="s">
        <v>199</v>
      </c>
      <c r="D47" s="16" t="s">
        <v>101</v>
      </c>
      <c r="E47" s="51">
        <v>0.06</v>
      </c>
      <c r="F47" s="51">
        <v>0.06</v>
      </c>
      <c r="G47" s="51">
        <v>0.06</v>
      </c>
      <c r="H47" s="51">
        <v>0.06</v>
      </c>
      <c r="I47" s="51">
        <v>0.06</v>
      </c>
      <c r="J47" s="51">
        <v>0.06</v>
      </c>
    </row>
    <row r="48" spans="3:14" outlineLevel="1">
      <c r="C48" s="7" t="s">
        <v>200</v>
      </c>
      <c r="D48" s="16" t="s">
        <v>101</v>
      </c>
      <c r="E48" s="51">
        <v>0.12720000000000001</v>
      </c>
      <c r="F48" s="51">
        <v>0.12720000000000001</v>
      </c>
      <c r="G48" s="51">
        <v>0.12720000000000001</v>
      </c>
      <c r="H48" s="51">
        <v>0.12720000000000001</v>
      </c>
      <c r="I48" s="51">
        <v>0.12720000000000001</v>
      </c>
      <c r="J48" s="51">
        <v>0.12720000000000001</v>
      </c>
    </row>
    <row r="50" spans="3:11" ht="18">
      <c r="C50" s="15" t="s">
        <v>119</v>
      </c>
    </row>
    <row r="51" spans="3:11" outlineLevel="1">
      <c r="E51" s="52">
        <f>YEAR(Model_Start)+1</f>
        <v>2023</v>
      </c>
      <c r="F51" s="36">
        <f>E51+1</f>
        <v>2024</v>
      </c>
      <c r="G51" s="36">
        <f t="shared" ref="G51:J51" si="4">F51+1</f>
        <v>2025</v>
      </c>
      <c r="H51" s="36">
        <f t="shared" si="4"/>
        <v>2026</v>
      </c>
      <c r="I51" s="36">
        <f t="shared" si="4"/>
        <v>2027</v>
      </c>
      <c r="J51" s="53">
        <f t="shared" si="4"/>
        <v>2028</v>
      </c>
    </row>
    <row r="52" spans="3:11" outlineLevel="1">
      <c r="C52" s="7" t="s">
        <v>120</v>
      </c>
      <c r="D52" s="16" t="s">
        <v>118</v>
      </c>
      <c r="E52" s="2">
        <v>7.23</v>
      </c>
      <c r="F52" s="54">
        <v>7.9067280000000002</v>
      </c>
      <c r="G52" s="54">
        <v>8.6467977408000003</v>
      </c>
      <c r="H52" s="2">
        <v>14.73</v>
      </c>
      <c r="I52" s="54">
        <v>16.108727999999999</v>
      </c>
      <c r="J52" s="54">
        <v>17.616504940799999</v>
      </c>
    </row>
    <row r="53" spans="3:11" outlineLevel="1">
      <c r="C53" s="7" t="s">
        <v>121</v>
      </c>
      <c r="D53" s="16" t="s">
        <v>118</v>
      </c>
      <c r="E53" s="40"/>
      <c r="F53" s="40"/>
      <c r="G53" s="40"/>
      <c r="H53" s="40"/>
      <c r="I53" s="40"/>
      <c r="J53" s="40"/>
    </row>
    <row r="54" spans="3:11" outlineLevel="1">
      <c r="C54" s="91" t="s">
        <v>122</v>
      </c>
      <c r="D54" s="16" t="s">
        <v>118</v>
      </c>
      <c r="E54" s="2">
        <v>13</v>
      </c>
      <c r="F54" s="54">
        <v>14.216799999999999</v>
      </c>
      <c r="G54" s="54">
        <v>15.547492479999997</v>
      </c>
      <c r="H54" s="54">
        <v>17.002737776127997</v>
      </c>
      <c r="I54" s="54">
        <v>18.594194031973576</v>
      </c>
      <c r="J54" s="54">
        <v>20.3346105933663</v>
      </c>
      <c r="K54">
        <f>F54/E54</f>
        <v>1.0935999999999999</v>
      </c>
    </row>
    <row r="55" spans="3:11" outlineLevel="1">
      <c r="C55" s="91" t="s">
        <v>123</v>
      </c>
      <c r="D55" s="16" t="s">
        <v>118</v>
      </c>
      <c r="E55" s="2">
        <v>282</v>
      </c>
      <c r="F55" s="54">
        <v>304.27799999999996</v>
      </c>
      <c r="G55" s="54">
        <v>332.75842079999995</v>
      </c>
      <c r="H55" s="54">
        <v>363.90460898687991</v>
      </c>
      <c r="I55" s="54">
        <v>397.96608038805181</v>
      </c>
      <c r="J55" s="54">
        <v>435.2157055123734</v>
      </c>
    </row>
    <row r="56" spans="3:11" outlineLevel="1">
      <c r="C56" s="91" t="s">
        <v>124</v>
      </c>
      <c r="D56" s="16" t="s">
        <v>118</v>
      </c>
      <c r="E56" s="54">
        <v>4.0999999999999996</v>
      </c>
      <c r="F56" s="54">
        <v>4.4837599999999993</v>
      </c>
      <c r="G56" s="54">
        <v>4.9034399359999989</v>
      </c>
      <c r="H56" s="54">
        <v>5.362401914009598</v>
      </c>
      <c r="I56" s="54">
        <v>5.864322733160896</v>
      </c>
      <c r="J56" s="54">
        <v>6.4132233409847554</v>
      </c>
    </row>
    <row r="57" spans="3:11" outlineLevel="1">
      <c r="C57" s="7" t="s">
        <v>125</v>
      </c>
      <c r="D57" s="16" t="s">
        <v>118</v>
      </c>
      <c r="E57" s="40"/>
      <c r="F57" s="40"/>
      <c r="G57" s="2">
        <v>10.1</v>
      </c>
      <c r="H57" s="54">
        <v>11.045359999999999</v>
      </c>
      <c r="I57" s="54">
        <v>12.079205695999997</v>
      </c>
      <c r="J57" s="54">
        <v>13.209819349145596</v>
      </c>
    </row>
    <row r="58" spans="3:11" outlineLevel="1">
      <c r="C58" s="7" t="s">
        <v>154</v>
      </c>
      <c r="D58" s="16" t="s">
        <v>118</v>
      </c>
      <c r="E58" s="40"/>
      <c r="F58" s="40"/>
      <c r="G58" s="40"/>
      <c r="H58" s="40"/>
      <c r="I58" s="40"/>
      <c r="J58" s="2">
        <v>45</v>
      </c>
    </row>
    <row r="59" spans="3:11" outlineLevel="1">
      <c r="C59" s="7" t="s">
        <v>201</v>
      </c>
      <c r="D59" s="16" t="s">
        <v>202</v>
      </c>
      <c r="E59" s="2">
        <v>628.24</v>
      </c>
      <c r="F59" s="2">
        <v>660.16</v>
      </c>
      <c r="G59" s="2">
        <v>693.7</v>
      </c>
      <c r="H59" s="54">
        <v>728.3850000000001</v>
      </c>
      <c r="I59" s="2"/>
      <c r="J59" s="2"/>
    </row>
    <row r="60" spans="3:11" outlineLevel="1">
      <c r="C60" s="7" t="s">
        <v>126</v>
      </c>
      <c r="D60" s="16" t="s">
        <v>118</v>
      </c>
      <c r="E60" s="40"/>
      <c r="F60" s="40"/>
      <c r="G60" s="40"/>
      <c r="H60" s="40"/>
      <c r="I60" s="40"/>
      <c r="J60" s="40"/>
    </row>
    <row r="61" spans="3:11" outlineLevel="1">
      <c r="C61" s="7" t="s">
        <v>380</v>
      </c>
      <c r="D61" s="16" t="s">
        <v>101</v>
      </c>
      <c r="E61" s="51">
        <v>9.3600000000000003E-2</v>
      </c>
      <c r="F61" s="51">
        <v>9.3600000000000003E-2</v>
      </c>
      <c r="G61" s="51">
        <v>9.3600000000000003E-2</v>
      </c>
      <c r="H61" s="51">
        <v>9.3600000000000003E-2</v>
      </c>
      <c r="I61" s="51">
        <v>9.3600000000000003E-2</v>
      </c>
      <c r="J61" s="51">
        <v>9.3600000000000003E-2</v>
      </c>
    </row>
    <row r="62" spans="3:11" outlineLevel="1">
      <c r="C62" s="7" t="s">
        <v>381</v>
      </c>
      <c r="D62" s="16" t="s">
        <v>101</v>
      </c>
      <c r="E62" s="51">
        <v>7.9000000000000001E-2</v>
      </c>
      <c r="F62" s="51">
        <v>7.9000000000000001E-2</v>
      </c>
      <c r="G62" s="51">
        <v>7.9000000000000001E-2</v>
      </c>
      <c r="H62" s="51">
        <v>7.9000000000000001E-2</v>
      </c>
      <c r="I62" s="51">
        <v>7.9000000000000001E-2</v>
      </c>
      <c r="J62" s="51">
        <v>7.9000000000000001E-2</v>
      </c>
    </row>
    <row r="63" spans="3:11">
      <c r="F63">
        <v>6</v>
      </c>
      <c r="G63">
        <v>12.72</v>
      </c>
      <c r="H63">
        <v>5</v>
      </c>
    </row>
    <row r="64" spans="3:11" ht="18">
      <c r="C64" s="15" t="s">
        <v>127</v>
      </c>
    </row>
    <row r="65" spans="3:10" ht="18" outlineLevel="1">
      <c r="C65" s="15"/>
      <c r="E65" s="36">
        <v>2025</v>
      </c>
      <c r="F65" s="36">
        <v>2030</v>
      </c>
      <c r="G65" s="36">
        <v>2035</v>
      </c>
      <c r="H65" s="36">
        <v>2040</v>
      </c>
      <c r="I65" s="36">
        <v>2045</v>
      </c>
      <c r="J65" s="36">
        <v>2050</v>
      </c>
    </row>
    <row r="66" spans="3:10" ht="15" outlineLevel="1">
      <c r="C66" s="4" t="s">
        <v>128</v>
      </c>
    </row>
    <row r="67" spans="3:10" outlineLevel="1">
      <c r="C67" s="7" t="s">
        <v>129</v>
      </c>
      <c r="E67" s="2" t="s">
        <v>203</v>
      </c>
      <c r="F67" s="2" t="s">
        <v>203</v>
      </c>
      <c r="G67" s="2" t="s">
        <v>203</v>
      </c>
      <c r="H67" s="2" t="s">
        <v>294</v>
      </c>
      <c r="I67" s="2" t="s">
        <v>294</v>
      </c>
      <c r="J67" s="2" t="s">
        <v>294</v>
      </c>
    </row>
    <row r="68" spans="3:10" outlineLevel="1">
      <c r="C68" s="7" t="s">
        <v>130</v>
      </c>
      <c r="E68" s="2" t="s">
        <v>204</v>
      </c>
      <c r="F68" s="2" t="s">
        <v>204</v>
      </c>
      <c r="G68" s="2" t="s">
        <v>204</v>
      </c>
      <c r="H68" s="2" t="s">
        <v>204</v>
      </c>
      <c r="I68" s="2" t="s">
        <v>204</v>
      </c>
      <c r="J68" s="2" t="s">
        <v>204</v>
      </c>
    </row>
    <row r="69" spans="3:10" outlineLevel="1">
      <c r="C69" s="7" t="s">
        <v>131</v>
      </c>
      <c r="E69" s="2" t="s">
        <v>205</v>
      </c>
      <c r="F69" s="2" t="s">
        <v>205</v>
      </c>
      <c r="G69" s="2" t="s">
        <v>273</v>
      </c>
      <c r="H69" s="2" t="s">
        <v>273</v>
      </c>
      <c r="I69" s="2" t="s">
        <v>273</v>
      </c>
      <c r="J69" s="2" t="s">
        <v>273</v>
      </c>
    </row>
    <row r="70" spans="3:10" outlineLevel="1">
      <c r="C70" s="7" t="s">
        <v>132</v>
      </c>
      <c r="E70" s="2" t="s">
        <v>207</v>
      </c>
      <c r="F70" s="2" t="s">
        <v>207</v>
      </c>
      <c r="G70" s="2" t="s">
        <v>207</v>
      </c>
      <c r="H70" s="2" t="s">
        <v>207</v>
      </c>
      <c r="I70" s="2" t="s">
        <v>207</v>
      </c>
      <c r="J70" s="2" t="s">
        <v>207</v>
      </c>
    </row>
    <row r="71" spans="3:10" outlineLevel="1"/>
    <row r="72" spans="3:10" ht="15" outlineLevel="1">
      <c r="C72" s="4" t="s">
        <v>133</v>
      </c>
    </row>
    <row r="73" spans="3:10" outlineLevel="1">
      <c r="C73" s="7" t="s">
        <v>134</v>
      </c>
      <c r="E73" s="2" t="s">
        <v>207</v>
      </c>
      <c r="F73" s="2" t="s">
        <v>207</v>
      </c>
      <c r="G73" s="2" t="s">
        <v>207</v>
      </c>
      <c r="H73" s="2" t="s">
        <v>207</v>
      </c>
      <c r="I73" s="2" t="s">
        <v>207</v>
      </c>
      <c r="J73" s="2" t="s">
        <v>207</v>
      </c>
    </row>
    <row r="74" spans="3:10" outlineLevel="1">
      <c r="C74" s="7" t="s">
        <v>135</v>
      </c>
      <c r="E74" s="2" t="s">
        <v>210</v>
      </c>
      <c r="F74" s="2" t="s">
        <v>210</v>
      </c>
      <c r="G74" s="2" t="s">
        <v>210</v>
      </c>
      <c r="H74" s="2" t="s">
        <v>210</v>
      </c>
      <c r="I74" s="2" t="s">
        <v>210</v>
      </c>
      <c r="J74" s="2" t="s">
        <v>210</v>
      </c>
    </row>
    <row r="75" spans="3:10" outlineLevel="1">
      <c r="C75" s="7" t="s">
        <v>295</v>
      </c>
      <c r="E75" s="2" t="s">
        <v>208</v>
      </c>
      <c r="F75" s="2" t="s">
        <v>208</v>
      </c>
      <c r="G75" s="2" t="s">
        <v>208</v>
      </c>
      <c r="H75" s="2" t="s">
        <v>208</v>
      </c>
      <c r="I75" s="2" t="s">
        <v>208</v>
      </c>
      <c r="J75" s="2" t="s">
        <v>208</v>
      </c>
    </row>
    <row r="76" spans="3:10" outlineLevel="1">
      <c r="C76" s="7" t="s">
        <v>296</v>
      </c>
      <c r="E76" s="2" t="s">
        <v>208</v>
      </c>
      <c r="F76" s="2" t="s">
        <v>208</v>
      </c>
      <c r="G76" s="2" t="s">
        <v>208</v>
      </c>
      <c r="H76" s="2" t="s">
        <v>208</v>
      </c>
      <c r="I76" s="2" t="s">
        <v>208</v>
      </c>
      <c r="J76" s="2" t="s">
        <v>208</v>
      </c>
    </row>
    <row r="77" spans="3:10" outlineLevel="1">
      <c r="C77" s="7" t="s">
        <v>138</v>
      </c>
      <c r="E77" s="2" t="s">
        <v>208</v>
      </c>
      <c r="F77" s="2" t="s">
        <v>208</v>
      </c>
      <c r="G77" s="2" t="s">
        <v>208</v>
      </c>
      <c r="H77" s="2" t="s">
        <v>208</v>
      </c>
      <c r="I77" s="2" t="s">
        <v>208</v>
      </c>
      <c r="J77" s="2" t="s">
        <v>208</v>
      </c>
    </row>
    <row r="78" spans="3:10" outlineLevel="1"/>
    <row r="79" spans="3:10" ht="15" outlineLevel="1">
      <c r="C79" s="4" t="s">
        <v>139</v>
      </c>
    </row>
    <row r="80" spans="3:10" outlineLevel="1">
      <c r="C80" s="7" t="s">
        <v>140</v>
      </c>
      <c r="E80" s="2" t="s">
        <v>206</v>
      </c>
      <c r="F80" s="2" t="s">
        <v>206</v>
      </c>
      <c r="G80" s="2" t="s">
        <v>206</v>
      </c>
      <c r="H80" s="2" t="s">
        <v>206</v>
      </c>
      <c r="I80" s="2" t="s">
        <v>206</v>
      </c>
      <c r="J80" s="2" t="s">
        <v>206</v>
      </c>
    </row>
    <row r="81" spans="3:10" outlineLevel="1">
      <c r="C81" s="7" t="s">
        <v>142</v>
      </c>
      <c r="E81" s="2" t="s">
        <v>206</v>
      </c>
      <c r="F81" s="2" t="s">
        <v>206</v>
      </c>
      <c r="G81" s="2" t="s">
        <v>206</v>
      </c>
      <c r="H81" s="2" t="s">
        <v>206</v>
      </c>
      <c r="I81" s="2" t="s">
        <v>206</v>
      </c>
      <c r="J81" s="2" t="s">
        <v>206</v>
      </c>
    </row>
    <row r="82" spans="3:10" outlineLevel="1">
      <c r="C82" s="7" t="s">
        <v>330</v>
      </c>
      <c r="E82" s="2" t="s">
        <v>206</v>
      </c>
      <c r="F82" s="2" t="s">
        <v>206</v>
      </c>
      <c r="G82" s="2" t="s">
        <v>206</v>
      </c>
      <c r="H82" s="2" t="s">
        <v>206</v>
      </c>
      <c r="I82" s="2" t="s">
        <v>206</v>
      </c>
      <c r="J82" s="2" t="s">
        <v>206</v>
      </c>
    </row>
    <row r="84" spans="3:10" ht="18">
      <c r="C84" s="15" t="s">
        <v>143</v>
      </c>
    </row>
    <row r="85" spans="3:10" ht="15">
      <c r="C85" s="4" t="s">
        <v>144</v>
      </c>
      <c r="E85" s="52">
        <f>YEAR(Model_Start)+1</f>
        <v>2023</v>
      </c>
      <c r="F85" s="36">
        <f>E85+1</f>
        <v>2024</v>
      </c>
      <c r="G85" s="36">
        <f t="shared" ref="G85" si="5">F85+1</f>
        <v>2025</v>
      </c>
      <c r="H85" s="36">
        <f t="shared" ref="H85" si="6">G85+1</f>
        <v>2026</v>
      </c>
      <c r="I85" s="36">
        <f t="shared" ref="I85" si="7">H85+1</f>
        <v>2027</v>
      </c>
      <c r="J85" s="53">
        <f t="shared" ref="J85" si="8">I85+1</f>
        <v>2028</v>
      </c>
    </row>
    <row r="86" spans="3:10">
      <c r="C86" t="s">
        <v>147</v>
      </c>
      <c r="D86" s="16" t="s">
        <v>145</v>
      </c>
      <c r="E86" s="2">
        <v>376680</v>
      </c>
      <c r="F86" s="2">
        <v>376680</v>
      </c>
      <c r="G86" s="2">
        <v>376680</v>
      </c>
      <c r="H86" s="2">
        <f>G86*2</f>
        <v>753360</v>
      </c>
      <c r="I86" s="2">
        <f>H86</f>
        <v>753360</v>
      </c>
      <c r="J86" s="2">
        <f>I86</f>
        <v>753360</v>
      </c>
    </row>
    <row r="87" spans="3:10">
      <c r="C87" t="s">
        <v>157</v>
      </c>
      <c r="D87" s="16" t="s">
        <v>156</v>
      </c>
      <c r="E87" s="2">
        <v>1000</v>
      </c>
      <c r="F87" s="2">
        <v>1000</v>
      </c>
      <c r="G87" s="2">
        <v>10000</v>
      </c>
      <c r="H87" s="2">
        <v>1999.2</v>
      </c>
      <c r="I87" s="2">
        <v>1999.2</v>
      </c>
      <c r="J87" s="2">
        <v>1999.2</v>
      </c>
    </row>
    <row r="88" spans="3:10">
      <c r="C88" t="s">
        <v>146</v>
      </c>
      <c r="D88" s="16" t="s">
        <v>101</v>
      </c>
      <c r="E88" s="2">
        <v>75</v>
      </c>
      <c r="F88" s="2">
        <v>75</v>
      </c>
      <c r="G88" s="2">
        <v>75</v>
      </c>
      <c r="H88" s="2">
        <v>80</v>
      </c>
      <c r="I88" s="2">
        <v>80</v>
      </c>
      <c r="J88" s="2">
        <v>80</v>
      </c>
    </row>
    <row r="89" spans="3:10">
      <c r="C89" t="s">
        <v>158</v>
      </c>
      <c r="D89" s="16" t="s">
        <v>101</v>
      </c>
      <c r="E89" s="2">
        <v>30</v>
      </c>
      <c r="F89" s="2">
        <v>30</v>
      </c>
      <c r="G89" s="2">
        <v>30</v>
      </c>
      <c r="H89" s="2">
        <v>50</v>
      </c>
      <c r="I89" s="2">
        <v>100</v>
      </c>
      <c r="J89" s="2">
        <v>100</v>
      </c>
    </row>
    <row r="91" spans="3:10" ht="15">
      <c r="C91" s="4" t="s">
        <v>148</v>
      </c>
    </row>
    <row r="92" spans="3:10">
      <c r="C92" t="s">
        <v>149</v>
      </c>
      <c r="D92" s="16" t="s">
        <v>145</v>
      </c>
      <c r="E92" s="2"/>
      <c r="F92" s="2"/>
      <c r="G92" s="2"/>
      <c r="H92" s="2"/>
      <c r="I92" s="2"/>
      <c r="J92" s="2"/>
    </row>
    <row r="93" spans="3:10">
      <c r="C93" t="s">
        <v>159</v>
      </c>
      <c r="D93" s="16" t="s">
        <v>101</v>
      </c>
      <c r="E93" s="2">
        <v>70</v>
      </c>
      <c r="F93" s="2">
        <v>70</v>
      </c>
      <c r="G93" s="2">
        <v>70</v>
      </c>
      <c r="H93" s="2">
        <v>50</v>
      </c>
      <c r="I93" s="2">
        <v>0</v>
      </c>
      <c r="J93" s="2">
        <v>0</v>
      </c>
    </row>
    <row r="95" spans="3:10" ht="15">
      <c r="C95" s="4" t="s">
        <v>150</v>
      </c>
    </row>
    <row r="96" spans="3:10">
      <c r="C96" t="s">
        <v>151</v>
      </c>
      <c r="D96" s="16" t="s">
        <v>145</v>
      </c>
      <c r="E96" s="2">
        <v>7700</v>
      </c>
      <c r="F96" s="2">
        <v>7700</v>
      </c>
      <c r="G96" s="2">
        <v>7700</v>
      </c>
      <c r="H96" s="2">
        <v>20000</v>
      </c>
      <c r="I96" s="2">
        <v>20000</v>
      </c>
      <c r="J96" s="2">
        <v>20000</v>
      </c>
    </row>
    <row r="97" spans="3:10">
      <c r="C97" t="s">
        <v>152</v>
      </c>
      <c r="D97" s="16" t="s">
        <v>145</v>
      </c>
      <c r="E97" s="2">
        <v>0</v>
      </c>
      <c r="F97" s="2">
        <v>0</v>
      </c>
      <c r="G97" s="2">
        <v>0</v>
      </c>
      <c r="H97" s="2"/>
      <c r="I97" s="2"/>
      <c r="J97" s="2"/>
    </row>
    <row r="98" spans="3:10">
      <c r="C98" t="s">
        <v>153</v>
      </c>
      <c r="D98" s="16" t="s">
        <v>145</v>
      </c>
      <c r="E98" s="2">
        <v>0</v>
      </c>
      <c r="F98" s="2">
        <v>0</v>
      </c>
      <c r="G98" s="2">
        <v>0</v>
      </c>
      <c r="H98" s="2"/>
      <c r="I98" s="2"/>
      <c r="J98" s="2"/>
    </row>
    <row r="99" spans="3:10">
      <c r="C99" t="s">
        <v>153</v>
      </c>
      <c r="D99" s="16" t="s">
        <v>101</v>
      </c>
      <c r="E99" s="2">
        <v>0</v>
      </c>
      <c r="F99" s="2">
        <v>0</v>
      </c>
      <c r="G99" s="2">
        <v>0</v>
      </c>
      <c r="H99" s="2"/>
      <c r="I99" s="2"/>
      <c r="J99" s="2"/>
    </row>
    <row r="101" spans="3:10" ht="15">
      <c r="C101" s="4" t="s">
        <v>154</v>
      </c>
    </row>
    <row r="102" spans="3:10">
      <c r="C102" t="s">
        <v>425</v>
      </c>
      <c r="D102" s="16" t="s">
        <v>156</v>
      </c>
      <c r="E102" s="2">
        <v>750</v>
      </c>
      <c r="F102" s="2"/>
      <c r="G102" s="2"/>
      <c r="H102" s="2"/>
      <c r="I102" s="2"/>
      <c r="J102" s="2"/>
    </row>
    <row r="103" spans="3:10">
      <c r="C103" t="s">
        <v>155</v>
      </c>
      <c r="D103" s="16" t="s">
        <v>101</v>
      </c>
      <c r="E103" s="51">
        <v>0.75</v>
      </c>
      <c r="F103" s="2"/>
      <c r="G103" s="2"/>
      <c r="H103" s="2"/>
      <c r="I103" s="2"/>
      <c r="J103" s="2"/>
    </row>
    <row r="104" spans="3:10">
      <c r="C104" t="s">
        <v>160</v>
      </c>
      <c r="D104" s="16" t="s">
        <v>101</v>
      </c>
      <c r="E104" s="2">
        <v>0</v>
      </c>
      <c r="F104" s="2">
        <v>0</v>
      </c>
      <c r="G104" s="2">
        <v>0</v>
      </c>
      <c r="H104" s="2"/>
      <c r="I104" s="2"/>
      <c r="J104" s="2"/>
    </row>
    <row r="105" spans="3:10">
      <c r="E105" s="2"/>
      <c r="F105" s="2"/>
      <c r="G105" s="2"/>
      <c r="H105" s="2"/>
      <c r="I105" s="2"/>
      <c r="J105" s="2"/>
    </row>
    <row r="106" spans="3:10">
      <c r="E106" s="88"/>
      <c r="F106" s="88"/>
      <c r="G106" s="88"/>
      <c r="H106" s="88"/>
      <c r="I106" s="88"/>
      <c r="J106" s="88"/>
    </row>
    <row r="107" spans="3:10" ht="15">
      <c r="C107" s="4" t="s">
        <v>305</v>
      </c>
    </row>
    <row r="108" spans="3:10">
      <c r="C108" t="s">
        <v>307</v>
      </c>
      <c r="D108" s="16" t="s">
        <v>306</v>
      </c>
      <c r="E108" s="2">
        <v>800</v>
      </c>
      <c r="F108" s="2">
        <v>800</v>
      </c>
      <c r="G108" s="2">
        <v>800</v>
      </c>
      <c r="H108" s="2">
        <v>1800</v>
      </c>
      <c r="I108" s="2">
        <v>1800</v>
      </c>
      <c r="J108" s="2">
        <v>1800</v>
      </c>
    </row>
    <row r="109" spans="3:10">
      <c r="C109" t="s">
        <v>308</v>
      </c>
      <c r="D109" s="16" t="s">
        <v>106</v>
      </c>
      <c r="E109" s="2">
        <v>1</v>
      </c>
      <c r="F109" s="2">
        <v>1</v>
      </c>
      <c r="G109" s="2">
        <v>1</v>
      </c>
      <c r="H109" s="2">
        <v>1</v>
      </c>
      <c r="I109" s="2">
        <v>1</v>
      </c>
      <c r="J109" s="2">
        <v>1</v>
      </c>
    </row>
    <row r="110" spans="3:10">
      <c r="E110" s="88"/>
      <c r="F110" s="88"/>
      <c r="G110" s="88"/>
      <c r="H110" s="88"/>
      <c r="I110" s="88"/>
      <c r="J110" s="88"/>
    </row>
    <row r="111" spans="3:10" ht="18">
      <c r="C111" s="15" t="s">
        <v>220</v>
      </c>
    </row>
    <row r="112" spans="3:10" ht="18" outlineLevel="1">
      <c r="C112" s="15"/>
      <c r="E112" s="36">
        <v>2023</v>
      </c>
      <c r="F112" s="36">
        <v>2024</v>
      </c>
      <c r="G112" s="36">
        <v>2025</v>
      </c>
      <c r="H112" s="36">
        <v>2026</v>
      </c>
      <c r="I112" s="36">
        <v>2027</v>
      </c>
      <c r="J112" s="68" t="s">
        <v>240</v>
      </c>
    </row>
    <row r="113" spans="3:13">
      <c r="C113" s="7" t="s">
        <v>221</v>
      </c>
      <c r="D113" s="16" t="s">
        <v>224</v>
      </c>
      <c r="E113" s="2">
        <v>0.05</v>
      </c>
      <c r="F113" s="2">
        <v>0.05</v>
      </c>
      <c r="G113" s="2">
        <v>0.05</v>
      </c>
      <c r="H113" s="2">
        <v>0.05</v>
      </c>
      <c r="I113" s="2">
        <v>0.05</v>
      </c>
      <c r="J113" s="2">
        <v>0.05</v>
      </c>
      <c r="L113" s="132">
        <v>0.15</v>
      </c>
      <c r="M113" s="132">
        <v>0.05</v>
      </c>
    </row>
    <row r="114" spans="3:13">
      <c r="C114" s="7" t="s">
        <v>222</v>
      </c>
      <c r="D114" s="16" t="s">
        <v>224</v>
      </c>
      <c r="E114" s="2">
        <v>0.6</v>
      </c>
      <c r="F114" s="2">
        <v>0.6</v>
      </c>
      <c r="G114" s="2">
        <v>0.6</v>
      </c>
      <c r="H114" s="2">
        <v>0.6</v>
      </c>
      <c r="I114" s="2">
        <v>0.6</v>
      </c>
      <c r="J114" s="2">
        <v>0.6</v>
      </c>
      <c r="L114" s="132">
        <v>0.45</v>
      </c>
      <c r="M114" s="132">
        <v>0.6</v>
      </c>
    </row>
    <row r="115" spans="3:13">
      <c r="C115" s="7" t="s">
        <v>393</v>
      </c>
      <c r="D115" s="16" t="s">
        <v>397</v>
      </c>
      <c r="E115" s="2">
        <v>0.1</v>
      </c>
      <c r="F115" s="2">
        <v>0.1</v>
      </c>
      <c r="G115" s="2">
        <v>0.1</v>
      </c>
      <c r="H115" s="2">
        <v>0.1</v>
      </c>
      <c r="I115" s="2">
        <v>0.1</v>
      </c>
      <c r="J115" s="2">
        <v>0.1</v>
      </c>
      <c r="L115" s="132"/>
      <c r="M115" s="132"/>
    </row>
    <row r="116" spans="3:13">
      <c r="C116" s="7" t="s">
        <v>396</v>
      </c>
      <c r="D116" s="16" t="s">
        <v>397</v>
      </c>
      <c r="E116" s="2">
        <v>0.9</v>
      </c>
      <c r="F116" s="2">
        <v>0.9</v>
      </c>
      <c r="G116" s="2">
        <v>0.9</v>
      </c>
      <c r="H116" s="2">
        <v>0.9</v>
      </c>
      <c r="I116" s="2">
        <v>0.9</v>
      </c>
      <c r="J116" s="2">
        <v>0.9</v>
      </c>
      <c r="L116" s="132"/>
      <c r="M116" s="132"/>
    </row>
    <row r="117" spans="3:13">
      <c r="C117" s="7" t="s">
        <v>223</v>
      </c>
      <c r="D117" s="16" t="s">
        <v>224</v>
      </c>
      <c r="E117" s="2">
        <v>0.35</v>
      </c>
      <c r="F117" s="2">
        <v>0.35</v>
      </c>
      <c r="G117" s="2">
        <v>0.35</v>
      </c>
      <c r="H117" s="2">
        <v>0.35</v>
      </c>
      <c r="I117" s="2">
        <v>0.35</v>
      </c>
      <c r="J117" s="2">
        <v>0.35</v>
      </c>
      <c r="L117" s="132">
        <v>0.4</v>
      </c>
      <c r="M117" s="132">
        <v>0.35</v>
      </c>
    </row>
    <row r="118" spans="3:13">
      <c r="C118" s="7" t="s">
        <v>231</v>
      </c>
      <c r="D118" s="16" t="s">
        <v>101</v>
      </c>
      <c r="E118" s="51">
        <v>0.85</v>
      </c>
      <c r="F118" s="51">
        <v>0.85</v>
      </c>
      <c r="G118" s="51">
        <v>0.85</v>
      </c>
      <c r="H118" s="136">
        <v>0.85</v>
      </c>
      <c r="I118" s="51">
        <v>0.85</v>
      </c>
      <c r="J118" s="51">
        <v>0.85</v>
      </c>
    </row>
    <row r="119" spans="3:13">
      <c r="C119" s="7" t="s">
        <v>232</v>
      </c>
      <c r="D119" s="16" t="s">
        <v>101</v>
      </c>
      <c r="E119" s="51">
        <v>0.15</v>
      </c>
      <c r="F119" s="51">
        <v>0.15</v>
      </c>
      <c r="G119" s="51">
        <v>0.15</v>
      </c>
      <c r="H119" s="51">
        <v>0.15</v>
      </c>
      <c r="I119" s="51">
        <v>0.15</v>
      </c>
      <c r="J119" s="51">
        <v>0.15</v>
      </c>
    </row>
    <row r="120" spans="3:13">
      <c r="C120" s="7" t="s">
        <v>229</v>
      </c>
      <c r="D120" s="16" t="s">
        <v>101</v>
      </c>
      <c r="E120" s="51">
        <v>0.85</v>
      </c>
      <c r="F120" s="51">
        <v>0.85</v>
      </c>
      <c r="G120" s="51">
        <v>0.85</v>
      </c>
      <c r="H120" s="51">
        <v>0.85</v>
      </c>
      <c r="I120" s="51">
        <v>0.85</v>
      </c>
      <c r="J120" s="51">
        <v>0.85</v>
      </c>
    </row>
    <row r="122" spans="3:13" ht="18">
      <c r="C122" s="15" t="s">
        <v>161</v>
      </c>
    </row>
    <row r="123" spans="3:13" ht="18" outlineLevel="1">
      <c r="C123" s="15"/>
      <c r="E123" s="36">
        <v>2023</v>
      </c>
      <c r="F123" s="36">
        <v>2024</v>
      </c>
      <c r="G123" s="36">
        <v>2025</v>
      </c>
      <c r="H123" s="36">
        <v>2026</v>
      </c>
      <c r="I123" s="36">
        <v>2027</v>
      </c>
      <c r="J123" s="68" t="s">
        <v>240</v>
      </c>
    </row>
    <row r="124" spans="3:13">
      <c r="C124" s="7" t="s">
        <v>235</v>
      </c>
      <c r="E124" s="2">
        <v>0.95</v>
      </c>
      <c r="F124" s="2">
        <v>0.95</v>
      </c>
      <c r="G124" s="2">
        <v>0.95</v>
      </c>
      <c r="H124" s="2">
        <v>0.95</v>
      </c>
      <c r="I124" s="2">
        <v>0.95</v>
      </c>
      <c r="J124" s="2">
        <v>0.95</v>
      </c>
    </row>
    <row r="125" spans="3:13">
      <c r="C125" s="7" t="s">
        <v>377</v>
      </c>
      <c r="D125" s="16" t="s">
        <v>145</v>
      </c>
      <c r="E125" s="2"/>
      <c r="F125" s="2"/>
      <c r="G125" s="2"/>
      <c r="H125" s="2">
        <v>260975</v>
      </c>
      <c r="I125" s="2">
        <v>260975</v>
      </c>
      <c r="J125" s="2">
        <v>260975</v>
      </c>
    </row>
    <row r="128" spans="3:13" ht="18">
      <c r="C128" s="15" t="s">
        <v>386</v>
      </c>
    </row>
    <row r="129" spans="3:5" ht="15">
      <c r="C129" s="4" t="s">
        <v>349</v>
      </c>
    </row>
    <row r="130" spans="3:5">
      <c r="C130" t="s">
        <v>171</v>
      </c>
      <c r="D130" s="16" t="s">
        <v>352</v>
      </c>
      <c r="E130" s="2">
        <v>2026</v>
      </c>
    </row>
    <row r="131" spans="3:5">
      <c r="C131" t="s">
        <v>350</v>
      </c>
      <c r="D131" s="16" t="s">
        <v>353</v>
      </c>
      <c r="E131" s="2" t="s">
        <v>355</v>
      </c>
    </row>
    <row r="132" spans="3:5">
      <c r="C132" t="s">
        <v>351</v>
      </c>
      <c r="D132" s="16" t="s">
        <v>145</v>
      </c>
      <c r="E132" s="123">
        <v>376680</v>
      </c>
    </row>
    <row r="134" spans="3:5" ht="15">
      <c r="C134" s="4" t="s">
        <v>354</v>
      </c>
    </row>
    <row r="135" spans="3:5">
      <c r="C135" t="s">
        <v>171</v>
      </c>
      <c r="D135" s="16" t="s">
        <v>352</v>
      </c>
      <c r="E135" s="2">
        <v>2029</v>
      </c>
    </row>
    <row r="136" spans="3:5">
      <c r="C136" t="s">
        <v>350</v>
      </c>
      <c r="D136" s="16" t="s">
        <v>353</v>
      </c>
      <c r="E136" s="2" t="s">
        <v>356</v>
      </c>
    </row>
    <row r="137" spans="3:5">
      <c r="C137" t="s">
        <v>351</v>
      </c>
      <c r="D137" s="16" t="s">
        <v>145</v>
      </c>
      <c r="E137" s="123">
        <v>90155</v>
      </c>
    </row>
    <row r="138" spans="3:5">
      <c r="C138" s="7" t="s">
        <v>387</v>
      </c>
      <c r="D138" s="16" t="s">
        <v>352</v>
      </c>
      <c r="E138" s="135">
        <v>2030</v>
      </c>
    </row>
    <row r="139" spans="3:5">
      <c r="C139" s="7" t="s">
        <v>391</v>
      </c>
      <c r="D139" s="16" t="s">
        <v>113</v>
      </c>
      <c r="E139" s="135">
        <v>1786329.1139240507</v>
      </c>
    </row>
    <row r="140" spans="3:5">
      <c r="C140" s="7" t="s">
        <v>388</v>
      </c>
      <c r="D140" s="16" t="s">
        <v>216</v>
      </c>
      <c r="E140" s="134">
        <v>0.34385916273911837</v>
      </c>
    </row>
    <row r="141" spans="3:5">
      <c r="C141" s="7" t="s">
        <v>389</v>
      </c>
      <c r="D141" s="16" t="s">
        <v>216</v>
      </c>
      <c r="E141" s="134">
        <v>0.65614083726088168</v>
      </c>
    </row>
    <row r="143" spans="3:5" ht="15">
      <c r="C143" s="4" t="s">
        <v>357</v>
      </c>
    </row>
    <row r="144" spans="3:5">
      <c r="C144" t="s">
        <v>171</v>
      </c>
      <c r="D144" s="16" t="s">
        <v>352</v>
      </c>
      <c r="E144" s="2">
        <v>2026</v>
      </c>
    </row>
    <row r="145" spans="3:5">
      <c r="C145" t="s">
        <v>350</v>
      </c>
      <c r="D145" s="16" t="s">
        <v>353</v>
      </c>
      <c r="E145" s="2" t="s">
        <v>356</v>
      </c>
    </row>
    <row r="146" spans="3:5">
      <c r="C146" t="s">
        <v>351</v>
      </c>
      <c r="D146" s="16" t="s">
        <v>145</v>
      </c>
      <c r="E146" s="123">
        <v>301855</v>
      </c>
    </row>
    <row r="147" spans="3:5">
      <c r="C147" t="s">
        <v>426</v>
      </c>
      <c r="D147" s="16" t="s">
        <v>306</v>
      </c>
      <c r="E147" s="123">
        <v>1000</v>
      </c>
    </row>
    <row r="149" spans="3:5" ht="15">
      <c r="C149" s="4" t="s">
        <v>390</v>
      </c>
    </row>
    <row r="150" spans="3:5">
      <c r="C150" s="7" t="s">
        <v>387</v>
      </c>
      <c r="D150" s="16" t="s">
        <v>352</v>
      </c>
      <c r="E150" s="2">
        <v>2027</v>
      </c>
    </row>
    <row r="151" spans="3:5">
      <c r="C151" s="7" t="s">
        <v>391</v>
      </c>
      <c r="D151" s="16" t="s">
        <v>113</v>
      </c>
      <c r="E151" s="114">
        <v>1116455.6962025317</v>
      </c>
    </row>
    <row r="152" spans="3:5">
      <c r="C152" s="7" t="s">
        <v>388</v>
      </c>
      <c r="D152" s="16" t="s">
        <v>216</v>
      </c>
      <c r="E152" s="123">
        <v>0.59964223554438212</v>
      </c>
    </row>
    <row r="153" spans="3:5">
      <c r="C153" s="7" t="s">
        <v>389</v>
      </c>
      <c r="D153" s="16" t="s">
        <v>216</v>
      </c>
      <c r="E153" s="123">
        <v>0.40035776445561788</v>
      </c>
    </row>
    <row r="156" spans="3:5" ht="24" thickBot="1">
      <c r="C156" s="47" t="s">
        <v>403</v>
      </c>
    </row>
    <row r="157" spans="3:5" ht="18">
      <c r="C157" s="15" t="s">
        <v>404</v>
      </c>
    </row>
    <row r="158" spans="3:5" ht="15">
      <c r="C158" s="4" t="s">
        <v>413</v>
      </c>
    </row>
    <row r="159" spans="3:5">
      <c r="C159" t="s">
        <v>405</v>
      </c>
      <c r="D159" s="16" t="s">
        <v>352</v>
      </c>
      <c r="E159">
        <v>2026</v>
      </c>
    </row>
    <row r="160" spans="3:5">
      <c r="C160" t="s">
        <v>406</v>
      </c>
      <c r="D160" s="16" t="s">
        <v>246</v>
      </c>
      <c r="E160" s="117">
        <v>2000000</v>
      </c>
    </row>
    <row r="161" spans="3:6">
      <c r="C161" t="s">
        <v>407</v>
      </c>
      <c r="D161" s="16" t="s">
        <v>211</v>
      </c>
      <c r="E161">
        <v>150000</v>
      </c>
      <c r="F161">
        <f>(2050-E162)*E161</f>
        <v>3450000</v>
      </c>
    </row>
    <row r="162" spans="3:6">
      <c r="C162" t="s">
        <v>414</v>
      </c>
      <c r="D162" s="16" t="s">
        <v>352</v>
      </c>
      <c r="E162">
        <v>2027</v>
      </c>
    </row>
    <row r="163" spans="3:6">
      <c r="C163" t="s">
        <v>408</v>
      </c>
      <c r="D163" s="16" t="s">
        <v>101</v>
      </c>
      <c r="E163" s="138">
        <v>0.08</v>
      </c>
    </row>
    <row r="164" spans="3:6">
      <c r="C164" t="s">
        <v>409</v>
      </c>
      <c r="D164" s="16" t="s">
        <v>101</v>
      </c>
    </row>
    <row r="166" spans="3:6" ht="18">
      <c r="C166" s="15" t="s">
        <v>412</v>
      </c>
    </row>
    <row r="167" spans="3:6" ht="15">
      <c r="C167" s="4" t="s">
        <v>150</v>
      </c>
    </row>
    <row r="168" spans="3:6">
      <c r="C168" t="s">
        <v>405</v>
      </c>
      <c r="D168" s="16" t="s">
        <v>352</v>
      </c>
      <c r="E168">
        <v>2027</v>
      </c>
    </row>
    <row r="169" spans="3:6">
      <c r="C169" t="s">
        <v>406</v>
      </c>
      <c r="D169" s="16" t="s">
        <v>246</v>
      </c>
      <c r="E169">
        <v>500000</v>
      </c>
    </row>
    <row r="170" spans="3:6">
      <c r="C170" t="s">
        <v>407</v>
      </c>
      <c r="D170" s="16" t="s">
        <v>337</v>
      </c>
      <c r="E170">
        <f>11</f>
        <v>11</v>
      </c>
    </row>
    <row r="171" spans="3:6">
      <c r="C171" t="s">
        <v>407</v>
      </c>
      <c r="D171" s="16" t="s">
        <v>211</v>
      </c>
      <c r="E171">
        <f>E170*E174</f>
        <v>187000</v>
      </c>
    </row>
    <row r="172" spans="3:6">
      <c r="C172" t="s">
        <v>562</v>
      </c>
      <c r="D172" s="16" t="s">
        <v>145</v>
      </c>
      <c r="E172" s="139">
        <v>22000</v>
      </c>
    </row>
    <row r="173" spans="3:6">
      <c r="C173" t="s">
        <v>414</v>
      </c>
      <c r="D173" s="16" t="s">
        <v>352</v>
      </c>
      <c r="E173">
        <v>2031</v>
      </c>
    </row>
    <row r="174" spans="3:6">
      <c r="C174" t="s">
        <v>561</v>
      </c>
      <c r="D174" s="16" t="s">
        <v>145</v>
      </c>
      <c r="E174">
        <v>17000</v>
      </c>
    </row>
    <row r="176" spans="3:6" ht="18">
      <c r="C176" s="15" t="s">
        <v>415</v>
      </c>
    </row>
    <row r="177" spans="3:7" ht="15">
      <c r="C177" s="4" t="s">
        <v>154</v>
      </c>
    </row>
    <row r="178" spans="3:7">
      <c r="C178" t="s">
        <v>405</v>
      </c>
      <c r="D178" s="16" t="s">
        <v>352</v>
      </c>
      <c r="E178">
        <v>2030</v>
      </c>
    </row>
    <row r="179" spans="3:7">
      <c r="C179" t="s">
        <v>406</v>
      </c>
      <c r="D179" s="16" t="s">
        <v>246</v>
      </c>
      <c r="E179" s="9">
        <v>81250000</v>
      </c>
    </row>
    <row r="180" spans="3:7">
      <c r="C180" t="s">
        <v>407</v>
      </c>
      <c r="D180" s="16" t="s">
        <v>337</v>
      </c>
      <c r="E180">
        <v>45</v>
      </c>
      <c r="F180" s="9">
        <f>E180*F184</f>
        <v>10470937.5</v>
      </c>
      <c r="G180">
        <f>500000/(E182*30)</f>
        <v>19.607843137254903</v>
      </c>
    </row>
    <row r="181" spans="3:7">
      <c r="C181" t="s">
        <v>414</v>
      </c>
      <c r="D181" s="16" t="s">
        <v>352</v>
      </c>
      <c r="E181">
        <v>2033</v>
      </c>
    </row>
    <row r="182" spans="3:7">
      <c r="C182" s="7" t="s">
        <v>430</v>
      </c>
      <c r="D182" s="16" t="s">
        <v>518</v>
      </c>
      <c r="E182">
        <v>850</v>
      </c>
      <c r="F182">
        <f>E182*365</f>
        <v>310250</v>
      </c>
    </row>
    <row r="183" spans="3:7">
      <c r="C183" s="7" t="s">
        <v>431</v>
      </c>
      <c r="D183" s="16" t="s">
        <v>101</v>
      </c>
      <c r="E183">
        <v>75</v>
      </c>
    </row>
    <row r="184" spans="3:7">
      <c r="C184" t="s">
        <v>408</v>
      </c>
      <c r="D184" s="16" t="s">
        <v>156</v>
      </c>
      <c r="E184">
        <f>E183/100*E182</f>
        <v>637.5</v>
      </c>
      <c r="F184">
        <f>E184*365</f>
        <v>232687.5</v>
      </c>
    </row>
    <row r="186" spans="3:7" ht="18">
      <c r="C186" s="15" t="s">
        <v>416</v>
      </c>
    </row>
    <row r="187" spans="3:7" ht="15">
      <c r="C187" s="4" t="s">
        <v>421</v>
      </c>
    </row>
    <row r="188" spans="3:7">
      <c r="C188" t="s">
        <v>405</v>
      </c>
      <c r="D188" s="16" t="s">
        <v>352</v>
      </c>
      <c r="E188">
        <v>2036</v>
      </c>
    </row>
    <row r="189" spans="3:7">
      <c r="C189" t="s">
        <v>406</v>
      </c>
      <c r="D189" s="16" t="s">
        <v>246</v>
      </c>
      <c r="E189" s="9">
        <v>52500000</v>
      </c>
    </row>
    <row r="190" spans="3:7">
      <c r="C190" t="s">
        <v>407</v>
      </c>
      <c r="D190" s="16" t="s">
        <v>337</v>
      </c>
      <c r="E190">
        <v>11.33</v>
      </c>
      <c r="F190" s="65">
        <f>E190*F194</f>
        <v>2688042.5</v>
      </c>
    </row>
    <row r="191" spans="3:7">
      <c r="C191" t="s">
        <v>414</v>
      </c>
      <c r="D191" s="16" t="s">
        <v>352</v>
      </c>
      <c r="E191">
        <v>2040</v>
      </c>
    </row>
    <row r="192" spans="3:7">
      <c r="C192" t="s">
        <v>430</v>
      </c>
      <c r="D192" s="16" t="s">
        <v>156</v>
      </c>
      <c r="E192">
        <v>1000</v>
      </c>
      <c r="F192" s="9">
        <f>E192*365</f>
        <v>365000</v>
      </c>
    </row>
    <row r="193" spans="3:6">
      <c r="C193" t="s">
        <v>431</v>
      </c>
      <c r="D193" s="16" t="s">
        <v>101</v>
      </c>
      <c r="E193" s="10">
        <v>0.65</v>
      </c>
    </row>
    <row r="194" spans="3:6">
      <c r="C194" t="s">
        <v>408</v>
      </c>
      <c r="D194" s="16" t="s">
        <v>156</v>
      </c>
      <c r="E194">
        <f>E193*E192</f>
        <v>650</v>
      </c>
      <c r="F194" s="9">
        <f>E194*365</f>
        <v>237250</v>
      </c>
    </row>
    <row r="196" spans="3:6" ht="18">
      <c r="C196" s="15" t="s">
        <v>417</v>
      </c>
    </row>
    <row r="197" spans="3:6" ht="15">
      <c r="C197" s="4" t="s">
        <v>418</v>
      </c>
    </row>
    <row r="198" spans="3:6">
      <c r="C198" t="s">
        <v>405</v>
      </c>
      <c r="D198" s="16" t="s">
        <v>352</v>
      </c>
    </row>
    <row r="199" spans="3:6">
      <c r="C199" t="s">
        <v>406</v>
      </c>
      <c r="D199" s="16" t="s">
        <v>246</v>
      </c>
      <c r="E199" s="117">
        <v>1000000</v>
      </c>
    </row>
    <row r="200" spans="3:6">
      <c r="C200" t="s">
        <v>407</v>
      </c>
      <c r="D200" s="16" t="s">
        <v>211</v>
      </c>
      <c r="E200">
        <v>50000</v>
      </c>
    </row>
    <row r="201" spans="3:6">
      <c r="C201" t="s">
        <v>414</v>
      </c>
      <c r="D201" s="16" t="s">
        <v>352</v>
      </c>
      <c r="E201">
        <v>2029</v>
      </c>
    </row>
    <row r="202" spans="3:6">
      <c r="C202" t="s">
        <v>419</v>
      </c>
      <c r="D202" s="16" t="s">
        <v>306</v>
      </c>
      <c r="E202">
        <v>650</v>
      </c>
    </row>
    <row r="203" spans="3:6">
      <c r="C203" t="s">
        <v>420</v>
      </c>
      <c r="D203" s="16" t="s">
        <v>106</v>
      </c>
    </row>
    <row r="205" spans="3:6" ht="18">
      <c r="C205" s="15" t="s">
        <v>422</v>
      </c>
    </row>
    <row r="206" spans="3:6" ht="15">
      <c r="C206" s="4" t="s">
        <v>461</v>
      </c>
    </row>
    <row r="207" spans="3:6">
      <c r="C207" t="s">
        <v>405</v>
      </c>
      <c r="D207" s="16" t="s">
        <v>352</v>
      </c>
    </row>
    <row r="208" spans="3:6">
      <c r="C208" t="s">
        <v>406</v>
      </c>
      <c r="D208" s="16" t="s">
        <v>246</v>
      </c>
    </row>
    <row r="209" spans="3:4">
      <c r="C209" t="s">
        <v>407</v>
      </c>
      <c r="D209" s="16" t="s">
        <v>337</v>
      </c>
    </row>
    <row r="210" spans="3:4">
      <c r="C210" t="s">
        <v>414</v>
      </c>
      <c r="D210" s="16" t="s">
        <v>352</v>
      </c>
    </row>
    <row r="211" spans="3:4">
      <c r="C211" t="s">
        <v>408</v>
      </c>
      <c r="D211" s="16" t="s">
        <v>156</v>
      </c>
    </row>
  </sheetData>
  <phoneticPr fontId="9" type="noConversion"/>
  <dataValidations disablePrompts="1" count="3">
    <dataValidation type="list" allowBlank="1" showInputMessage="1" showErrorMessage="1" sqref="E67:J69" xr:uid="{4897737B-A74B-4557-A6C6-A8598CE62B7B}">
      <formula1>"Low, Low to Medium, Medium, Medium to High, High, Very High, Extremely High"</formula1>
    </dataValidation>
    <dataValidation type="list" allowBlank="1" showInputMessage="1" showErrorMessage="1" sqref="E70:J70 E80:J82" xr:uid="{EE82F344-7A4E-48B2-8C79-D3BF07918B0D}">
      <formula1>"Poor, Average, Good, Excellent"</formula1>
    </dataValidation>
    <dataValidation type="list" allowBlank="1" showInputMessage="1" showErrorMessage="1" sqref="E73:J77" xr:uid="{67BD11BD-25FF-4750-BEC4-F569440A802F}">
      <formula1>"Excellent, Good, Average, Very Poor, Critical State"</formula1>
    </dataValidation>
  </dataValidations>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98C0D-1D0F-4A2D-B377-A40361E9067D}">
  <sheetPr codeName="Sheet19">
    <tabColor theme="0" tint="-0.14999847407452621"/>
  </sheetPr>
  <dimension ref="A1:AO193"/>
  <sheetViews>
    <sheetView topLeftCell="A2" zoomScale="85" zoomScaleNormal="85" workbookViewId="0">
      <selection activeCell="AL68" activeCellId="1" sqref="AL65 AL68"/>
    </sheetView>
  </sheetViews>
  <sheetFormatPr defaultColWidth="9.140625" defaultRowHeight="12.75"/>
  <cols>
    <col min="1" max="3" width="2.140625" customWidth="1"/>
    <col min="4" max="4" width="39.7109375" bestFit="1" customWidth="1"/>
    <col min="5" max="5" width="13.5703125" customWidth="1"/>
    <col min="6" max="6" width="14" customWidth="1"/>
    <col min="7" max="7" width="15.28515625" customWidth="1"/>
    <col min="8" max="8" width="2.140625" customWidth="1"/>
    <col min="9" max="9" width="2.42578125" customWidth="1"/>
    <col min="10" max="10" width="16.140625" bestFit="1" customWidth="1"/>
    <col min="11" max="11" width="18.7109375" bestFit="1" customWidth="1"/>
    <col min="12" max="12" width="18.42578125" bestFit="1" customWidth="1"/>
    <col min="13" max="13" width="18.85546875" bestFit="1" customWidth="1"/>
    <col min="14" max="14" width="20" bestFit="1" customWidth="1"/>
    <col min="15" max="16" width="19.5703125" bestFit="1" customWidth="1"/>
    <col min="17" max="17" width="20" bestFit="1" customWidth="1"/>
    <col min="18" max="18" width="19.140625" bestFit="1" customWidth="1"/>
    <col min="19" max="19" width="20.28515625" bestFit="1" customWidth="1"/>
    <col min="20" max="21" width="19.5703125" bestFit="1" customWidth="1"/>
    <col min="22" max="22" width="20.28515625" bestFit="1" customWidth="1"/>
    <col min="23" max="23" width="19.28515625" style="128" bestFit="1" customWidth="1"/>
    <col min="24" max="24" width="19.5703125" bestFit="1" customWidth="1"/>
    <col min="25" max="25" width="21.28515625" bestFit="1" customWidth="1"/>
    <col min="26" max="26" width="19.85546875" bestFit="1" customWidth="1"/>
    <col min="27" max="27" width="21" bestFit="1" customWidth="1"/>
    <col min="28" max="28" width="21" style="128" bestFit="1" customWidth="1"/>
    <col min="29" max="32" width="20" bestFit="1" customWidth="1"/>
    <col min="33" max="33" width="21" bestFit="1" customWidth="1"/>
    <col min="34" max="34" width="20.5703125" bestFit="1" customWidth="1"/>
    <col min="35" max="35" width="20" bestFit="1" customWidth="1"/>
    <col min="36" max="36" width="21.28515625" bestFit="1" customWidth="1"/>
    <col min="37" max="37" width="21.42578125" bestFit="1" customWidth="1"/>
    <col min="38" max="38" width="21.7109375" bestFit="1" customWidth="1"/>
    <col min="39" max="39" width="16" bestFit="1" customWidth="1"/>
    <col min="40" max="40" width="15.28515625" customWidth="1"/>
    <col min="41" max="41" width="13.140625" customWidth="1"/>
    <col min="56" max="56" width="1.28515625" customWidth="1"/>
    <col min="57" max="57" width="0.7109375" customWidth="1"/>
    <col min="58" max="58" width="1.28515625" customWidth="1"/>
    <col min="60" max="69" width="14" customWidth="1"/>
    <col min="70" max="70" width="16.28515625" customWidth="1"/>
  </cols>
  <sheetData>
    <row r="1" spans="1:38" ht="23.25">
      <c r="A1" s="30" t="s">
        <v>162</v>
      </c>
      <c r="B1" s="30"/>
      <c r="C1" s="30"/>
      <c r="D1" s="30"/>
      <c r="E1" s="30"/>
      <c r="F1" s="30"/>
      <c r="G1" s="30"/>
      <c r="H1" s="30"/>
      <c r="I1" s="30"/>
      <c r="J1" s="30"/>
      <c r="K1" s="30"/>
      <c r="L1" s="30"/>
      <c r="M1" s="30"/>
      <c r="N1" s="30"/>
      <c r="O1" s="30"/>
      <c r="P1" s="30"/>
      <c r="Q1" s="30"/>
      <c r="R1" s="30"/>
      <c r="S1" s="30"/>
      <c r="T1" s="30"/>
      <c r="U1" s="30"/>
      <c r="V1" s="30"/>
      <c r="W1" s="124"/>
      <c r="X1" s="30"/>
      <c r="Y1" s="30"/>
      <c r="Z1" s="30"/>
      <c r="AA1" s="30"/>
    </row>
    <row r="2" spans="1:38" ht="15.75">
      <c r="A2" s="17" t="str">
        <f>Name_Model</f>
        <v>Aspen PE</v>
      </c>
      <c r="B2" s="17"/>
      <c r="C2" s="17"/>
      <c r="D2" s="17"/>
      <c r="E2" s="17"/>
      <c r="F2" s="17"/>
      <c r="G2" s="17"/>
      <c r="H2" s="17"/>
      <c r="I2" s="17"/>
      <c r="J2" s="17"/>
      <c r="K2" s="17"/>
      <c r="L2" s="17"/>
      <c r="M2" s="17"/>
      <c r="N2" s="17"/>
      <c r="O2" s="17"/>
      <c r="P2" s="17"/>
      <c r="Q2" s="17"/>
      <c r="R2" s="17"/>
      <c r="S2" s="17"/>
      <c r="T2" s="17"/>
      <c r="U2" s="17"/>
      <c r="V2" s="17"/>
      <c r="W2" s="125"/>
      <c r="X2" s="17"/>
      <c r="Y2" s="17"/>
      <c r="Z2" s="17"/>
      <c r="AA2" s="17"/>
    </row>
    <row r="3" spans="1:38" ht="15.75">
      <c r="A3" s="64"/>
      <c r="B3" s="64"/>
      <c r="C3" s="64"/>
      <c r="D3" s="64"/>
      <c r="E3" s="64"/>
      <c r="F3" s="64"/>
      <c r="G3" s="64"/>
      <c r="H3" s="64"/>
      <c r="I3" s="64"/>
      <c r="J3" s="64"/>
      <c r="K3" s="64"/>
      <c r="L3" s="64"/>
      <c r="M3" s="64"/>
      <c r="N3" s="64"/>
      <c r="O3" s="64"/>
      <c r="P3" s="64"/>
      <c r="Q3" s="64"/>
      <c r="R3" s="64"/>
      <c r="S3" s="64"/>
      <c r="T3" s="64"/>
      <c r="U3" s="64"/>
      <c r="V3" s="64"/>
      <c r="W3" s="125"/>
      <c r="X3" s="64"/>
      <c r="Y3" s="64"/>
      <c r="Z3" s="64"/>
      <c r="AA3" s="64"/>
    </row>
    <row r="4" spans="1:38">
      <c r="D4" t="s">
        <v>70</v>
      </c>
      <c r="E4" s="16" t="s">
        <v>17</v>
      </c>
      <c r="K4" s="37">
        <f>J5+1</f>
        <v>44743</v>
      </c>
      <c r="L4" s="37">
        <f t="shared" ref="L4:AL4" si="0">K5+1</f>
        <v>45108</v>
      </c>
      <c r="M4" s="37">
        <f t="shared" si="0"/>
        <v>45474</v>
      </c>
      <c r="N4" s="37">
        <f t="shared" si="0"/>
        <v>45839</v>
      </c>
      <c r="O4" s="37">
        <f t="shared" si="0"/>
        <v>46204</v>
      </c>
      <c r="P4" s="37">
        <f t="shared" si="0"/>
        <v>46569</v>
      </c>
      <c r="Q4" s="37">
        <f t="shared" si="0"/>
        <v>46935</v>
      </c>
      <c r="R4" s="37">
        <f t="shared" si="0"/>
        <v>47300</v>
      </c>
      <c r="S4" s="37">
        <f t="shared" si="0"/>
        <v>47665</v>
      </c>
      <c r="T4" s="37">
        <f t="shared" si="0"/>
        <v>48030</v>
      </c>
      <c r="U4" s="37">
        <f t="shared" si="0"/>
        <v>48396</v>
      </c>
      <c r="V4" s="37">
        <f t="shared" si="0"/>
        <v>48761</v>
      </c>
      <c r="W4" s="126">
        <f t="shared" si="0"/>
        <v>49126</v>
      </c>
      <c r="X4" s="37">
        <f t="shared" si="0"/>
        <v>49491</v>
      </c>
      <c r="Y4" s="37">
        <f t="shared" si="0"/>
        <v>49857</v>
      </c>
      <c r="Z4" s="37">
        <f t="shared" si="0"/>
        <v>50222</v>
      </c>
      <c r="AA4" s="37">
        <f t="shared" si="0"/>
        <v>50587</v>
      </c>
      <c r="AB4" s="126">
        <f t="shared" si="0"/>
        <v>50952</v>
      </c>
      <c r="AC4" s="37">
        <f t="shared" si="0"/>
        <v>51318</v>
      </c>
      <c r="AD4" s="37">
        <f t="shared" si="0"/>
        <v>51683</v>
      </c>
      <c r="AE4" s="37">
        <f t="shared" si="0"/>
        <v>52048</v>
      </c>
      <c r="AF4" s="37">
        <f t="shared" si="0"/>
        <v>52413</v>
      </c>
      <c r="AG4" s="37">
        <f t="shared" si="0"/>
        <v>52779</v>
      </c>
      <c r="AH4" s="37">
        <f t="shared" si="0"/>
        <v>53144</v>
      </c>
      <c r="AI4" s="37">
        <f t="shared" si="0"/>
        <v>53509</v>
      </c>
      <c r="AJ4" s="37">
        <f t="shared" si="0"/>
        <v>53874</v>
      </c>
      <c r="AK4" s="37">
        <f t="shared" si="0"/>
        <v>54240</v>
      </c>
      <c r="AL4" s="37">
        <f t="shared" si="0"/>
        <v>54605</v>
      </c>
    </row>
    <row r="5" spans="1:38">
      <c r="D5" t="s">
        <v>71</v>
      </c>
      <c r="E5" s="16" t="s">
        <v>17</v>
      </c>
      <c r="F5" s="36" t="s">
        <v>16</v>
      </c>
      <c r="G5" s="36" t="s">
        <v>18</v>
      </c>
      <c r="J5" s="38">
        <f>Model_Start</f>
        <v>44742</v>
      </c>
      <c r="K5" s="37">
        <f>EOMONTH(K4,11)</f>
        <v>45107</v>
      </c>
      <c r="L5" s="37">
        <f t="shared" ref="L5:AL5" si="1">EOMONTH(L4,11)</f>
        <v>45473</v>
      </c>
      <c r="M5" s="37">
        <f t="shared" si="1"/>
        <v>45838</v>
      </c>
      <c r="N5" s="37">
        <f t="shared" si="1"/>
        <v>46203</v>
      </c>
      <c r="O5" s="37">
        <f t="shared" si="1"/>
        <v>46568</v>
      </c>
      <c r="P5" s="37">
        <f t="shared" si="1"/>
        <v>46934</v>
      </c>
      <c r="Q5" s="37">
        <f t="shared" si="1"/>
        <v>47299</v>
      </c>
      <c r="R5" s="37">
        <f t="shared" si="1"/>
        <v>47664</v>
      </c>
      <c r="S5" s="37">
        <f t="shared" si="1"/>
        <v>48029</v>
      </c>
      <c r="T5" s="37">
        <f t="shared" si="1"/>
        <v>48395</v>
      </c>
      <c r="U5" s="37">
        <f t="shared" si="1"/>
        <v>48760</v>
      </c>
      <c r="V5" s="37">
        <f t="shared" si="1"/>
        <v>49125</v>
      </c>
      <c r="W5" s="126">
        <f t="shared" si="1"/>
        <v>49490</v>
      </c>
      <c r="X5" s="37">
        <f t="shared" si="1"/>
        <v>49856</v>
      </c>
      <c r="Y5" s="37">
        <f t="shared" si="1"/>
        <v>50221</v>
      </c>
      <c r="Z5" s="37">
        <f t="shared" si="1"/>
        <v>50586</v>
      </c>
      <c r="AA5" s="37">
        <f t="shared" si="1"/>
        <v>50951</v>
      </c>
      <c r="AB5" s="126">
        <f t="shared" si="1"/>
        <v>51317</v>
      </c>
      <c r="AC5" s="37">
        <f t="shared" si="1"/>
        <v>51682</v>
      </c>
      <c r="AD5" s="37">
        <f t="shared" si="1"/>
        <v>52047</v>
      </c>
      <c r="AE5" s="37">
        <f t="shared" si="1"/>
        <v>52412</v>
      </c>
      <c r="AF5" s="37">
        <f t="shared" si="1"/>
        <v>52778</v>
      </c>
      <c r="AG5" s="37">
        <f t="shared" si="1"/>
        <v>53143</v>
      </c>
      <c r="AH5" s="37">
        <f t="shared" si="1"/>
        <v>53508</v>
      </c>
      <c r="AI5" s="37">
        <f t="shared" si="1"/>
        <v>53873</v>
      </c>
      <c r="AJ5" s="37">
        <f t="shared" si="1"/>
        <v>54239</v>
      </c>
      <c r="AK5" s="37">
        <f t="shared" si="1"/>
        <v>54604</v>
      </c>
      <c r="AL5" s="37">
        <f t="shared" si="1"/>
        <v>54969</v>
      </c>
    </row>
    <row r="6" spans="1:38">
      <c r="D6" s="7" t="s">
        <v>95</v>
      </c>
      <c r="E6" s="16" t="s">
        <v>72</v>
      </c>
      <c r="F6" s="38">
        <f>Inputs!E9</f>
        <v>44743</v>
      </c>
      <c r="G6" s="38">
        <f>Inputs!E11</f>
        <v>45473</v>
      </c>
      <c r="K6" s="8">
        <f t="shared" ref="K6:T7" si="2">IF(AND(K$4&gt;=$F6,K$5&lt;=$G6),1,0)</f>
        <v>1</v>
      </c>
      <c r="L6" s="8">
        <f t="shared" si="2"/>
        <v>1</v>
      </c>
      <c r="M6" s="8">
        <f t="shared" si="2"/>
        <v>0</v>
      </c>
      <c r="N6" s="8">
        <f t="shared" si="2"/>
        <v>0</v>
      </c>
      <c r="O6" s="8">
        <f t="shared" si="2"/>
        <v>0</v>
      </c>
      <c r="P6" s="8">
        <f t="shared" si="2"/>
        <v>0</v>
      </c>
      <c r="Q6" s="8">
        <f t="shared" si="2"/>
        <v>0</v>
      </c>
      <c r="R6" s="8">
        <f t="shared" si="2"/>
        <v>0</v>
      </c>
      <c r="S6" s="8">
        <f t="shared" si="2"/>
        <v>0</v>
      </c>
      <c r="T6" s="8">
        <f t="shared" si="2"/>
        <v>0</v>
      </c>
      <c r="U6" s="8">
        <f t="shared" ref="U6:AD7" si="3">IF(AND(U$4&gt;=$F6,U$5&lt;=$G6),1,0)</f>
        <v>0</v>
      </c>
      <c r="V6" s="8">
        <f t="shared" si="3"/>
        <v>0</v>
      </c>
      <c r="W6" s="127">
        <f t="shared" si="3"/>
        <v>0</v>
      </c>
      <c r="X6" s="8">
        <f t="shared" si="3"/>
        <v>0</v>
      </c>
      <c r="Y6" s="8">
        <f t="shared" si="3"/>
        <v>0</v>
      </c>
      <c r="Z6" s="8">
        <f t="shared" si="3"/>
        <v>0</v>
      </c>
      <c r="AA6" s="8">
        <f t="shared" si="3"/>
        <v>0</v>
      </c>
      <c r="AB6" s="127">
        <f t="shared" si="3"/>
        <v>0</v>
      </c>
      <c r="AC6" s="8">
        <f t="shared" si="3"/>
        <v>0</v>
      </c>
      <c r="AD6" s="8">
        <f t="shared" si="3"/>
        <v>0</v>
      </c>
      <c r="AE6" s="8">
        <f t="shared" ref="AE6:AL7" si="4">IF(AND(AE$4&gt;=$F6,AE$5&lt;=$G6),1,0)</f>
        <v>0</v>
      </c>
      <c r="AF6" s="8">
        <f t="shared" si="4"/>
        <v>0</v>
      </c>
      <c r="AG6" s="8">
        <f t="shared" si="4"/>
        <v>0</v>
      </c>
      <c r="AH6" s="8">
        <f t="shared" si="4"/>
        <v>0</v>
      </c>
      <c r="AI6" s="8">
        <f t="shared" si="4"/>
        <v>0</v>
      </c>
      <c r="AJ6" s="8">
        <f t="shared" si="4"/>
        <v>0</v>
      </c>
      <c r="AK6" s="8">
        <f t="shared" si="4"/>
        <v>0</v>
      </c>
      <c r="AL6" s="8">
        <f t="shared" si="4"/>
        <v>0</v>
      </c>
    </row>
    <row r="7" spans="1:38">
      <c r="D7" s="7" t="s">
        <v>103</v>
      </c>
      <c r="E7" s="16" t="s">
        <v>72</v>
      </c>
      <c r="F7" s="38">
        <f>Inputs!E14</f>
        <v>45474</v>
      </c>
      <c r="G7" s="38">
        <f>Inputs!E16</f>
        <v>54604</v>
      </c>
      <c r="K7" s="8">
        <f t="shared" si="2"/>
        <v>0</v>
      </c>
      <c r="L7" s="8">
        <f t="shared" si="2"/>
        <v>0</v>
      </c>
      <c r="M7" s="8">
        <f t="shared" si="2"/>
        <v>1</v>
      </c>
      <c r="N7" s="8">
        <f t="shared" si="2"/>
        <v>1</v>
      </c>
      <c r="O7" s="8">
        <f t="shared" si="2"/>
        <v>1</v>
      </c>
      <c r="P7" s="8">
        <f t="shared" si="2"/>
        <v>1</v>
      </c>
      <c r="Q7" s="8">
        <f t="shared" si="2"/>
        <v>1</v>
      </c>
      <c r="R7" s="8">
        <f t="shared" si="2"/>
        <v>1</v>
      </c>
      <c r="S7" s="8">
        <f t="shared" si="2"/>
        <v>1</v>
      </c>
      <c r="T7" s="8">
        <f t="shared" si="2"/>
        <v>1</v>
      </c>
      <c r="U7" s="8">
        <f t="shared" si="3"/>
        <v>1</v>
      </c>
      <c r="V7" s="8">
        <f t="shared" si="3"/>
        <v>1</v>
      </c>
      <c r="W7" s="127">
        <f t="shared" si="3"/>
        <v>1</v>
      </c>
      <c r="X7" s="8">
        <f t="shared" si="3"/>
        <v>1</v>
      </c>
      <c r="Y7" s="8">
        <f t="shared" si="3"/>
        <v>1</v>
      </c>
      <c r="Z7" s="8">
        <f t="shared" si="3"/>
        <v>1</v>
      </c>
      <c r="AA7" s="8">
        <f t="shared" si="3"/>
        <v>1</v>
      </c>
      <c r="AB7" s="127">
        <f t="shared" si="3"/>
        <v>1</v>
      </c>
      <c r="AC7" s="8">
        <f t="shared" si="3"/>
        <v>1</v>
      </c>
      <c r="AD7" s="8">
        <f t="shared" si="3"/>
        <v>1</v>
      </c>
      <c r="AE7" s="8">
        <f t="shared" si="4"/>
        <v>1</v>
      </c>
      <c r="AF7" s="8">
        <f t="shared" si="4"/>
        <v>1</v>
      </c>
      <c r="AG7" s="8">
        <f t="shared" si="4"/>
        <v>1</v>
      </c>
      <c r="AH7" s="8">
        <f t="shared" si="4"/>
        <v>1</v>
      </c>
      <c r="AI7" s="8">
        <f t="shared" si="4"/>
        <v>1</v>
      </c>
      <c r="AJ7" s="8">
        <f t="shared" si="4"/>
        <v>1</v>
      </c>
      <c r="AK7" s="8">
        <f t="shared" si="4"/>
        <v>1</v>
      </c>
      <c r="AL7" s="8">
        <f t="shared" si="4"/>
        <v>0</v>
      </c>
    </row>
    <row r="9" spans="1:38" ht="18">
      <c r="D9" s="15" t="s">
        <v>74</v>
      </c>
    </row>
    <row r="10" spans="1:38">
      <c r="D10" s="7" t="s">
        <v>77</v>
      </c>
      <c r="E10" s="16" t="s">
        <v>21</v>
      </c>
      <c r="K10">
        <f t="shared" ref="K10:AL10" si="5">YEAR(K5)</f>
        <v>2023</v>
      </c>
      <c r="L10">
        <f t="shared" si="5"/>
        <v>2024</v>
      </c>
      <c r="M10">
        <f t="shared" si="5"/>
        <v>2025</v>
      </c>
      <c r="N10">
        <f t="shared" si="5"/>
        <v>2026</v>
      </c>
      <c r="O10">
        <f t="shared" si="5"/>
        <v>2027</v>
      </c>
      <c r="P10">
        <f t="shared" si="5"/>
        <v>2028</v>
      </c>
      <c r="Q10">
        <f t="shared" si="5"/>
        <v>2029</v>
      </c>
      <c r="R10">
        <f t="shared" si="5"/>
        <v>2030</v>
      </c>
      <c r="S10">
        <f t="shared" si="5"/>
        <v>2031</v>
      </c>
      <c r="T10">
        <f t="shared" si="5"/>
        <v>2032</v>
      </c>
      <c r="U10">
        <f t="shared" si="5"/>
        <v>2033</v>
      </c>
      <c r="V10">
        <f t="shared" si="5"/>
        <v>2034</v>
      </c>
      <c r="W10" s="128">
        <f t="shared" si="5"/>
        <v>2035</v>
      </c>
      <c r="X10">
        <f t="shared" si="5"/>
        <v>2036</v>
      </c>
      <c r="Y10">
        <f t="shared" si="5"/>
        <v>2037</v>
      </c>
      <c r="Z10">
        <f t="shared" si="5"/>
        <v>2038</v>
      </c>
      <c r="AA10">
        <f t="shared" si="5"/>
        <v>2039</v>
      </c>
      <c r="AB10" s="128">
        <f t="shared" si="5"/>
        <v>2040</v>
      </c>
      <c r="AC10">
        <f t="shared" si="5"/>
        <v>2041</v>
      </c>
      <c r="AD10">
        <f t="shared" si="5"/>
        <v>2042</v>
      </c>
      <c r="AE10">
        <f t="shared" si="5"/>
        <v>2043</v>
      </c>
      <c r="AF10">
        <f t="shared" si="5"/>
        <v>2044</v>
      </c>
      <c r="AG10">
        <f t="shared" si="5"/>
        <v>2045</v>
      </c>
      <c r="AH10">
        <f t="shared" si="5"/>
        <v>2046</v>
      </c>
      <c r="AI10">
        <f t="shared" si="5"/>
        <v>2047</v>
      </c>
      <c r="AJ10">
        <f t="shared" si="5"/>
        <v>2048</v>
      </c>
      <c r="AK10">
        <f t="shared" si="5"/>
        <v>2049</v>
      </c>
      <c r="AL10">
        <f t="shared" si="5"/>
        <v>2050</v>
      </c>
    </row>
    <row r="11" spans="1:38">
      <c r="D11" s="7" t="s">
        <v>78</v>
      </c>
      <c r="E11" s="16" t="s">
        <v>76</v>
      </c>
      <c r="K11">
        <f>K5-K4+1</f>
        <v>365</v>
      </c>
      <c r="L11">
        <f t="shared" ref="L11:AL11" si="6">L5-L4+1</f>
        <v>366</v>
      </c>
      <c r="M11">
        <f t="shared" si="6"/>
        <v>365</v>
      </c>
      <c r="N11">
        <f t="shared" si="6"/>
        <v>365</v>
      </c>
      <c r="O11">
        <f t="shared" si="6"/>
        <v>365</v>
      </c>
      <c r="P11">
        <f t="shared" si="6"/>
        <v>366</v>
      </c>
      <c r="Q11">
        <f t="shared" si="6"/>
        <v>365</v>
      </c>
      <c r="R11">
        <f t="shared" si="6"/>
        <v>365</v>
      </c>
      <c r="S11">
        <f t="shared" si="6"/>
        <v>365</v>
      </c>
      <c r="T11">
        <f t="shared" si="6"/>
        <v>366</v>
      </c>
      <c r="U11">
        <f t="shared" si="6"/>
        <v>365</v>
      </c>
      <c r="V11">
        <f t="shared" si="6"/>
        <v>365</v>
      </c>
      <c r="W11" s="128">
        <f t="shared" si="6"/>
        <v>365</v>
      </c>
      <c r="X11">
        <f t="shared" si="6"/>
        <v>366</v>
      </c>
      <c r="Y11">
        <f t="shared" si="6"/>
        <v>365</v>
      </c>
      <c r="Z11">
        <f t="shared" si="6"/>
        <v>365</v>
      </c>
      <c r="AA11">
        <f t="shared" si="6"/>
        <v>365</v>
      </c>
      <c r="AB11" s="128">
        <f t="shared" si="6"/>
        <v>366</v>
      </c>
      <c r="AC11">
        <f t="shared" si="6"/>
        <v>365</v>
      </c>
      <c r="AD11">
        <f t="shared" si="6"/>
        <v>365</v>
      </c>
      <c r="AE11">
        <f t="shared" si="6"/>
        <v>365</v>
      </c>
      <c r="AF11">
        <f t="shared" si="6"/>
        <v>366</v>
      </c>
      <c r="AG11">
        <f t="shared" si="6"/>
        <v>365</v>
      </c>
      <c r="AH11">
        <f t="shared" si="6"/>
        <v>365</v>
      </c>
      <c r="AI11">
        <f t="shared" si="6"/>
        <v>365</v>
      </c>
      <c r="AJ11">
        <f t="shared" si="6"/>
        <v>366</v>
      </c>
      <c r="AK11">
        <f t="shared" si="6"/>
        <v>365</v>
      </c>
      <c r="AL11">
        <f t="shared" si="6"/>
        <v>365</v>
      </c>
    </row>
    <row r="12" spans="1:38" ht="15.75">
      <c r="A12" s="64"/>
      <c r="B12" s="64"/>
      <c r="C12" s="64"/>
      <c r="D12" s="64"/>
      <c r="E12" s="64"/>
      <c r="F12" s="64"/>
      <c r="G12" s="64"/>
      <c r="H12" s="64"/>
      <c r="I12" s="64"/>
      <c r="J12" s="64"/>
      <c r="K12" s="64"/>
      <c r="L12" s="64"/>
      <c r="M12" s="64"/>
      <c r="N12" s="64"/>
      <c r="O12" s="64"/>
      <c r="P12" s="64"/>
      <c r="Q12" s="64"/>
      <c r="R12" s="64"/>
      <c r="S12" s="64"/>
      <c r="T12" s="64"/>
      <c r="U12" s="64"/>
      <c r="V12" s="64"/>
      <c r="W12" s="125"/>
      <c r="X12" s="64"/>
      <c r="Y12" s="64"/>
      <c r="Z12" s="64"/>
      <c r="AA12" s="64"/>
    </row>
    <row r="13" spans="1:38" ht="24" thickBot="1">
      <c r="D13" s="57" t="s">
        <v>188</v>
      </c>
    </row>
    <row r="14" spans="1:38" ht="18">
      <c r="D14" s="15" t="s">
        <v>331</v>
      </c>
    </row>
    <row r="15" spans="1:38" ht="15">
      <c r="D15" s="4" t="s">
        <v>558</v>
      </c>
      <c r="E15" s="16" t="s">
        <v>306</v>
      </c>
      <c r="K15">
        <f>Inputs!E86</f>
        <v>376680</v>
      </c>
      <c r="L15">
        <f>Inputs!F86</f>
        <v>376680</v>
      </c>
      <c r="M15">
        <f>Inputs!G86</f>
        <v>376680</v>
      </c>
      <c r="N15">
        <f>Inputs!H86</f>
        <v>753360</v>
      </c>
      <c r="O15">
        <f>Inputs!I86</f>
        <v>753360</v>
      </c>
      <c r="P15">
        <f>Inputs!J86</f>
        <v>753360</v>
      </c>
      <c r="Q15">
        <f>P15</f>
        <v>753360</v>
      </c>
      <c r="R15">
        <f t="shared" ref="R15:AB15" si="7">Q15</f>
        <v>753360</v>
      </c>
      <c r="S15">
        <f t="shared" si="7"/>
        <v>753360</v>
      </c>
      <c r="T15">
        <f t="shared" si="7"/>
        <v>753360</v>
      </c>
      <c r="U15">
        <f t="shared" si="7"/>
        <v>753360</v>
      </c>
      <c r="V15">
        <f t="shared" si="7"/>
        <v>753360</v>
      </c>
      <c r="W15" s="128">
        <f t="shared" si="7"/>
        <v>753360</v>
      </c>
      <c r="X15">
        <f t="shared" si="7"/>
        <v>753360</v>
      </c>
      <c r="Y15">
        <f t="shared" si="7"/>
        <v>753360</v>
      </c>
      <c r="Z15">
        <f t="shared" si="7"/>
        <v>753360</v>
      </c>
      <c r="AA15">
        <f t="shared" si="7"/>
        <v>753360</v>
      </c>
      <c r="AB15" s="128">
        <f t="shared" si="7"/>
        <v>753360</v>
      </c>
      <c r="AC15">
        <f>AB15</f>
        <v>753360</v>
      </c>
      <c r="AD15">
        <f>AC15</f>
        <v>753360</v>
      </c>
      <c r="AE15">
        <f t="shared" ref="AE15:AK15" si="8">AD15</f>
        <v>753360</v>
      </c>
      <c r="AF15">
        <f t="shared" si="8"/>
        <v>753360</v>
      </c>
      <c r="AG15">
        <f t="shared" si="8"/>
        <v>753360</v>
      </c>
      <c r="AH15">
        <f t="shared" si="8"/>
        <v>753360</v>
      </c>
      <c r="AI15">
        <f t="shared" si="8"/>
        <v>753360</v>
      </c>
      <c r="AJ15">
        <f t="shared" si="8"/>
        <v>753360</v>
      </c>
      <c r="AK15">
        <f t="shared" si="8"/>
        <v>753360</v>
      </c>
      <c r="AL15">
        <f>AK15</f>
        <v>753360</v>
      </c>
    </row>
    <row r="16" spans="1:38" ht="15">
      <c r="D16" s="131" t="s">
        <v>559</v>
      </c>
      <c r="E16" s="16" t="s">
        <v>306</v>
      </c>
      <c r="K16" s="117">
        <f>0.85*K15</f>
        <v>320178</v>
      </c>
      <c r="L16" s="117">
        <f t="shared" ref="L16:AL16" si="9">0.85*L15</f>
        <v>320178</v>
      </c>
      <c r="M16" s="117">
        <f t="shared" si="9"/>
        <v>320178</v>
      </c>
      <c r="N16" s="117">
        <f t="shared" si="9"/>
        <v>640356</v>
      </c>
      <c r="O16" s="117">
        <f t="shared" si="9"/>
        <v>640356</v>
      </c>
      <c r="P16" s="117">
        <f t="shared" si="9"/>
        <v>640356</v>
      </c>
      <c r="Q16" s="117">
        <f t="shared" si="9"/>
        <v>640356</v>
      </c>
      <c r="R16" s="117">
        <f t="shared" si="9"/>
        <v>640356</v>
      </c>
      <c r="S16" s="117">
        <f t="shared" si="9"/>
        <v>640356</v>
      </c>
      <c r="T16" s="117">
        <f t="shared" si="9"/>
        <v>640356</v>
      </c>
      <c r="U16" s="117">
        <f t="shared" si="9"/>
        <v>640356</v>
      </c>
      <c r="V16" s="117">
        <f t="shared" si="9"/>
        <v>640356</v>
      </c>
      <c r="W16" s="117">
        <f t="shared" si="9"/>
        <v>640356</v>
      </c>
      <c r="X16" s="117">
        <f t="shared" si="9"/>
        <v>640356</v>
      </c>
      <c r="Y16" s="117">
        <f t="shared" si="9"/>
        <v>640356</v>
      </c>
      <c r="Z16" s="117">
        <f t="shared" si="9"/>
        <v>640356</v>
      </c>
      <c r="AA16" s="117">
        <f t="shared" si="9"/>
        <v>640356</v>
      </c>
      <c r="AB16" s="117">
        <f t="shared" si="9"/>
        <v>640356</v>
      </c>
      <c r="AC16" s="117">
        <f t="shared" si="9"/>
        <v>640356</v>
      </c>
      <c r="AD16" s="117">
        <f t="shared" si="9"/>
        <v>640356</v>
      </c>
      <c r="AE16" s="117">
        <f t="shared" si="9"/>
        <v>640356</v>
      </c>
      <c r="AF16" s="117">
        <f t="shared" si="9"/>
        <v>640356</v>
      </c>
      <c r="AG16" s="117">
        <f t="shared" si="9"/>
        <v>640356</v>
      </c>
      <c r="AH16" s="117">
        <f t="shared" si="9"/>
        <v>640356</v>
      </c>
      <c r="AI16" s="117">
        <f t="shared" si="9"/>
        <v>640356</v>
      </c>
      <c r="AJ16" s="117">
        <f t="shared" si="9"/>
        <v>640356</v>
      </c>
      <c r="AK16" s="117">
        <f t="shared" si="9"/>
        <v>640356</v>
      </c>
      <c r="AL16" s="117">
        <f t="shared" si="9"/>
        <v>640356</v>
      </c>
    </row>
    <row r="17" spans="4:39" ht="15">
      <c r="D17" s="4" t="s">
        <v>402</v>
      </c>
      <c r="E17" s="16" t="s">
        <v>306</v>
      </c>
      <c r="K17" s="65">
        <f>K15-K23</f>
        <v>183680</v>
      </c>
      <c r="L17" s="65">
        <f t="shared" ref="L17:AL17" si="10">L15-L23</f>
        <v>194438.02599999998</v>
      </c>
      <c r="M17" s="65">
        <f t="shared" si="10"/>
        <v>186671.55543999997</v>
      </c>
      <c r="N17" s="65">
        <f t="shared" si="10"/>
        <v>277801.66366720002</v>
      </c>
      <c r="O17" s="65">
        <f t="shared" si="10"/>
        <v>237708.49911023793</v>
      </c>
      <c r="P17" s="65">
        <f t="shared" si="10"/>
        <v>237708.49911023793</v>
      </c>
      <c r="Q17" s="65">
        <f t="shared" si="10"/>
        <v>147553.49911023793</v>
      </c>
      <c r="R17" s="65">
        <f t="shared" si="10"/>
        <v>147553.49911023793</v>
      </c>
      <c r="S17" s="65">
        <f t="shared" si="10"/>
        <v>33228.435819098726</v>
      </c>
      <c r="T17" s="65">
        <f t="shared" si="10"/>
        <v>33228.435819098726</v>
      </c>
      <c r="U17" s="65">
        <f t="shared" si="10"/>
        <v>33228.435819098726</v>
      </c>
      <c r="V17" s="65">
        <f t="shared" si="10"/>
        <v>33228.435819098726</v>
      </c>
      <c r="W17" s="65">
        <f t="shared" si="10"/>
        <v>33228.435819098726</v>
      </c>
      <c r="X17" s="65">
        <f t="shared" si="10"/>
        <v>33228.435819098726</v>
      </c>
      <c r="Y17" s="65">
        <f t="shared" si="10"/>
        <v>33228.435819098726</v>
      </c>
      <c r="Z17" s="65">
        <f t="shared" si="10"/>
        <v>33228.435819098726</v>
      </c>
      <c r="AA17" s="65">
        <f t="shared" si="10"/>
        <v>33228.435819098726</v>
      </c>
      <c r="AB17" s="65">
        <f t="shared" si="10"/>
        <v>33228.435819098726</v>
      </c>
      <c r="AC17" s="65">
        <f>AC15-AC23</f>
        <v>33228.435819098726</v>
      </c>
      <c r="AD17" s="65">
        <f t="shared" si="10"/>
        <v>33228.435819098726</v>
      </c>
      <c r="AE17" s="65">
        <f t="shared" si="10"/>
        <v>33228.435819098726</v>
      </c>
      <c r="AF17" s="65">
        <f t="shared" si="10"/>
        <v>33228.435819098726</v>
      </c>
      <c r="AG17" s="65">
        <f t="shared" si="10"/>
        <v>33228.435819098726</v>
      </c>
      <c r="AH17" s="65">
        <f t="shared" si="10"/>
        <v>33228.435819098726</v>
      </c>
      <c r="AI17" s="65">
        <f t="shared" si="10"/>
        <v>33228.435819098726</v>
      </c>
      <c r="AJ17" s="65">
        <f t="shared" si="10"/>
        <v>33228.435819098726</v>
      </c>
      <c r="AK17" s="65">
        <f t="shared" si="10"/>
        <v>33228.435819098726</v>
      </c>
      <c r="AL17" s="65">
        <f t="shared" si="10"/>
        <v>33228.435819098726</v>
      </c>
    </row>
    <row r="18" spans="4:39" ht="15">
      <c r="D18" s="4" t="s">
        <v>180</v>
      </c>
      <c r="E18" s="16" t="s">
        <v>306</v>
      </c>
      <c r="K18" s="65">
        <f>Inputs!E108</f>
        <v>800</v>
      </c>
      <c r="L18" s="65">
        <f>Inputs!F108</f>
        <v>800</v>
      </c>
      <c r="M18" s="65">
        <f>Inputs!G108</f>
        <v>800</v>
      </c>
      <c r="N18" s="65">
        <f>Inputs!H108</f>
        <v>1800</v>
      </c>
      <c r="O18" s="65">
        <f>Inputs!I108</f>
        <v>1800</v>
      </c>
      <c r="P18" s="65">
        <f>Inputs!J108</f>
        <v>1800</v>
      </c>
      <c r="Q18" s="65">
        <f>P18</f>
        <v>1800</v>
      </c>
      <c r="R18" s="65">
        <f t="shared" ref="R18:AL18" si="11">Q18</f>
        <v>1800</v>
      </c>
      <c r="S18" s="65">
        <f t="shared" si="11"/>
        <v>1800</v>
      </c>
      <c r="T18" s="65">
        <f t="shared" si="11"/>
        <v>1800</v>
      </c>
      <c r="U18" s="65">
        <f t="shared" si="11"/>
        <v>1800</v>
      </c>
      <c r="V18" s="65">
        <f t="shared" si="11"/>
        <v>1800</v>
      </c>
      <c r="W18" s="65">
        <f t="shared" si="11"/>
        <v>1800</v>
      </c>
      <c r="X18" s="65">
        <f t="shared" si="11"/>
        <v>1800</v>
      </c>
      <c r="Y18" s="65">
        <f t="shared" si="11"/>
        <v>1800</v>
      </c>
      <c r="Z18" s="65">
        <f t="shared" si="11"/>
        <v>1800</v>
      </c>
      <c r="AA18" s="65">
        <f t="shared" si="11"/>
        <v>1800</v>
      </c>
      <c r="AB18" s="65">
        <f t="shared" si="11"/>
        <v>1800</v>
      </c>
      <c r="AC18" s="65">
        <f t="shared" si="11"/>
        <v>1800</v>
      </c>
      <c r="AD18" s="65">
        <f t="shared" si="11"/>
        <v>1800</v>
      </c>
      <c r="AE18" s="65">
        <f t="shared" si="11"/>
        <v>1800</v>
      </c>
      <c r="AF18" s="65">
        <f t="shared" si="11"/>
        <v>1800</v>
      </c>
      <c r="AG18" s="65">
        <f t="shared" si="11"/>
        <v>1800</v>
      </c>
      <c r="AH18" s="65">
        <f t="shared" si="11"/>
        <v>1800</v>
      </c>
      <c r="AI18" s="65">
        <f t="shared" si="11"/>
        <v>1800</v>
      </c>
      <c r="AJ18" s="65">
        <f t="shared" si="11"/>
        <v>1800</v>
      </c>
      <c r="AK18" s="65">
        <f t="shared" si="11"/>
        <v>1800</v>
      </c>
      <c r="AL18" s="65">
        <f t="shared" si="11"/>
        <v>1800</v>
      </c>
    </row>
    <row r="19" spans="4:39" ht="15">
      <c r="D19" s="4" t="s">
        <v>427</v>
      </c>
      <c r="E19" s="16" t="s">
        <v>106</v>
      </c>
      <c r="K19" s="65">
        <f>(K18+SUM(K31:K33))/K29</f>
        <v>1.8129533678756478</v>
      </c>
      <c r="L19" s="65">
        <f t="shared" ref="L19:AL19" si="12">(L18+SUM(L31:L33))/L29</f>
        <v>1.9014456764652192</v>
      </c>
      <c r="M19" s="65">
        <f t="shared" si="12"/>
        <v>1.8367738032705883</v>
      </c>
      <c r="N19" s="65">
        <f t="shared" si="12"/>
        <v>1.8815339776532183</v>
      </c>
      <c r="O19" s="65">
        <f t="shared" si="12"/>
        <v>2.274116334125547</v>
      </c>
      <c r="P19" s="65">
        <f t="shared" si="12"/>
        <v>2.2713840936883885</v>
      </c>
      <c r="Q19" s="65">
        <f t="shared" si="12"/>
        <v>2.0845047041176494</v>
      </c>
      <c r="R19" s="65">
        <f t="shared" si="12"/>
        <v>2.0845047041176494</v>
      </c>
      <c r="S19" s="65">
        <f t="shared" si="12"/>
        <v>1.8015541388963427</v>
      </c>
      <c r="T19" s="65">
        <f t="shared" si="12"/>
        <v>1.7991245737385273</v>
      </c>
      <c r="U19" s="65">
        <f t="shared" si="12"/>
        <v>1.8015541388963427</v>
      </c>
      <c r="V19" s="65">
        <f t="shared" si="12"/>
        <v>1.8015541388963427</v>
      </c>
      <c r="W19" s="65">
        <f t="shared" si="12"/>
        <v>1.8015541388963427</v>
      </c>
      <c r="X19" s="65">
        <f t="shared" si="12"/>
        <v>1.7991245737385273</v>
      </c>
      <c r="Y19" s="65">
        <f t="shared" si="12"/>
        <v>1.8015541388963427</v>
      </c>
      <c r="Z19" s="65">
        <f t="shared" si="12"/>
        <v>1.8015541388963427</v>
      </c>
      <c r="AA19" s="65">
        <f t="shared" si="12"/>
        <v>1.8015541388963427</v>
      </c>
      <c r="AB19" s="65">
        <f t="shared" si="12"/>
        <v>1.7991245737385273</v>
      </c>
      <c r="AC19" s="65">
        <f>(AC18+SUM(AC31:AC33))/AC29</f>
        <v>1.8015541388963427</v>
      </c>
      <c r="AD19" s="65">
        <f t="shared" si="12"/>
        <v>1.8015541388963427</v>
      </c>
      <c r="AE19" s="65">
        <f t="shared" si="12"/>
        <v>1.8015541388963427</v>
      </c>
      <c r="AF19" s="65">
        <f t="shared" si="12"/>
        <v>1.7991245737385273</v>
      </c>
      <c r="AG19" s="65">
        <f t="shared" si="12"/>
        <v>1.8015541388963427</v>
      </c>
      <c r="AH19" s="65">
        <f t="shared" si="12"/>
        <v>1.8015541388963427</v>
      </c>
      <c r="AI19" s="65">
        <f t="shared" si="12"/>
        <v>1.8015541388963427</v>
      </c>
      <c r="AJ19" s="65">
        <f t="shared" si="12"/>
        <v>1.7991245737385273</v>
      </c>
      <c r="AK19" s="65">
        <f t="shared" si="12"/>
        <v>1.8015541388963427</v>
      </c>
      <c r="AL19" s="65">
        <f t="shared" si="12"/>
        <v>1.8015541388963427</v>
      </c>
    </row>
    <row r="20" spans="4:39" ht="24" thickBot="1">
      <c r="D20" s="57"/>
      <c r="N20" s="65">
        <f>3000-N18</f>
        <v>1200</v>
      </c>
      <c r="AC20">
        <f>ABS(AC17)/AC23</f>
        <v>4.6142173835823627E-2</v>
      </c>
    </row>
    <row r="21" spans="4:39" ht="18">
      <c r="D21" s="15" t="s">
        <v>225</v>
      </c>
    </row>
    <row r="22" spans="4:39" ht="15">
      <c r="D22" s="4" t="s">
        <v>310</v>
      </c>
      <c r="N22" s="65">
        <f>N58*Inputs!$F$38</f>
        <v>173703.33633280001</v>
      </c>
      <c r="O22" s="65">
        <f>O58*Inputs!$F$38</f>
        <v>213796.50088976204</v>
      </c>
      <c r="P22" s="65">
        <f>P58*Inputs!$F$38</f>
        <v>213796.50088976204</v>
      </c>
      <c r="Q22" s="65">
        <f>Q58*Inputs!$F$38</f>
        <v>213796.50088976204</v>
      </c>
      <c r="R22" s="65">
        <f>R58*Inputs!$F$38</f>
        <v>213796.50088976204</v>
      </c>
      <c r="S22" s="65">
        <f>S58*Inputs!$F$38</f>
        <v>328121.56418090127</v>
      </c>
      <c r="T22" s="65">
        <f>T58*Inputs!$F$38</f>
        <v>328121.56418090127</v>
      </c>
      <c r="U22" s="65">
        <f>U58*Inputs!$F$38</f>
        <v>328121.56418090127</v>
      </c>
      <c r="V22" s="65">
        <f>V58*Inputs!$F$38</f>
        <v>328121.56418090127</v>
      </c>
      <c r="W22" s="65">
        <f>W58*Inputs!$F$38</f>
        <v>328121.56418090127</v>
      </c>
      <c r="X22" s="65">
        <f>X58*Inputs!$F$38</f>
        <v>328121.56418090127</v>
      </c>
      <c r="Y22" s="65">
        <f>Y58*Inputs!$F$38</f>
        <v>328121.56418090127</v>
      </c>
      <c r="Z22" s="65">
        <f>Z58*Inputs!$F$38</f>
        <v>328121.56418090127</v>
      </c>
      <c r="AA22" s="65">
        <f>AA58*Inputs!$F$38</f>
        <v>328121.56418090127</v>
      </c>
      <c r="AB22" s="65">
        <f>AB58*Inputs!$F$38</f>
        <v>328121.56418090127</v>
      </c>
      <c r="AC22" s="65">
        <f>AC58*Inputs!$F$38</f>
        <v>328121.56418090127</v>
      </c>
      <c r="AD22" s="65">
        <f>AD58*Inputs!$F$38</f>
        <v>328121.56418090127</v>
      </c>
      <c r="AE22" s="65">
        <f>AE58*Inputs!$F$38</f>
        <v>328121.56418090127</v>
      </c>
      <c r="AF22" s="65">
        <f>AF58*Inputs!$F$38</f>
        <v>328121.56418090127</v>
      </c>
      <c r="AG22" s="65">
        <f>AG58*Inputs!$F$38</f>
        <v>328121.56418090127</v>
      </c>
      <c r="AH22" s="65">
        <f>AH58*Inputs!$F$38</f>
        <v>328121.56418090127</v>
      </c>
      <c r="AI22" s="65">
        <f>AI58*Inputs!$F$38</f>
        <v>328121.56418090127</v>
      </c>
      <c r="AJ22" s="65">
        <f>AJ58*Inputs!$F$38</f>
        <v>328121.56418090127</v>
      </c>
      <c r="AK22" s="65">
        <f>AK58*Inputs!$F$38</f>
        <v>328121.56418090127</v>
      </c>
      <c r="AL22" s="65">
        <f>AL58*Inputs!$F$38</f>
        <v>328121.56418090127</v>
      </c>
    </row>
    <row r="23" spans="4:39">
      <c r="D23" t="s">
        <v>190</v>
      </c>
      <c r="E23" s="16" t="s">
        <v>145</v>
      </c>
      <c r="K23" s="59">
        <f>Inputs!F34*Inputs!F37</f>
        <v>193000</v>
      </c>
      <c r="L23" s="59">
        <f>Inputs!G34*Inputs!G37</f>
        <v>182241.97400000002</v>
      </c>
      <c r="M23" s="59">
        <f>Inputs!H34*Inputs!H37</f>
        <v>190008.44456000003</v>
      </c>
      <c r="N23" s="59">
        <f>(N58*Inputs!$F$38)+Inputs!$E$146</f>
        <v>475558.33633279998</v>
      </c>
      <c r="O23" s="59">
        <f>(O58*Inputs!$F$38)+Inputs!$E$146</f>
        <v>515651.50088976207</v>
      </c>
      <c r="P23" s="59">
        <f>(P58*Inputs!$F$38)+Inputs!$E$146</f>
        <v>515651.50088976207</v>
      </c>
      <c r="Q23" s="59">
        <f>(Q58*Inputs!$F$38)+Inputs!$E$146+Inputs!$E$137</f>
        <v>605806.50088976207</v>
      </c>
      <c r="R23" s="59">
        <f>(R58*Inputs!$F$38)+Inputs!$E$146+Inputs!$E$137</f>
        <v>605806.50088976207</v>
      </c>
      <c r="S23" s="59">
        <f>(S58*Inputs!$F$38)+Inputs!$E$146+Inputs!$E$137</f>
        <v>720131.56418090127</v>
      </c>
      <c r="T23" s="59">
        <f>(T58*Inputs!$F$38)+Inputs!$E$146+Inputs!$E$137</f>
        <v>720131.56418090127</v>
      </c>
      <c r="U23" s="59">
        <f>(U58*Inputs!$F$38)+Inputs!$E$146+Inputs!$E$137</f>
        <v>720131.56418090127</v>
      </c>
      <c r="V23" s="59">
        <f>(V58*Inputs!$F$38)+Inputs!$E$146+Inputs!$E$137</f>
        <v>720131.56418090127</v>
      </c>
      <c r="W23" s="129">
        <f>(W58*Inputs!$F$38)+Inputs!$E$146+Inputs!$E$137</f>
        <v>720131.56418090127</v>
      </c>
      <c r="X23" s="59">
        <f>(X58*Inputs!$F$38)+Inputs!$E$146+Inputs!$E$137</f>
        <v>720131.56418090127</v>
      </c>
      <c r="Y23" s="59">
        <f>(Y58*Inputs!$F$38)+Inputs!$E$146+Inputs!$E$137</f>
        <v>720131.56418090127</v>
      </c>
      <c r="Z23" s="59">
        <f>(Z58*Inputs!$F$38)+Inputs!$E$146+Inputs!$E$137</f>
        <v>720131.56418090127</v>
      </c>
      <c r="AA23" s="59">
        <f>(AA58*Inputs!$F$38)+Inputs!$E$146+Inputs!$E$137</f>
        <v>720131.56418090127</v>
      </c>
      <c r="AB23" s="129">
        <f>(AB58*Inputs!$F$38)+Inputs!$E$146+Inputs!$E$137</f>
        <v>720131.56418090127</v>
      </c>
      <c r="AC23" s="59">
        <f>(AC58*Inputs!$F$38)+Inputs!$E$146+Inputs!$E$137</f>
        <v>720131.56418090127</v>
      </c>
      <c r="AD23" s="59">
        <f>(AD58*Inputs!$F$38)+Inputs!$E$146+Inputs!$E$137</f>
        <v>720131.56418090127</v>
      </c>
      <c r="AE23" s="59">
        <f>(AE58*Inputs!$F$38)+Inputs!$E$146+Inputs!$E$137</f>
        <v>720131.56418090127</v>
      </c>
      <c r="AF23" s="59">
        <f>(AF58*Inputs!$F$38)+Inputs!$E$146+Inputs!$E$137</f>
        <v>720131.56418090127</v>
      </c>
      <c r="AG23" s="59">
        <f>(AG58*Inputs!$F$38)+Inputs!$E$146+Inputs!$E$137</f>
        <v>720131.56418090127</v>
      </c>
      <c r="AH23" s="59">
        <f>(AH58*Inputs!$F$38)+Inputs!$E$146+Inputs!$E$137</f>
        <v>720131.56418090127</v>
      </c>
      <c r="AI23" s="59">
        <f>(AI58*Inputs!$F$38)+Inputs!$E$146+Inputs!$E$137</f>
        <v>720131.56418090127</v>
      </c>
      <c r="AJ23" s="59">
        <f>(AJ58*Inputs!$F$38)+Inputs!$E$146+Inputs!$E$137</f>
        <v>720131.56418090127</v>
      </c>
      <c r="AK23" s="59">
        <f>(AK58*Inputs!$F$38)+Inputs!$E$146+Inputs!$E$137</f>
        <v>720131.56418090127</v>
      </c>
      <c r="AL23" s="59">
        <f>(AL58*Inputs!$F$38)+Inputs!$E$146+Inputs!$E$137</f>
        <v>720131.56418090127</v>
      </c>
    </row>
    <row r="24" spans="4:39">
      <c r="D24" t="s">
        <v>189</v>
      </c>
      <c r="E24" s="16" t="s">
        <v>145</v>
      </c>
      <c r="K24" s="59">
        <f>Inputs!E93/100*'BaU Model'!K23</f>
        <v>135100</v>
      </c>
      <c r="L24" s="59">
        <f>Inputs!F93/100*'BaU Model'!L23</f>
        <v>127569.3818</v>
      </c>
      <c r="M24" s="59">
        <f>Inputs!G93/100*'BaU Model'!M23</f>
        <v>133005.91119200003</v>
      </c>
      <c r="N24" s="59">
        <f>Inputs!H93/100*'BaU Model'!N23</f>
        <v>237779.16816639999</v>
      </c>
      <c r="O24" s="59">
        <f>O23-O25</f>
        <v>0</v>
      </c>
      <c r="P24" s="59">
        <f t="shared" ref="P24:AL24" si="13">P23-P25</f>
        <v>0</v>
      </c>
      <c r="Q24" s="59">
        <f t="shared" si="13"/>
        <v>0</v>
      </c>
      <c r="R24" s="59">
        <f t="shared" si="13"/>
        <v>0</v>
      </c>
      <c r="S24" s="59">
        <f t="shared" si="13"/>
        <v>79775.564180901274</v>
      </c>
      <c r="T24" s="59">
        <f t="shared" si="13"/>
        <v>79775.564180901274</v>
      </c>
      <c r="U24" s="59">
        <f t="shared" si="13"/>
        <v>79775.564180901274</v>
      </c>
      <c r="V24" s="59">
        <f t="shared" si="13"/>
        <v>79775.564180901274</v>
      </c>
      <c r="W24" s="59">
        <f t="shared" si="13"/>
        <v>79775.564180901274</v>
      </c>
      <c r="X24" s="59">
        <f t="shared" si="13"/>
        <v>79775.564180901274</v>
      </c>
      <c r="Y24" s="59">
        <f t="shared" si="13"/>
        <v>79775.564180901274</v>
      </c>
      <c r="Z24" s="59">
        <f t="shared" si="13"/>
        <v>79775.564180901274</v>
      </c>
      <c r="AA24" s="59">
        <f t="shared" si="13"/>
        <v>79775.564180901274</v>
      </c>
      <c r="AB24" s="59">
        <f t="shared" si="13"/>
        <v>79775.564180901274</v>
      </c>
      <c r="AC24" s="59">
        <f t="shared" si="13"/>
        <v>79775.564180901274</v>
      </c>
      <c r="AD24" s="59">
        <f t="shared" si="13"/>
        <v>79775.564180901274</v>
      </c>
      <c r="AE24" s="59">
        <f t="shared" si="13"/>
        <v>79775.564180901274</v>
      </c>
      <c r="AF24" s="59">
        <f t="shared" si="13"/>
        <v>79775.564180901274</v>
      </c>
      <c r="AG24" s="59">
        <f t="shared" si="13"/>
        <v>79775.564180901274</v>
      </c>
      <c r="AH24" s="59">
        <f t="shared" si="13"/>
        <v>79775.564180901274</v>
      </c>
      <c r="AI24" s="59">
        <f t="shared" si="13"/>
        <v>79775.564180901274</v>
      </c>
      <c r="AJ24" s="59">
        <f t="shared" si="13"/>
        <v>79775.564180901274</v>
      </c>
      <c r="AK24" s="59">
        <f t="shared" si="13"/>
        <v>79775.564180901274</v>
      </c>
      <c r="AL24" s="59">
        <f t="shared" si="13"/>
        <v>79775.564180901274</v>
      </c>
      <c r="AM24" s="149">
        <f>SUM(M24:AL24)/SUM(M11:AL11)</f>
        <v>207.06575010282492</v>
      </c>
    </row>
    <row r="25" spans="4:39">
      <c r="D25" s="89" t="s">
        <v>144</v>
      </c>
      <c r="E25" s="16" t="s">
        <v>145</v>
      </c>
      <c r="K25" s="59">
        <f>Inputs!E89/100*'BaU Model'!K23</f>
        <v>57900</v>
      </c>
      <c r="L25" s="59">
        <f>Inputs!F89/100*'BaU Model'!L23</f>
        <v>54672.592200000006</v>
      </c>
      <c r="M25" s="59">
        <f>Inputs!G89/100*'BaU Model'!M23</f>
        <v>57002.533368000011</v>
      </c>
      <c r="N25" s="59">
        <f>Inputs!H89/100*'BaU Model'!N23</f>
        <v>237779.16816639999</v>
      </c>
      <c r="O25" s="59">
        <f>IF(O23&lt;O16,O23,O16)</f>
        <v>515651.50088976207</v>
      </c>
      <c r="P25" s="59">
        <f t="shared" ref="P25:AL25" si="14">IF(P23&lt;P16,P23,P16)</f>
        <v>515651.50088976207</v>
      </c>
      <c r="Q25" s="59">
        <f t="shared" si="14"/>
        <v>605806.50088976207</v>
      </c>
      <c r="R25" s="59">
        <f t="shared" si="14"/>
        <v>605806.50088976207</v>
      </c>
      <c r="S25" s="59">
        <f t="shared" si="14"/>
        <v>640356</v>
      </c>
      <c r="T25" s="59">
        <f t="shared" si="14"/>
        <v>640356</v>
      </c>
      <c r="U25" s="59">
        <f t="shared" si="14"/>
        <v>640356</v>
      </c>
      <c r="V25" s="59">
        <f t="shared" si="14"/>
        <v>640356</v>
      </c>
      <c r="W25" s="59">
        <f t="shared" si="14"/>
        <v>640356</v>
      </c>
      <c r="X25" s="59">
        <f t="shared" si="14"/>
        <v>640356</v>
      </c>
      <c r="Y25" s="59">
        <f t="shared" si="14"/>
        <v>640356</v>
      </c>
      <c r="Z25" s="59">
        <f t="shared" si="14"/>
        <v>640356</v>
      </c>
      <c r="AA25" s="59">
        <f t="shared" si="14"/>
        <v>640356</v>
      </c>
      <c r="AB25" s="59">
        <f t="shared" si="14"/>
        <v>640356</v>
      </c>
      <c r="AC25" s="59">
        <f t="shared" si="14"/>
        <v>640356</v>
      </c>
      <c r="AD25" s="59">
        <f t="shared" si="14"/>
        <v>640356</v>
      </c>
      <c r="AE25" s="59">
        <f t="shared" si="14"/>
        <v>640356</v>
      </c>
      <c r="AF25" s="59">
        <f t="shared" si="14"/>
        <v>640356</v>
      </c>
      <c r="AG25" s="59">
        <f t="shared" si="14"/>
        <v>640356</v>
      </c>
      <c r="AH25" s="59">
        <f t="shared" si="14"/>
        <v>640356</v>
      </c>
      <c r="AI25" s="59">
        <f t="shared" si="14"/>
        <v>640356</v>
      </c>
      <c r="AJ25" s="59">
        <f t="shared" si="14"/>
        <v>640356</v>
      </c>
      <c r="AK25" s="59">
        <f t="shared" si="14"/>
        <v>640356</v>
      </c>
      <c r="AL25" s="59">
        <f t="shared" si="14"/>
        <v>640356</v>
      </c>
    </row>
    <row r="26" spans="4:39">
      <c r="D26" t="s">
        <v>125</v>
      </c>
      <c r="E26" s="16" t="s">
        <v>145</v>
      </c>
      <c r="K26" s="59">
        <f>Inputs!E99/100*'BaU Model'!K23</f>
        <v>0</v>
      </c>
      <c r="L26" s="59">
        <f>Inputs!F99/100*'BaU Model'!L23</f>
        <v>0</v>
      </c>
      <c r="M26" s="59">
        <f>Inputs!G99/100*'BaU Model'!M23</f>
        <v>0</v>
      </c>
      <c r="N26" s="59">
        <f>Inputs!H99/100*'BaU Model'!N23</f>
        <v>0</v>
      </c>
      <c r="O26" s="59">
        <f>Inputs!I99/100*'BaU Model'!O23</f>
        <v>0</v>
      </c>
      <c r="P26" s="59">
        <f>Inputs!J99/100*'BaU Model'!P23</f>
        <v>0</v>
      </c>
      <c r="Q26" s="59">
        <f>Inputs!K99/100*'BaU Model'!Q23</f>
        <v>0</v>
      </c>
      <c r="R26" s="59">
        <f>Inputs!L99/100*'BaU Model'!R23</f>
        <v>0</v>
      </c>
      <c r="S26" s="59">
        <f>Inputs!M99/100*'BaU Model'!S23</f>
        <v>0</v>
      </c>
      <c r="T26" s="59">
        <f>Inputs!N99/100*'BaU Model'!T23</f>
        <v>0</v>
      </c>
      <c r="U26" s="59">
        <f>Inputs!O99/100*'BaU Model'!U23</f>
        <v>0</v>
      </c>
      <c r="V26" s="59">
        <f>Inputs!P99/100*'BaU Model'!V23</f>
        <v>0</v>
      </c>
      <c r="W26" s="129">
        <f>Inputs!Q99/100*'BaU Model'!W23</f>
        <v>0</v>
      </c>
      <c r="X26" s="59">
        <f>Inputs!R99/100*'BaU Model'!X23</f>
        <v>0</v>
      </c>
      <c r="Y26" s="59">
        <f>Inputs!S99/100*'BaU Model'!Y23</f>
        <v>0</v>
      </c>
      <c r="Z26" s="59">
        <f>Inputs!T99/100*'BaU Model'!Z23</f>
        <v>0</v>
      </c>
      <c r="AA26" s="59">
        <f>Inputs!U99/100*'BaU Model'!AA23</f>
        <v>0</v>
      </c>
      <c r="AB26" s="129">
        <f>Inputs!V99/100*'BaU Model'!AB23</f>
        <v>0</v>
      </c>
      <c r="AC26" s="59">
        <f>Inputs!W99/100*'BaU Model'!AC23</f>
        <v>0</v>
      </c>
      <c r="AD26" s="59">
        <f>Inputs!X99/100*'BaU Model'!AD23</f>
        <v>0</v>
      </c>
      <c r="AE26" s="59">
        <f>Inputs!Y99/100*'BaU Model'!AE23</f>
        <v>0</v>
      </c>
      <c r="AF26" s="59">
        <f>Inputs!Z99/100*'BaU Model'!AF23</f>
        <v>0</v>
      </c>
      <c r="AG26" s="59">
        <f>Inputs!AA99/100*'BaU Model'!AG23</f>
        <v>0</v>
      </c>
      <c r="AH26" s="59">
        <f>Inputs!AB99/100*'BaU Model'!AH23</f>
        <v>0</v>
      </c>
      <c r="AI26" s="59">
        <f>Inputs!AC99/100*'BaU Model'!AI23</f>
        <v>0</v>
      </c>
      <c r="AJ26" s="59">
        <f>Inputs!AD99/100*'BaU Model'!AJ23</f>
        <v>0</v>
      </c>
      <c r="AK26" s="59">
        <f>Inputs!AE99/100*'BaU Model'!AK23</f>
        <v>0</v>
      </c>
      <c r="AL26" s="59">
        <f>Inputs!AF99/100*'BaU Model'!AL23</f>
        <v>0</v>
      </c>
    </row>
    <row r="27" spans="4:39">
      <c r="D27" t="s">
        <v>191</v>
      </c>
      <c r="E27" s="16" t="s">
        <v>145</v>
      </c>
      <c r="K27" s="59">
        <f>Inputs!E104/100*'BaU Model'!K23</f>
        <v>0</v>
      </c>
      <c r="L27" s="59">
        <f>Inputs!F104/100*'BaU Model'!L23</f>
        <v>0</v>
      </c>
      <c r="M27" s="59">
        <f>Inputs!G104/100*'BaU Model'!M23</f>
        <v>0</v>
      </c>
      <c r="N27" s="59">
        <f>Inputs!H104/100*'BaU Model'!N23</f>
        <v>0</v>
      </c>
      <c r="O27" s="59">
        <f>Inputs!I104/100*'BaU Model'!O23</f>
        <v>0</v>
      </c>
      <c r="P27" s="59">
        <f>Inputs!J104/100*'BaU Model'!P23</f>
        <v>0</v>
      </c>
      <c r="Q27" s="59">
        <f>Inputs!K104/100*'BaU Model'!Q23</f>
        <v>0</v>
      </c>
      <c r="R27" s="59">
        <f>Inputs!L104/100*'BaU Model'!R23</f>
        <v>0</v>
      </c>
      <c r="S27" s="59">
        <f>Inputs!M104/100*'BaU Model'!S23</f>
        <v>0</v>
      </c>
      <c r="T27" s="59">
        <f>Inputs!N104/100*'BaU Model'!T23</f>
        <v>0</v>
      </c>
      <c r="U27" s="59">
        <f>Inputs!O104/100*'BaU Model'!U23</f>
        <v>0</v>
      </c>
      <c r="V27" s="59">
        <f>Inputs!P104/100*'BaU Model'!V23</f>
        <v>0</v>
      </c>
      <c r="W27" s="129">
        <f>Inputs!Q104/100*'BaU Model'!W23</f>
        <v>0</v>
      </c>
      <c r="X27" s="59">
        <f>Inputs!R104/100*'BaU Model'!X23</f>
        <v>0</v>
      </c>
      <c r="Y27" s="59">
        <f>Inputs!S104/100*'BaU Model'!Y23</f>
        <v>0</v>
      </c>
      <c r="Z27" s="59">
        <f>Inputs!T104/100*'BaU Model'!Z23</f>
        <v>0</v>
      </c>
      <c r="AA27" s="59">
        <f>Inputs!U104/100*'BaU Model'!AA23</f>
        <v>0</v>
      </c>
      <c r="AB27" s="129">
        <f>Inputs!V104/100*'BaU Model'!AB23</f>
        <v>0</v>
      </c>
      <c r="AC27" s="59">
        <f>Inputs!W104/100*'BaU Model'!AC23</f>
        <v>0</v>
      </c>
      <c r="AD27" s="59">
        <f>Inputs!X104/100*'BaU Model'!AD23</f>
        <v>0</v>
      </c>
      <c r="AE27" s="59">
        <f>Inputs!Y104/100*'BaU Model'!AE23</f>
        <v>0</v>
      </c>
      <c r="AF27" s="59">
        <f>Inputs!Z104/100*'BaU Model'!AF23</f>
        <v>0</v>
      </c>
      <c r="AG27" s="59">
        <f>Inputs!AA104/100*'BaU Model'!AG23</f>
        <v>0</v>
      </c>
      <c r="AH27" s="59">
        <f>Inputs!AB104/100*'BaU Model'!AH23</f>
        <v>0</v>
      </c>
      <c r="AI27" s="59">
        <f>Inputs!AC104/100*'BaU Model'!AI23</f>
        <v>0</v>
      </c>
      <c r="AJ27" s="59">
        <f>Inputs!AD104/100*'BaU Model'!AJ23</f>
        <v>0</v>
      </c>
      <c r="AK27" s="59">
        <f>Inputs!AE104/100*'BaU Model'!AK23</f>
        <v>0</v>
      </c>
      <c r="AL27" s="59">
        <f>Inputs!AF104/100*'BaU Model'!AL23</f>
        <v>0</v>
      </c>
    </row>
    <row r="28" spans="4:39" ht="15">
      <c r="D28" s="4" t="s">
        <v>311</v>
      </c>
      <c r="N28" s="65">
        <f>N22/N11</f>
        <v>475.89955159671234</v>
      </c>
      <c r="O28" s="65">
        <f t="shared" ref="O28:AL28" si="15">O22/O11</f>
        <v>585.74383805414254</v>
      </c>
      <c r="P28" s="65">
        <f t="shared" si="15"/>
        <v>584.1434450539947</v>
      </c>
      <c r="Q28" s="65">
        <f t="shared" si="15"/>
        <v>585.74383805414254</v>
      </c>
      <c r="R28" s="65">
        <f t="shared" si="15"/>
        <v>585.74383805414254</v>
      </c>
      <c r="S28" s="65">
        <f t="shared" si="15"/>
        <v>898.96318953671584</v>
      </c>
      <c r="T28" s="65">
        <f t="shared" si="15"/>
        <v>896.50700595874662</v>
      </c>
      <c r="U28" s="65">
        <f t="shared" si="15"/>
        <v>898.96318953671584</v>
      </c>
      <c r="V28" s="65">
        <f t="shared" si="15"/>
        <v>898.96318953671584</v>
      </c>
      <c r="W28" s="65">
        <f t="shared" si="15"/>
        <v>898.96318953671584</v>
      </c>
      <c r="X28" s="65">
        <f t="shared" si="15"/>
        <v>896.50700595874662</v>
      </c>
      <c r="Y28" s="65">
        <f t="shared" si="15"/>
        <v>898.96318953671584</v>
      </c>
      <c r="Z28" s="65">
        <f t="shared" si="15"/>
        <v>898.96318953671584</v>
      </c>
      <c r="AA28" s="65">
        <f t="shared" si="15"/>
        <v>898.96318953671584</v>
      </c>
      <c r="AB28" s="65">
        <f t="shared" si="15"/>
        <v>896.50700595874662</v>
      </c>
      <c r="AC28" s="65">
        <f t="shared" si="15"/>
        <v>898.96318953671584</v>
      </c>
      <c r="AD28" s="65">
        <f t="shared" si="15"/>
        <v>898.96318953671584</v>
      </c>
      <c r="AE28" s="65">
        <f t="shared" si="15"/>
        <v>898.96318953671584</v>
      </c>
      <c r="AF28" s="65">
        <f t="shared" si="15"/>
        <v>896.50700595874662</v>
      </c>
      <c r="AG28" s="65">
        <f t="shared" si="15"/>
        <v>898.96318953671584</v>
      </c>
      <c r="AH28" s="65">
        <f t="shared" si="15"/>
        <v>898.96318953671584</v>
      </c>
      <c r="AI28" s="65">
        <f t="shared" si="15"/>
        <v>898.96318953671584</v>
      </c>
      <c r="AJ28" s="65">
        <f t="shared" si="15"/>
        <v>896.50700595874662</v>
      </c>
      <c r="AK28" s="65">
        <f t="shared" si="15"/>
        <v>898.96318953671584</v>
      </c>
      <c r="AL28" s="65">
        <f t="shared" si="15"/>
        <v>898.96318953671584</v>
      </c>
    </row>
    <row r="29" spans="4:39">
      <c r="D29" t="s">
        <v>190</v>
      </c>
      <c r="E29" s="16" t="s">
        <v>156</v>
      </c>
      <c r="K29" s="59">
        <f>K23/$K$11</f>
        <v>528.76712328767121</v>
      </c>
      <c r="L29" s="59">
        <f t="shared" ref="L29:AL33" si="16">L23/$K$11</f>
        <v>499.29307945205483</v>
      </c>
      <c r="M29" s="59">
        <f t="shared" si="16"/>
        <v>520.57108098630147</v>
      </c>
      <c r="N29" s="59">
        <f t="shared" si="16"/>
        <v>1302.8995515967122</v>
      </c>
      <c r="O29" s="59">
        <f t="shared" si="16"/>
        <v>1412.7438380541428</v>
      </c>
      <c r="P29" s="59">
        <f t="shared" si="16"/>
        <v>1412.7438380541428</v>
      </c>
      <c r="Q29" s="59">
        <f t="shared" si="16"/>
        <v>1659.7438380541428</v>
      </c>
      <c r="R29" s="59">
        <f t="shared" si="16"/>
        <v>1659.7438380541428</v>
      </c>
      <c r="S29" s="59">
        <f t="shared" si="16"/>
        <v>1972.9631895367158</v>
      </c>
      <c r="T29" s="59">
        <f t="shared" si="16"/>
        <v>1972.9631895367158</v>
      </c>
      <c r="U29" s="59">
        <f t="shared" si="16"/>
        <v>1972.9631895367158</v>
      </c>
      <c r="V29" s="59">
        <f t="shared" si="16"/>
        <v>1972.9631895367158</v>
      </c>
      <c r="W29" s="129">
        <f t="shared" si="16"/>
        <v>1972.9631895367158</v>
      </c>
      <c r="X29" s="59">
        <f t="shared" si="16"/>
        <v>1972.9631895367158</v>
      </c>
      <c r="Y29" s="59">
        <f t="shared" si="16"/>
        <v>1972.9631895367158</v>
      </c>
      <c r="Z29" s="59">
        <f t="shared" si="16"/>
        <v>1972.9631895367158</v>
      </c>
      <c r="AA29" s="59">
        <f t="shared" si="16"/>
        <v>1972.9631895367158</v>
      </c>
      <c r="AB29" s="129">
        <f t="shared" si="16"/>
        <v>1972.9631895367158</v>
      </c>
      <c r="AC29" s="59">
        <f t="shared" si="16"/>
        <v>1972.9631895367158</v>
      </c>
      <c r="AD29" s="59">
        <f t="shared" si="16"/>
        <v>1972.9631895367158</v>
      </c>
      <c r="AE29" s="59">
        <f t="shared" si="16"/>
        <v>1972.9631895367158</v>
      </c>
      <c r="AF29" s="59">
        <f t="shared" si="16"/>
        <v>1972.9631895367158</v>
      </c>
      <c r="AG29" s="59">
        <f t="shared" si="16"/>
        <v>1972.9631895367158</v>
      </c>
      <c r="AH29" s="59">
        <f t="shared" si="16"/>
        <v>1972.9631895367158</v>
      </c>
      <c r="AI29" s="59">
        <f t="shared" si="16"/>
        <v>1972.9631895367158</v>
      </c>
      <c r="AJ29" s="59">
        <f t="shared" si="16"/>
        <v>1972.9631895367158</v>
      </c>
      <c r="AK29" s="59">
        <f t="shared" si="16"/>
        <v>1972.9631895367158</v>
      </c>
      <c r="AL29" s="59">
        <f t="shared" si="16"/>
        <v>1972.9631895367158</v>
      </c>
    </row>
    <row r="30" spans="4:39">
      <c r="D30" t="s">
        <v>189</v>
      </c>
      <c r="E30" s="16" t="s">
        <v>156</v>
      </c>
      <c r="K30" s="59">
        <f t="shared" ref="K30:Z33" si="17">K24/$K$11</f>
        <v>370.13698630136986</v>
      </c>
      <c r="L30" s="59">
        <f t="shared" si="17"/>
        <v>349.50515561643834</v>
      </c>
      <c r="M30" s="59">
        <f t="shared" si="17"/>
        <v>364.39975669041104</v>
      </c>
      <c r="N30" s="59">
        <f t="shared" si="17"/>
        <v>651.44977579835609</v>
      </c>
      <c r="O30" s="59">
        <f t="shared" si="17"/>
        <v>0</v>
      </c>
      <c r="P30" s="59">
        <f t="shared" si="17"/>
        <v>0</v>
      </c>
      <c r="Q30" s="59">
        <f t="shared" si="17"/>
        <v>0</v>
      </c>
      <c r="R30" s="59">
        <f t="shared" si="17"/>
        <v>0</v>
      </c>
      <c r="S30" s="59">
        <f t="shared" si="17"/>
        <v>218.56318953671581</v>
      </c>
      <c r="T30" s="59">
        <f t="shared" si="17"/>
        <v>218.56318953671581</v>
      </c>
      <c r="U30" s="59">
        <f t="shared" si="17"/>
        <v>218.56318953671581</v>
      </c>
      <c r="V30" s="59">
        <f t="shared" si="17"/>
        <v>218.56318953671581</v>
      </c>
      <c r="W30" s="129">
        <f t="shared" si="17"/>
        <v>218.56318953671581</v>
      </c>
      <c r="X30" s="59">
        <f t="shared" si="17"/>
        <v>218.56318953671581</v>
      </c>
      <c r="Y30" s="59">
        <f t="shared" si="17"/>
        <v>218.56318953671581</v>
      </c>
      <c r="Z30" s="59">
        <f t="shared" si="17"/>
        <v>218.56318953671581</v>
      </c>
      <c r="AA30" s="59">
        <f t="shared" si="16"/>
        <v>218.56318953671581</v>
      </c>
      <c r="AB30" s="129">
        <f t="shared" si="16"/>
        <v>218.56318953671581</v>
      </c>
      <c r="AC30" s="59">
        <f t="shared" si="16"/>
        <v>218.56318953671581</v>
      </c>
      <c r="AD30" s="59">
        <f t="shared" si="16"/>
        <v>218.56318953671581</v>
      </c>
      <c r="AE30" s="59">
        <f t="shared" si="16"/>
        <v>218.56318953671581</v>
      </c>
      <c r="AF30" s="59">
        <f t="shared" si="16"/>
        <v>218.56318953671581</v>
      </c>
      <c r="AG30" s="59">
        <f t="shared" si="16"/>
        <v>218.56318953671581</v>
      </c>
      <c r="AH30" s="59">
        <f t="shared" si="16"/>
        <v>218.56318953671581</v>
      </c>
      <c r="AI30" s="59">
        <f t="shared" si="16"/>
        <v>218.56318953671581</v>
      </c>
      <c r="AJ30" s="59">
        <f t="shared" si="16"/>
        <v>218.56318953671581</v>
      </c>
      <c r="AK30" s="59">
        <f t="shared" si="16"/>
        <v>218.56318953671581</v>
      </c>
      <c r="AL30" s="59">
        <f t="shared" si="16"/>
        <v>218.56318953671581</v>
      </c>
      <c r="AM30" s="148">
        <f>SUMPRODUCT(M30:AL30,M11:AL11)/1000</f>
        <v>1967.3891789241093</v>
      </c>
    </row>
    <row r="31" spans="4:39">
      <c r="D31" s="89" t="s">
        <v>144</v>
      </c>
      <c r="E31" s="16" t="s">
        <v>156</v>
      </c>
      <c r="K31" s="59">
        <f>K25/K11</f>
        <v>158.63013698630138</v>
      </c>
      <c r="L31" s="59">
        <f t="shared" ref="L31:AL31" si="18">L25/L11</f>
        <v>149.37866721311477</v>
      </c>
      <c r="M31" s="59">
        <f t="shared" si="18"/>
        <v>156.17132429589043</v>
      </c>
      <c r="N31" s="59">
        <f t="shared" si="18"/>
        <v>651.44977579835609</v>
      </c>
      <c r="O31" s="59">
        <f t="shared" si="18"/>
        <v>1412.7438380541428</v>
      </c>
      <c r="P31" s="59">
        <f t="shared" si="18"/>
        <v>1408.8838822124646</v>
      </c>
      <c r="Q31" s="59">
        <f t="shared" si="18"/>
        <v>1659.7438380541428</v>
      </c>
      <c r="R31" s="59">
        <f t="shared" si="18"/>
        <v>1659.7438380541428</v>
      </c>
      <c r="S31" s="59">
        <f t="shared" si="18"/>
        <v>1754.4</v>
      </c>
      <c r="T31" s="59">
        <f t="shared" si="18"/>
        <v>1749.6065573770493</v>
      </c>
      <c r="U31" s="59">
        <f t="shared" si="18"/>
        <v>1754.4</v>
      </c>
      <c r="V31" s="59">
        <f t="shared" si="18"/>
        <v>1754.4</v>
      </c>
      <c r="W31" s="59">
        <f t="shared" si="18"/>
        <v>1754.4</v>
      </c>
      <c r="X31" s="59">
        <f t="shared" si="18"/>
        <v>1749.6065573770493</v>
      </c>
      <c r="Y31" s="59">
        <f t="shared" si="18"/>
        <v>1754.4</v>
      </c>
      <c r="Z31" s="59">
        <f t="shared" si="18"/>
        <v>1754.4</v>
      </c>
      <c r="AA31" s="59">
        <f t="shared" si="18"/>
        <v>1754.4</v>
      </c>
      <c r="AB31" s="59">
        <f t="shared" si="18"/>
        <v>1749.6065573770493</v>
      </c>
      <c r="AC31" s="59">
        <f t="shared" si="18"/>
        <v>1754.4</v>
      </c>
      <c r="AD31" s="59">
        <f t="shared" si="18"/>
        <v>1754.4</v>
      </c>
      <c r="AE31" s="59">
        <f t="shared" si="18"/>
        <v>1754.4</v>
      </c>
      <c r="AF31" s="59">
        <f t="shared" si="18"/>
        <v>1749.6065573770493</v>
      </c>
      <c r="AG31" s="59">
        <f t="shared" si="18"/>
        <v>1754.4</v>
      </c>
      <c r="AH31" s="59">
        <f t="shared" si="18"/>
        <v>1754.4</v>
      </c>
      <c r="AI31" s="59">
        <f t="shared" si="18"/>
        <v>1754.4</v>
      </c>
      <c r="AJ31" s="59">
        <f t="shared" si="18"/>
        <v>1749.6065573770493</v>
      </c>
      <c r="AK31" s="59">
        <f t="shared" si="18"/>
        <v>1754.4</v>
      </c>
      <c r="AL31" s="59">
        <f t="shared" si="18"/>
        <v>1754.4</v>
      </c>
    </row>
    <row r="32" spans="4:39">
      <c r="D32" t="s">
        <v>125</v>
      </c>
      <c r="E32" s="16" t="s">
        <v>156</v>
      </c>
      <c r="K32" s="59">
        <f t="shared" si="17"/>
        <v>0</v>
      </c>
      <c r="L32" s="59">
        <f t="shared" si="16"/>
        <v>0</v>
      </c>
      <c r="M32" s="59">
        <f t="shared" si="16"/>
        <v>0</v>
      </c>
      <c r="N32" s="59">
        <f t="shared" si="16"/>
        <v>0</v>
      </c>
      <c r="O32" s="59">
        <f t="shared" si="16"/>
        <v>0</v>
      </c>
      <c r="P32" s="59">
        <f t="shared" si="16"/>
        <v>0</v>
      </c>
      <c r="Q32" s="59">
        <f t="shared" si="16"/>
        <v>0</v>
      </c>
      <c r="R32" s="59">
        <f t="shared" si="16"/>
        <v>0</v>
      </c>
      <c r="S32" s="59">
        <f t="shared" si="16"/>
        <v>0</v>
      </c>
      <c r="T32" s="59">
        <f t="shared" si="16"/>
        <v>0</v>
      </c>
      <c r="U32" s="59">
        <f t="shared" si="16"/>
        <v>0</v>
      </c>
      <c r="V32" s="59">
        <f t="shared" si="16"/>
        <v>0</v>
      </c>
      <c r="W32" s="129">
        <f t="shared" si="16"/>
        <v>0</v>
      </c>
      <c r="X32" s="59">
        <f t="shared" si="16"/>
        <v>0</v>
      </c>
      <c r="Y32" s="59">
        <f t="shared" si="16"/>
        <v>0</v>
      </c>
      <c r="Z32" s="59">
        <f t="shared" si="16"/>
        <v>0</v>
      </c>
      <c r="AA32" s="59">
        <f t="shared" si="16"/>
        <v>0</v>
      </c>
      <c r="AB32" s="129">
        <f t="shared" si="16"/>
        <v>0</v>
      </c>
      <c r="AC32" s="59">
        <f t="shared" si="16"/>
        <v>0</v>
      </c>
      <c r="AD32" s="59">
        <f t="shared" si="16"/>
        <v>0</v>
      </c>
      <c r="AE32" s="59">
        <f t="shared" si="16"/>
        <v>0</v>
      </c>
      <c r="AF32" s="59">
        <f t="shared" si="16"/>
        <v>0</v>
      </c>
      <c r="AG32" s="59">
        <f t="shared" si="16"/>
        <v>0</v>
      </c>
      <c r="AH32" s="59">
        <f t="shared" si="16"/>
        <v>0</v>
      </c>
      <c r="AI32" s="59">
        <f t="shared" si="16"/>
        <v>0</v>
      </c>
      <c r="AJ32" s="59">
        <f t="shared" si="16"/>
        <v>0</v>
      </c>
      <c r="AK32" s="59">
        <f t="shared" si="16"/>
        <v>0</v>
      </c>
      <c r="AL32" s="59">
        <f t="shared" si="16"/>
        <v>0</v>
      </c>
    </row>
    <row r="33" spans="4:38">
      <c r="D33" t="s">
        <v>191</v>
      </c>
      <c r="E33" s="16" t="s">
        <v>156</v>
      </c>
      <c r="K33" s="59">
        <f t="shared" si="17"/>
        <v>0</v>
      </c>
      <c r="L33" s="59">
        <f t="shared" si="16"/>
        <v>0</v>
      </c>
      <c r="M33" s="59">
        <f t="shared" si="16"/>
        <v>0</v>
      </c>
      <c r="N33" s="59">
        <f t="shared" si="16"/>
        <v>0</v>
      </c>
      <c r="O33" s="59">
        <f t="shared" si="16"/>
        <v>0</v>
      </c>
      <c r="P33" s="59">
        <f t="shared" si="16"/>
        <v>0</v>
      </c>
      <c r="Q33" s="59">
        <f t="shared" si="16"/>
        <v>0</v>
      </c>
      <c r="R33" s="59">
        <f t="shared" si="16"/>
        <v>0</v>
      </c>
      <c r="S33" s="59">
        <f t="shared" si="16"/>
        <v>0</v>
      </c>
      <c r="T33" s="59">
        <f t="shared" si="16"/>
        <v>0</v>
      </c>
      <c r="U33" s="59">
        <f t="shared" si="16"/>
        <v>0</v>
      </c>
      <c r="V33" s="59">
        <f t="shared" si="16"/>
        <v>0</v>
      </c>
      <c r="W33" s="129">
        <f t="shared" si="16"/>
        <v>0</v>
      </c>
      <c r="X33" s="59">
        <f t="shared" si="16"/>
        <v>0</v>
      </c>
      <c r="Y33" s="59">
        <f t="shared" si="16"/>
        <v>0</v>
      </c>
      <c r="Z33" s="59">
        <f t="shared" si="16"/>
        <v>0</v>
      </c>
      <c r="AA33" s="59">
        <f t="shared" si="16"/>
        <v>0</v>
      </c>
      <c r="AB33" s="129">
        <f t="shared" si="16"/>
        <v>0</v>
      </c>
      <c r="AC33" s="59">
        <f t="shared" si="16"/>
        <v>0</v>
      </c>
      <c r="AD33" s="59">
        <f t="shared" si="16"/>
        <v>0</v>
      </c>
      <c r="AE33" s="59">
        <f t="shared" si="16"/>
        <v>0</v>
      </c>
      <c r="AF33" s="59">
        <f t="shared" si="16"/>
        <v>0</v>
      </c>
      <c r="AG33" s="59">
        <f t="shared" si="16"/>
        <v>0</v>
      </c>
      <c r="AH33" s="59">
        <f t="shared" si="16"/>
        <v>0</v>
      </c>
      <c r="AI33" s="59">
        <f t="shared" si="16"/>
        <v>0</v>
      </c>
      <c r="AJ33" s="59">
        <f t="shared" si="16"/>
        <v>0</v>
      </c>
      <c r="AK33" s="59">
        <f t="shared" si="16"/>
        <v>0</v>
      </c>
      <c r="AL33" s="59">
        <f t="shared" si="16"/>
        <v>0</v>
      </c>
    </row>
    <row r="34" spans="4:38" ht="15">
      <c r="D34" s="4" t="s">
        <v>194</v>
      </c>
      <c r="K34" s="65">
        <f>K30/K29</f>
        <v>0.70000000000000007</v>
      </c>
      <c r="L34" s="65">
        <f t="shared" ref="L34:AL34" si="19">L30/L29</f>
        <v>0.7</v>
      </c>
      <c r="M34" s="65">
        <f t="shared" si="19"/>
        <v>0.70000000000000007</v>
      </c>
      <c r="N34" s="65">
        <f t="shared" si="19"/>
        <v>0.5</v>
      </c>
      <c r="O34" s="65">
        <f t="shared" si="19"/>
        <v>0</v>
      </c>
      <c r="P34" s="65">
        <f t="shared" si="19"/>
        <v>0</v>
      </c>
      <c r="Q34" s="65">
        <f t="shared" si="19"/>
        <v>0</v>
      </c>
      <c r="R34" s="65">
        <f t="shared" si="19"/>
        <v>0</v>
      </c>
      <c r="S34" s="65">
        <f t="shared" si="19"/>
        <v>0.11077915223954991</v>
      </c>
      <c r="T34" s="65">
        <f t="shared" si="19"/>
        <v>0.11077915223954991</v>
      </c>
      <c r="U34" s="65">
        <f t="shared" si="19"/>
        <v>0.11077915223954991</v>
      </c>
      <c r="V34" s="65">
        <f t="shared" si="19"/>
        <v>0.11077915223954991</v>
      </c>
      <c r="W34" s="65">
        <f t="shared" si="19"/>
        <v>0.11077915223954991</v>
      </c>
      <c r="X34" s="65">
        <f t="shared" si="19"/>
        <v>0.11077915223954991</v>
      </c>
      <c r="Y34" s="65">
        <f t="shared" si="19"/>
        <v>0.11077915223954991</v>
      </c>
      <c r="Z34" s="65">
        <f t="shared" si="19"/>
        <v>0.11077915223954991</v>
      </c>
      <c r="AA34" s="65">
        <f t="shared" si="19"/>
        <v>0.11077915223954991</v>
      </c>
      <c r="AB34" s="65">
        <f t="shared" si="19"/>
        <v>0.11077915223954991</v>
      </c>
      <c r="AC34" s="65">
        <f t="shared" si="19"/>
        <v>0.11077915223954991</v>
      </c>
      <c r="AD34" s="65">
        <f t="shared" si="19"/>
        <v>0.11077915223954991</v>
      </c>
      <c r="AE34" s="65">
        <f t="shared" si="19"/>
        <v>0.11077915223954991</v>
      </c>
      <c r="AF34" s="65">
        <f t="shared" si="19"/>
        <v>0.11077915223954991</v>
      </c>
      <c r="AG34" s="65">
        <f t="shared" si="19"/>
        <v>0.11077915223954991</v>
      </c>
      <c r="AH34" s="65">
        <f t="shared" si="19"/>
        <v>0.11077915223954991</v>
      </c>
      <c r="AI34" s="65">
        <f t="shared" si="19"/>
        <v>0.11077915223954991</v>
      </c>
      <c r="AJ34" s="65">
        <f t="shared" si="19"/>
        <v>0.11077915223954991</v>
      </c>
      <c r="AK34" s="65">
        <f t="shared" si="19"/>
        <v>0.11077915223954991</v>
      </c>
      <c r="AL34" s="65">
        <f t="shared" si="19"/>
        <v>0.11077915223954991</v>
      </c>
    </row>
    <row r="35" spans="4:38">
      <c r="D35" t="s">
        <v>189</v>
      </c>
      <c r="E35" s="16" t="s">
        <v>195</v>
      </c>
      <c r="K35" s="60">
        <f>K24/Inputs!F34</f>
        <v>4.48E-2</v>
      </c>
    </row>
    <row r="36" spans="4:38">
      <c r="D36" t="s">
        <v>144</v>
      </c>
      <c r="E36" s="16" t="s">
        <v>195</v>
      </c>
      <c r="K36" s="61">
        <f>K25/Inputs!F34</f>
        <v>1.9199999999999998E-2</v>
      </c>
      <c r="O36">
        <f>0.85*2000</f>
        <v>1700</v>
      </c>
      <c r="Q36">
        <f>Q30/Q29</f>
        <v>0</v>
      </c>
    </row>
    <row r="37" spans="4:38">
      <c r="D37" t="s">
        <v>125</v>
      </c>
      <c r="E37" s="16" t="s">
        <v>195</v>
      </c>
      <c r="K37" s="62"/>
    </row>
    <row r="38" spans="4:38">
      <c r="D38" t="s">
        <v>191</v>
      </c>
      <c r="E38" s="16" t="s">
        <v>195</v>
      </c>
      <c r="K38" s="62"/>
    </row>
    <row r="39" spans="4:38">
      <c r="E39" s="16"/>
      <c r="K39" s="66"/>
    </row>
    <row r="40" spans="4:38" ht="18">
      <c r="D40" s="15" t="s">
        <v>226</v>
      </c>
    </row>
    <row r="41" spans="4:38" ht="15">
      <c r="D41" s="4" t="s">
        <v>212</v>
      </c>
      <c r="E41" s="16" t="s">
        <v>145</v>
      </c>
      <c r="K41" s="116">
        <f>K23*Inputs!E117</f>
        <v>67550</v>
      </c>
      <c r="L41" s="116">
        <f>L23*Inputs!F117</f>
        <v>63784.690900000001</v>
      </c>
      <c r="M41" s="116">
        <f>M23*Inputs!G117</f>
        <v>66502.955596000014</v>
      </c>
      <c r="N41" s="116">
        <f>N23*Inputs!H117</f>
        <v>166445.41771647998</v>
      </c>
      <c r="O41" s="116">
        <f>O23*Inputs!I117</f>
        <v>180478.02531141671</v>
      </c>
      <c r="P41" s="116">
        <f>P23*Inputs!$J$117</f>
        <v>180478.02531141671</v>
      </c>
      <c r="Q41" s="116">
        <f>Q23*Inputs!$J$117</f>
        <v>212032.27531141671</v>
      </c>
      <c r="R41" s="116">
        <f>R23*Inputs!$J$117</f>
        <v>212032.27531141671</v>
      </c>
      <c r="S41" s="116">
        <f>S23*Inputs!$J$117</f>
        <v>252046.04746331542</v>
      </c>
      <c r="T41" s="116">
        <f>T23*Inputs!$J$117</f>
        <v>252046.04746331542</v>
      </c>
      <c r="U41" s="116">
        <f>U23*Inputs!$J$117</f>
        <v>252046.04746331542</v>
      </c>
      <c r="V41" s="116">
        <f>V23*Inputs!$J$117</f>
        <v>252046.04746331542</v>
      </c>
      <c r="W41" s="116">
        <f>W23*Inputs!$J$117</f>
        <v>252046.04746331542</v>
      </c>
      <c r="X41" s="116">
        <f>X23*Inputs!$J$117</f>
        <v>252046.04746331542</v>
      </c>
      <c r="Y41" s="116">
        <f>Y23*Inputs!$J$117</f>
        <v>252046.04746331542</v>
      </c>
      <c r="Z41" s="116">
        <f>Z23*Inputs!$J$117</f>
        <v>252046.04746331542</v>
      </c>
      <c r="AA41" s="116">
        <f>AA23*Inputs!$J$117</f>
        <v>252046.04746331542</v>
      </c>
      <c r="AB41" s="116">
        <f>AB23*Inputs!$J$117</f>
        <v>252046.04746331542</v>
      </c>
      <c r="AC41" s="116">
        <f>AC23*Inputs!$J$117</f>
        <v>252046.04746331542</v>
      </c>
      <c r="AD41" s="116">
        <f>AD23*Inputs!$J$117</f>
        <v>252046.04746331542</v>
      </c>
      <c r="AE41" s="116">
        <f>AE23*Inputs!$J$117</f>
        <v>252046.04746331542</v>
      </c>
      <c r="AF41" s="116">
        <f>AF23*Inputs!$J$117</f>
        <v>252046.04746331542</v>
      </c>
      <c r="AG41" s="116">
        <f>AG23*Inputs!$J$117</f>
        <v>252046.04746331542</v>
      </c>
      <c r="AH41" s="116">
        <f>AH23*Inputs!$J$117</f>
        <v>252046.04746331542</v>
      </c>
      <c r="AI41" s="116">
        <f>AI23*Inputs!$J$117</f>
        <v>252046.04746331542</v>
      </c>
      <c r="AJ41" s="116">
        <f>AJ23*Inputs!$J$117</f>
        <v>252046.04746331542</v>
      </c>
      <c r="AK41" s="116">
        <f>AK23*Inputs!$J$117</f>
        <v>252046.04746331542</v>
      </c>
      <c r="AL41" s="116">
        <f>AL23*Inputs!$J$117</f>
        <v>252046.04746331542</v>
      </c>
    </row>
    <row r="42" spans="4:38">
      <c r="D42" s="7" t="s">
        <v>122</v>
      </c>
      <c r="E42" s="16" t="s">
        <v>145</v>
      </c>
      <c r="K42" s="116">
        <f>(K41*Inputs!E118)*Inputs!E120</f>
        <v>48804.875</v>
      </c>
      <c r="L42" s="116">
        <f>(L41*Inputs!F118)*Inputs!F120</f>
        <v>46084.439175250001</v>
      </c>
      <c r="M42" s="116">
        <f>(M41*Inputs!G118)*Inputs!G120</f>
        <v>48048.385418110011</v>
      </c>
      <c r="N42" s="116">
        <f>(N41*Inputs!H118)*Inputs!H120</f>
        <v>120256.81430015677</v>
      </c>
      <c r="O42" s="116">
        <f>(O41*Inputs!I118)*Inputs!I120</f>
        <v>130395.37328749857</v>
      </c>
      <c r="P42" s="116">
        <f>(P41*Inputs!$J$118)*Inputs!$J$120</f>
        <v>130395.37328749857</v>
      </c>
      <c r="Q42" s="116">
        <f>(Q41*Inputs!$J$118)*Inputs!$J$120</f>
        <v>153193.31891249857</v>
      </c>
      <c r="R42" s="116">
        <f>(R41*Inputs!$J$118)*Inputs!$J$120</f>
        <v>153193.31891249857</v>
      </c>
      <c r="S42" s="116">
        <f>(S41*Inputs!$J$118)*Inputs!$J$120</f>
        <v>182103.26929224539</v>
      </c>
      <c r="T42" s="116">
        <f>(T41*Inputs!$J$118)*Inputs!$J$120</f>
        <v>182103.26929224539</v>
      </c>
      <c r="U42" s="116">
        <f>(U41*Inputs!$J$118)*Inputs!$J$120</f>
        <v>182103.26929224539</v>
      </c>
      <c r="V42" s="116">
        <f>(V41*Inputs!$J$118)*Inputs!$J$120</f>
        <v>182103.26929224539</v>
      </c>
      <c r="W42" s="116">
        <f>(W41*Inputs!$J$118)*Inputs!$J$120</f>
        <v>182103.26929224539</v>
      </c>
      <c r="X42" s="116">
        <f>(X41*Inputs!$J$118)*Inputs!$J$120</f>
        <v>182103.26929224539</v>
      </c>
      <c r="Y42" s="116">
        <f>(Y41*Inputs!$J$118)*Inputs!$J$120</f>
        <v>182103.26929224539</v>
      </c>
      <c r="Z42" s="116">
        <f>(Z41*Inputs!$J$118)*Inputs!$J$120</f>
        <v>182103.26929224539</v>
      </c>
      <c r="AA42" s="116">
        <f>(AA41*Inputs!$J$118)*Inputs!$J$120</f>
        <v>182103.26929224539</v>
      </c>
      <c r="AB42" s="116">
        <f>(AB41*Inputs!$J$118)*Inputs!$J$120</f>
        <v>182103.26929224539</v>
      </c>
      <c r="AC42" s="116">
        <f>(AC41*Inputs!$J$118)*Inputs!$J$120</f>
        <v>182103.26929224539</v>
      </c>
      <c r="AD42" s="116">
        <f>(AD41*Inputs!$J$118)*Inputs!$J$120</f>
        <v>182103.26929224539</v>
      </c>
      <c r="AE42" s="116">
        <f>(AE41*Inputs!$J$118)*Inputs!$J$120</f>
        <v>182103.26929224539</v>
      </c>
      <c r="AF42" s="116">
        <f>(AF41*Inputs!$J$118)*Inputs!$J$120</f>
        <v>182103.26929224539</v>
      </c>
      <c r="AG42" s="116">
        <f>(AG41*Inputs!$J$118)*Inputs!$J$120</f>
        <v>182103.26929224539</v>
      </c>
      <c r="AH42" s="116">
        <f>(AH41*Inputs!$J$118)*Inputs!$J$120</f>
        <v>182103.26929224539</v>
      </c>
      <c r="AI42" s="116">
        <f>(AI41*Inputs!$J$118)*Inputs!$J$120</f>
        <v>182103.26929224539</v>
      </c>
      <c r="AJ42" s="116">
        <f>(AJ41*Inputs!$J$118)*Inputs!$J$120</f>
        <v>182103.26929224539</v>
      </c>
      <c r="AK42" s="116">
        <f>(AK41*Inputs!$J$118)*Inputs!$J$120</f>
        <v>182103.26929224539</v>
      </c>
      <c r="AL42" s="116">
        <f>(AL41*Inputs!$J$118)*Inputs!$J$120</f>
        <v>182103.26929224539</v>
      </c>
    </row>
    <row r="43" spans="4:38">
      <c r="D43" s="7" t="s">
        <v>219</v>
      </c>
      <c r="E43" s="16" t="s">
        <v>145</v>
      </c>
      <c r="K43" s="116">
        <f>K41*Inputs!E119</f>
        <v>10132.5</v>
      </c>
      <c r="L43" s="116">
        <f>L41*Inputs!F119</f>
        <v>9567.7036349999998</v>
      </c>
      <c r="M43" s="116">
        <f>M41*Inputs!G119</f>
        <v>9975.4433394000025</v>
      </c>
      <c r="N43" s="116">
        <f>N41*Inputs!H119</f>
        <v>24966.812657471997</v>
      </c>
      <c r="O43" s="116">
        <f>O41*Inputs!I119</f>
        <v>27071.703796712507</v>
      </c>
      <c r="P43" s="116">
        <f>P41*Inputs!$J$119</f>
        <v>27071.703796712507</v>
      </c>
      <c r="Q43" s="116">
        <f>Q41*Inputs!$J$119</f>
        <v>31804.841296712504</v>
      </c>
      <c r="R43" s="116">
        <f>R41*Inputs!$J$119</f>
        <v>31804.841296712504</v>
      </c>
      <c r="S43" s="116">
        <f>S41*Inputs!$J$119</f>
        <v>37806.907119497315</v>
      </c>
      <c r="T43" s="116">
        <f>T41*Inputs!$J$119</f>
        <v>37806.907119497315</v>
      </c>
      <c r="U43" s="116">
        <f>U41*Inputs!$J$119</f>
        <v>37806.907119497315</v>
      </c>
      <c r="V43" s="116">
        <f>V41*Inputs!$J$119</f>
        <v>37806.907119497315</v>
      </c>
      <c r="W43" s="116">
        <f>W41*Inputs!$J$119</f>
        <v>37806.907119497315</v>
      </c>
      <c r="X43" s="116">
        <f>X41*Inputs!$J$119</f>
        <v>37806.907119497315</v>
      </c>
      <c r="Y43" s="116">
        <f>Y41*Inputs!$J$119</f>
        <v>37806.907119497315</v>
      </c>
      <c r="Z43" s="116">
        <f>Z41*Inputs!$J$119</f>
        <v>37806.907119497315</v>
      </c>
      <c r="AA43" s="116">
        <f>AA41*Inputs!$J$119</f>
        <v>37806.907119497315</v>
      </c>
      <c r="AB43" s="116">
        <f>AB41*Inputs!$J$119</f>
        <v>37806.907119497315</v>
      </c>
      <c r="AC43" s="116">
        <f>AC41*Inputs!$J$119</f>
        <v>37806.907119497315</v>
      </c>
      <c r="AD43" s="116">
        <f>AD41*Inputs!$J$119</f>
        <v>37806.907119497315</v>
      </c>
      <c r="AE43" s="116">
        <f>AE41*Inputs!$J$119</f>
        <v>37806.907119497315</v>
      </c>
      <c r="AF43" s="116">
        <f>AF41*Inputs!$J$119</f>
        <v>37806.907119497315</v>
      </c>
      <c r="AG43" s="116">
        <f>AG41*Inputs!$J$119</f>
        <v>37806.907119497315</v>
      </c>
      <c r="AH43" s="116">
        <f>AH41*Inputs!$J$119</f>
        <v>37806.907119497315</v>
      </c>
      <c r="AI43" s="116">
        <f>AI41*Inputs!$J$119</f>
        <v>37806.907119497315</v>
      </c>
      <c r="AJ43" s="116">
        <f>AJ41*Inputs!$J$119</f>
        <v>37806.907119497315</v>
      </c>
      <c r="AK43" s="116">
        <f>AK41*Inputs!$J$119</f>
        <v>37806.907119497315</v>
      </c>
      <c r="AL43" s="116">
        <f>AL41*Inputs!$J$119</f>
        <v>37806.907119497315</v>
      </c>
    </row>
    <row r="44" spans="4:38" ht="15">
      <c r="D44" s="67" t="s">
        <v>227</v>
      </c>
      <c r="E44" s="16" t="s">
        <v>145</v>
      </c>
      <c r="K44" s="116">
        <f>K23*Inputs!E114</f>
        <v>115800</v>
      </c>
      <c r="L44" s="116">
        <f>L23*Inputs!F114</f>
        <v>109345.18440000001</v>
      </c>
      <c r="M44" s="116">
        <f>M23*Inputs!G114</f>
        <v>114005.06673600002</v>
      </c>
      <c r="N44" s="116">
        <f>N23*Inputs!H114</f>
        <v>285335.00179968</v>
      </c>
      <c r="O44" s="116">
        <f>O23*Inputs!I114</f>
        <v>309390.90053385723</v>
      </c>
      <c r="P44" s="116">
        <f>P23*Inputs!$J$114</f>
        <v>309390.90053385723</v>
      </c>
      <c r="Q44" s="116">
        <f>Q23*Inputs!$J$114</f>
        <v>363483.90053385723</v>
      </c>
      <c r="R44" s="116">
        <f>R23*Inputs!$J$114</f>
        <v>363483.90053385723</v>
      </c>
      <c r="S44" s="116">
        <f>S23*Inputs!$J$114</f>
        <v>432078.93850854074</v>
      </c>
      <c r="T44" s="116">
        <f>T23*Inputs!$J$114</f>
        <v>432078.93850854074</v>
      </c>
      <c r="U44" s="116">
        <f>U23*Inputs!$J$114</f>
        <v>432078.93850854074</v>
      </c>
      <c r="V44" s="116">
        <f>V23*Inputs!$J$114</f>
        <v>432078.93850854074</v>
      </c>
      <c r="W44" s="116">
        <f>W23*Inputs!$J$114</f>
        <v>432078.93850854074</v>
      </c>
      <c r="X44" s="116">
        <f>X23*Inputs!$J$114</f>
        <v>432078.93850854074</v>
      </c>
      <c r="Y44" s="116">
        <f>Y23*Inputs!$J$114</f>
        <v>432078.93850854074</v>
      </c>
      <c r="Z44" s="116">
        <f>Z23*Inputs!$J$114</f>
        <v>432078.93850854074</v>
      </c>
      <c r="AA44" s="116">
        <f>AA23*Inputs!$J$114</f>
        <v>432078.93850854074</v>
      </c>
      <c r="AB44" s="116">
        <f>AB23*Inputs!$J$114</f>
        <v>432078.93850854074</v>
      </c>
      <c r="AC44" s="116">
        <f>AC23*Inputs!$J$114</f>
        <v>432078.93850854074</v>
      </c>
      <c r="AD44" s="116">
        <f>AD23*Inputs!$J$114</f>
        <v>432078.93850854074</v>
      </c>
      <c r="AE44" s="116">
        <f>AE23*Inputs!$J$114</f>
        <v>432078.93850854074</v>
      </c>
      <c r="AF44" s="116">
        <f>AF23*Inputs!$J$114</f>
        <v>432078.93850854074</v>
      </c>
      <c r="AG44" s="116">
        <f>AG23*Inputs!$J$114</f>
        <v>432078.93850854074</v>
      </c>
      <c r="AH44" s="116">
        <f>AH23*Inputs!$J$114</f>
        <v>432078.93850854074</v>
      </c>
      <c r="AI44" s="116">
        <f>AI23*Inputs!$J$114</f>
        <v>432078.93850854074</v>
      </c>
      <c r="AJ44" s="116">
        <f>AJ23*Inputs!$J$114</f>
        <v>432078.93850854074</v>
      </c>
      <c r="AK44" s="116">
        <f>AK23*Inputs!$J$114</f>
        <v>432078.93850854074</v>
      </c>
      <c r="AL44" s="116">
        <f>AL23*Inputs!$J$114</f>
        <v>432078.93850854074</v>
      </c>
    </row>
    <row r="45" spans="4:38">
      <c r="D45" s="7" t="s">
        <v>394</v>
      </c>
      <c r="E45" s="16" t="s">
        <v>145</v>
      </c>
      <c r="J45" s="65"/>
      <c r="K45" s="116">
        <f>K44*Inputs!E115</f>
        <v>11580</v>
      </c>
      <c r="L45" s="116">
        <f>L44*Inputs!F115</f>
        <v>10934.518440000002</v>
      </c>
      <c r="M45" s="116">
        <f>M44*Inputs!G115</f>
        <v>11400.506673600003</v>
      </c>
      <c r="N45" s="116">
        <f>N44*Inputs!H115</f>
        <v>28533.500179968003</v>
      </c>
      <c r="O45" s="116">
        <f>O44*Inputs!I115</f>
        <v>30939.090053385724</v>
      </c>
      <c r="P45" s="116">
        <f>P44*Inputs!J115</f>
        <v>30939.090053385724</v>
      </c>
      <c r="Q45" s="116">
        <f>P45</f>
        <v>30939.090053385724</v>
      </c>
      <c r="R45" s="116">
        <f t="shared" ref="R45:AL45" si="20">Q45</f>
        <v>30939.090053385724</v>
      </c>
      <c r="S45" s="116">
        <f t="shared" si="20"/>
        <v>30939.090053385724</v>
      </c>
      <c r="T45" s="116">
        <f t="shared" si="20"/>
        <v>30939.090053385724</v>
      </c>
      <c r="U45" s="116">
        <f t="shared" si="20"/>
        <v>30939.090053385724</v>
      </c>
      <c r="V45" s="116">
        <f t="shared" si="20"/>
        <v>30939.090053385724</v>
      </c>
      <c r="W45" s="116">
        <f t="shared" si="20"/>
        <v>30939.090053385724</v>
      </c>
      <c r="X45" s="116">
        <f t="shared" si="20"/>
        <v>30939.090053385724</v>
      </c>
      <c r="Y45" s="116">
        <f t="shared" si="20"/>
        <v>30939.090053385724</v>
      </c>
      <c r="Z45" s="116">
        <f t="shared" si="20"/>
        <v>30939.090053385724</v>
      </c>
      <c r="AA45" s="116">
        <f t="shared" si="20"/>
        <v>30939.090053385724</v>
      </c>
      <c r="AB45" s="116">
        <f t="shared" si="20"/>
        <v>30939.090053385724</v>
      </c>
      <c r="AC45" s="116">
        <f t="shared" si="20"/>
        <v>30939.090053385724</v>
      </c>
      <c r="AD45" s="116">
        <f t="shared" si="20"/>
        <v>30939.090053385724</v>
      </c>
      <c r="AE45" s="116">
        <f t="shared" si="20"/>
        <v>30939.090053385724</v>
      </c>
      <c r="AF45" s="116">
        <f t="shared" si="20"/>
        <v>30939.090053385724</v>
      </c>
      <c r="AG45" s="116">
        <f t="shared" si="20"/>
        <v>30939.090053385724</v>
      </c>
      <c r="AH45" s="116">
        <f t="shared" si="20"/>
        <v>30939.090053385724</v>
      </c>
      <c r="AI45" s="116">
        <f t="shared" si="20"/>
        <v>30939.090053385724</v>
      </c>
      <c r="AJ45" s="116">
        <f t="shared" si="20"/>
        <v>30939.090053385724</v>
      </c>
      <c r="AK45" s="116">
        <f t="shared" si="20"/>
        <v>30939.090053385724</v>
      </c>
      <c r="AL45" s="116">
        <f t="shared" si="20"/>
        <v>30939.090053385724</v>
      </c>
    </row>
    <row r="46" spans="4:38">
      <c r="D46" s="7" t="s">
        <v>395</v>
      </c>
      <c r="E46" s="16" t="s">
        <v>145</v>
      </c>
      <c r="J46" s="65"/>
      <c r="K46" s="116">
        <f>Inputs!E116*K44</f>
        <v>104220</v>
      </c>
      <c r="L46" s="116">
        <f>Inputs!F116*L44</f>
        <v>98410.665960000013</v>
      </c>
      <c r="M46" s="116">
        <f>Inputs!G116*M44</f>
        <v>102604.56006240002</v>
      </c>
      <c r="N46" s="116">
        <f>Inputs!H116*N44</f>
        <v>256801.50161971201</v>
      </c>
      <c r="O46" s="116">
        <f>Inputs!I116*O44</f>
        <v>278451.81048047153</v>
      </c>
      <c r="P46" s="116">
        <f>Inputs!J116*P44</f>
        <v>278451.81048047153</v>
      </c>
      <c r="Q46" s="116">
        <f t="shared" ref="Q46:AL46" si="21">P46</f>
        <v>278451.81048047153</v>
      </c>
      <c r="R46" s="116">
        <f t="shared" si="21"/>
        <v>278451.81048047153</v>
      </c>
      <c r="S46" s="116">
        <f t="shared" si="21"/>
        <v>278451.81048047153</v>
      </c>
      <c r="T46" s="116">
        <f t="shared" si="21"/>
        <v>278451.81048047153</v>
      </c>
      <c r="U46" s="116">
        <f t="shared" si="21"/>
        <v>278451.81048047153</v>
      </c>
      <c r="V46" s="116">
        <f t="shared" si="21"/>
        <v>278451.81048047153</v>
      </c>
      <c r="W46" s="116">
        <f t="shared" si="21"/>
        <v>278451.81048047153</v>
      </c>
      <c r="X46" s="116">
        <f t="shared" si="21"/>
        <v>278451.81048047153</v>
      </c>
      <c r="Y46" s="116">
        <f t="shared" si="21"/>
        <v>278451.81048047153</v>
      </c>
      <c r="Z46" s="116">
        <f t="shared" si="21"/>
        <v>278451.81048047153</v>
      </c>
      <c r="AA46" s="116">
        <f t="shared" si="21"/>
        <v>278451.81048047153</v>
      </c>
      <c r="AB46" s="116">
        <f t="shared" si="21"/>
        <v>278451.81048047153</v>
      </c>
      <c r="AC46" s="116">
        <f t="shared" si="21"/>
        <v>278451.81048047153</v>
      </c>
      <c r="AD46" s="116">
        <f t="shared" si="21"/>
        <v>278451.81048047153</v>
      </c>
      <c r="AE46" s="116">
        <f t="shared" si="21"/>
        <v>278451.81048047153</v>
      </c>
      <c r="AF46" s="116">
        <f t="shared" si="21"/>
        <v>278451.81048047153</v>
      </c>
      <c r="AG46" s="116">
        <f t="shared" si="21"/>
        <v>278451.81048047153</v>
      </c>
      <c r="AH46" s="116">
        <f t="shared" si="21"/>
        <v>278451.81048047153</v>
      </c>
      <c r="AI46" s="116">
        <f t="shared" si="21"/>
        <v>278451.81048047153</v>
      </c>
      <c r="AJ46" s="116">
        <f t="shared" si="21"/>
        <v>278451.81048047153</v>
      </c>
      <c r="AK46" s="116">
        <f t="shared" si="21"/>
        <v>278451.81048047153</v>
      </c>
      <c r="AL46" s="116">
        <f t="shared" si="21"/>
        <v>278451.81048047153</v>
      </c>
    </row>
    <row r="47" spans="4:38" ht="15">
      <c r="D47" s="67" t="s">
        <v>228</v>
      </c>
      <c r="E47" s="16" t="s">
        <v>145</v>
      </c>
      <c r="K47" s="116">
        <f>K23*Inputs!E113</f>
        <v>9650</v>
      </c>
      <c r="L47" s="116">
        <f>L23*Inputs!F113</f>
        <v>9112.0987000000005</v>
      </c>
      <c r="M47" s="116">
        <f>M23*Inputs!G113</f>
        <v>9500.4222280000013</v>
      </c>
      <c r="N47" s="116">
        <f>N23*Inputs!H113</f>
        <v>23777.916816640001</v>
      </c>
      <c r="O47" s="116">
        <f>O23*Inputs!I113</f>
        <v>25782.575044488105</v>
      </c>
      <c r="P47" s="116">
        <f>P23*Inputs!$J$113</f>
        <v>25782.575044488105</v>
      </c>
      <c r="Q47" s="116">
        <f>Q23*Inputs!$J$113</f>
        <v>30290.325044488105</v>
      </c>
      <c r="R47" s="116">
        <f>R23*Inputs!$J$113</f>
        <v>30290.325044488105</v>
      </c>
      <c r="S47" s="116">
        <f>S23*Inputs!$J$113</f>
        <v>36006.578209045067</v>
      </c>
      <c r="T47" s="116">
        <f>T23*Inputs!$J$113</f>
        <v>36006.578209045067</v>
      </c>
      <c r="U47" s="116">
        <f>U23*Inputs!$J$113</f>
        <v>36006.578209045067</v>
      </c>
      <c r="V47" s="116">
        <f>V23*Inputs!$J$113</f>
        <v>36006.578209045067</v>
      </c>
      <c r="W47" s="116">
        <f>W23*Inputs!$J$113</f>
        <v>36006.578209045067</v>
      </c>
      <c r="X47" s="116">
        <f>X23*Inputs!$J$113</f>
        <v>36006.578209045067</v>
      </c>
      <c r="Y47" s="116">
        <f>Y23*Inputs!$J$113</f>
        <v>36006.578209045067</v>
      </c>
      <c r="Z47" s="116">
        <f>Z23*Inputs!$J$113</f>
        <v>36006.578209045067</v>
      </c>
      <c r="AA47" s="116">
        <f>AA23*Inputs!$J$113</f>
        <v>36006.578209045067</v>
      </c>
      <c r="AB47" s="116">
        <f>AB23*Inputs!$J$113</f>
        <v>36006.578209045067</v>
      </c>
      <c r="AC47" s="116">
        <f>AC23*Inputs!$J$113</f>
        <v>36006.578209045067</v>
      </c>
      <c r="AD47" s="116">
        <f>AD23*Inputs!$J$113</f>
        <v>36006.578209045067</v>
      </c>
      <c r="AE47" s="116">
        <f>AE23*Inputs!$J$113</f>
        <v>36006.578209045067</v>
      </c>
      <c r="AF47" s="116">
        <f>AF23*Inputs!$J$113</f>
        <v>36006.578209045067</v>
      </c>
      <c r="AG47" s="116">
        <f>AG23*Inputs!$J$113</f>
        <v>36006.578209045067</v>
      </c>
      <c r="AH47" s="116">
        <f>AH23*Inputs!$J$113</f>
        <v>36006.578209045067</v>
      </c>
      <c r="AI47" s="116">
        <f>AI23*Inputs!$J$113</f>
        <v>36006.578209045067</v>
      </c>
      <c r="AJ47" s="116">
        <f>AJ23*Inputs!$J$113</f>
        <v>36006.578209045067</v>
      </c>
      <c r="AK47" s="116">
        <f>AK23*Inputs!$J$113</f>
        <v>36006.578209045067</v>
      </c>
      <c r="AL47" s="116">
        <f>AL23*Inputs!$J$113</f>
        <v>36006.578209045067</v>
      </c>
    </row>
    <row r="48" spans="4:38">
      <c r="N48" s="65"/>
    </row>
    <row r="49" spans="4:41" ht="24" thickBot="1">
      <c r="D49" s="57" t="s">
        <v>230</v>
      </c>
    </row>
    <row r="50" spans="4:41" ht="15">
      <c r="D50" s="4" t="s">
        <v>236</v>
      </c>
      <c r="E50" s="16" t="s">
        <v>145</v>
      </c>
      <c r="K50" s="9">
        <f>Inputs!E124*'BaU Model'!K23</f>
        <v>183350</v>
      </c>
      <c r="L50" s="9">
        <f>Inputs!F124*'BaU Model'!L23</f>
        <v>173129.87530000001</v>
      </c>
      <c r="M50" s="9">
        <f>Inputs!G124*'BaU Model'!M23</f>
        <v>180508.02233200002</v>
      </c>
      <c r="N50" s="9">
        <f>Inputs!H124*'BaU Model'!N23</f>
        <v>451780.41951615998</v>
      </c>
      <c r="O50" s="9">
        <f>Inputs!I124*'BaU Model'!O23</f>
        <v>489868.92584527395</v>
      </c>
      <c r="P50" s="9">
        <f>Inputs!$J$124*'BaU Model'!P23</f>
        <v>489868.92584527395</v>
      </c>
      <c r="Q50" s="9">
        <f>Inputs!$J$124*'BaU Model'!Q23</f>
        <v>575516.17584527389</v>
      </c>
      <c r="R50" s="9">
        <f>Inputs!$J$124*'BaU Model'!R23</f>
        <v>575516.17584527389</v>
      </c>
      <c r="S50" s="9">
        <f>Inputs!$J$124*'BaU Model'!S23</f>
        <v>684124.98597185616</v>
      </c>
      <c r="T50" s="9">
        <f>Inputs!$J$124*'BaU Model'!T23</f>
        <v>684124.98597185616</v>
      </c>
      <c r="U50" s="9">
        <f>Inputs!$J$124*'BaU Model'!U23</f>
        <v>684124.98597185616</v>
      </c>
      <c r="V50" s="9">
        <f>Inputs!$J$124*'BaU Model'!V23</f>
        <v>684124.98597185616</v>
      </c>
      <c r="W50" s="9">
        <f>Inputs!$J$124*'BaU Model'!W23</f>
        <v>684124.98597185616</v>
      </c>
      <c r="X50" s="9">
        <f>Inputs!$J$124*'BaU Model'!X23</f>
        <v>684124.98597185616</v>
      </c>
      <c r="Y50" s="9">
        <f>Inputs!$J$124*'BaU Model'!Y23</f>
        <v>684124.98597185616</v>
      </c>
      <c r="Z50" s="9">
        <f>Inputs!$J$124*'BaU Model'!Z23</f>
        <v>684124.98597185616</v>
      </c>
      <c r="AA50" s="9">
        <f>Inputs!$J$124*'BaU Model'!AA23</f>
        <v>684124.98597185616</v>
      </c>
      <c r="AB50" s="9">
        <f>Inputs!$J$124*'BaU Model'!AB23</f>
        <v>684124.98597185616</v>
      </c>
      <c r="AC50" s="9">
        <f>Inputs!$J$124*'BaU Model'!AC23</f>
        <v>684124.98597185616</v>
      </c>
      <c r="AD50" s="9">
        <f>Inputs!$J$124*'BaU Model'!AD23</f>
        <v>684124.98597185616</v>
      </c>
      <c r="AE50" s="9">
        <f>Inputs!$J$124*'BaU Model'!AE23</f>
        <v>684124.98597185616</v>
      </c>
      <c r="AF50" s="9">
        <f>Inputs!$J$124*'BaU Model'!AF23</f>
        <v>684124.98597185616</v>
      </c>
      <c r="AG50" s="9">
        <f>Inputs!$J$124*'BaU Model'!AG23</f>
        <v>684124.98597185616</v>
      </c>
      <c r="AH50" s="9">
        <f>Inputs!$J$124*'BaU Model'!AH23</f>
        <v>684124.98597185616</v>
      </c>
      <c r="AI50" s="9">
        <f>Inputs!$J$124*'BaU Model'!AI23</f>
        <v>684124.98597185616</v>
      </c>
      <c r="AJ50" s="9">
        <f>Inputs!$J$124*'BaU Model'!AJ23</f>
        <v>684124.98597185616</v>
      </c>
      <c r="AK50" s="9">
        <f>Inputs!$J$124*'BaU Model'!AK23</f>
        <v>684124.98597185616</v>
      </c>
      <c r="AL50" s="9">
        <f>Inputs!$J$124*'BaU Model'!AL23</f>
        <v>684124.98597185616</v>
      </c>
    </row>
    <row r="51" spans="4:41" ht="15">
      <c r="D51" s="4" t="s">
        <v>378</v>
      </c>
      <c r="E51" s="16" t="s">
        <v>145</v>
      </c>
      <c r="K51" s="65">
        <f>0.6*K50</f>
        <v>110010</v>
      </c>
      <c r="L51" s="65">
        <f t="shared" ref="L51:M51" si="22">0.6*L50</f>
        <v>103877.92518000001</v>
      </c>
      <c r="M51" s="65">
        <f t="shared" si="22"/>
        <v>108304.81339920001</v>
      </c>
      <c r="N51">
        <f>Inputs!H125</f>
        <v>260975</v>
      </c>
      <c r="O51">
        <f>Inputs!I125</f>
        <v>260975</v>
      </c>
      <c r="P51">
        <f>Inputs!J125</f>
        <v>260975</v>
      </c>
      <c r="Q51">
        <f>P51</f>
        <v>260975</v>
      </c>
      <c r="R51">
        <f t="shared" ref="R51:AL51" si="23">Q51</f>
        <v>260975</v>
      </c>
      <c r="S51">
        <f t="shared" si="23"/>
        <v>260975</v>
      </c>
      <c r="T51">
        <f t="shared" si="23"/>
        <v>260975</v>
      </c>
      <c r="U51">
        <f t="shared" si="23"/>
        <v>260975</v>
      </c>
      <c r="V51">
        <f t="shared" si="23"/>
        <v>260975</v>
      </c>
      <c r="W51">
        <f t="shared" si="23"/>
        <v>260975</v>
      </c>
      <c r="X51">
        <f t="shared" si="23"/>
        <v>260975</v>
      </c>
      <c r="Y51">
        <f t="shared" si="23"/>
        <v>260975</v>
      </c>
      <c r="Z51">
        <f t="shared" si="23"/>
        <v>260975</v>
      </c>
      <c r="AA51">
        <f t="shared" si="23"/>
        <v>260975</v>
      </c>
      <c r="AB51">
        <f t="shared" si="23"/>
        <v>260975</v>
      </c>
      <c r="AC51">
        <f t="shared" si="23"/>
        <v>260975</v>
      </c>
      <c r="AD51">
        <f t="shared" si="23"/>
        <v>260975</v>
      </c>
      <c r="AE51">
        <f t="shared" si="23"/>
        <v>260975</v>
      </c>
      <c r="AF51">
        <f t="shared" si="23"/>
        <v>260975</v>
      </c>
      <c r="AG51">
        <f t="shared" si="23"/>
        <v>260975</v>
      </c>
      <c r="AH51">
        <f t="shared" si="23"/>
        <v>260975</v>
      </c>
      <c r="AI51">
        <f t="shared" si="23"/>
        <v>260975</v>
      </c>
      <c r="AJ51">
        <f t="shared" si="23"/>
        <v>260975</v>
      </c>
      <c r="AK51">
        <f t="shared" si="23"/>
        <v>260975</v>
      </c>
      <c r="AL51">
        <f t="shared" si="23"/>
        <v>260975</v>
      </c>
    </row>
    <row r="52" spans="4:41" ht="15">
      <c r="D52" s="67" t="s">
        <v>379</v>
      </c>
      <c r="E52" s="16" t="s">
        <v>145</v>
      </c>
      <c r="K52" s="65">
        <f>K50-K51</f>
        <v>73340</v>
      </c>
      <c r="L52" s="65">
        <f t="shared" ref="L52:AL52" si="24">L50-L51</f>
        <v>69251.950120000009</v>
      </c>
      <c r="M52" s="65">
        <f t="shared" si="24"/>
        <v>72203.208932800015</v>
      </c>
      <c r="N52" s="65">
        <f t="shared" si="24"/>
        <v>190805.41951615998</v>
      </c>
      <c r="O52" s="65">
        <f t="shared" si="24"/>
        <v>228893.92584527395</v>
      </c>
      <c r="P52" s="65">
        <f t="shared" si="24"/>
        <v>228893.92584527395</v>
      </c>
      <c r="Q52" s="65">
        <f t="shared" si="24"/>
        <v>314541.17584527389</v>
      </c>
      <c r="R52" s="65">
        <f t="shared" si="24"/>
        <v>314541.17584527389</v>
      </c>
      <c r="S52" s="65">
        <f t="shared" si="24"/>
        <v>423149.98597185616</v>
      </c>
      <c r="T52" s="65">
        <f t="shared" si="24"/>
        <v>423149.98597185616</v>
      </c>
      <c r="U52" s="65">
        <f t="shared" si="24"/>
        <v>423149.98597185616</v>
      </c>
      <c r="V52" s="65">
        <f t="shared" si="24"/>
        <v>423149.98597185616</v>
      </c>
      <c r="W52" s="65">
        <f t="shared" si="24"/>
        <v>423149.98597185616</v>
      </c>
      <c r="X52" s="65">
        <f t="shared" si="24"/>
        <v>423149.98597185616</v>
      </c>
      <c r="Y52" s="65">
        <f t="shared" si="24"/>
        <v>423149.98597185616</v>
      </c>
      <c r="Z52" s="65">
        <f t="shared" si="24"/>
        <v>423149.98597185616</v>
      </c>
      <c r="AA52" s="65">
        <f t="shared" si="24"/>
        <v>423149.98597185616</v>
      </c>
      <c r="AB52" s="65">
        <f t="shared" si="24"/>
        <v>423149.98597185616</v>
      </c>
      <c r="AC52" s="65">
        <f t="shared" si="24"/>
        <v>423149.98597185616</v>
      </c>
      <c r="AD52" s="65">
        <f t="shared" si="24"/>
        <v>423149.98597185616</v>
      </c>
      <c r="AE52" s="65">
        <f t="shared" si="24"/>
        <v>423149.98597185616</v>
      </c>
      <c r="AF52" s="65">
        <f t="shared" si="24"/>
        <v>423149.98597185616</v>
      </c>
      <c r="AG52" s="65">
        <f t="shared" si="24"/>
        <v>423149.98597185616</v>
      </c>
      <c r="AH52" s="65">
        <f t="shared" si="24"/>
        <v>423149.98597185616</v>
      </c>
      <c r="AI52" s="65">
        <f t="shared" si="24"/>
        <v>423149.98597185616</v>
      </c>
      <c r="AJ52" s="65">
        <f t="shared" si="24"/>
        <v>423149.98597185616</v>
      </c>
      <c r="AK52" s="65">
        <f t="shared" si="24"/>
        <v>423149.98597185616</v>
      </c>
      <c r="AL52" s="65">
        <f t="shared" si="24"/>
        <v>423149.98597185616</v>
      </c>
      <c r="AM52" s="65">
        <f>SUM(M52:AL52)/1000</f>
        <v>9812.8785512671784</v>
      </c>
    </row>
    <row r="53" spans="4:41" ht="15">
      <c r="D53" s="67"/>
      <c r="E53" s="16"/>
    </row>
    <row r="57" spans="4:41" ht="24" thickBot="1">
      <c r="D57" s="57" t="s">
        <v>109</v>
      </c>
      <c r="S57" s="90">
        <f>0.064*S58</f>
        <v>328121.56418090127</v>
      </c>
    </row>
    <row r="58" spans="4:41">
      <c r="D58" t="s">
        <v>173</v>
      </c>
      <c r="E58" s="16" t="s">
        <v>213</v>
      </c>
      <c r="J58" s="65">
        <f>S58/1000000</f>
        <v>5.1268994403265831</v>
      </c>
      <c r="K58" s="116">
        <f>Inputs!E34*(1+(Inputs!E29/100))</f>
        <v>3204114.6302</v>
      </c>
      <c r="L58" s="116">
        <f>K58*(1+(Inputs!$E$29/100))</f>
        <v>3204114.6302</v>
      </c>
      <c r="M58" s="116">
        <f>L58*(1+(Inputs!$E$29/100))</f>
        <v>3204114.6302</v>
      </c>
      <c r="N58" s="116">
        <f>M58*(1+(Inputs!$E$29/100))-(0.5*Sheet2!F6)</f>
        <v>2714114.6302</v>
      </c>
      <c r="O58" s="116">
        <f>N58*(1+(Inputs!$E$29/100))-(0.5*Sheet2!F6)+Sheet2!G6</f>
        <v>3340570.3264025319</v>
      </c>
      <c r="P58" s="116">
        <f>O58*(1+(Inputs!$E$29/100))</f>
        <v>3340570.3264025319</v>
      </c>
      <c r="Q58" s="116">
        <f>P58*(1+(Inputs!$E$29/100))</f>
        <v>3340570.3264025319</v>
      </c>
      <c r="R58" s="116">
        <f>Q58*(1+(Inputs!$E$29/100))</f>
        <v>3340570.3264025319</v>
      </c>
      <c r="S58" s="116">
        <f>R58*(1+(Inputs!$E$29/100))+Inputs!E139</f>
        <v>5126899.4403265826</v>
      </c>
      <c r="T58" s="116">
        <f>S58*(1+(Inputs!$E$29/100))</f>
        <v>5126899.4403265826</v>
      </c>
      <c r="U58" s="116">
        <f>T58*(1+(Inputs!$E$29/100))</f>
        <v>5126899.4403265826</v>
      </c>
      <c r="V58" s="116">
        <f>U58*(1+(Inputs!$E$29/100))</f>
        <v>5126899.4403265826</v>
      </c>
      <c r="W58" s="130">
        <f>V58*(1+(Inputs!$E$29/100))</f>
        <v>5126899.4403265826</v>
      </c>
      <c r="X58" s="116">
        <f>W58*(1+(Inputs!$E$29/100))</f>
        <v>5126899.4403265826</v>
      </c>
      <c r="Y58" s="116">
        <f>X58*(1+(Inputs!$E$29/100))</f>
        <v>5126899.4403265826</v>
      </c>
      <c r="Z58" s="116">
        <f>Y58*(1+(Inputs!$E$29/100))</f>
        <v>5126899.4403265826</v>
      </c>
      <c r="AA58" s="116">
        <f>Z58*(1+(Inputs!$E$29/100))</f>
        <v>5126899.4403265826</v>
      </c>
      <c r="AB58" s="116">
        <f>AA58*(1+(Inputs!$E$29/100))</f>
        <v>5126899.4403265826</v>
      </c>
      <c r="AC58" s="116">
        <f>AB58*(1+(Inputs!$E$29/100))</f>
        <v>5126899.4403265826</v>
      </c>
      <c r="AD58" s="116">
        <f>AC58*(1+(Inputs!$E$29/100))</f>
        <v>5126899.4403265826</v>
      </c>
      <c r="AE58" s="116">
        <f>AD58*(1+(Inputs!$E$29/100))</f>
        <v>5126899.4403265826</v>
      </c>
      <c r="AF58" s="116">
        <f>AE58*(1+(Inputs!$E$29/100))</f>
        <v>5126899.4403265826</v>
      </c>
      <c r="AG58" s="116">
        <f>AF58*(1+(Inputs!$E$29/100))</f>
        <v>5126899.4403265826</v>
      </c>
      <c r="AH58" s="116">
        <f>AG58*(1+(Inputs!$E$29/100))</f>
        <v>5126899.4403265826</v>
      </c>
      <c r="AI58" s="116">
        <f>AH58*(1+(Inputs!$E$29/100))</f>
        <v>5126899.4403265826</v>
      </c>
      <c r="AJ58" s="116">
        <f>AI58*(1+(Inputs!$E$29/100))</f>
        <v>5126899.4403265826</v>
      </c>
      <c r="AK58" s="116">
        <f>AJ58*(1+(Inputs!$E$29/100))</f>
        <v>5126899.4403265826</v>
      </c>
      <c r="AL58" s="116">
        <f>AK58*(1+(Inputs!$E$29/100))</f>
        <v>5126899.4403265826</v>
      </c>
      <c r="AM58" s="116"/>
      <c r="AN58" s="116"/>
      <c r="AO58" s="116"/>
    </row>
    <row r="59" spans="4:41">
      <c r="D59" s="7" t="s">
        <v>375</v>
      </c>
      <c r="E59" s="16" t="s">
        <v>213</v>
      </c>
      <c r="K59" s="116">
        <f>K58-Inputs!F34</f>
        <v>188489.63020000001</v>
      </c>
      <c r="L59" s="116">
        <f>L58-Inputs!G34</f>
        <v>62011.630200000014</v>
      </c>
      <c r="M59" s="116">
        <f>M58-Inputs!H34</f>
        <v>450369.0568666663</v>
      </c>
      <c r="N59" s="116"/>
      <c r="O59" s="116"/>
      <c r="P59" s="116"/>
      <c r="Q59" s="116"/>
      <c r="R59" s="116"/>
      <c r="S59" s="116"/>
      <c r="T59" s="116"/>
      <c r="U59" s="116"/>
      <c r="V59" s="116"/>
      <c r="W59" s="116"/>
      <c r="X59" s="116"/>
      <c r="Y59" s="116"/>
      <c r="Z59" s="116"/>
      <c r="AA59" s="116"/>
    </row>
    <row r="60" spans="4:41">
      <c r="D60" s="23" t="s">
        <v>217</v>
      </c>
      <c r="E60" s="16" t="s">
        <v>213</v>
      </c>
      <c r="K60" s="117">
        <f>Inputs!F35*Inputs!F34</f>
        <v>2322031.25</v>
      </c>
      <c r="L60" s="117">
        <f>Inputs!G35*Inputs!G34</f>
        <v>2639366.52</v>
      </c>
      <c r="M60" s="117">
        <f>Inputs!H35*Inputs!H34</f>
        <v>2092846.6357333336</v>
      </c>
      <c r="N60" s="117">
        <f>Inputs!I35*N58</f>
        <v>1899880.2411399998</v>
      </c>
      <c r="O60" s="117">
        <f>Inputs!J35*O58</f>
        <v>2004342.1958415192</v>
      </c>
      <c r="P60" s="117">
        <f>Inputs!$K$35*P58</f>
        <v>1336228.1305610128</v>
      </c>
      <c r="Q60" s="117">
        <f>Inputs!$K$35*Q58</f>
        <v>1336228.1305610128</v>
      </c>
      <c r="R60" s="117">
        <f>Inputs!$K$35*R58</f>
        <v>1336228.1305610128</v>
      </c>
      <c r="S60" s="117">
        <f>Inputs!$K$35*S58</f>
        <v>2050759.7761306332</v>
      </c>
      <c r="T60" s="117">
        <f>Inputs!$K$35*T58</f>
        <v>2050759.7761306332</v>
      </c>
      <c r="U60" s="117">
        <f>Inputs!$K$35*U58</f>
        <v>2050759.7761306332</v>
      </c>
      <c r="V60" s="117">
        <f>Inputs!$K$35*V58</f>
        <v>2050759.7761306332</v>
      </c>
      <c r="W60" s="117">
        <f>Inputs!$K$35*W58</f>
        <v>2050759.7761306332</v>
      </c>
      <c r="X60" s="117">
        <f>Inputs!$K$35*X58</f>
        <v>2050759.7761306332</v>
      </c>
      <c r="Y60" s="117">
        <f>Inputs!$K$35*Y58</f>
        <v>2050759.7761306332</v>
      </c>
      <c r="Z60" s="117">
        <f>Inputs!$K$35*Z58</f>
        <v>2050759.7761306332</v>
      </c>
      <c r="AA60" s="117">
        <f>Inputs!$K$35*AA58</f>
        <v>2050759.7761306332</v>
      </c>
      <c r="AB60" s="117">
        <f>Inputs!$K$35*AB58</f>
        <v>2050759.7761306332</v>
      </c>
      <c r="AC60" s="117">
        <f>Inputs!$K$35*AC58</f>
        <v>2050759.7761306332</v>
      </c>
      <c r="AD60" s="117">
        <f>Inputs!$K$35*AD58</f>
        <v>2050759.7761306332</v>
      </c>
      <c r="AE60" s="117">
        <f>Inputs!$K$35*AE58</f>
        <v>2050759.7761306332</v>
      </c>
      <c r="AF60" s="117">
        <f>Inputs!$K$35*AF58</f>
        <v>2050759.7761306332</v>
      </c>
      <c r="AG60" s="117">
        <f>Inputs!$K$35*AG58</f>
        <v>2050759.7761306332</v>
      </c>
      <c r="AH60" s="117">
        <f>Inputs!$K$35*AH58</f>
        <v>2050759.7761306332</v>
      </c>
      <c r="AI60" s="117">
        <f>Inputs!$K$35*AI58</f>
        <v>2050759.7761306332</v>
      </c>
      <c r="AJ60" s="117">
        <f>Inputs!$K$35*AJ58</f>
        <v>2050759.7761306332</v>
      </c>
      <c r="AK60" s="117">
        <f>Inputs!$K$35*AK58</f>
        <v>2050759.7761306332</v>
      </c>
      <c r="AL60" s="117">
        <f>Inputs!$K$35*AL58</f>
        <v>2050759.7761306332</v>
      </c>
    </row>
    <row r="61" spans="4:41">
      <c r="D61" s="7" t="s">
        <v>218</v>
      </c>
      <c r="E61" s="16" t="s">
        <v>213</v>
      </c>
      <c r="K61" s="117">
        <f>Inputs!F36*Inputs!F34</f>
        <v>693593.75</v>
      </c>
      <c r="L61" s="117">
        <f>Inputs!G36*Inputs!G34</f>
        <v>502736.48</v>
      </c>
      <c r="M61" s="117">
        <f>Inputs!H36*Inputs!H34</f>
        <v>660898.93760000006</v>
      </c>
      <c r="N61" s="117">
        <f>Inputs!I36*N58</f>
        <v>814234.38905999996</v>
      </c>
      <c r="O61" s="117">
        <f>Inputs!J36*O58</f>
        <v>1336228.1305610128</v>
      </c>
      <c r="P61" s="117">
        <f>Inputs!$K$36*P58</f>
        <v>2004342.1958415192</v>
      </c>
      <c r="Q61" s="117">
        <f>Inputs!$K$36*Q58</f>
        <v>2004342.1958415192</v>
      </c>
      <c r="R61" s="117">
        <f>Inputs!$K$36*R58</f>
        <v>2004342.1958415192</v>
      </c>
      <c r="S61" s="117">
        <f>Inputs!$K$36*S58</f>
        <v>3076139.6641959497</v>
      </c>
      <c r="T61" s="117">
        <f>Inputs!$K$36*T58</f>
        <v>3076139.6641959497</v>
      </c>
      <c r="U61" s="117">
        <f>Inputs!$K$36*U58</f>
        <v>3076139.6641959497</v>
      </c>
      <c r="V61" s="117">
        <f>Inputs!$K$36*V58</f>
        <v>3076139.6641959497</v>
      </c>
      <c r="W61" s="117">
        <f>Inputs!$K$36*W58</f>
        <v>3076139.6641959497</v>
      </c>
      <c r="X61" s="117">
        <f>Inputs!$K$36*X58</f>
        <v>3076139.6641959497</v>
      </c>
      <c r="Y61" s="117">
        <f>Inputs!$K$36*Y58</f>
        <v>3076139.6641959497</v>
      </c>
      <c r="Z61" s="117">
        <f>Inputs!$K$36*Z58</f>
        <v>3076139.6641959497</v>
      </c>
      <c r="AA61" s="117">
        <f>Inputs!$K$36*AA58</f>
        <v>3076139.6641959497</v>
      </c>
      <c r="AB61" s="117">
        <f>Inputs!$K$36*AB58</f>
        <v>3076139.6641959497</v>
      </c>
      <c r="AC61" s="117">
        <f>Inputs!$K$36*AC58</f>
        <v>3076139.6641959497</v>
      </c>
      <c r="AD61" s="117">
        <f>Inputs!$K$36*AD58</f>
        <v>3076139.6641959497</v>
      </c>
      <c r="AE61" s="117">
        <f>Inputs!$K$36*AE58</f>
        <v>3076139.6641959497</v>
      </c>
      <c r="AF61" s="117">
        <f>Inputs!$K$36*AF58</f>
        <v>3076139.6641959497</v>
      </c>
      <c r="AG61" s="117">
        <f>Inputs!$K$36*AG58</f>
        <v>3076139.6641959497</v>
      </c>
      <c r="AH61" s="117">
        <f>Inputs!$K$36*AH58</f>
        <v>3076139.6641959497</v>
      </c>
      <c r="AI61" s="117">
        <f>Inputs!$K$36*AI58</f>
        <v>3076139.6641959497</v>
      </c>
      <c r="AJ61" s="117">
        <f>Inputs!$K$36*AJ58</f>
        <v>3076139.6641959497</v>
      </c>
      <c r="AK61" s="117">
        <f>Inputs!$K$36*AK58</f>
        <v>3076139.6641959497</v>
      </c>
      <c r="AL61" s="117">
        <f>Inputs!$K$36*AL58</f>
        <v>3076139.6641959497</v>
      </c>
    </row>
    <row r="62" spans="4:41">
      <c r="D62" s="7" t="s">
        <v>543</v>
      </c>
      <c r="E62" s="16" t="s">
        <v>544</v>
      </c>
      <c r="K62" s="117">
        <f>K58/K11</f>
        <v>8778.396247123288</v>
      </c>
      <c r="L62" s="117">
        <f t="shared" ref="L62:AL62" si="25">L58/L11</f>
        <v>8754.4115579234967</v>
      </c>
      <c r="M62" s="117">
        <f t="shared" si="25"/>
        <v>8778.396247123288</v>
      </c>
      <c r="N62" s="117">
        <f t="shared" si="25"/>
        <v>7435.93049369863</v>
      </c>
      <c r="O62" s="117">
        <f t="shared" si="25"/>
        <v>9152.2474695959772</v>
      </c>
      <c r="P62" s="117">
        <f t="shared" si="25"/>
        <v>9127.2413289686665</v>
      </c>
      <c r="Q62" s="117">
        <f t="shared" si="25"/>
        <v>9152.2474695959772</v>
      </c>
      <c r="R62" s="117">
        <f t="shared" si="25"/>
        <v>9152.2474695959772</v>
      </c>
      <c r="S62" s="117">
        <f t="shared" si="25"/>
        <v>14046.299836511185</v>
      </c>
      <c r="T62" s="117">
        <f t="shared" si="25"/>
        <v>14007.921968105416</v>
      </c>
      <c r="U62" s="117">
        <f t="shared" si="25"/>
        <v>14046.299836511185</v>
      </c>
      <c r="V62" s="117">
        <f t="shared" si="25"/>
        <v>14046.299836511185</v>
      </c>
      <c r="W62" s="117">
        <f t="shared" si="25"/>
        <v>14046.299836511185</v>
      </c>
      <c r="X62" s="117">
        <f t="shared" si="25"/>
        <v>14007.921968105416</v>
      </c>
      <c r="Y62" s="117">
        <f t="shared" si="25"/>
        <v>14046.299836511185</v>
      </c>
      <c r="Z62" s="117">
        <f t="shared" si="25"/>
        <v>14046.299836511185</v>
      </c>
      <c r="AA62" s="117">
        <f t="shared" si="25"/>
        <v>14046.299836511185</v>
      </c>
      <c r="AB62" s="117">
        <f t="shared" si="25"/>
        <v>14007.921968105416</v>
      </c>
      <c r="AC62" s="117">
        <f t="shared" si="25"/>
        <v>14046.299836511185</v>
      </c>
      <c r="AD62" s="117">
        <f t="shared" si="25"/>
        <v>14046.299836511185</v>
      </c>
      <c r="AE62" s="117">
        <f t="shared" si="25"/>
        <v>14046.299836511185</v>
      </c>
      <c r="AF62" s="117">
        <f t="shared" si="25"/>
        <v>14007.921968105416</v>
      </c>
      <c r="AG62" s="117">
        <f t="shared" si="25"/>
        <v>14046.299836511185</v>
      </c>
      <c r="AH62" s="117">
        <f t="shared" si="25"/>
        <v>14046.299836511185</v>
      </c>
      <c r="AI62" s="117">
        <f t="shared" si="25"/>
        <v>14046.299836511185</v>
      </c>
      <c r="AJ62" s="117">
        <f t="shared" si="25"/>
        <v>14007.921968105416</v>
      </c>
      <c r="AK62" s="117">
        <f t="shared" si="25"/>
        <v>14046.299836511185</v>
      </c>
      <c r="AL62" s="117">
        <f t="shared" si="25"/>
        <v>14046.299836511185</v>
      </c>
    </row>
    <row r="64" spans="4:41" ht="24" thickBot="1">
      <c r="D64" s="57" t="s">
        <v>400</v>
      </c>
    </row>
    <row r="65" spans="4:38">
      <c r="D65" s="63" t="s">
        <v>116</v>
      </c>
      <c r="E65" s="16" t="s">
        <v>118</v>
      </c>
      <c r="K65" s="105">
        <f>Inputs!E42</f>
        <v>27.73</v>
      </c>
      <c r="L65" s="105">
        <f>Inputs!F42</f>
        <v>29.5</v>
      </c>
      <c r="M65" s="163">
        <f>Inputs!G42</f>
        <v>30.24</v>
      </c>
      <c r="N65" s="163">
        <f>Inputs!H42</f>
        <v>32.06</v>
      </c>
      <c r="O65" s="163">
        <f>Inputs!I42</f>
        <v>33.659999999999997</v>
      </c>
      <c r="P65" s="105">
        <f>(1+Inputs!$J$47)*'BaU Model'!O65</f>
        <v>35.679600000000001</v>
      </c>
      <c r="Q65" s="105">
        <f>(1+Inputs!$J$47)*'BaU Model'!P65</f>
        <v>37.820376000000003</v>
      </c>
      <c r="R65" s="105">
        <f>(1+Inputs!$J$47)*'BaU Model'!Q65</f>
        <v>40.089598560000006</v>
      </c>
      <c r="S65" s="105">
        <f>(1+Inputs!$J$47)*'BaU Model'!R65</f>
        <v>42.49497447360001</v>
      </c>
      <c r="T65" s="105">
        <f>(1+Inputs!$J$47)*'BaU Model'!S65</f>
        <v>45.044672942016014</v>
      </c>
      <c r="U65" s="105">
        <f>(1+Inputs!$J$47)*'BaU Model'!T65</f>
        <v>47.74735331853698</v>
      </c>
      <c r="V65" s="105">
        <f>(1+Inputs!$J$47)*'BaU Model'!U65</f>
        <v>50.612194517649201</v>
      </c>
      <c r="W65" s="105">
        <f>(1+Inputs!$J$47)*'BaU Model'!V65</f>
        <v>53.648926188708153</v>
      </c>
      <c r="X65" s="105">
        <f>(1+Inputs!$J$47)*'BaU Model'!W65</f>
        <v>56.867861760030642</v>
      </c>
      <c r="Y65" s="105">
        <f>(1+Inputs!$J$47)*'BaU Model'!X65</f>
        <v>60.279933465632482</v>
      </c>
      <c r="Z65" s="105">
        <f>(1+Inputs!$J$47)*'BaU Model'!Y65</f>
        <v>63.896729473570431</v>
      </c>
      <c r="AA65" s="105">
        <f>(1+Inputs!$J$47)*'BaU Model'!Z65</f>
        <v>67.730533241984659</v>
      </c>
      <c r="AB65" s="105">
        <f>(1+Inputs!$J$47)*'BaU Model'!AA65</f>
        <v>71.794365236503737</v>
      </c>
      <c r="AC65" s="105">
        <f>(1+Inputs!$J$47)*'BaU Model'!AB65</f>
        <v>76.102027150693971</v>
      </c>
      <c r="AD65" s="105">
        <f>(1+Inputs!$J$47)*'BaU Model'!AC65</f>
        <v>80.668148779735617</v>
      </c>
      <c r="AE65" s="105">
        <f>(1+Inputs!$J$47)*'BaU Model'!AD65</f>
        <v>85.508237706519765</v>
      </c>
      <c r="AF65" s="105">
        <f>(1+Inputs!$J$47)*'BaU Model'!AE65</f>
        <v>90.63873196891096</v>
      </c>
      <c r="AG65" s="105">
        <f>(1+Inputs!$J$47)*'BaU Model'!AF65</f>
        <v>96.077055887045617</v>
      </c>
      <c r="AH65" s="105">
        <f>(1+Inputs!$J$47)*'BaU Model'!AG65</f>
        <v>101.84167924026836</v>
      </c>
      <c r="AI65" s="105">
        <f>(1+Inputs!$J$47)*'BaU Model'!AH65</f>
        <v>107.95217999468447</v>
      </c>
      <c r="AJ65" s="105">
        <f>(1+Inputs!$J$47)*'BaU Model'!AI65</f>
        <v>114.42931079436555</v>
      </c>
      <c r="AK65" s="105">
        <f>(1+Inputs!$J$47)*'BaU Model'!AJ65</f>
        <v>121.29506944202748</v>
      </c>
      <c r="AL65" s="105">
        <f>(1+Inputs!$J$47)*'BaU Model'!AK65</f>
        <v>128.57277360854914</v>
      </c>
    </row>
    <row r="66" spans="4:38">
      <c r="D66" s="7" t="s">
        <v>238</v>
      </c>
      <c r="E66" s="16" t="s">
        <v>118</v>
      </c>
      <c r="K66" s="105">
        <f>Inputs!E44</f>
        <v>20.47</v>
      </c>
      <c r="L66" s="105">
        <f>Inputs!F44</f>
        <v>21.78</v>
      </c>
      <c r="M66" s="105">
        <f>Inputs!G44</f>
        <v>23.09</v>
      </c>
      <c r="N66" s="105">
        <f>Inputs!H44</f>
        <v>24.475000000000001</v>
      </c>
      <c r="O66" s="105">
        <f>(1+Inputs!I47)*'BaU Model'!N66</f>
        <v>25.943500000000004</v>
      </c>
      <c r="P66" s="105">
        <f>(1+Inputs!$J$47)*'BaU Model'!O66</f>
        <v>27.500110000000006</v>
      </c>
      <c r="Q66" s="105">
        <f>(1+Inputs!$J$47)*'BaU Model'!P66</f>
        <v>29.150116600000008</v>
      </c>
      <c r="R66" s="105">
        <f>(1+Inputs!$J$47)*'BaU Model'!Q66</f>
        <v>30.89912359600001</v>
      </c>
      <c r="S66" s="105">
        <f>(1+Inputs!$J$47)*'BaU Model'!R66</f>
        <v>32.753071011760014</v>
      </c>
      <c r="T66" s="105">
        <f>(1+Inputs!$J$47)*'BaU Model'!S66</f>
        <v>34.718255272465619</v>
      </c>
      <c r="U66" s="105">
        <f>(1+Inputs!$J$47)*'BaU Model'!T66</f>
        <v>36.801350588813555</v>
      </c>
      <c r="V66" s="105">
        <f>(1+Inputs!$J$47)*'BaU Model'!U66</f>
        <v>39.009431624142373</v>
      </c>
      <c r="W66" s="105">
        <f>(1+Inputs!$J$47)*'BaU Model'!V66</f>
        <v>41.349997521590915</v>
      </c>
      <c r="X66" s="105">
        <f>(1+Inputs!$J$47)*'BaU Model'!W66</f>
        <v>43.830997372886372</v>
      </c>
      <c r="Y66" s="105">
        <f>(1+Inputs!$J$47)*'BaU Model'!X66</f>
        <v>46.460857215259558</v>
      </c>
      <c r="Z66" s="105">
        <f>(1+Inputs!$J$47)*'BaU Model'!Y66</f>
        <v>49.248508648175132</v>
      </c>
      <c r="AA66" s="105">
        <f>(1+Inputs!$J$47)*'BaU Model'!Z66</f>
        <v>52.20341916706564</v>
      </c>
      <c r="AB66" s="105">
        <f>(1+Inputs!$J$47)*'BaU Model'!AA66</f>
        <v>55.335624317089582</v>
      </c>
      <c r="AC66" s="105">
        <f>(1+Inputs!$J$47)*'BaU Model'!AB66</f>
        <v>58.655761776114957</v>
      </c>
      <c r="AD66" s="105">
        <f>(1+Inputs!$J$47)*'BaU Model'!AC66</f>
        <v>62.175107482681859</v>
      </c>
      <c r="AE66" s="105">
        <f>(1+Inputs!$J$47)*'BaU Model'!AD66</f>
        <v>65.905613931642776</v>
      </c>
      <c r="AF66" s="105">
        <f>(1+Inputs!$J$47)*'BaU Model'!AE66</f>
        <v>69.859950767541349</v>
      </c>
      <c r="AG66" s="105">
        <f>(1+Inputs!$J$47)*'BaU Model'!AF66</f>
        <v>74.051547813593828</v>
      </c>
      <c r="AH66" s="105">
        <f>(1+Inputs!$J$47)*'BaU Model'!AG66</f>
        <v>78.494640682409468</v>
      </c>
      <c r="AI66" s="105">
        <f>(1+Inputs!$J$47)*'BaU Model'!AH66</f>
        <v>83.20431912335404</v>
      </c>
      <c r="AJ66" s="105">
        <f>(1+Inputs!$J$47)*'BaU Model'!AI66</f>
        <v>88.196578270755282</v>
      </c>
      <c r="AK66" s="105">
        <f>(1+Inputs!$J$47)*'BaU Model'!AJ66</f>
        <v>93.488372967000601</v>
      </c>
      <c r="AL66" s="105">
        <f>(1+Inputs!$J$47)*'BaU Model'!AK66</f>
        <v>99.097675345020647</v>
      </c>
    </row>
    <row r="67" spans="4:38">
      <c r="D67" s="7" t="s">
        <v>239</v>
      </c>
      <c r="E67" s="16" t="s">
        <v>118</v>
      </c>
      <c r="K67" s="105">
        <f>Inputs!E45</f>
        <v>3.29</v>
      </c>
      <c r="L67" s="105">
        <f>Inputs!F45</f>
        <v>3.5</v>
      </c>
      <c r="M67" s="105">
        <f>Inputs!G45</f>
        <v>3.73</v>
      </c>
      <c r="N67" s="105">
        <f>Inputs!H45</f>
        <v>3.95</v>
      </c>
      <c r="O67" s="105">
        <f>(1+Inputs!I47)*'BaU Model'!N67</f>
        <v>4.1870000000000003</v>
      </c>
      <c r="P67" s="105">
        <f>(1+Inputs!$J$47)*'BaU Model'!O67</f>
        <v>4.4382200000000003</v>
      </c>
      <c r="Q67" s="105">
        <f>(1+Inputs!$J$47)*'BaU Model'!P67</f>
        <v>4.7045132000000009</v>
      </c>
      <c r="R67" s="105">
        <f>(1+Inputs!$J$47)*'BaU Model'!Q67</f>
        <v>4.9867839920000012</v>
      </c>
      <c r="S67" s="105">
        <f>(1+Inputs!$J$47)*'BaU Model'!R67</f>
        <v>5.2859910315200018</v>
      </c>
      <c r="T67" s="105">
        <f>(1+Inputs!$J$47)*'BaU Model'!S67</f>
        <v>5.603150493411202</v>
      </c>
      <c r="U67" s="105">
        <f>(1+Inputs!$J$47)*'BaU Model'!T67</f>
        <v>5.9393395230158745</v>
      </c>
      <c r="V67" s="105">
        <f>(1+Inputs!$J$47)*'BaU Model'!U67</f>
        <v>6.2956998943968276</v>
      </c>
      <c r="W67" s="105">
        <f>(1+Inputs!$J$47)*'BaU Model'!V67</f>
        <v>6.6734418880606379</v>
      </c>
      <c r="X67" s="105">
        <f>(1+Inputs!$J$47)*'BaU Model'!W67</f>
        <v>7.0738484013442768</v>
      </c>
      <c r="Y67" s="105">
        <f>(1+Inputs!$J$47)*'BaU Model'!X67</f>
        <v>7.4982793054249335</v>
      </c>
      <c r="Z67" s="105">
        <f>(1+Inputs!$J$47)*'BaU Model'!Y67</f>
        <v>7.94817606375043</v>
      </c>
      <c r="AA67" s="105">
        <f>(1+Inputs!$J$47)*'BaU Model'!Z67</f>
        <v>8.4250666275754558</v>
      </c>
      <c r="AB67" s="105">
        <f>(1+Inputs!$J$47)*'BaU Model'!AA67</f>
        <v>8.9305706252299828</v>
      </c>
      <c r="AC67" s="105">
        <f>(1+Inputs!$J$47)*'BaU Model'!AB67</f>
        <v>9.4664048627437829</v>
      </c>
      <c r="AD67" s="105">
        <f>(1+Inputs!$J$47)*'BaU Model'!AC67</f>
        <v>10.034389154508411</v>
      </c>
      <c r="AE67" s="105">
        <f>(1+Inputs!$J$47)*'BaU Model'!AD67</f>
        <v>10.636452503778916</v>
      </c>
      <c r="AF67" s="105">
        <f>(1+Inputs!$J$47)*'BaU Model'!AE67</f>
        <v>11.274639654005652</v>
      </c>
      <c r="AG67" s="105">
        <f>(1+Inputs!$J$47)*'BaU Model'!AF67</f>
        <v>11.951118033245992</v>
      </c>
      <c r="AH67" s="105">
        <f>(1+Inputs!$J$47)*'BaU Model'!AG67</f>
        <v>12.668185115240751</v>
      </c>
      <c r="AI67" s="105">
        <f>(1+Inputs!$J$47)*'BaU Model'!AH67</f>
        <v>13.428276222155198</v>
      </c>
      <c r="AJ67" s="105">
        <f>(1+Inputs!$J$47)*'BaU Model'!AI67</f>
        <v>14.23397279548451</v>
      </c>
      <c r="AK67" s="105">
        <f>(1+Inputs!$J$47)*'BaU Model'!AJ67</f>
        <v>15.088011163213581</v>
      </c>
      <c r="AL67" s="105">
        <f>(1+Inputs!$J$47)*'BaU Model'!AK67</f>
        <v>15.993291833006397</v>
      </c>
    </row>
    <row r="68" spans="4:38">
      <c r="D68" s="7" t="s">
        <v>466</v>
      </c>
      <c r="E68" s="16" t="s">
        <v>118</v>
      </c>
      <c r="K68" s="105">
        <f t="shared" ref="K68:AL68" si="26">K66+K67</f>
        <v>23.759999999999998</v>
      </c>
      <c r="L68" s="105">
        <f t="shared" si="26"/>
        <v>25.28</v>
      </c>
      <c r="M68" s="105">
        <f t="shared" si="26"/>
        <v>26.82</v>
      </c>
      <c r="N68" s="105">
        <f t="shared" si="26"/>
        <v>28.425000000000001</v>
      </c>
      <c r="O68" s="105">
        <f t="shared" si="26"/>
        <v>30.130500000000005</v>
      </c>
      <c r="P68" s="105">
        <f t="shared" si="26"/>
        <v>31.938330000000008</v>
      </c>
      <c r="Q68" s="105">
        <f t="shared" si="26"/>
        <v>33.854629800000012</v>
      </c>
      <c r="R68" s="105">
        <f t="shared" si="26"/>
        <v>35.885907588000009</v>
      </c>
      <c r="S68" s="105">
        <f t="shared" si="26"/>
        <v>38.039062043280012</v>
      </c>
      <c r="T68" s="105">
        <f t="shared" si="26"/>
        <v>40.321405765876818</v>
      </c>
      <c r="U68" s="105">
        <f t="shared" si="26"/>
        <v>42.74069011182943</v>
      </c>
      <c r="V68" s="105">
        <f t="shared" si="26"/>
        <v>45.305131518539199</v>
      </c>
      <c r="W68" s="105">
        <f t="shared" si="26"/>
        <v>48.023439409651552</v>
      </c>
      <c r="X68" s="105">
        <f t="shared" si="26"/>
        <v>50.904845774230651</v>
      </c>
      <c r="Y68" s="105">
        <f t="shared" si="26"/>
        <v>53.959136520684496</v>
      </c>
      <c r="Z68" s="105">
        <f t="shared" si="26"/>
        <v>57.196684711925563</v>
      </c>
      <c r="AA68" s="105">
        <f t="shared" si="26"/>
        <v>60.628485794641094</v>
      </c>
      <c r="AB68" s="105">
        <f t="shared" si="26"/>
        <v>64.266194942319572</v>
      </c>
      <c r="AC68" s="105">
        <f t="shared" si="26"/>
        <v>68.122166638858744</v>
      </c>
      <c r="AD68" s="105">
        <f t="shared" si="26"/>
        <v>72.20949663719027</v>
      </c>
      <c r="AE68" s="105">
        <f t="shared" si="26"/>
        <v>76.542066435421688</v>
      </c>
      <c r="AF68" s="105">
        <f t="shared" si="26"/>
        <v>81.134590421547003</v>
      </c>
      <c r="AG68" s="105">
        <f t="shared" si="26"/>
        <v>86.002665846839818</v>
      </c>
      <c r="AH68" s="105">
        <f t="shared" si="26"/>
        <v>91.162825797650214</v>
      </c>
      <c r="AI68" s="105">
        <f t="shared" si="26"/>
        <v>96.63259534550923</v>
      </c>
      <c r="AJ68" s="105">
        <f t="shared" si="26"/>
        <v>102.43055106623979</v>
      </c>
      <c r="AK68" s="105">
        <f t="shared" si="26"/>
        <v>108.57638413021418</v>
      </c>
      <c r="AL68" s="105">
        <f t="shared" si="26"/>
        <v>115.09096717802704</v>
      </c>
    </row>
    <row r="69" spans="4:38">
      <c r="D69" s="7" t="s">
        <v>120</v>
      </c>
      <c r="E69" s="16" t="s">
        <v>118</v>
      </c>
      <c r="K69" s="105">
        <f>Inputs!E52</f>
        <v>7.23</v>
      </c>
      <c r="L69" s="105">
        <f>Inputs!F52</f>
        <v>7.9067280000000002</v>
      </c>
      <c r="M69" s="105">
        <f>Inputs!G52</f>
        <v>8.6467977408000003</v>
      </c>
      <c r="N69" s="105">
        <f>Inputs!H52</f>
        <v>14.73</v>
      </c>
      <c r="O69" s="105">
        <f>Inputs!I52</f>
        <v>16.108727999999999</v>
      </c>
      <c r="P69" s="105">
        <f>Inputs!J52</f>
        <v>17.616504940799999</v>
      </c>
      <c r="Q69" s="105">
        <f>P69*(1+Inputs!$J$61)</f>
        <v>19.265409803258876</v>
      </c>
      <c r="R69" s="105">
        <f>Q69*(1+Inputs!$J$61)</f>
        <v>21.068652160843904</v>
      </c>
      <c r="S69" s="105">
        <f>R69*(1+Inputs!$J$61)</f>
        <v>23.04067800309889</v>
      </c>
      <c r="T69" s="105">
        <f>S69*(1+Inputs!$J$61)</f>
        <v>25.197285464188944</v>
      </c>
      <c r="U69" s="105">
        <f>T69*(1+Inputs!$J$61)</f>
        <v>27.555751383637027</v>
      </c>
      <c r="V69" s="105">
        <f>U69*(1+Inputs!$J$61)</f>
        <v>30.134969713145448</v>
      </c>
      <c r="W69" s="105">
        <f>V69*(1+Inputs!$J$61)</f>
        <v>32.955602878295856</v>
      </c>
      <c r="X69" s="105">
        <f>W69*(1+Inputs!$J$61)</f>
        <v>36.040247307704348</v>
      </c>
      <c r="Y69" s="105">
        <f>X69*(1+Inputs!$J$61)</f>
        <v>39.413614455705471</v>
      </c>
      <c r="Z69" s="105">
        <f>Y69*(1+Inputs!$J$61)</f>
        <v>43.102728768759498</v>
      </c>
      <c r="AA69" s="105">
        <f>Z69*(1+Inputs!$J$61)</f>
        <v>47.137144181515382</v>
      </c>
      <c r="AB69" s="105">
        <f>AA69*(1+Inputs!$J$61)</f>
        <v>51.549180876905218</v>
      </c>
      <c r="AC69" s="105">
        <f>AB69*(1+Inputs!$J$61)</f>
        <v>56.374184206983543</v>
      </c>
      <c r="AD69" s="105">
        <f>AC69*(1+Inputs!$J$61)</f>
        <v>61.650807848757196</v>
      </c>
      <c r="AE69" s="105">
        <f>AD69*(1+Inputs!$J$61)</f>
        <v>67.421323463400867</v>
      </c>
      <c r="AF69" s="105">
        <f>AE69*(1+Inputs!$J$61)</f>
        <v>73.731959339575184</v>
      </c>
      <c r="AG69" s="105">
        <f>AF69*(1+Inputs!$J$61)</f>
        <v>80.633270733759417</v>
      </c>
      <c r="AH69" s="105">
        <f>AG69*(1+Inputs!$J$61)</f>
        <v>88.180544874439292</v>
      </c>
      <c r="AI69" s="105">
        <f>AH69*(1+Inputs!$J$61)</f>
        <v>96.4342438746868</v>
      </c>
      <c r="AJ69" s="105">
        <f>AI69*(1+Inputs!$J$61)</f>
        <v>105.46048910135748</v>
      </c>
      <c r="AK69" s="105">
        <f>AJ69*(1+Inputs!$J$61)</f>
        <v>115.33159088124454</v>
      </c>
      <c r="AL69" s="105">
        <f>AK69*(1+Inputs!$J$61)</f>
        <v>126.12662778772902</v>
      </c>
    </row>
    <row r="70" spans="4:38">
      <c r="D70" s="7" t="s">
        <v>122</v>
      </c>
      <c r="E70" s="16" t="s">
        <v>118</v>
      </c>
      <c r="K70" s="105">
        <f>Inputs!E54</f>
        <v>13</v>
      </c>
      <c r="L70" s="105">
        <f>Inputs!F54</f>
        <v>14.216799999999999</v>
      </c>
      <c r="M70" s="105">
        <f>Inputs!G54</f>
        <v>15.547492479999997</v>
      </c>
      <c r="N70" s="105">
        <f>Inputs!H54</f>
        <v>17.002737776127997</v>
      </c>
      <c r="O70" s="105">
        <f>Inputs!I54</f>
        <v>18.594194031973576</v>
      </c>
      <c r="P70" s="105">
        <f>Inputs!J54</f>
        <v>20.3346105933663</v>
      </c>
      <c r="Q70" s="105">
        <f>P70*(1+Inputs!$J$61)</f>
        <v>22.237930144905384</v>
      </c>
      <c r="R70" s="105">
        <f>Q70*(1+Inputs!$J$61)</f>
        <v>24.319400406468525</v>
      </c>
      <c r="S70" s="105">
        <f>R70*(1+Inputs!$J$61)</f>
        <v>26.595696284513977</v>
      </c>
      <c r="T70" s="105">
        <f>S70*(1+Inputs!$J$61)</f>
        <v>29.085053456744483</v>
      </c>
      <c r="U70" s="105">
        <f>T70*(1+Inputs!$J$61)</f>
        <v>31.807414460295764</v>
      </c>
      <c r="V70" s="105">
        <f>U70*(1+Inputs!$J$61)</f>
        <v>34.784588453779442</v>
      </c>
      <c r="W70" s="105">
        <f>V70*(1+Inputs!$J$61)</f>
        <v>38.040425933053193</v>
      </c>
      <c r="X70" s="105">
        <f>W70*(1+Inputs!$J$61)</f>
        <v>41.601009800386969</v>
      </c>
      <c r="Y70" s="105">
        <f>X70*(1+Inputs!$J$61)</f>
        <v>45.494864317703183</v>
      </c>
      <c r="Z70" s="105">
        <f>Y70*(1+Inputs!$J$61)</f>
        <v>49.753183617840193</v>
      </c>
      <c r="AA70" s="105">
        <f>Z70*(1+Inputs!$J$61)</f>
        <v>54.41008160447003</v>
      </c>
      <c r="AB70" s="105">
        <f>AA70*(1+Inputs!$J$61)</f>
        <v>59.502865242648419</v>
      </c>
      <c r="AC70" s="105">
        <f>AB70*(1+Inputs!$J$61)</f>
        <v>65.072333429360299</v>
      </c>
      <c r="AD70" s="105">
        <f>AC70*(1+Inputs!$J$61)</f>
        <v>71.16310383834842</v>
      </c>
      <c r="AE70" s="105">
        <f>AD70*(1+Inputs!$J$61)</f>
        <v>77.823970357617824</v>
      </c>
      <c r="AF70" s="105">
        <f>AE70*(1+Inputs!$J$61)</f>
        <v>85.108293983090846</v>
      </c>
      <c r="AG70" s="105">
        <f>AF70*(1+Inputs!$J$61)</f>
        <v>93.074430299908144</v>
      </c>
      <c r="AH70" s="105">
        <f>AG70*(1+Inputs!$J$61)</f>
        <v>101.78619697597954</v>
      </c>
      <c r="AI70" s="105">
        <f>AH70*(1+Inputs!$J$61)</f>
        <v>111.31338501293121</v>
      </c>
      <c r="AJ70" s="105">
        <f>AI70*(1+Inputs!$J$61)</f>
        <v>121.73231785014156</v>
      </c>
      <c r="AK70" s="105">
        <f>AJ70*(1+Inputs!$J$61)</f>
        <v>133.12646280091479</v>
      </c>
      <c r="AL70" s="105">
        <f>AK70*(1+Inputs!$J$61)</f>
        <v>145.58709971908041</v>
      </c>
    </row>
    <row r="71" spans="4:38">
      <c r="D71" s="7" t="s">
        <v>123</v>
      </c>
      <c r="E71" s="16" t="s">
        <v>118</v>
      </c>
      <c r="K71" s="105">
        <f>Inputs!E55</f>
        <v>282</v>
      </c>
      <c r="L71" s="105">
        <f>Inputs!F55</f>
        <v>304.27799999999996</v>
      </c>
      <c r="M71" s="105">
        <f>Inputs!G55</f>
        <v>332.75842079999995</v>
      </c>
      <c r="N71" s="105">
        <f>Inputs!H55</f>
        <v>363.90460898687991</v>
      </c>
      <c r="O71" s="105">
        <f>Inputs!I55</f>
        <v>397.96608038805181</v>
      </c>
      <c r="P71" s="105">
        <f>Inputs!J55</f>
        <v>435.2157055123734</v>
      </c>
      <c r="Q71" s="105">
        <f>P71*(1+Inputs!$J$62)</f>
        <v>469.59774624785086</v>
      </c>
      <c r="R71" s="105">
        <f>Q71*(1+Inputs!$J$62)</f>
        <v>506.69596820143107</v>
      </c>
      <c r="S71" s="105">
        <f>R71*(1+Inputs!$J$62)</f>
        <v>546.72494968934416</v>
      </c>
      <c r="T71" s="105">
        <f>S71*(1+Inputs!$J$62)</f>
        <v>589.91622071480231</v>
      </c>
      <c r="U71" s="105">
        <f>T71*(1+Inputs!$J$62)</f>
        <v>636.51960215127167</v>
      </c>
      <c r="V71" s="105">
        <f>U71*(1+Inputs!$J$62)</f>
        <v>686.80465072122206</v>
      </c>
      <c r="W71" s="105">
        <f>V71*(1+Inputs!$J$62)</f>
        <v>741.06221812819854</v>
      </c>
      <c r="X71" s="105">
        <f>W71*(1+Inputs!$J$62)</f>
        <v>799.60613336032623</v>
      </c>
      <c r="Y71" s="105">
        <f>X71*(1+Inputs!$J$62)</f>
        <v>862.77501789579196</v>
      </c>
      <c r="Z71" s="105">
        <f>Y71*(1+Inputs!$J$62)</f>
        <v>930.93424430955952</v>
      </c>
      <c r="AA71" s="105">
        <f>Z71*(1+Inputs!$J$62)</f>
        <v>1004.4780496100146</v>
      </c>
      <c r="AB71" s="105">
        <f>AA71*(1+Inputs!$J$62)</f>
        <v>1083.8318155292056</v>
      </c>
      <c r="AC71" s="105">
        <f>AB71*(1+Inputs!$J$62)</f>
        <v>1169.4545289560128</v>
      </c>
      <c r="AD71" s="105">
        <f>AC71*(1+Inputs!$J$62)</f>
        <v>1261.8414367435378</v>
      </c>
      <c r="AE71" s="105">
        <f>AD71*(1+Inputs!$J$62)</f>
        <v>1361.5269102462771</v>
      </c>
      <c r="AF71" s="105">
        <f>AE71*(1+Inputs!$J$62)</f>
        <v>1469.087536155733</v>
      </c>
      <c r="AG71" s="105">
        <f>AF71*(1+Inputs!$J$62)</f>
        <v>1585.1454515120358</v>
      </c>
      <c r="AH71" s="105">
        <f>AG71*(1+Inputs!$J$62)</f>
        <v>1710.3719421814867</v>
      </c>
      <c r="AI71" s="105">
        <f>AH71*(1+Inputs!$J$62)</f>
        <v>1845.4913256138241</v>
      </c>
      <c r="AJ71" s="105">
        <f>AI71*(1+Inputs!$J$62)</f>
        <v>1991.2851403373161</v>
      </c>
      <c r="AK71" s="105">
        <f>AJ71*(1+Inputs!$J$62)</f>
        <v>2148.5966664239641</v>
      </c>
      <c r="AL71" s="105">
        <f>AK71*(1+Inputs!$J$62)</f>
        <v>2318.3358030714571</v>
      </c>
    </row>
    <row r="72" spans="4:38">
      <c r="D72" s="7" t="s">
        <v>124</v>
      </c>
      <c r="E72" s="16" t="s">
        <v>118</v>
      </c>
      <c r="K72" s="105">
        <f>Inputs!E56</f>
        <v>4.0999999999999996</v>
      </c>
      <c r="L72" s="105">
        <f>Inputs!F56</f>
        <v>4.4837599999999993</v>
      </c>
      <c r="M72" s="105">
        <f>Inputs!G56</f>
        <v>4.9034399359999989</v>
      </c>
      <c r="N72" s="105">
        <f>Inputs!H56</f>
        <v>5.362401914009598</v>
      </c>
      <c r="O72" s="105">
        <f>Inputs!I56</f>
        <v>5.864322733160896</v>
      </c>
      <c r="P72" s="105">
        <f>Inputs!J56</f>
        <v>6.4132233409847554</v>
      </c>
      <c r="Q72" s="105">
        <f>P72*(1+Inputs!$J$61)</f>
        <v>7.0135010457009281</v>
      </c>
      <c r="R72" s="105">
        <f>Q72*(1+Inputs!$J$61)</f>
        <v>7.6699647435785341</v>
      </c>
      <c r="S72" s="105">
        <f>R72*(1+Inputs!$J$61)</f>
        <v>8.3878734435774849</v>
      </c>
      <c r="T72" s="105">
        <f>S72*(1+Inputs!$J$61)</f>
        <v>9.1729783978963368</v>
      </c>
      <c r="U72" s="105">
        <f>T72*(1+Inputs!$J$61)</f>
        <v>10.031569175939433</v>
      </c>
      <c r="V72" s="105">
        <f>U72*(1+Inputs!$J$61)</f>
        <v>10.970524050807363</v>
      </c>
      <c r="W72" s="105">
        <f>V72*(1+Inputs!$J$61)</f>
        <v>11.997365101962931</v>
      </c>
      <c r="X72" s="105">
        <f>W72*(1+Inputs!$J$61)</f>
        <v>13.120318475506661</v>
      </c>
      <c r="Y72" s="105">
        <f>X72*(1+Inputs!$J$61)</f>
        <v>14.348380284814082</v>
      </c>
      <c r="Z72" s="105">
        <f>Y72*(1+Inputs!$J$61)</f>
        <v>15.691388679472679</v>
      </c>
      <c r="AA72" s="105">
        <f>Z72*(1+Inputs!$J$61)</f>
        <v>17.16010265987132</v>
      </c>
      <c r="AB72" s="105">
        <f>AA72*(1+Inputs!$J$61)</f>
        <v>18.766288268835275</v>
      </c>
      <c r="AC72" s="105">
        <f>AB72*(1+Inputs!$J$61)</f>
        <v>20.522812850798257</v>
      </c>
      <c r="AD72" s="105">
        <f>AC72*(1+Inputs!$J$61)</f>
        <v>22.443748133632972</v>
      </c>
      <c r="AE72" s="105">
        <f>AD72*(1+Inputs!$J$61)</f>
        <v>24.544482958941018</v>
      </c>
      <c r="AF72" s="105">
        <f>AE72*(1+Inputs!$J$61)</f>
        <v>26.841846563897896</v>
      </c>
      <c r="AG72" s="105">
        <f>AF72*(1+Inputs!$J$61)</f>
        <v>29.354243402278737</v>
      </c>
      <c r="AH72" s="105">
        <f>AG72*(1+Inputs!$J$61)</f>
        <v>32.101800584732025</v>
      </c>
      <c r="AI72" s="105">
        <f>AH72*(1+Inputs!$J$61)</f>
        <v>35.106529119462941</v>
      </c>
      <c r="AJ72" s="105">
        <f>AI72*(1+Inputs!$J$61)</f>
        <v>38.392500245044666</v>
      </c>
      <c r="AK72" s="105">
        <f>AJ72*(1+Inputs!$J$61)</f>
        <v>41.986038267980845</v>
      </c>
      <c r="AL72" s="105">
        <f>AK72*(1+Inputs!$J$61)</f>
        <v>45.915931449863848</v>
      </c>
    </row>
    <row r="73" spans="4:38">
      <c r="D73" s="7" t="s">
        <v>125</v>
      </c>
      <c r="E73" s="16" t="s">
        <v>118</v>
      </c>
      <c r="K73">
        <f>Inputs!E57</f>
        <v>0</v>
      </c>
      <c r="L73">
        <f>Inputs!F57</f>
        <v>0</v>
      </c>
      <c r="M73">
        <f>Inputs!G57</f>
        <v>10.1</v>
      </c>
      <c r="N73" s="105">
        <f>Inputs!H57</f>
        <v>11.045359999999999</v>
      </c>
      <c r="O73" s="105">
        <f>Inputs!I57</f>
        <v>12.079205695999997</v>
      </c>
      <c r="P73" s="105">
        <f>Inputs!J57</f>
        <v>13.209819349145596</v>
      </c>
      <c r="Q73" s="105">
        <f>P73*(1+Inputs!$J$61)</f>
        <v>14.446258440225622</v>
      </c>
      <c r="R73" s="105">
        <f>Q73*(1+Inputs!$J$61)</f>
        <v>15.798428230230739</v>
      </c>
      <c r="S73" s="105">
        <f>R73*(1+Inputs!$J$61)</f>
        <v>17.277161112580334</v>
      </c>
      <c r="T73" s="105">
        <f>S73*(1+Inputs!$J$61)</f>
        <v>18.894303392717852</v>
      </c>
      <c r="U73" s="105">
        <f>T73*(1+Inputs!$J$61)</f>
        <v>20.66281019027624</v>
      </c>
      <c r="V73" s="105">
        <f>U73*(1+Inputs!$J$61)</f>
        <v>22.596849224086093</v>
      </c>
      <c r="W73" s="105">
        <f>V73*(1+Inputs!$J$61)</f>
        <v>24.71191431146055</v>
      </c>
      <c r="X73" s="105">
        <f>W73*(1+Inputs!$J$61)</f>
        <v>27.024949491013256</v>
      </c>
      <c r="Y73" s="105">
        <f>X73*(1+Inputs!$J$61)</f>
        <v>29.554484763372095</v>
      </c>
      <c r="Z73" s="105">
        <f>Y73*(1+Inputs!$J$61)</f>
        <v>32.320784537223723</v>
      </c>
      <c r="AA73" s="105">
        <f>Z73*(1+Inputs!$J$61)</f>
        <v>35.346009969907861</v>
      </c>
      <c r="AB73" s="105">
        <f>AA73*(1+Inputs!$J$61)</f>
        <v>38.654396503091235</v>
      </c>
      <c r="AC73" s="105">
        <f>AB73*(1+Inputs!$J$61)</f>
        <v>42.272448015780569</v>
      </c>
      <c r="AD73" s="105">
        <f>AC73*(1+Inputs!$J$61)</f>
        <v>46.229149150057623</v>
      </c>
      <c r="AE73" s="105">
        <f>AD73*(1+Inputs!$J$61)</f>
        <v>50.556197510503011</v>
      </c>
      <c r="AF73" s="105">
        <f>AE73*(1+Inputs!$J$61)</f>
        <v>55.288257597486087</v>
      </c>
      <c r="AG73" s="105">
        <f>AF73*(1+Inputs!$J$61)</f>
        <v>60.463238508610779</v>
      </c>
      <c r="AH73" s="105">
        <f>AG73*(1+Inputs!$J$61)</f>
        <v>66.122597633016738</v>
      </c>
      <c r="AI73" s="105">
        <f>AH73*(1+Inputs!$J$61)</f>
        <v>72.311672771467101</v>
      </c>
      <c r="AJ73" s="105">
        <f>AI73*(1+Inputs!$J$61)</f>
        <v>79.080045342876417</v>
      </c>
      <c r="AK73" s="105">
        <f>AJ73*(1+Inputs!$J$61)</f>
        <v>86.481937586969636</v>
      </c>
      <c r="AL73" s="105">
        <f>AK73*(1+Inputs!$J$61)</f>
        <v>94.576646945109985</v>
      </c>
    </row>
    <row r="74" spans="4:38">
      <c r="D74" s="63" t="s">
        <v>154</v>
      </c>
      <c r="E74" s="16" t="s">
        <v>118</v>
      </c>
      <c r="K74">
        <f>Inputs!E58</f>
        <v>0</v>
      </c>
      <c r="L74">
        <f>Inputs!F58</f>
        <v>0</v>
      </c>
      <c r="M74">
        <f>Inputs!G58</f>
        <v>0</v>
      </c>
      <c r="N74">
        <f>Inputs!H58</f>
        <v>0</v>
      </c>
      <c r="O74">
        <f>Inputs!I58</f>
        <v>0</v>
      </c>
      <c r="P74" s="89">
        <f>Inputs!J58</f>
        <v>45</v>
      </c>
      <c r="Q74" s="105">
        <f>P74*(1+Inputs!$J$61)</f>
        <v>49.211999999999996</v>
      </c>
      <c r="R74" s="105">
        <f>Q74*(1+Inputs!$J$61)</f>
        <v>53.818243199999991</v>
      </c>
      <c r="S74" s="105">
        <f>R74*(1+Inputs!$J$61)</f>
        <v>58.855630763519983</v>
      </c>
      <c r="T74" s="105">
        <f>S74*(1+Inputs!$J$61)</f>
        <v>64.364517802985446</v>
      </c>
      <c r="U74" s="105">
        <f>T74*(1+Inputs!$J$61)</f>
        <v>70.389036669344875</v>
      </c>
      <c r="V74" s="105">
        <f>U74*(1+Inputs!$J$61)</f>
        <v>76.977450501595555</v>
      </c>
      <c r="W74" s="105">
        <f>V74*(1+Inputs!$J$61)</f>
        <v>84.182539868544893</v>
      </c>
      <c r="X74" s="105">
        <f>W74*(1+Inputs!$J$61)</f>
        <v>92.062025600240688</v>
      </c>
      <c r="Y74" s="105">
        <f>X74*(1+Inputs!$J$61)</f>
        <v>100.67903119642321</v>
      </c>
      <c r="Z74" s="105">
        <f>Y74*(1+Inputs!$J$61)</f>
        <v>110.10258851640842</v>
      </c>
      <c r="AA74" s="105">
        <f>Z74*(1+Inputs!$J$61)</f>
        <v>120.40819080154424</v>
      </c>
      <c r="AB74" s="105">
        <f>AA74*(1+Inputs!$J$61)</f>
        <v>131.67839746056876</v>
      </c>
      <c r="AC74" s="105">
        <f>AB74*(1+Inputs!$J$61)</f>
        <v>144.00349546287799</v>
      </c>
      <c r="AD74" s="105">
        <f>AC74*(1+Inputs!$J$61)</f>
        <v>157.48222263820335</v>
      </c>
      <c r="AE74" s="105">
        <f>AD74*(1+Inputs!$J$61)</f>
        <v>172.22255867713918</v>
      </c>
      <c r="AF74" s="105">
        <f>AE74*(1+Inputs!$J$61)</f>
        <v>188.34259016931938</v>
      </c>
      <c r="AG74" s="105">
        <f>AF74*(1+Inputs!$J$61)</f>
        <v>205.97145660916766</v>
      </c>
      <c r="AH74" s="105">
        <f>AG74*(1+Inputs!$J$61)</f>
        <v>225.25038494778573</v>
      </c>
      <c r="AI74" s="105">
        <f>AH74*(1+Inputs!$J$61)</f>
        <v>246.33382097889844</v>
      </c>
      <c r="AJ74" s="105">
        <f>AI74*(1+Inputs!$J$61)</f>
        <v>269.39066662252333</v>
      </c>
      <c r="AK74" s="105">
        <f>AJ74*(1+Inputs!$J$61)</f>
        <v>294.60563301839147</v>
      </c>
      <c r="AL74" s="105">
        <f>AK74*(1+Inputs!$J$61)</f>
        <v>322.18072026891286</v>
      </c>
    </row>
    <row r="75" spans="4:38">
      <c r="D75" s="7" t="s">
        <v>440</v>
      </c>
      <c r="E75" s="16" t="s">
        <v>118</v>
      </c>
      <c r="K75" s="105">
        <f>SUM(K69:K72)</f>
        <v>306.33000000000004</v>
      </c>
      <c r="L75" s="105">
        <f t="shared" ref="L75:AL75" si="27">SUM(L69:L72)</f>
        <v>330.885288</v>
      </c>
      <c r="M75" s="105">
        <f t="shared" si="27"/>
        <v>361.85615095679992</v>
      </c>
      <c r="N75" s="105">
        <f t="shared" si="27"/>
        <v>400.99974867701746</v>
      </c>
      <c r="O75" s="105">
        <f t="shared" si="27"/>
        <v>438.5333251531863</v>
      </c>
      <c r="P75" s="105">
        <f t="shared" si="27"/>
        <v>479.58004438752448</v>
      </c>
      <c r="Q75" s="105">
        <f t="shared" si="27"/>
        <v>518.11458724171598</v>
      </c>
      <c r="R75" s="105">
        <f t="shared" si="27"/>
        <v>559.75398551232206</v>
      </c>
      <c r="S75" s="105">
        <f t="shared" si="27"/>
        <v>604.74919742053453</v>
      </c>
      <c r="T75" s="105">
        <f t="shared" si="27"/>
        <v>653.37153803363208</v>
      </c>
      <c r="U75" s="105">
        <f t="shared" si="27"/>
        <v>705.91433717114387</v>
      </c>
      <c r="V75" s="105">
        <f t="shared" si="27"/>
        <v>762.6947329389543</v>
      </c>
      <c r="W75" s="105">
        <f t="shared" si="27"/>
        <v>824.05561204151059</v>
      </c>
      <c r="X75" s="105">
        <f t="shared" si="27"/>
        <v>890.36770894392419</v>
      </c>
      <c r="Y75" s="105">
        <f t="shared" si="27"/>
        <v>962.03187695401471</v>
      </c>
      <c r="Z75" s="105">
        <f t="shared" si="27"/>
        <v>1039.4815453756319</v>
      </c>
      <c r="AA75" s="105">
        <f t="shared" si="27"/>
        <v>1123.1853780558715</v>
      </c>
      <c r="AB75" s="105">
        <f t="shared" si="27"/>
        <v>1213.6501499175945</v>
      </c>
      <c r="AC75" s="105">
        <f t="shared" si="27"/>
        <v>1311.4238594431549</v>
      </c>
      <c r="AD75" s="105">
        <f t="shared" si="27"/>
        <v>1417.0990965642764</v>
      </c>
      <c r="AE75" s="105">
        <f t="shared" si="27"/>
        <v>1531.3166870262369</v>
      </c>
      <c r="AF75" s="105">
        <f t="shared" si="27"/>
        <v>1654.769636042297</v>
      </c>
      <c r="AG75" s="105">
        <f t="shared" si="27"/>
        <v>1788.2073959479821</v>
      </c>
      <c r="AH75" s="105">
        <f t="shared" si="27"/>
        <v>1932.4404846166376</v>
      </c>
      <c r="AI75" s="105">
        <f t="shared" si="27"/>
        <v>2088.3454836209048</v>
      </c>
      <c r="AJ75" s="105">
        <f t="shared" si="27"/>
        <v>2256.8704475338595</v>
      </c>
      <c r="AK75" s="105">
        <f t="shared" si="27"/>
        <v>2439.0407583741044</v>
      </c>
      <c r="AL75" s="105">
        <f t="shared" si="27"/>
        <v>2635.9654620281303</v>
      </c>
    </row>
    <row r="76" spans="4:38">
      <c r="D76" s="7" t="s">
        <v>401</v>
      </c>
      <c r="E76" s="16" t="s">
        <v>246</v>
      </c>
      <c r="K76">
        <f>(1-Inputs!E24)*'BaU Model'!L76</f>
        <v>1767200000</v>
      </c>
      <c r="L76">
        <f>(1-Inputs!F24)*'BaU Model'!M76</f>
        <v>1880000000</v>
      </c>
      <c r="M76">
        <f>Inputs!G27</f>
        <v>2000000000</v>
      </c>
      <c r="N76">
        <f>M76*(1+Inputs!H24)</f>
        <v>2120000000</v>
      </c>
      <c r="O76">
        <f>N76*(1+Inputs!I24)</f>
        <v>2247200000</v>
      </c>
      <c r="P76">
        <f>O76*(1+Inputs!$J$24)</f>
        <v>2382032000</v>
      </c>
      <c r="Q76">
        <f>P76*(1+Inputs!$J$24)</f>
        <v>2524953920</v>
      </c>
      <c r="R76">
        <f>Q76*(1+Inputs!$J$24)</f>
        <v>2676451155.2000003</v>
      </c>
      <c r="S76">
        <f>R76*(1+Inputs!$J$24)</f>
        <v>2837038224.5120006</v>
      </c>
      <c r="T76">
        <f>S76*(1+Inputs!$J$24)</f>
        <v>3007260517.9827209</v>
      </c>
      <c r="U76">
        <f>T76*(1+Inputs!$J$24)</f>
        <v>3187696149.0616841</v>
      </c>
      <c r="V76">
        <f>U76*(1+Inputs!$J$24)</f>
        <v>3378957918.0053854</v>
      </c>
      <c r="W76">
        <f>V76*(1+Inputs!$J$24)</f>
        <v>3581695393.0857086</v>
      </c>
      <c r="X76">
        <f>W76*(1+Inputs!$J$24)</f>
        <v>3796597116.6708512</v>
      </c>
      <c r="Y76">
        <f>X76*(1+Inputs!$J$24)</f>
        <v>4024392943.6711025</v>
      </c>
      <c r="Z76">
        <f>Y76*(1+Inputs!$J$24)</f>
        <v>4265856520.291369</v>
      </c>
      <c r="AA76">
        <f>Z76*(1+Inputs!$J$24)</f>
        <v>4521807911.5088511</v>
      </c>
      <c r="AB76">
        <f>AA76*(1+Inputs!$J$24)</f>
        <v>4793116386.1993828</v>
      </c>
      <c r="AC76">
        <f>AB76*(1+Inputs!$J$24)</f>
        <v>5080703369.3713465</v>
      </c>
      <c r="AD76">
        <f>AC76*(1+Inputs!$J$24)</f>
        <v>5385545571.5336275</v>
      </c>
      <c r="AE76">
        <f>AD76*(1+Inputs!$J$24)</f>
        <v>5708678305.8256454</v>
      </c>
      <c r="AF76">
        <f>AE76*(1+Inputs!$J$24)</f>
        <v>6051199004.1751842</v>
      </c>
      <c r="AG76">
        <f>AF76*(1+Inputs!$J$24)</f>
        <v>6414270944.4256954</v>
      </c>
      <c r="AH76">
        <f>AG76*(1+Inputs!$J$24)</f>
        <v>6799127201.0912371</v>
      </c>
      <c r="AI76">
        <f>AH76*(1+Inputs!$J$24)</f>
        <v>7207074833.1567116</v>
      </c>
      <c r="AJ76">
        <f>AI76*(1+Inputs!$J$24)</f>
        <v>7639499323.1461143</v>
      </c>
      <c r="AK76">
        <f>AJ76*(1+Inputs!$J$24)</f>
        <v>8097869282.5348816</v>
      </c>
      <c r="AL76">
        <f>AK76*(1+Inputs!$J$24)</f>
        <v>8583741439.4869747</v>
      </c>
    </row>
    <row r="78" spans="4:38" ht="24" thickBot="1">
      <c r="D78" s="57" t="s">
        <v>197</v>
      </c>
    </row>
    <row r="79" spans="4:38" ht="18">
      <c r="D79" s="15" t="s">
        <v>143</v>
      </c>
    </row>
    <row r="80" spans="4:38">
      <c r="D80" s="89" t="s">
        <v>190</v>
      </c>
      <c r="E80" s="16" t="s">
        <v>211</v>
      </c>
      <c r="K80" s="69">
        <f>SUM(K81:K82)</f>
        <v>4164940</v>
      </c>
      <c r="L80" s="69">
        <f t="shared" ref="L80:AL80" si="28">SUM(L81:L82)</f>
        <v>4195578.0786803216</v>
      </c>
      <c r="M80" s="69">
        <f t="shared" si="28"/>
        <v>4514988.1311923796</v>
      </c>
      <c r="N80" s="69">
        <f t="shared" si="28"/>
        <v>11125687.278505856</v>
      </c>
      <c r="O80" s="69">
        <f t="shared" si="28"/>
        <v>8306489.7706249347</v>
      </c>
      <c r="P80" s="69">
        <f t="shared" si="28"/>
        <v>9083977.2131554279</v>
      </c>
      <c r="Q80" s="69">
        <f t="shared" si="28"/>
        <v>11671110.50111958</v>
      </c>
      <c r="R80" s="69">
        <f t="shared" si="28"/>
        <v>12763526.444024369</v>
      </c>
      <c r="S80" s="69">
        <f t="shared" si="28"/>
        <v>18144296.966836832</v>
      </c>
      <c r="T80" s="69">
        <f t="shared" si="28"/>
        <v>19728697.127999682</v>
      </c>
      <c r="U80" s="69">
        <f t="shared" si="28"/>
        <v>21454562.78215139</v>
      </c>
      <c r="V80" s="69">
        <f t="shared" si="28"/>
        <v>23334725.037709951</v>
      </c>
      <c r="W80" s="69">
        <f t="shared" si="28"/>
        <v>25383191.391137745</v>
      </c>
      <c r="X80" s="69">
        <f t="shared" si="28"/>
        <v>27615254.360640272</v>
      </c>
      <c r="Y80" s="69">
        <f t="shared" si="28"/>
        <v>30047610.199405756</v>
      </c>
      <c r="Z80" s="69">
        <f t="shared" si="28"/>
        <v>32698488.62651626</v>
      </c>
      <c r="AA80" s="69">
        <f t="shared" si="28"/>
        <v>35587794.601151079</v>
      </c>
      <c r="AB80" s="69">
        <f>SUM(AB81:AB82)</f>
        <v>38737263.26136329</v>
      </c>
      <c r="AC80" s="69">
        <f t="shared" si="28"/>
        <v>42170629.253304034</v>
      </c>
      <c r="AD80" s="69">
        <f t="shared" si="28"/>
        <v>45913811.791131057</v>
      </c>
      <c r="AE80" s="69">
        <f t="shared" si="28"/>
        <v>49995116.912881754</v>
      </c>
      <c r="AF80" s="69">
        <f t="shared" si="28"/>
        <v>54445458.534314372</v>
      </c>
      <c r="AG80" s="69">
        <f t="shared" si="28"/>
        <v>59298600.052216291</v>
      </c>
      <c r="AH80" s="69">
        <f t="shared" si="28"/>
        <v>64591418.412139237</v>
      </c>
      <c r="AI80" s="69">
        <f t="shared" si="28"/>
        <v>70364192.734253109</v>
      </c>
      <c r="AJ80" s="69">
        <f t="shared" si="28"/>
        <v>76660919.786441088</v>
      </c>
      <c r="AK80" s="69">
        <f t="shared" si="28"/>
        <v>83529658.807449564</v>
      </c>
      <c r="AL80" s="69">
        <f t="shared" si="28"/>
        <v>91022908.416564316</v>
      </c>
    </row>
    <row r="81" spans="4:40">
      <c r="D81" s="89" t="s">
        <v>189</v>
      </c>
      <c r="E81" s="16" t="s">
        <v>211</v>
      </c>
      <c r="K81" s="65">
        <f t="shared" ref="K81:AL81" si="29">K24*K65</f>
        <v>3746323</v>
      </c>
      <c r="L81" s="65">
        <f t="shared" si="29"/>
        <v>3763296.7631000001</v>
      </c>
      <c r="M81" s="65">
        <f t="shared" si="29"/>
        <v>4022098.7544460809</v>
      </c>
      <c r="N81" s="65">
        <f t="shared" si="29"/>
        <v>7623200.1314147841</v>
      </c>
      <c r="O81" s="65">
        <f t="shared" si="29"/>
        <v>0</v>
      </c>
      <c r="P81" s="65">
        <f t="shared" si="29"/>
        <v>0</v>
      </c>
      <c r="Q81" s="65">
        <f t="shared" si="29"/>
        <v>0</v>
      </c>
      <c r="R81" s="65">
        <f t="shared" si="29"/>
        <v>0</v>
      </c>
      <c r="S81" s="65">
        <f t="shared" si="29"/>
        <v>3390060.5634844387</v>
      </c>
      <c r="T81" s="65">
        <f t="shared" si="29"/>
        <v>3593464.1972935055</v>
      </c>
      <c r="U81" s="65">
        <f t="shared" si="29"/>
        <v>3809072.0491311164</v>
      </c>
      <c r="V81" s="65">
        <f t="shared" si="29"/>
        <v>4037616.3720789836</v>
      </c>
      <c r="W81" s="65">
        <f t="shared" si="29"/>
        <v>4279873.3544037221</v>
      </c>
      <c r="X81" s="65">
        <f t="shared" si="29"/>
        <v>4536665.7556679454</v>
      </c>
      <c r="Y81" s="65">
        <f t="shared" si="29"/>
        <v>4808865.7010080228</v>
      </c>
      <c r="Z81" s="65">
        <f t="shared" si="29"/>
        <v>5097397.6430685036</v>
      </c>
      <c r="AA81" s="65">
        <f t="shared" si="29"/>
        <v>5403241.5016526142</v>
      </c>
      <c r="AB81" s="65">
        <f t="shared" si="29"/>
        <v>5727435.9917517714</v>
      </c>
      <c r="AC81" s="65">
        <f t="shared" si="29"/>
        <v>6071082.1512568779</v>
      </c>
      <c r="AD81" s="65">
        <f t="shared" si="29"/>
        <v>6435347.0803322913</v>
      </c>
      <c r="AE81" s="65">
        <f t="shared" si="29"/>
        <v>6821467.9051522296</v>
      </c>
      <c r="AF81" s="65">
        <f t="shared" si="29"/>
        <v>7230755.9794613644</v>
      </c>
      <c r="AG81" s="65">
        <f t="shared" si="29"/>
        <v>7664601.3382290462</v>
      </c>
      <c r="AH81" s="65">
        <f t="shared" si="29"/>
        <v>8124477.4185227901</v>
      </c>
      <c r="AI81" s="65">
        <f t="shared" si="29"/>
        <v>8611946.0636341572</v>
      </c>
      <c r="AJ81" s="65">
        <f t="shared" si="29"/>
        <v>9128662.827452207</v>
      </c>
      <c r="AK81" s="65">
        <f t="shared" si="29"/>
        <v>9676382.5970993396</v>
      </c>
      <c r="AL81" s="65">
        <f t="shared" si="29"/>
        <v>10256965.552925302</v>
      </c>
      <c r="AM81" s="90">
        <f>SUM(M81:AL81)</f>
        <v>136350680.92946708</v>
      </c>
    </row>
    <row r="82" spans="4:40">
      <c r="D82" s="89" t="s">
        <v>144</v>
      </c>
      <c r="E82" s="16" t="s">
        <v>211</v>
      </c>
      <c r="K82" s="65">
        <f t="shared" ref="K82:AL82" si="30">K25*K69</f>
        <v>418617</v>
      </c>
      <c r="L82" s="65">
        <f t="shared" si="30"/>
        <v>432281.31558032165</v>
      </c>
      <c r="M82" s="65">
        <f t="shared" si="30"/>
        <v>492889.37674629915</v>
      </c>
      <c r="N82" s="65">
        <f t="shared" si="30"/>
        <v>3502487.1470910721</v>
      </c>
      <c r="O82" s="65">
        <f t="shared" si="30"/>
        <v>8306489.7706249347</v>
      </c>
      <c r="P82" s="65">
        <f t="shared" si="30"/>
        <v>9083977.2131554279</v>
      </c>
      <c r="Q82" s="65">
        <f t="shared" si="30"/>
        <v>11671110.50111958</v>
      </c>
      <c r="R82" s="65">
        <f t="shared" si="30"/>
        <v>12763526.444024369</v>
      </c>
      <c r="S82" s="65">
        <f t="shared" si="30"/>
        <v>14754236.403352393</v>
      </c>
      <c r="T82" s="65">
        <f t="shared" si="30"/>
        <v>16135232.930706175</v>
      </c>
      <c r="U82" s="65">
        <f t="shared" si="30"/>
        <v>17645490.733020272</v>
      </c>
      <c r="V82" s="65">
        <f t="shared" si="30"/>
        <v>19297108.665630966</v>
      </c>
      <c r="W82" s="65">
        <f t="shared" si="30"/>
        <v>21103318.036734022</v>
      </c>
      <c r="X82" s="65">
        <f t="shared" si="30"/>
        <v>23078588.604972325</v>
      </c>
      <c r="Y82" s="65">
        <f t="shared" si="30"/>
        <v>25238744.498397734</v>
      </c>
      <c r="Z82" s="65">
        <f t="shared" si="30"/>
        <v>27601090.983447757</v>
      </c>
      <c r="AA82" s="65">
        <f t="shared" si="30"/>
        <v>30184553.099498462</v>
      </c>
      <c r="AB82" s="65">
        <f t="shared" si="30"/>
        <v>33009827.269611519</v>
      </c>
      <c r="AC82" s="65">
        <f t="shared" si="30"/>
        <v>36099547.102047153</v>
      </c>
      <c r="AD82" s="65">
        <f t="shared" si="30"/>
        <v>39478464.710798763</v>
      </c>
      <c r="AE82" s="65">
        <f t="shared" si="30"/>
        <v>43173649.007729523</v>
      </c>
      <c r="AF82" s="65">
        <f t="shared" si="30"/>
        <v>47214702.554853007</v>
      </c>
      <c r="AG82" s="65">
        <f t="shared" si="30"/>
        <v>51633998.713987246</v>
      </c>
      <c r="AH82" s="65">
        <f t="shared" si="30"/>
        <v>56466940.993616447</v>
      </c>
      <c r="AI82" s="65">
        <f t="shared" si="30"/>
        <v>61752246.670618944</v>
      </c>
      <c r="AJ82" s="65">
        <f t="shared" si="30"/>
        <v>67532256.958988875</v>
      </c>
      <c r="AK82" s="65">
        <f t="shared" si="30"/>
        <v>73853276.21035023</v>
      </c>
      <c r="AL82" s="65">
        <f t="shared" si="30"/>
        <v>80765942.863639012</v>
      </c>
      <c r="AM82" s="90">
        <f>SUM(M82:AL82)</f>
        <v>831839697.46476245</v>
      </c>
    </row>
    <row r="83" spans="4:40" ht="18">
      <c r="D83" s="15" t="s">
        <v>212</v>
      </c>
      <c r="E83" s="16"/>
      <c r="K83" s="70">
        <f>SUM(K84:K87)</f>
        <v>3539306.375</v>
      </c>
      <c r="L83" s="70">
        <f t="shared" ref="L83:P83" si="31">SUM(L84:L87)</f>
        <v>3615442.7379177581</v>
      </c>
      <c r="M83" s="70">
        <f t="shared" si="31"/>
        <v>4122346.3830767944</v>
      </c>
      <c r="N83" s="70">
        <f t="shared" si="31"/>
        <v>11283241.373082571</v>
      </c>
      <c r="O83" s="70">
        <f t="shared" si="31"/>
        <v>13379653.530326771</v>
      </c>
      <c r="P83" s="70">
        <f t="shared" si="31"/>
        <v>14631989.100765355</v>
      </c>
      <c r="Q83" s="70">
        <f t="shared" ref="Q83" si="32">SUM(Q84:Q87)</f>
        <v>18559175.457791578</v>
      </c>
      <c r="R83" s="70">
        <f t="shared" ref="R83" si="33">SUM(R84:R87)</f>
        <v>20078256.246467352</v>
      </c>
      <c r="S83" s="70">
        <f t="shared" ref="S83" si="34">SUM(S84:S87)</f>
        <v>25772655.80715774</v>
      </c>
      <c r="T83" s="70">
        <f t="shared" ref="T83" si="35">SUM(T84:T87)</f>
        <v>27883194.69157258</v>
      </c>
      <c r="U83" s="70">
        <f t="shared" ref="U83" si="36">SUM(U84:U87)</f>
        <v>30167439.261336971</v>
      </c>
      <c r="V83" s="70">
        <f t="shared" ref="V83" si="37">SUM(V84:V87)</f>
        <v>32639764.949015327</v>
      </c>
      <c r="W83" s="70">
        <f t="shared" ref="W83" si="38">SUM(W84:W87)</f>
        <v>35315743.937512942</v>
      </c>
      <c r="X83" s="70">
        <f t="shared" ref="X83" si="39">SUM(X84:X87)</f>
        <v>38212245.421486251</v>
      </c>
      <c r="Y83" s="70">
        <f t="shared" ref="Y83" si="40">SUM(Y84:Y87)</f>
        <v>41347544.324621797</v>
      </c>
      <c r="Z83" s="70">
        <f t="shared" ref="Z83" si="41">SUM(Z84:Z87)</f>
        <v>44741439.190893903</v>
      </c>
      <c r="AA83" s="70">
        <f t="shared" ref="AA83" si="42">SUM(AA84:AA87)</f>
        <v>48415380.029330589</v>
      </c>
      <c r="AB83" s="70">
        <f t="shared" ref="AB83" si="43">SUM(AB84:AB87)</f>
        <v>52392606.958528303</v>
      </c>
      <c r="AC83" s="70">
        <f t="shared" ref="AC83" si="44">SUM(AC84:AC87)</f>
        <v>56698300.569616668</v>
      </c>
      <c r="AD83" s="70">
        <f t="shared" ref="AD83" si="45">SUM(AD84:AD87)</f>
        <v>61359745.005084746</v>
      </c>
      <c r="AE83" s="70">
        <f t="shared" ref="AE83" si="46">SUM(AE84:AE87)</f>
        <v>66406504.836382627</v>
      </c>
      <c r="AF83" s="70">
        <f t="shared" ref="AF83" si="47">SUM(AF84:AF87)</f>
        <v>71870616.916096941</v>
      </c>
      <c r="AG83" s="70">
        <f t="shared" ref="AG83" si="48">SUM(AG84:AG87)</f>
        <v>77786798.481407776</v>
      </c>
      <c r="AH83" s="70">
        <f t="shared" ref="AH83" si="49">SUM(AH84:AH87)</f>
        <v>84192672.895166889</v>
      </c>
      <c r="AI83" s="70">
        <f t="shared" ref="AI83" si="50">SUM(AI84:AI87)</f>
        <v>91129014.53004989</v>
      </c>
      <c r="AJ83" s="70">
        <f t="shared" ref="AJ83" si="51">SUM(AJ84:AJ87)</f>
        <v>98640014.4306577</v>
      </c>
      <c r="AK83" s="70">
        <f t="shared" ref="AK83" si="52">SUM(AK84:AK87)</f>
        <v>106773568.52906939</v>
      </c>
      <c r="AL83" s="70">
        <f t="shared" ref="AL83" si="53">SUM(AL84:AL87)</f>
        <v>115581590.3421609</v>
      </c>
    </row>
    <row r="84" spans="4:40">
      <c r="D84" s="7" t="s">
        <v>122</v>
      </c>
      <c r="E84" s="16" t="s">
        <v>211</v>
      </c>
      <c r="K84" s="65">
        <f t="shared" ref="K84:AL84" si="54">K42*K70</f>
        <v>634463.375</v>
      </c>
      <c r="L84" s="65">
        <f t="shared" si="54"/>
        <v>655173.25486669422</v>
      </c>
      <c r="M84" s="65">
        <f t="shared" si="54"/>
        <v>747031.91096420691</v>
      </c>
      <c r="N84" s="65">
        <f t="shared" si="54"/>
        <v>2044695.0793380849</v>
      </c>
      <c r="O84" s="65">
        <f t="shared" si="54"/>
        <v>2424596.8717793724</v>
      </c>
      <c r="P84" s="65">
        <f t="shared" si="54"/>
        <v>2651539.1389779216</v>
      </c>
      <c r="Q84" s="65">
        <f t="shared" si="54"/>
        <v>3406702.324642356</v>
      </c>
      <c r="R84" s="65">
        <f t="shared" si="54"/>
        <v>3725569.66222888</v>
      </c>
      <c r="S84" s="65">
        <f t="shared" si="54"/>
        <v>4843163.2425136184</v>
      </c>
      <c r="T84" s="65">
        <f t="shared" si="54"/>
        <v>5296483.3220128929</v>
      </c>
      <c r="U84" s="65">
        <f t="shared" si="54"/>
        <v>5792234.1609532991</v>
      </c>
      <c r="V84" s="65">
        <f t="shared" si="54"/>
        <v>6334387.278418527</v>
      </c>
      <c r="W84" s="65">
        <f t="shared" si="54"/>
        <v>6927285.9276785003</v>
      </c>
      <c r="X84" s="65">
        <f t="shared" si="54"/>
        <v>7575679.8905092077</v>
      </c>
      <c r="Y84" s="65">
        <f t="shared" si="54"/>
        <v>8284763.528260868</v>
      </c>
      <c r="Z84" s="65">
        <f t="shared" si="54"/>
        <v>9060217.3945060838</v>
      </c>
      <c r="AA84" s="65">
        <f t="shared" si="54"/>
        <v>9908253.7426318526</v>
      </c>
      <c r="AB84" s="65">
        <f t="shared" si="54"/>
        <v>10835666.292942192</v>
      </c>
      <c r="AC84" s="65">
        <f t="shared" si="54"/>
        <v>11849884.657961581</v>
      </c>
      <c r="AD84" s="65">
        <f t="shared" si="54"/>
        <v>12959033.861946784</v>
      </c>
      <c r="AE84" s="65">
        <f t="shared" si="54"/>
        <v>14171999.431425001</v>
      </c>
      <c r="AF84" s="65">
        <f t="shared" si="54"/>
        <v>15498498.578206381</v>
      </c>
      <c r="AG84" s="65">
        <f t="shared" si="54"/>
        <v>16949158.045126498</v>
      </c>
      <c r="AH84" s="65">
        <f t="shared" si="54"/>
        <v>18535599.238150336</v>
      </c>
      <c r="AI84" s="65">
        <f t="shared" si="54"/>
        <v>20270531.326841202</v>
      </c>
      <c r="AJ84" s="65">
        <f t="shared" si="54"/>
        <v>22167853.059033539</v>
      </c>
      <c r="AK84" s="65">
        <f t="shared" si="54"/>
        <v>24242764.105359074</v>
      </c>
      <c r="AL84" s="65">
        <f t="shared" si="54"/>
        <v>26511886.825620685</v>
      </c>
    </row>
    <row r="85" spans="4:40">
      <c r="D85" s="7" t="s">
        <v>123</v>
      </c>
      <c r="E85" s="16" t="s">
        <v>211</v>
      </c>
      <c r="K85" s="65">
        <f t="shared" ref="K85:AL85" si="55">K43*K71</f>
        <v>2857365</v>
      </c>
      <c r="L85" s="65">
        <f t="shared" si="55"/>
        <v>2911241.7266505295</v>
      </c>
      <c r="M85" s="65">
        <f t="shared" si="55"/>
        <v>3319412.7723986227</v>
      </c>
      <c r="N85" s="65">
        <f t="shared" si="55"/>
        <v>9085538.1977660321</v>
      </c>
      <c r="O85" s="65">
        <f t="shared" si="55"/>
        <v>10773619.849404017</v>
      </c>
      <c r="P85" s="65">
        <f t="shared" si="55"/>
        <v>11782030.667308232</v>
      </c>
      <c r="Q85" s="65">
        <f t="shared" si="55"/>
        <v>14935481.792706767</v>
      </c>
      <c r="R85" s="65">
        <f t="shared" si="55"/>
        <v>16115384.854330601</v>
      </c>
      <c r="S85" s="65">
        <f t="shared" si="55"/>
        <v>20669979.392816875</v>
      </c>
      <c r="T85" s="65">
        <f t="shared" si="55"/>
        <v>22302907.764849409</v>
      </c>
      <c r="U85" s="65">
        <f t="shared" si="55"/>
        <v>24064837.478272513</v>
      </c>
      <c r="V85" s="65">
        <f t="shared" si="55"/>
        <v>25965959.639056038</v>
      </c>
      <c r="W85" s="65">
        <f t="shared" si="55"/>
        <v>28017270.450541463</v>
      </c>
      <c r="X85" s="65">
        <f t="shared" si="55"/>
        <v>30230634.816134237</v>
      </c>
      <c r="Y85" s="65">
        <f t="shared" si="55"/>
        <v>32618854.966608841</v>
      </c>
      <c r="Z85" s="65">
        <f t="shared" si="55"/>
        <v>35195744.508970939</v>
      </c>
      <c r="AA85" s="65">
        <f t="shared" si="55"/>
        <v>37976208.325179636</v>
      </c>
      <c r="AB85" s="65">
        <f t="shared" si="55"/>
        <v>40976328.782868825</v>
      </c>
      <c r="AC85" s="65">
        <f t="shared" si="55"/>
        <v>44213458.756715462</v>
      </c>
      <c r="AD85" s="65">
        <f t="shared" si="55"/>
        <v>47706321.998495981</v>
      </c>
      <c r="AE85" s="65">
        <f t="shared" si="55"/>
        <v>51475121.436377153</v>
      </c>
      <c r="AF85" s="65">
        <f t="shared" si="55"/>
        <v>55541656.029850952</v>
      </c>
      <c r="AG85" s="65">
        <f t="shared" si="55"/>
        <v>59929446.856209174</v>
      </c>
      <c r="AH85" s="65">
        <f t="shared" si="55"/>
        <v>64663873.157849699</v>
      </c>
      <c r="AI85" s="65">
        <f t="shared" si="55"/>
        <v>69772319.137319818</v>
      </c>
      <c r="AJ85" s="65">
        <f t="shared" si="55"/>
        <v>75284332.349168092</v>
      </c>
      <c r="AK85" s="65">
        <f t="shared" si="55"/>
        <v>81231794.604752362</v>
      </c>
      <c r="AL85" s="65">
        <f t="shared" si="55"/>
        <v>87649106.37852779</v>
      </c>
    </row>
    <row r="86" spans="4:40">
      <c r="D86" s="7" t="s">
        <v>124</v>
      </c>
      <c r="E86" s="16" t="s">
        <v>211</v>
      </c>
      <c r="K86" s="65">
        <f t="shared" ref="K86:AL86" si="56">K72*K45</f>
        <v>47477.999999999993</v>
      </c>
      <c r="L86" s="65">
        <f t="shared" si="56"/>
        <v>49027.756400534403</v>
      </c>
      <c r="M86" s="65">
        <f t="shared" si="56"/>
        <v>55901.699713964757</v>
      </c>
      <c r="N86" s="65">
        <f t="shared" si="56"/>
        <v>153008.09597845364</v>
      </c>
      <c r="O86" s="65">
        <f t="shared" si="56"/>
        <v>181436.80914338207</v>
      </c>
      <c r="P86" s="65">
        <f t="shared" si="56"/>
        <v>198419.2944792026</v>
      </c>
      <c r="Q86" s="65">
        <f t="shared" si="56"/>
        <v>216991.34044245596</v>
      </c>
      <c r="R86" s="65">
        <f t="shared" si="56"/>
        <v>237301.7299078698</v>
      </c>
      <c r="S86" s="65">
        <f t="shared" si="56"/>
        <v>259513.17182724643</v>
      </c>
      <c r="T86" s="65">
        <f t="shared" si="56"/>
        <v>283803.60471027665</v>
      </c>
      <c r="U86" s="65">
        <f t="shared" si="56"/>
        <v>310367.62211115856</v>
      </c>
      <c r="V86" s="65">
        <f t="shared" si="56"/>
        <v>339418.03154076292</v>
      </c>
      <c r="W86" s="65">
        <f t="shared" si="56"/>
        <v>371187.55929297832</v>
      </c>
      <c r="X86" s="65">
        <f t="shared" si="56"/>
        <v>405930.7148428011</v>
      </c>
      <c r="Y86" s="65">
        <f t="shared" si="56"/>
        <v>443925.82975208719</v>
      </c>
      <c r="Z86" s="65">
        <f t="shared" si="56"/>
        <v>485477.28741688252</v>
      </c>
      <c r="AA86" s="65">
        <f t="shared" si="56"/>
        <v>530917.96151910268</v>
      </c>
      <c r="AB86" s="65">
        <f t="shared" si="56"/>
        <v>580611.88271729066</v>
      </c>
      <c r="AC86" s="65">
        <f t="shared" si="56"/>
        <v>634957.15493962902</v>
      </c>
      <c r="AD86" s="65">
        <f t="shared" si="56"/>
        <v>694389.14464197832</v>
      </c>
      <c r="AE86" s="65">
        <f t="shared" si="56"/>
        <v>759383.96858046739</v>
      </c>
      <c r="AF86" s="65">
        <f t="shared" si="56"/>
        <v>830462.30803959921</v>
      </c>
      <c r="AG86" s="65">
        <f t="shared" si="56"/>
        <v>908193.58007210563</v>
      </c>
      <c r="AH86" s="65">
        <f t="shared" si="56"/>
        <v>993200.49916685466</v>
      </c>
      <c r="AI86" s="65">
        <f t="shared" si="56"/>
        <v>1086164.0658888721</v>
      </c>
      <c r="AJ86" s="65">
        <f t="shared" si="56"/>
        <v>1187829.0224560704</v>
      </c>
      <c r="AK86" s="65">
        <f t="shared" si="56"/>
        <v>1299009.8189579586</v>
      </c>
      <c r="AL86" s="65">
        <f t="shared" si="56"/>
        <v>1420597.1380124234</v>
      </c>
    </row>
    <row r="87" spans="4:40">
      <c r="D87" s="7" t="s">
        <v>233</v>
      </c>
      <c r="E87" s="16" t="s">
        <v>211</v>
      </c>
    </row>
    <row r="88" spans="4:40" ht="18">
      <c r="D88" s="15" t="s">
        <v>234</v>
      </c>
      <c r="K88" s="69">
        <f>SUM(K89:K90)</f>
        <v>1742558.4</v>
      </c>
      <c r="L88" s="69">
        <f t="shared" ref="L88:P88" si="57">SUM(L89:L90)</f>
        <v>1750689.2990336004</v>
      </c>
      <c r="M88" s="69">
        <f t="shared" si="57"/>
        <v>1936490.0635776964</v>
      </c>
      <c r="N88" s="69">
        <f t="shared" si="57"/>
        <v>5423644.0497468477</v>
      </c>
      <c r="O88" s="69">
        <f t="shared" si="57"/>
        <v>6896688.4326810278</v>
      </c>
      <c r="P88" s="69">
        <f t="shared" si="57"/>
        <v>7310489.7386418898</v>
      </c>
      <c r="Q88" s="69">
        <f t="shared" ref="Q88" si="58">SUM(Q89:Q90)</f>
        <v>10648675.065098453</v>
      </c>
      <c r="R88" s="69">
        <f t="shared" ref="R88" si="59">SUM(R89:R90)</f>
        <v>11287595.569004361</v>
      </c>
      <c r="S88" s="69">
        <f t="shared" ref="S88" si="60">SUM(S89:S90)</f>
        <v>16096228.569996506</v>
      </c>
      <c r="T88" s="69">
        <f t="shared" ref="T88" si="61">SUM(T89:T90)</f>
        <v>17062002.284196295</v>
      </c>
      <c r="U88" s="69">
        <f t="shared" ref="U88" si="62">SUM(U89:U90)</f>
        <v>18085722.421248075</v>
      </c>
      <c r="V88" s="69">
        <f t="shared" ref="V88" si="63">SUM(V89:V90)</f>
        <v>19170865.766522963</v>
      </c>
      <c r="W88" s="69">
        <f t="shared" ref="W88" si="64">SUM(W89:W90)</f>
        <v>20321117.712514341</v>
      </c>
      <c r="X88" s="69">
        <f t="shared" ref="X88" si="65">SUM(X89:X90)</f>
        <v>21540384.775265198</v>
      </c>
      <c r="Y88" s="69">
        <f t="shared" ref="Y88" si="66">SUM(Y89:Y90)</f>
        <v>22832807.861781113</v>
      </c>
      <c r="Z88" s="69">
        <f t="shared" ref="Z88" si="67">SUM(Z89:Z90)</f>
        <v>24202776.33348798</v>
      </c>
      <c r="AA88" s="69">
        <f t="shared" ref="AA88" si="68">SUM(AA89:AA90)</f>
        <v>25654942.913497262</v>
      </c>
      <c r="AB88" s="69">
        <f t="shared" ref="AB88" si="69">SUM(AB89:AB90)</f>
        <v>27194239.4883071</v>
      </c>
      <c r="AC88" s="69">
        <f t="shared" ref="AC88" si="70">SUM(AC89:AC90)</f>
        <v>28825893.857605524</v>
      </c>
      <c r="AD88" s="69">
        <f t="shared" ref="AD88" si="71">SUM(AD89:AD90)</f>
        <v>30555447.489061855</v>
      </c>
      <c r="AE88" s="69">
        <f t="shared" ref="AE88" si="72">SUM(AE89:AE90)</f>
        <v>32388774.338405572</v>
      </c>
      <c r="AF88" s="69">
        <f t="shared" ref="AF88" si="73">SUM(AF89:AF90)</f>
        <v>34332100.798709907</v>
      </c>
      <c r="AG88" s="69">
        <f t="shared" ref="AG88" si="74">SUM(AG89:AG90)</f>
        <v>36392026.846632503</v>
      </c>
      <c r="AH88" s="69">
        <f t="shared" ref="AH88" si="75">SUM(AH89:AH90)</f>
        <v>38575548.45743046</v>
      </c>
      <c r="AI88" s="69">
        <f t="shared" ref="AI88" si="76">SUM(AI89:AI90)</f>
        <v>40890081.364876293</v>
      </c>
      <c r="AJ88" s="69">
        <f t="shared" ref="AJ88" si="77">SUM(AJ89:AJ90)</f>
        <v>43343486.246768862</v>
      </c>
      <c r="AK88" s="69">
        <f t="shared" ref="AK88" si="78">SUM(AK89:AK90)</f>
        <v>45944095.421575002</v>
      </c>
      <c r="AL88" s="69">
        <f t="shared" ref="AL88" si="79">SUM(AL89:AL90)</f>
        <v>48700741.146869503</v>
      </c>
    </row>
    <row r="89" spans="4:40">
      <c r="D89" s="7" t="s">
        <v>236</v>
      </c>
      <c r="E89" s="16" t="s">
        <v>211</v>
      </c>
      <c r="K89" s="65">
        <f t="shared" ref="K89:AL89" si="80">K52*K66</f>
        <v>1501269.7999999998</v>
      </c>
      <c r="L89" s="65">
        <f t="shared" si="80"/>
        <v>1508307.4736136002</v>
      </c>
      <c r="M89" s="65">
        <f t="shared" si="80"/>
        <v>1667172.0942583524</v>
      </c>
      <c r="N89" s="65">
        <f t="shared" si="80"/>
        <v>4669962.6426580157</v>
      </c>
      <c r="O89" s="65">
        <f t="shared" si="80"/>
        <v>5938309.5651668655</v>
      </c>
      <c r="P89" s="65">
        <f t="shared" si="80"/>
        <v>6294608.1390768783</v>
      </c>
      <c r="Q89" s="65">
        <f t="shared" si="80"/>
        <v>9168911.9513908401</v>
      </c>
      <c r="R89" s="65">
        <f t="shared" si="80"/>
        <v>9719046.6684742905</v>
      </c>
      <c r="S89" s="65">
        <f t="shared" si="80"/>
        <v>13859461.539161459</v>
      </c>
      <c r="T89" s="65">
        <f t="shared" si="80"/>
        <v>14691029.231511148</v>
      </c>
      <c r="U89" s="65">
        <f t="shared" si="80"/>
        <v>15572490.985401817</v>
      </c>
      <c r="V89" s="65">
        <f t="shared" si="80"/>
        <v>16506840.444525927</v>
      </c>
      <c r="W89" s="65">
        <f t="shared" si="80"/>
        <v>17497250.871197484</v>
      </c>
      <c r="X89" s="65">
        <f t="shared" si="80"/>
        <v>18547085.923469331</v>
      </c>
      <c r="Y89" s="65">
        <f t="shared" si="80"/>
        <v>19659911.078877494</v>
      </c>
      <c r="Z89" s="65">
        <f t="shared" si="80"/>
        <v>20839505.743610144</v>
      </c>
      <c r="AA89" s="65">
        <f t="shared" si="80"/>
        <v>22089876.088226754</v>
      </c>
      <c r="AB89" s="65">
        <f t="shared" si="80"/>
        <v>23415268.653520361</v>
      </c>
      <c r="AC89" s="65">
        <f t="shared" si="80"/>
        <v>24820184.77273158</v>
      </c>
      <c r="AD89" s="65">
        <f t="shared" si="80"/>
        <v>26309395.859095477</v>
      </c>
      <c r="AE89" s="65">
        <f t="shared" si="80"/>
        <v>27887959.610641208</v>
      </c>
      <c r="AF89" s="65">
        <f t="shared" si="80"/>
        <v>29561237.187279683</v>
      </c>
      <c r="AG89" s="65">
        <f t="shared" si="80"/>
        <v>31334911.418516465</v>
      </c>
      <c r="AH89" s="65">
        <f t="shared" si="80"/>
        <v>33215006.103627458</v>
      </c>
      <c r="AI89" s="65">
        <f t="shared" si="80"/>
        <v>35207906.469845109</v>
      </c>
      <c r="AJ89" s="65">
        <f t="shared" si="80"/>
        <v>37320380.85803581</v>
      </c>
      <c r="AK89" s="65">
        <f t="shared" si="80"/>
        <v>39559603.709517963</v>
      </c>
      <c r="AL89" s="65">
        <f t="shared" si="80"/>
        <v>41933179.932089046</v>
      </c>
    </row>
    <row r="90" spans="4:40">
      <c r="D90" s="7" t="s">
        <v>237</v>
      </c>
      <c r="E90" s="16" t="s">
        <v>211</v>
      </c>
      <c r="K90" s="106">
        <f t="shared" ref="K90:AL90" si="81">K52*K67</f>
        <v>241288.6</v>
      </c>
      <c r="L90" s="106">
        <f t="shared" si="81"/>
        <v>242381.82542000004</v>
      </c>
      <c r="M90" s="106">
        <f t="shared" si="81"/>
        <v>269317.96931934403</v>
      </c>
      <c r="N90" s="106">
        <f t="shared" si="81"/>
        <v>753681.407088832</v>
      </c>
      <c r="O90" s="106">
        <f t="shared" si="81"/>
        <v>958378.86751416209</v>
      </c>
      <c r="P90" s="106">
        <f t="shared" si="81"/>
        <v>1015881.5995650118</v>
      </c>
      <c r="Q90" s="106">
        <f t="shared" si="81"/>
        <v>1479763.1137076125</v>
      </c>
      <c r="R90" s="106">
        <f t="shared" si="81"/>
        <v>1568548.9005300694</v>
      </c>
      <c r="S90" s="106">
        <f t="shared" si="81"/>
        <v>2236767.0308350464</v>
      </c>
      <c r="T90" s="106">
        <f t="shared" si="81"/>
        <v>2370973.052685149</v>
      </c>
      <c r="U90" s="106">
        <f t="shared" si="81"/>
        <v>2513231.4358462584</v>
      </c>
      <c r="V90" s="106">
        <f t="shared" si="81"/>
        <v>2664025.3219970339</v>
      </c>
      <c r="W90" s="106">
        <f t="shared" si="81"/>
        <v>2823866.8413168564</v>
      </c>
      <c r="X90" s="106">
        <f t="shared" si="81"/>
        <v>2993298.851795868</v>
      </c>
      <c r="Y90" s="106">
        <f t="shared" si="81"/>
        <v>3172896.78290362</v>
      </c>
      <c r="Z90" s="106">
        <f t="shared" si="81"/>
        <v>3363270.5898778373</v>
      </c>
      <c r="AA90" s="106">
        <f t="shared" si="81"/>
        <v>3565066.8252705075</v>
      </c>
      <c r="AB90" s="106">
        <f t="shared" si="81"/>
        <v>3778970.8347867378</v>
      </c>
      <c r="AC90" s="106">
        <f t="shared" si="81"/>
        <v>4005709.0848739427</v>
      </c>
      <c r="AD90" s="106">
        <f t="shared" si="81"/>
        <v>4246051.6299663791</v>
      </c>
      <c r="AE90" s="106">
        <f t="shared" si="81"/>
        <v>4500814.7277643625</v>
      </c>
      <c r="AF90" s="106">
        <f t="shared" si="81"/>
        <v>4770863.611430225</v>
      </c>
      <c r="AG90" s="106">
        <f t="shared" si="81"/>
        <v>5057115.4281160384</v>
      </c>
      <c r="AH90" s="106">
        <f t="shared" si="81"/>
        <v>5360542.3538030013</v>
      </c>
      <c r="AI90" s="106">
        <f t="shared" si="81"/>
        <v>5682174.8950311812</v>
      </c>
      <c r="AJ90" s="106">
        <f t="shared" si="81"/>
        <v>6023105.3887330526</v>
      </c>
      <c r="AK90" s="106">
        <f t="shared" si="81"/>
        <v>6384491.7120570363</v>
      </c>
      <c r="AL90" s="106">
        <f t="shared" si="81"/>
        <v>6767561.2147804592</v>
      </c>
    </row>
    <row r="91" spans="4:40">
      <c r="D91" s="23" t="s">
        <v>338</v>
      </c>
      <c r="E91" s="16" t="s">
        <v>211</v>
      </c>
      <c r="K91" s="70">
        <f>K88+K83+K80</f>
        <v>9446804.7750000004</v>
      </c>
      <c r="L91" s="70">
        <f>L88+L83+L80</f>
        <v>9561710.1156316809</v>
      </c>
      <c r="M91" s="70">
        <f t="shared" ref="M91:AL91" si="82">M88+M83+M80</f>
        <v>10573824.57784687</v>
      </c>
      <c r="N91" s="70">
        <f t="shared" si="82"/>
        <v>27832572.701335274</v>
      </c>
      <c r="O91" s="70">
        <f t="shared" si="82"/>
        <v>28582831.733632736</v>
      </c>
      <c r="P91" s="70">
        <f t="shared" si="82"/>
        <v>31026456.052562669</v>
      </c>
      <c r="Q91" s="70">
        <f t="shared" si="82"/>
        <v>40878961.024009615</v>
      </c>
      <c r="R91" s="70">
        <f t="shared" si="82"/>
        <v>44129378.259496078</v>
      </c>
      <c r="S91" s="70">
        <f t="shared" si="82"/>
        <v>60013181.343991078</v>
      </c>
      <c r="T91" s="70">
        <f t="shared" si="82"/>
        <v>64673894.103768557</v>
      </c>
      <c r="U91" s="70">
        <f t="shared" si="82"/>
        <v>69707724.464736432</v>
      </c>
      <c r="V91" s="70">
        <f t="shared" si="82"/>
        <v>75145355.753248245</v>
      </c>
      <c r="W91" s="70">
        <f t="shared" si="82"/>
        <v>81020053.041165024</v>
      </c>
      <c r="X91" s="70">
        <f t="shared" si="82"/>
        <v>87367884.557391718</v>
      </c>
      <c r="Y91" s="70">
        <f t="shared" si="82"/>
        <v>94227962.385808662</v>
      </c>
      <c r="Z91" s="70">
        <f t="shared" si="82"/>
        <v>101642704.15089813</v>
      </c>
      <c r="AA91" s="70">
        <f t="shared" si="82"/>
        <v>109658117.54397893</v>
      </c>
      <c r="AB91" s="70">
        <f t="shared" si="82"/>
        <v>118324109.7081987</v>
      </c>
      <c r="AC91" s="70">
        <f t="shared" si="82"/>
        <v>127694823.68052623</v>
      </c>
      <c r="AD91" s="70">
        <f t="shared" si="82"/>
        <v>137829004.28527766</v>
      </c>
      <c r="AE91" s="70">
        <f t="shared" si="82"/>
        <v>148790396.08766997</v>
      </c>
      <c r="AF91" s="70">
        <f t="shared" si="82"/>
        <v>160648176.24912122</v>
      </c>
      <c r="AG91" s="70">
        <f t="shared" si="82"/>
        <v>173477425.38025656</v>
      </c>
      <c r="AH91" s="70">
        <f t="shared" si="82"/>
        <v>187359639.76473659</v>
      </c>
      <c r="AI91" s="70">
        <f t="shared" si="82"/>
        <v>202383288.6291793</v>
      </c>
      <c r="AJ91" s="70">
        <f t="shared" si="82"/>
        <v>218644420.46386766</v>
      </c>
      <c r="AK91" s="70">
        <f t="shared" si="82"/>
        <v>236247322.75809395</v>
      </c>
      <c r="AL91" s="70">
        <f t="shared" si="82"/>
        <v>255305239.90559471</v>
      </c>
    </row>
    <row r="92" spans="4:40" s="110" customFormat="1">
      <c r="D92" s="143" t="s">
        <v>468</v>
      </c>
      <c r="E92" s="112" t="s">
        <v>211</v>
      </c>
      <c r="K92" s="144">
        <f>K80+K88</f>
        <v>5907498.4000000004</v>
      </c>
      <c r="L92" s="144">
        <f>L80+L88</f>
        <v>5946267.3777139224</v>
      </c>
      <c r="M92" s="144">
        <f t="shared" ref="M92:AL92" si="83">M80+M88</f>
        <v>6451478.1947700763</v>
      </c>
      <c r="N92" s="144">
        <f t="shared" si="83"/>
        <v>16549331.328252703</v>
      </c>
      <c r="O92" s="144">
        <f t="shared" si="83"/>
        <v>15203178.203305963</v>
      </c>
      <c r="P92" s="144">
        <f t="shared" si="83"/>
        <v>16394466.951797318</v>
      </c>
      <c r="Q92" s="144">
        <f t="shared" si="83"/>
        <v>22319785.566218033</v>
      </c>
      <c r="R92" s="144">
        <f t="shared" si="83"/>
        <v>24051122.01302873</v>
      </c>
      <c r="S92" s="144">
        <f t="shared" si="83"/>
        <v>34240525.536833338</v>
      </c>
      <c r="T92" s="144">
        <f t="shared" si="83"/>
        <v>36790699.412195981</v>
      </c>
      <c r="U92" s="144">
        <f t="shared" si="83"/>
        <v>39540285.203399464</v>
      </c>
      <c r="V92" s="144">
        <f t="shared" si="83"/>
        <v>42505590.80423291</v>
      </c>
      <c r="W92" s="144">
        <f t="shared" si="83"/>
        <v>45704309.10365209</v>
      </c>
      <c r="X92" s="144">
        <f t="shared" si="83"/>
        <v>49155639.135905474</v>
      </c>
      <c r="Y92" s="144">
        <f t="shared" si="83"/>
        <v>52880418.061186865</v>
      </c>
      <c r="Z92" s="144">
        <f t="shared" si="83"/>
        <v>56901264.96000424</v>
      </c>
      <c r="AA92" s="144">
        <f t="shared" si="83"/>
        <v>61242737.514648341</v>
      </c>
      <c r="AB92" s="144">
        <f t="shared" si="83"/>
        <v>65931502.749670386</v>
      </c>
      <c r="AC92" s="144">
        <f t="shared" si="83"/>
        <v>70996523.110909551</v>
      </c>
      <c r="AD92" s="144">
        <f t="shared" si="83"/>
        <v>76469259.280192912</v>
      </c>
      <c r="AE92" s="144">
        <f t="shared" si="83"/>
        <v>82383891.251287326</v>
      </c>
      <c r="AF92" s="144">
        <f t="shared" si="83"/>
        <v>88777559.333024278</v>
      </c>
      <c r="AG92" s="144">
        <f t="shared" si="83"/>
        <v>95690626.898848802</v>
      </c>
      <c r="AH92" s="144">
        <f t="shared" si="83"/>
        <v>103166966.86956969</v>
      </c>
      <c r="AI92" s="144">
        <f t="shared" si="83"/>
        <v>111254274.09912941</v>
      </c>
      <c r="AJ92" s="144">
        <f t="shared" si="83"/>
        <v>120004406.03320995</v>
      </c>
      <c r="AK92" s="144">
        <f t="shared" si="83"/>
        <v>129473754.22902456</v>
      </c>
      <c r="AL92" s="144">
        <f t="shared" si="83"/>
        <v>139723649.56343383</v>
      </c>
      <c r="AM92" s="122">
        <f>SUM(M92:AL92)/10^6</f>
        <v>1603.8032454077324</v>
      </c>
      <c r="AN92" s="122">
        <f>AM92-'Initiative 1 Model'!AM103</f>
        <v>142.65767826173601</v>
      </c>
    </row>
    <row r="94" spans="4:40">
      <c r="D94" s="110" t="s">
        <v>241</v>
      </c>
      <c r="E94" s="112" t="s">
        <v>337</v>
      </c>
      <c r="F94" s="110"/>
      <c r="G94" s="110"/>
      <c r="H94" s="110"/>
      <c r="I94" s="110"/>
      <c r="J94" s="110"/>
      <c r="K94" s="113">
        <f t="shared" ref="K94:AK94" si="84">K91/K23</f>
        <v>48.947175000000001</v>
      </c>
      <c r="L94" s="113">
        <f t="shared" si="84"/>
        <v>52.467112299999997</v>
      </c>
      <c r="M94" s="113">
        <f t="shared" si="84"/>
        <v>55.649234971279995</v>
      </c>
      <c r="N94" s="113">
        <f t="shared" si="84"/>
        <v>58.526095696191916</v>
      </c>
      <c r="O94" s="113">
        <f t="shared" si="84"/>
        <v>55.430521746398021</v>
      </c>
      <c r="P94" s="113">
        <f t="shared" si="84"/>
        <v>60.169428381428531</v>
      </c>
      <c r="Q94" s="113">
        <f t="shared" si="84"/>
        <v>67.478577671203155</v>
      </c>
      <c r="R94" s="113">
        <f t="shared" si="84"/>
        <v>72.844015695906592</v>
      </c>
      <c r="S94" s="113">
        <f t="shared" si="84"/>
        <v>83.336412857075402</v>
      </c>
      <c r="T94" s="113">
        <f t="shared" si="84"/>
        <v>89.808442402230398</v>
      </c>
      <c r="U94" s="113">
        <f t="shared" si="84"/>
        <v>96.798596162111068</v>
      </c>
      <c r="V94" s="113">
        <f t="shared" si="84"/>
        <v>104.34948208209811</v>
      </c>
      <c r="W94" s="113">
        <f t="shared" si="84"/>
        <v>112.5072932101228</v>
      </c>
      <c r="X94" s="113">
        <f t="shared" si="84"/>
        <v>121.32211515650825</v>
      </c>
      <c r="Y94" s="113">
        <f t="shared" si="84"/>
        <v>130.84826033557675</v>
      </c>
      <c r="Z94" s="113">
        <f t="shared" si="84"/>
        <v>141.144631351508</v>
      </c>
      <c r="AA94" s="113">
        <f t="shared" si="84"/>
        <v>152.2751161014686</v>
      </c>
      <c r="AB94" s="113">
        <f t="shared" si="84"/>
        <v>164.30901739848608</v>
      </c>
      <c r="AC94" s="113">
        <f t="shared" si="84"/>
        <v>177.32152016662408</v>
      </c>
      <c r="AD94" s="113">
        <f t="shared" si="84"/>
        <v>191.39419953359274</v>
      </c>
      <c r="AE94" s="113">
        <f t="shared" si="84"/>
        <v>206.61557344303958</v>
      </c>
      <c r="AF94" s="113">
        <f t="shared" si="84"/>
        <v>223.08170373263275</v>
      </c>
      <c r="AG94" s="113">
        <f t="shared" si="84"/>
        <v>240.89684997709392</v>
      </c>
      <c r="AH94" s="113">
        <f t="shared" si="84"/>
        <v>260.17418078020916</v>
      </c>
      <c r="AI94" s="113">
        <f t="shared" si="84"/>
        <v>281.03654761942835</v>
      </c>
      <c r="AJ94" s="113">
        <f t="shared" si="84"/>
        <v>303.61732680411006</v>
      </c>
      <c r="AK94" s="113">
        <f t="shared" si="84"/>
        <v>328.06133560720752</v>
      </c>
      <c r="AL94" s="113">
        <f>AL91/AL23</f>
        <v>354.52582917398763</v>
      </c>
    </row>
    <row r="95" spans="4:40">
      <c r="D95" s="7" t="s">
        <v>241</v>
      </c>
      <c r="E95" s="16" t="s">
        <v>320</v>
      </c>
      <c r="K95" s="65">
        <f>(K88+K83+K80)/Inputs!F34</f>
        <v>3.1326192000000002</v>
      </c>
      <c r="L95" s="65">
        <f>(L88+L83+L80)/Inputs!G34</f>
        <v>3.0430925134000004</v>
      </c>
      <c r="M95" s="65">
        <f>(M88+M83+M80)/Inputs!H34</f>
        <v>3.8397972130183198</v>
      </c>
      <c r="N95" s="65">
        <f t="shared" ref="N95:AL95" si="85">(N88+N83+N80)/N58</f>
        <v>10.254752099134562</v>
      </c>
      <c r="O95" s="65">
        <f t="shared" si="85"/>
        <v>8.5562730135406717</v>
      </c>
      <c r="P95" s="65">
        <f t="shared" si="85"/>
        <v>9.2877721529590218</v>
      </c>
      <c r="Q95" s="65">
        <f t="shared" si="85"/>
        <v>12.237120320718487</v>
      </c>
      <c r="R95" s="65">
        <f t="shared" si="85"/>
        <v>13.21013298559085</v>
      </c>
      <c r="S95" s="65">
        <f t="shared" si="85"/>
        <v>11.705550702232664</v>
      </c>
      <c r="T95" s="65">
        <f t="shared" si="85"/>
        <v>12.614621148030327</v>
      </c>
      <c r="U95" s="65">
        <f t="shared" si="85"/>
        <v>13.596468055612197</v>
      </c>
      <c r="V95" s="65">
        <f t="shared" si="85"/>
        <v>14.65707619739495</v>
      </c>
      <c r="W95" s="65">
        <f t="shared" si="85"/>
        <v>15.802933914382386</v>
      </c>
      <c r="X95" s="65">
        <f t="shared" si="85"/>
        <v>17.041076302410644</v>
      </c>
      <c r="Y95" s="65">
        <f t="shared" si="85"/>
        <v>18.379132160198242</v>
      </c>
      <c r="Z95" s="65">
        <f t="shared" si="85"/>
        <v>19.825375031038938</v>
      </c>
      <c r="AA95" s="65">
        <f t="shared" si="85"/>
        <v>21.388778699547444</v>
      </c>
      <c r="AB95" s="65">
        <f t="shared" si="85"/>
        <v>23.079077537097444</v>
      </c>
      <c r="AC95" s="65">
        <f t="shared" si="85"/>
        <v>24.906832124718267</v>
      </c>
      <c r="AD95" s="65">
        <f t="shared" si="85"/>
        <v>26.883500620503291</v>
      </c>
      <c r="AE95" s="65">
        <f t="shared" si="85"/>
        <v>29.021516380315827</v>
      </c>
      <c r="AF95" s="65">
        <f t="shared" si="85"/>
        <v>31.334372386068871</v>
      </c>
      <c r="AG95" s="65">
        <f t="shared" si="85"/>
        <v>33.836713085444501</v>
      </c>
      <c r="AH95" s="65">
        <f t="shared" si="85"/>
        <v>36.544434300978182</v>
      </c>
      <c r="AI95" s="65">
        <f t="shared" si="85"/>
        <v>39.474791925368351</v>
      </c>
      <c r="AJ95" s="65">
        <f t="shared" si="85"/>
        <v>42.646520184125173</v>
      </c>
      <c r="AK95" s="65">
        <f t="shared" si="85"/>
        <v>46.079960316726059</v>
      </c>
      <c r="AL95" s="65">
        <f t="shared" si="85"/>
        <v>49.797200603827683</v>
      </c>
    </row>
    <row r="96" spans="4:40">
      <c r="D96" s="7"/>
      <c r="E96" s="7"/>
      <c r="K96" s="65"/>
    </row>
    <row r="97" spans="4:38">
      <c r="D97" s="63" t="s">
        <v>467</v>
      </c>
      <c r="E97" s="7" t="s">
        <v>337</v>
      </c>
      <c r="K97" s="65">
        <f t="shared" ref="K97:AL97" si="86">(K88+K80)/K23</f>
        <v>30.608800000000002</v>
      </c>
      <c r="L97" s="65">
        <f t="shared" si="86"/>
        <v>32.628418400000001</v>
      </c>
      <c r="M97" s="65">
        <f t="shared" si="86"/>
        <v>33.953639322240001</v>
      </c>
      <c r="N97" s="65">
        <f t="shared" si="86"/>
        <v>34.799792294401783</v>
      </c>
      <c r="O97" s="65">
        <f t="shared" si="86"/>
        <v>29.483436346200332</v>
      </c>
      <c r="P97" s="65">
        <f t="shared" si="86"/>
        <v>31.79369578777235</v>
      </c>
      <c r="Q97" s="65">
        <f t="shared" si="86"/>
        <v>36.843093518204981</v>
      </c>
      <c r="R97" s="65">
        <f t="shared" si="86"/>
        <v>39.700996898686775</v>
      </c>
      <c r="S97" s="65">
        <f t="shared" si="86"/>
        <v>47.547597189104629</v>
      </c>
      <c r="T97" s="65">
        <f t="shared" si="86"/>
        <v>51.088858261674446</v>
      </c>
      <c r="U97" s="65">
        <f t="shared" si="86"/>
        <v>54.907029729176976</v>
      </c>
      <c r="V97" s="65">
        <f t="shared" si="86"/>
        <v>59.024757306090329</v>
      </c>
      <c r="W97" s="65">
        <f t="shared" si="86"/>
        <v>63.46660995985853</v>
      </c>
      <c r="X97" s="65">
        <f t="shared" si="86"/>
        <v>68.25924814421451</v>
      </c>
      <c r="Y97" s="65">
        <f t="shared" si="86"/>
        <v>73.431607072152985</v>
      </c>
      <c r="Z97" s="65">
        <f t="shared" si="86"/>
        <v>79.015096393844928</v>
      </c>
      <c r="AA97" s="65">
        <f t="shared" si="86"/>
        <v>85.043817770031538</v>
      </c>
      <c r="AB97" s="65">
        <f t="shared" si="86"/>
        <v>91.554801968252576</v>
      </c>
      <c r="AC97" s="65">
        <f t="shared" si="86"/>
        <v>98.58826725872386</v>
      </c>
      <c r="AD97" s="65">
        <f t="shared" si="86"/>
        <v>106.18790104995784</v>
      </c>
      <c r="AE97" s="65">
        <f t="shared" si="86"/>
        <v>114.40116688260036</v>
      </c>
      <c r="AF97" s="65">
        <f t="shared" si="86"/>
        <v>123.27963909484022</v>
      </c>
      <c r="AG97" s="65">
        <f t="shared" si="86"/>
        <v>132.87936768566743</v>
      </c>
      <c r="AH97" s="65">
        <f t="shared" si="86"/>
        <v>143.26127613488907</v>
      </c>
      <c r="AI97" s="65">
        <f t="shared" si="86"/>
        <v>154.49159519298848</v>
      </c>
      <c r="AJ97" s="65">
        <f t="shared" si="86"/>
        <v>166.64233593163837</v>
      </c>
      <c r="AK97" s="65">
        <f t="shared" si="86"/>
        <v>179.79180564914105</v>
      </c>
      <c r="AL97" s="65">
        <f t="shared" si="86"/>
        <v>194.02517055666016</v>
      </c>
    </row>
    <row r="99" spans="4:38" ht="24" thickBot="1">
      <c r="D99" s="164" t="s">
        <v>198</v>
      </c>
    </row>
    <row r="101" spans="4:38" ht="18">
      <c r="D101" s="15" t="s">
        <v>248</v>
      </c>
    </row>
    <row r="102" spans="4:38" ht="15">
      <c r="D102" s="4" t="s">
        <v>250</v>
      </c>
      <c r="E102" s="7"/>
      <c r="M102" s="7"/>
    </row>
    <row r="103" spans="4:38">
      <c r="D103" s="3" t="s">
        <v>134</v>
      </c>
      <c r="E103" s="7"/>
      <c r="M103" s="7"/>
    </row>
    <row r="104" spans="4:38">
      <c r="D104" s="7" t="s">
        <v>299</v>
      </c>
      <c r="E104" s="16" t="s">
        <v>169</v>
      </c>
      <c r="K104" t="str">
        <f>Inputs!E73</f>
        <v>Good</v>
      </c>
      <c r="L104" t="str">
        <f>Inputs!F73</f>
        <v>Good</v>
      </c>
      <c r="M104" t="str">
        <f>Inputs!G73</f>
        <v>Good</v>
      </c>
      <c r="N104" t="str">
        <f>Inputs!H73</f>
        <v>Good</v>
      </c>
      <c r="O104" t="str">
        <f>Inputs!I73</f>
        <v>Good</v>
      </c>
      <c r="P104" t="str">
        <f>Inputs!J73</f>
        <v>Good</v>
      </c>
      <c r="Q104" t="str">
        <f>P104</f>
        <v>Good</v>
      </c>
      <c r="R104" t="str">
        <f t="shared" ref="R104:AL104" si="87">Q104</f>
        <v>Good</v>
      </c>
      <c r="S104" t="str">
        <f t="shared" si="87"/>
        <v>Good</v>
      </c>
      <c r="T104" t="str">
        <f t="shared" si="87"/>
        <v>Good</v>
      </c>
      <c r="U104" t="str">
        <f t="shared" si="87"/>
        <v>Good</v>
      </c>
      <c r="V104" t="str">
        <f t="shared" si="87"/>
        <v>Good</v>
      </c>
      <c r="W104" t="str">
        <f t="shared" si="87"/>
        <v>Good</v>
      </c>
      <c r="X104" t="str">
        <f t="shared" si="87"/>
        <v>Good</v>
      </c>
      <c r="Y104" t="str">
        <f t="shared" si="87"/>
        <v>Good</v>
      </c>
      <c r="Z104" t="str">
        <f t="shared" si="87"/>
        <v>Good</v>
      </c>
      <c r="AA104" t="str">
        <f t="shared" si="87"/>
        <v>Good</v>
      </c>
      <c r="AB104" t="str">
        <f t="shared" si="87"/>
        <v>Good</v>
      </c>
      <c r="AC104" t="str">
        <f t="shared" si="87"/>
        <v>Good</v>
      </c>
      <c r="AD104" t="str">
        <f t="shared" si="87"/>
        <v>Good</v>
      </c>
      <c r="AE104" t="str">
        <f t="shared" si="87"/>
        <v>Good</v>
      </c>
      <c r="AF104" t="str">
        <f t="shared" si="87"/>
        <v>Good</v>
      </c>
      <c r="AG104" t="str">
        <f t="shared" si="87"/>
        <v>Good</v>
      </c>
      <c r="AH104" t="str">
        <f t="shared" si="87"/>
        <v>Good</v>
      </c>
      <c r="AI104" t="str">
        <f t="shared" si="87"/>
        <v>Good</v>
      </c>
      <c r="AJ104" t="str">
        <f t="shared" si="87"/>
        <v>Good</v>
      </c>
      <c r="AK104" t="str">
        <f t="shared" si="87"/>
        <v>Good</v>
      </c>
      <c r="AL104" t="str">
        <f t="shared" si="87"/>
        <v>Good</v>
      </c>
    </row>
    <row r="105" spans="4:38">
      <c r="D105" s="7" t="s">
        <v>300</v>
      </c>
      <c r="E105" s="16" t="s">
        <v>303</v>
      </c>
      <c r="K105">
        <f>INDEX('Availability Model'!$C$4:$T$8, MATCH($K$104,'Availability Model'!$B$4:$B$8, 0), MATCH($K$10, 'Availability Model'!$C$1:$T$1, 0))</f>
        <v>1</v>
      </c>
      <c r="L105">
        <f>INDEX('Availability Model'!$C$4:$T$8, MATCH($K$104,'Availability Model'!$B$4:$B$8, 0), MATCH($K$10, 'Availability Model'!$C$1:$T$1, 0))</f>
        <v>1</v>
      </c>
      <c r="M105">
        <f>INDEX('Availability Model'!$C$4:$T$8, MATCH($K$104,'Availability Model'!$B$4:$B$8, 0), MATCH($K$10, 'Availability Model'!$C$1:$T$1, 0))</f>
        <v>1</v>
      </c>
      <c r="N105">
        <f>INDEX('Availability Model'!$C$4:$T$8, MATCH($K$104,'Availability Model'!$B$4:$B$8, 0), MATCH($K$10, 'Availability Model'!$C$1:$T$1, 0))</f>
        <v>1</v>
      </c>
      <c r="O105">
        <f>INDEX('Availability Model'!$C$4:$T$8, MATCH($K$104,'Availability Model'!$B$4:$B$8, 0), MATCH($K$10, 'Availability Model'!$C$1:$T$1, 0))</f>
        <v>1</v>
      </c>
      <c r="P105">
        <f>INDEX('Availability Model'!$C$4:$T$8, MATCH($K$104,'Availability Model'!$B$4:$B$8, 0), MATCH($K$10, 'Availability Model'!$C$1:$T$1, 0))</f>
        <v>1</v>
      </c>
      <c r="Q105">
        <f>INDEX('Availability Model'!$C$4:$T$8, MATCH($K$104,'Availability Model'!$B$4:$B$8, 0), MATCH($K$10, 'Availability Model'!$C$1:$T$1, 0))</f>
        <v>1</v>
      </c>
      <c r="R105">
        <f>INDEX('Availability Model'!$C$4:$T$8, MATCH($K$104,'Availability Model'!$B$4:$B$8, 0), MATCH($K$10, 'Availability Model'!$C$1:$T$1, 0))</f>
        <v>1</v>
      </c>
      <c r="S105">
        <f>INDEX('Availability Model'!$C$4:$T$8, MATCH($K$104,'Availability Model'!$B$4:$B$8, 0), MATCH($K$10, 'Availability Model'!$C$1:$T$1, 0))</f>
        <v>1</v>
      </c>
      <c r="T105">
        <f>INDEX('Availability Model'!$C$4:$T$8, MATCH($K$104,'Availability Model'!$B$4:$B$8, 0), MATCH($K$10, 'Availability Model'!$C$1:$T$1, 0))</f>
        <v>1</v>
      </c>
      <c r="U105">
        <f>INDEX('Availability Model'!$C$4:$T$8, MATCH($K$104,'Availability Model'!$B$4:$B$8, 0), MATCH($K$10, 'Availability Model'!$C$1:$T$1, 0))</f>
        <v>1</v>
      </c>
      <c r="V105">
        <f>INDEX('Availability Model'!$C$4:$T$8, MATCH($K$104,'Availability Model'!$B$4:$B$8, 0), MATCH($K$10, 'Availability Model'!$C$1:$T$1, 0))</f>
        <v>1</v>
      </c>
      <c r="W105">
        <f>INDEX('Availability Model'!$C$4:$T$8, MATCH($K$104,'Availability Model'!$B$4:$B$8, 0), MATCH($K$10, 'Availability Model'!$C$1:$T$1, 0))</f>
        <v>1</v>
      </c>
      <c r="X105">
        <f>INDEX('Availability Model'!$C$4:$T$8, MATCH($K$104,'Availability Model'!$B$4:$B$8, 0), MATCH($K$10, 'Availability Model'!$C$1:$T$1, 0))</f>
        <v>1</v>
      </c>
      <c r="Y105">
        <f>INDEX('Availability Model'!$C$4:$T$8, MATCH($K$104,'Availability Model'!$B$4:$B$8, 0), MATCH($K$10, 'Availability Model'!$C$1:$T$1, 0))</f>
        <v>1</v>
      </c>
      <c r="Z105">
        <f>INDEX('Availability Model'!$C$4:$T$8, MATCH($K$104,'Availability Model'!$B$4:$B$8, 0), MATCH($K$10, 'Availability Model'!$C$1:$T$1, 0))</f>
        <v>1</v>
      </c>
      <c r="AA105">
        <f>INDEX('Availability Model'!$C$4:$T$8, MATCH($K$104,'Availability Model'!$B$4:$B$8, 0), MATCH($K$10, 'Availability Model'!$C$1:$T$1, 0))</f>
        <v>1</v>
      </c>
      <c r="AB105">
        <f>INDEX('Availability Model'!$C$4:$T$8, MATCH($K$104,'Availability Model'!$B$4:$B$8, 0), MATCH($K$10, 'Availability Model'!$C$1:$T$1, 0))</f>
        <v>1</v>
      </c>
      <c r="AC105">
        <f>INDEX('Availability Model'!$C$4:$T$8, MATCH($K$104,'Availability Model'!$B$4:$B$8, 0), MATCH($K$10, 'Availability Model'!$C$1:$T$1, 0))</f>
        <v>1</v>
      </c>
      <c r="AD105">
        <f>INDEX('Availability Model'!$C$4:$T$8, MATCH($K$104,'Availability Model'!$B$4:$B$8, 0), MATCH($K$10, 'Availability Model'!$C$1:$T$1, 0))</f>
        <v>1</v>
      </c>
      <c r="AE105">
        <f>INDEX('Availability Model'!$C$4:$T$8, MATCH($K$104,'Availability Model'!$B$4:$B$8, 0), MATCH($K$10, 'Availability Model'!$C$1:$T$1, 0))</f>
        <v>1</v>
      </c>
      <c r="AF105">
        <f>INDEX('Availability Model'!$C$4:$T$8, MATCH($K$104,'Availability Model'!$B$4:$B$8, 0), MATCH($K$10, 'Availability Model'!$C$1:$T$1, 0))</f>
        <v>1</v>
      </c>
      <c r="AG105">
        <f>INDEX('Availability Model'!$C$4:$T$8, MATCH($K$104,'Availability Model'!$B$4:$B$8, 0), MATCH($K$10, 'Availability Model'!$C$1:$T$1, 0))</f>
        <v>1</v>
      </c>
      <c r="AH105">
        <f>INDEX('Availability Model'!$C$4:$T$8, MATCH($K$104,'Availability Model'!$B$4:$B$8, 0), MATCH($K$10, 'Availability Model'!$C$1:$T$1, 0))</f>
        <v>1</v>
      </c>
      <c r="AI105">
        <f>INDEX('Availability Model'!$C$4:$T$8, MATCH($K$104,'Availability Model'!$B$4:$B$8, 0), MATCH($K$10, 'Availability Model'!$C$1:$T$1, 0))</f>
        <v>1</v>
      </c>
      <c r="AJ105">
        <f>INDEX('Availability Model'!$C$4:$T$8, MATCH($K$104,'Availability Model'!$B$4:$B$8, 0), MATCH($K$10, 'Availability Model'!$C$1:$T$1, 0))</f>
        <v>1</v>
      </c>
      <c r="AK105">
        <f>INDEX('Availability Model'!$C$4:$T$8, MATCH($K$104,'Availability Model'!$B$4:$B$8, 0), MATCH($K$10, 'Availability Model'!$C$1:$T$1, 0))</f>
        <v>1</v>
      </c>
      <c r="AL105">
        <f>INDEX('Availability Model'!$C$4:$T$8, MATCH($K$104,'Availability Model'!$B$4:$B$8, 0), MATCH($K$10, 'Availability Model'!$C$1:$T$1, 0))</f>
        <v>1</v>
      </c>
    </row>
    <row r="106" spans="4:38">
      <c r="D106" s="7" t="s">
        <v>301</v>
      </c>
      <c r="E106" s="16" t="s">
        <v>106</v>
      </c>
      <c r="K106">
        <f>K105*INDEX('Availability Model'!$C$11:$T$15, MATCH($K$104,'Availability Model'!$B$11:$B$15, 0), MATCH($K$10, 'Availability Model'!$C$1:$T$1, 0))</f>
        <v>0.5</v>
      </c>
      <c r="L106">
        <f>L105*INDEX('Availability Model'!$C$11:$T$15, MATCH($K$104,'Availability Model'!$B$11:$B$15, 0), MATCH($K$10, 'Availability Model'!$C$1:$T$1, 0))</f>
        <v>0.5</v>
      </c>
      <c r="M106">
        <f>M105*INDEX('Availability Model'!$C$11:$T$15, MATCH($K$104,'Availability Model'!$B$11:$B$15, 0), MATCH($K$10, 'Availability Model'!$C$1:$T$1, 0))</f>
        <v>0.5</v>
      </c>
      <c r="N106">
        <f>N105*INDEX('Availability Model'!$C$11:$T$15, MATCH($K$104,'Availability Model'!$B$11:$B$15, 0), MATCH($K$10, 'Availability Model'!$C$1:$T$1, 0))</f>
        <v>0.5</v>
      </c>
      <c r="O106">
        <f>O105*INDEX('Availability Model'!$C$11:$T$15, MATCH($K$104,'Availability Model'!$B$11:$B$15, 0), MATCH($K$10, 'Availability Model'!$C$1:$T$1, 0))</f>
        <v>0.5</v>
      </c>
      <c r="P106">
        <f>P105*INDEX('Availability Model'!$C$11:$T$15, MATCH($K$104,'Availability Model'!$B$11:$B$15, 0), MATCH($K$10, 'Availability Model'!$C$1:$T$1, 0))</f>
        <v>0.5</v>
      </c>
      <c r="Q106">
        <f>Q105*INDEX('Availability Model'!$C$11:$T$15, MATCH($K$104,'Availability Model'!$B$11:$B$15, 0), MATCH($K$10, 'Availability Model'!$C$1:$T$1, 0))</f>
        <v>0.5</v>
      </c>
      <c r="R106">
        <f>R105*INDEX('Availability Model'!$C$11:$T$15, MATCH($K$104,'Availability Model'!$B$11:$B$15, 0), MATCH($K$10, 'Availability Model'!$C$1:$T$1, 0))</f>
        <v>0.5</v>
      </c>
      <c r="S106">
        <f>S105*INDEX('Availability Model'!$C$11:$T$15, MATCH($K$104,'Availability Model'!$B$11:$B$15, 0), MATCH($K$10, 'Availability Model'!$C$1:$T$1, 0))</f>
        <v>0.5</v>
      </c>
      <c r="T106">
        <f>T105*INDEX('Availability Model'!$C$11:$T$15, MATCH($K$104,'Availability Model'!$B$11:$B$15, 0), MATCH($K$10, 'Availability Model'!$C$1:$T$1, 0))</f>
        <v>0.5</v>
      </c>
      <c r="U106">
        <f>U105*INDEX('Availability Model'!$C$11:$T$15, MATCH($K$104,'Availability Model'!$B$11:$B$15, 0), MATCH($K$10, 'Availability Model'!$C$1:$T$1, 0))</f>
        <v>0.5</v>
      </c>
      <c r="V106">
        <f>V105*INDEX('Availability Model'!$C$11:$T$15, MATCH($K$104,'Availability Model'!$B$11:$B$15, 0), MATCH($K$10, 'Availability Model'!$C$1:$T$1, 0))</f>
        <v>0.5</v>
      </c>
      <c r="W106">
        <f>W105*INDEX('Availability Model'!$C$11:$T$15, MATCH($K$104,'Availability Model'!$B$11:$B$15, 0), MATCH($K$10, 'Availability Model'!$C$1:$T$1, 0))</f>
        <v>0.5</v>
      </c>
      <c r="X106">
        <f>X105*INDEX('Availability Model'!$C$11:$T$15, MATCH($K$104,'Availability Model'!$B$11:$B$15, 0), MATCH($K$10, 'Availability Model'!$C$1:$T$1, 0))</f>
        <v>0.5</v>
      </c>
      <c r="Y106">
        <f>Y105*INDEX('Availability Model'!$C$11:$T$15, MATCH($K$104,'Availability Model'!$B$11:$B$15, 0), MATCH($K$10, 'Availability Model'!$C$1:$T$1, 0))</f>
        <v>0.5</v>
      </c>
      <c r="Z106">
        <f>Z105*INDEX('Availability Model'!$C$11:$T$15, MATCH($K$104,'Availability Model'!$B$11:$B$15, 0), MATCH($K$10, 'Availability Model'!$C$1:$T$1, 0))</f>
        <v>0.5</v>
      </c>
      <c r="AA106">
        <f>AA105*INDEX('Availability Model'!$C$11:$T$15, MATCH($K$104,'Availability Model'!$B$11:$B$15, 0), MATCH($K$10, 'Availability Model'!$C$1:$T$1, 0))</f>
        <v>0.5</v>
      </c>
      <c r="AB106">
        <f>AB105*INDEX('Availability Model'!$C$11:$T$15, MATCH($K$104,'Availability Model'!$B$11:$B$15, 0), MATCH($K$10, 'Availability Model'!$C$1:$T$1, 0))</f>
        <v>0.5</v>
      </c>
      <c r="AC106">
        <f>AC105*INDEX('Availability Model'!$C$11:$T$15, MATCH($K$104,'Availability Model'!$B$11:$B$15, 0), MATCH($K$10, 'Availability Model'!$C$1:$T$1, 0))</f>
        <v>0.5</v>
      </c>
      <c r="AD106">
        <f>AD105*INDEX('Availability Model'!$C$11:$T$15, MATCH($K$104,'Availability Model'!$B$11:$B$15, 0), MATCH($K$10, 'Availability Model'!$C$1:$T$1, 0))</f>
        <v>0.5</v>
      </c>
      <c r="AE106">
        <f>AE105*INDEX('Availability Model'!$C$11:$T$15, MATCH($K$104,'Availability Model'!$B$11:$B$15, 0), MATCH($K$10, 'Availability Model'!$C$1:$T$1, 0))</f>
        <v>0.5</v>
      </c>
      <c r="AF106">
        <f>AF105*INDEX('Availability Model'!$C$11:$T$15, MATCH($K$104,'Availability Model'!$B$11:$B$15, 0), MATCH($K$10, 'Availability Model'!$C$1:$T$1, 0))</f>
        <v>0.5</v>
      </c>
      <c r="AG106">
        <f>AG105*INDEX('Availability Model'!$C$11:$T$15, MATCH($K$104,'Availability Model'!$B$11:$B$15, 0), MATCH($K$10, 'Availability Model'!$C$1:$T$1, 0))</f>
        <v>0.5</v>
      </c>
      <c r="AH106">
        <f>AH105*INDEX('Availability Model'!$C$11:$T$15, MATCH($K$104,'Availability Model'!$B$11:$B$15, 0), MATCH($K$10, 'Availability Model'!$C$1:$T$1, 0))</f>
        <v>0.5</v>
      </c>
      <c r="AI106">
        <f>AI105*INDEX('Availability Model'!$C$11:$T$15, MATCH($K$104,'Availability Model'!$B$11:$B$15, 0), MATCH($K$10, 'Availability Model'!$C$1:$T$1, 0))</f>
        <v>0.5</v>
      </c>
      <c r="AJ106">
        <f>AJ105*INDEX('Availability Model'!$C$11:$T$15, MATCH($K$104,'Availability Model'!$B$11:$B$15, 0), MATCH($K$10, 'Availability Model'!$C$1:$T$1, 0))</f>
        <v>0.5</v>
      </c>
      <c r="AK106">
        <f>AK105*INDEX('Availability Model'!$C$11:$T$15, MATCH($K$104,'Availability Model'!$B$11:$B$15, 0), MATCH($K$10, 'Availability Model'!$C$1:$T$1, 0))</f>
        <v>0.5</v>
      </c>
      <c r="AL106">
        <f>AL105*INDEX('Availability Model'!$C$11:$T$15, MATCH($K$104,'Availability Model'!$B$11:$B$15, 0), MATCH($K$10, 'Availability Model'!$C$1:$T$1, 0))</f>
        <v>0.5</v>
      </c>
    </row>
    <row r="107" spans="4:38">
      <c r="D107" s="7" t="s">
        <v>302</v>
      </c>
      <c r="E107" s="16" t="s">
        <v>106</v>
      </c>
      <c r="K107" s="65">
        <f t="shared" ref="K107:AL107" si="88">K19</f>
        <v>1.8129533678756478</v>
      </c>
      <c r="L107" s="65">
        <f t="shared" si="88"/>
        <v>1.9014456764652192</v>
      </c>
      <c r="M107" s="65">
        <f t="shared" si="88"/>
        <v>1.8367738032705883</v>
      </c>
      <c r="N107" s="65">
        <f t="shared" si="88"/>
        <v>1.8815339776532183</v>
      </c>
      <c r="O107" s="65">
        <f t="shared" si="88"/>
        <v>2.274116334125547</v>
      </c>
      <c r="P107" s="65">
        <f t="shared" si="88"/>
        <v>2.2713840936883885</v>
      </c>
      <c r="Q107" s="65">
        <f t="shared" si="88"/>
        <v>2.0845047041176494</v>
      </c>
      <c r="R107" s="65">
        <f t="shared" si="88"/>
        <v>2.0845047041176494</v>
      </c>
      <c r="S107" s="65">
        <f t="shared" si="88"/>
        <v>1.8015541388963427</v>
      </c>
      <c r="T107" s="65">
        <f t="shared" si="88"/>
        <v>1.7991245737385273</v>
      </c>
      <c r="U107" s="65">
        <f t="shared" si="88"/>
        <v>1.8015541388963427</v>
      </c>
      <c r="V107" s="65">
        <f t="shared" si="88"/>
        <v>1.8015541388963427</v>
      </c>
      <c r="W107" s="65">
        <f t="shared" si="88"/>
        <v>1.8015541388963427</v>
      </c>
      <c r="X107" s="65">
        <f t="shared" si="88"/>
        <v>1.7991245737385273</v>
      </c>
      <c r="Y107" s="65">
        <f t="shared" si="88"/>
        <v>1.8015541388963427</v>
      </c>
      <c r="Z107" s="65">
        <f t="shared" si="88"/>
        <v>1.8015541388963427</v>
      </c>
      <c r="AA107" s="65">
        <f t="shared" si="88"/>
        <v>1.8015541388963427</v>
      </c>
      <c r="AB107" s="65">
        <f t="shared" si="88"/>
        <v>1.7991245737385273</v>
      </c>
      <c r="AC107" s="65">
        <f t="shared" si="88"/>
        <v>1.8015541388963427</v>
      </c>
      <c r="AD107" s="65">
        <f t="shared" si="88"/>
        <v>1.8015541388963427</v>
      </c>
      <c r="AE107" s="65">
        <f t="shared" si="88"/>
        <v>1.8015541388963427</v>
      </c>
      <c r="AF107" s="65">
        <f t="shared" si="88"/>
        <v>1.7991245737385273</v>
      </c>
      <c r="AG107" s="65">
        <f t="shared" si="88"/>
        <v>1.8015541388963427</v>
      </c>
      <c r="AH107" s="65">
        <f t="shared" si="88"/>
        <v>1.8015541388963427</v>
      </c>
      <c r="AI107" s="65">
        <f t="shared" si="88"/>
        <v>1.8015541388963427</v>
      </c>
      <c r="AJ107" s="65">
        <f t="shared" si="88"/>
        <v>1.7991245737385273</v>
      </c>
      <c r="AK107" s="65">
        <f t="shared" si="88"/>
        <v>1.8015541388963427</v>
      </c>
      <c r="AL107" s="65">
        <f t="shared" si="88"/>
        <v>1.8015541388963427</v>
      </c>
    </row>
    <row r="108" spans="4:38">
      <c r="D108" s="7" t="s">
        <v>304</v>
      </c>
      <c r="E108" s="16" t="s">
        <v>106</v>
      </c>
      <c r="K108">
        <f>IF((K106-K107)&gt;0, K106-K107,0)</f>
        <v>0</v>
      </c>
      <c r="L108">
        <f t="shared" ref="L108:Q108" si="89">IF((L106-L107)&gt;0, L106-L107,0)</f>
        <v>0</v>
      </c>
      <c r="M108">
        <f>IF((M106-M107)&gt;0, M106-M107,0)</f>
        <v>0</v>
      </c>
      <c r="N108">
        <f t="shared" si="89"/>
        <v>0</v>
      </c>
      <c r="O108">
        <f t="shared" si="89"/>
        <v>0</v>
      </c>
      <c r="P108">
        <f t="shared" si="89"/>
        <v>0</v>
      </c>
      <c r="Q108">
        <f t="shared" si="89"/>
        <v>0</v>
      </c>
      <c r="R108">
        <f t="shared" ref="R108" si="90">IF((R106-R107)&gt;0, R106-R107,0)</f>
        <v>0</v>
      </c>
      <c r="S108">
        <f t="shared" ref="S108" si="91">IF((S106-S107)&gt;0, S106-S107,0)</f>
        <v>0</v>
      </c>
      <c r="T108">
        <f t="shared" ref="T108" si="92">IF((T106-T107)&gt;0, T106-T107,0)</f>
        <v>0</v>
      </c>
      <c r="U108">
        <f t="shared" ref="U108" si="93">IF((U106-U107)&gt;0, U106-U107,0)</f>
        <v>0</v>
      </c>
      <c r="V108">
        <f t="shared" ref="V108" si="94">IF((V106-V107)&gt;0, V106-V107,0)</f>
        <v>0</v>
      </c>
      <c r="W108">
        <f t="shared" ref="W108" si="95">IF((W106-W107)&gt;0, W106-W107,0)</f>
        <v>0</v>
      </c>
      <c r="X108">
        <f t="shared" ref="X108" si="96">IF((X106-X107)&gt;0, X106-X107,0)</f>
        <v>0</v>
      </c>
      <c r="Y108">
        <f t="shared" ref="Y108" si="97">IF((Y106-Y107)&gt;0, Y106-Y107,0)</f>
        <v>0</v>
      </c>
      <c r="Z108">
        <f t="shared" ref="Z108" si="98">IF((Z106-Z107)&gt;0, Z106-Z107,0)</f>
        <v>0</v>
      </c>
      <c r="AA108">
        <f t="shared" ref="AA108" si="99">IF((AA106-AA107)&gt;0, AA106-AA107,0)</f>
        <v>0</v>
      </c>
      <c r="AB108">
        <f t="shared" ref="AB108" si="100">IF((AB106-AB107)&gt;0, AB106-AB107,0)</f>
        <v>0</v>
      </c>
      <c r="AC108">
        <f t="shared" ref="AC108" si="101">IF((AC106-AC107)&gt;0, AC106-AC107,0)</f>
        <v>0</v>
      </c>
      <c r="AD108">
        <f t="shared" ref="AD108" si="102">IF((AD106-AD107)&gt;0, AD106-AD107,0)</f>
        <v>0</v>
      </c>
      <c r="AE108">
        <f t="shared" ref="AE108" si="103">IF((AE106-AE107)&gt;0, AE106-AE107,0)</f>
        <v>0</v>
      </c>
      <c r="AF108">
        <f t="shared" ref="AF108" si="104">IF((AF106-AF107)&gt;0, AF106-AF107,0)</f>
        <v>0</v>
      </c>
      <c r="AG108">
        <f t="shared" ref="AG108" si="105">IF((AG106-AG107)&gt;0, AG106-AG107,0)</f>
        <v>0</v>
      </c>
      <c r="AH108">
        <f t="shared" ref="AH108" si="106">IF((AH106-AH107)&gt;0, AH106-AH107,0)</f>
        <v>0</v>
      </c>
      <c r="AI108">
        <f t="shared" ref="AI108" si="107">IF((AI106-AI107)&gt;0, AI106-AI107,0)</f>
        <v>0</v>
      </c>
      <c r="AJ108">
        <f t="shared" ref="AJ108" si="108">IF((AJ106-AJ107)&gt;0, AJ106-AJ107,0)</f>
        <v>0</v>
      </c>
      <c r="AK108">
        <f t="shared" ref="AK108" si="109">IF((AK106-AK107)&gt;0, AK106-AK107,0)</f>
        <v>0</v>
      </c>
      <c r="AL108">
        <f t="shared" ref="AL108" si="110">IF((AL106-AL107)&gt;0, AL106-AL107,0)</f>
        <v>0</v>
      </c>
    </row>
    <row r="109" spans="4:38">
      <c r="D109" s="7"/>
      <c r="E109" s="7"/>
      <c r="M109" s="7"/>
    </row>
    <row r="110" spans="4:38">
      <c r="D110" s="3" t="s">
        <v>297</v>
      </c>
      <c r="M110" s="7"/>
    </row>
    <row r="111" spans="4:38">
      <c r="D111" s="7" t="s">
        <v>299</v>
      </c>
      <c r="E111" s="16" t="s">
        <v>169</v>
      </c>
      <c r="K111" t="str">
        <f>Inputs!E74</f>
        <v>Very Poor</v>
      </c>
      <c r="L111" t="str">
        <f>Inputs!F74</f>
        <v>Very Poor</v>
      </c>
      <c r="M111" t="str">
        <f>Inputs!G74</f>
        <v>Very Poor</v>
      </c>
      <c r="N111" t="str">
        <f>Inputs!H74</f>
        <v>Very Poor</v>
      </c>
      <c r="O111" t="str">
        <f>Inputs!I74</f>
        <v>Very Poor</v>
      </c>
      <c r="P111" t="str">
        <f>Inputs!J74</f>
        <v>Very Poor</v>
      </c>
      <c r="Q111" t="str">
        <f>P111</f>
        <v>Very Poor</v>
      </c>
      <c r="R111" t="str">
        <f t="shared" ref="R111:AL111" si="111">Q111</f>
        <v>Very Poor</v>
      </c>
      <c r="S111" t="str">
        <f t="shared" si="111"/>
        <v>Very Poor</v>
      </c>
      <c r="T111" t="str">
        <f t="shared" si="111"/>
        <v>Very Poor</v>
      </c>
      <c r="U111" t="str">
        <f t="shared" si="111"/>
        <v>Very Poor</v>
      </c>
      <c r="V111" t="str">
        <f t="shared" si="111"/>
        <v>Very Poor</v>
      </c>
      <c r="W111" t="str">
        <f t="shared" si="111"/>
        <v>Very Poor</v>
      </c>
      <c r="X111" t="str">
        <f t="shared" si="111"/>
        <v>Very Poor</v>
      </c>
      <c r="Y111" t="str">
        <f t="shared" si="111"/>
        <v>Very Poor</v>
      </c>
      <c r="Z111" t="str">
        <f t="shared" si="111"/>
        <v>Very Poor</v>
      </c>
      <c r="AA111" t="str">
        <f t="shared" si="111"/>
        <v>Very Poor</v>
      </c>
      <c r="AB111" t="str">
        <f t="shared" si="111"/>
        <v>Very Poor</v>
      </c>
      <c r="AC111" t="str">
        <f t="shared" si="111"/>
        <v>Very Poor</v>
      </c>
      <c r="AD111" t="str">
        <f t="shared" si="111"/>
        <v>Very Poor</v>
      </c>
      <c r="AE111" t="str">
        <f t="shared" si="111"/>
        <v>Very Poor</v>
      </c>
      <c r="AF111" t="str">
        <f t="shared" si="111"/>
        <v>Very Poor</v>
      </c>
      <c r="AG111" t="str">
        <f t="shared" si="111"/>
        <v>Very Poor</v>
      </c>
      <c r="AH111" t="str">
        <f t="shared" si="111"/>
        <v>Very Poor</v>
      </c>
      <c r="AI111" t="str">
        <f t="shared" si="111"/>
        <v>Very Poor</v>
      </c>
      <c r="AJ111" t="str">
        <f t="shared" si="111"/>
        <v>Very Poor</v>
      </c>
      <c r="AK111" t="str">
        <f t="shared" si="111"/>
        <v>Very Poor</v>
      </c>
      <c r="AL111" t="str">
        <f t="shared" si="111"/>
        <v>Very Poor</v>
      </c>
    </row>
    <row r="112" spans="4:38">
      <c r="D112" s="7" t="s">
        <v>300</v>
      </c>
      <c r="E112" s="16" t="s">
        <v>303</v>
      </c>
      <c r="K112">
        <f>INDEX('Availability Model'!$C$18:$T$22, MATCH($K$111,'Availability Model'!$B$18:$B$22, 0), MATCH($K$10, 'Availability Model'!$C$1:$T$1, 0))</f>
        <v>3</v>
      </c>
      <c r="L112">
        <f>INDEX('Availability Model'!$C$18:$T$22, MATCH($K$111,'Availability Model'!$B$18:$B$22, 0), MATCH($K$10, 'Availability Model'!$C$1:$T$1, 0))</f>
        <v>3</v>
      </c>
      <c r="M112">
        <f>INDEX('Availability Model'!$C$18:$T$22, MATCH($K$111,'Availability Model'!$B$18:$B$22, 0), MATCH($K$10, 'Availability Model'!$C$1:$T$1, 0))</f>
        <v>3</v>
      </c>
      <c r="N112">
        <f>INDEX('Availability Model'!$C$18:$T$22, MATCH($K$111,'Availability Model'!$B$18:$B$22, 0), MATCH($K$10, 'Availability Model'!$C$1:$T$1, 0))</f>
        <v>3</v>
      </c>
      <c r="O112">
        <f>INDEX('Availability Model'!$C$18:$T$22, MATCH($K$111,'Availability Model'!$B$18:$B$22, 0), MATCH($K$10, 'Availability Model'!$C$1:$T$1, 0))</f>
        <v>3</v>
      </c>
      <c r="P112">
        <f>INDEX('Availability Model'!$C$18:$T$22, MATCH($K$111,'Availability Model'!$B$18:$B$22, 0), MATCH($K$10, 'Availability Model'!$C$1:$T$1, 0))</f>
        <v>3</v>
      </c>
      <c r="Q112">
        <f>INDEX('Availability Model'!$C$18:$T$22, MATCH($K$111,'Availability Model'!$B$18:$B$22, 0), MATCH($K$10, 'Availability Model'!$C$1:$T$1, 0))</f>
        <v>3</v>
      </c>
      <c r="R112">
        <f>INDEX('Availability Model'!$C$18:$T$22, MATCH($K$111,'Availability Model'!$B$18:$B$22, 0), MATCH($K$10, 'Availability Model'!$C$1:$T$1, 0))</f>
        <v>3</v>
      </c>
      <c r="S112">
        <f>INDEX('Availability Model'!$C$18:$T$22, MATCH($K$111,'Availability Model'!$B$18:$B$22, 0), MATCH($K$10, 'Availability Model'!$C$1:$T$1, 0))</f>
        <v>3</v>
      </c>
      <c r="T112">
        <f>INDEX('Availability Model'!$C$18:$T$22, MATCH($K$111,'Availability Model'!$B$18:$B$22, 0), MATCH($K$10, 'Availability Model'!$C$1:$T$1, 0))</f>
        <v>3</v>
      </c>
      <c r="U112">
        <f>INDEX('Availability Model'!$C$18:$T$22, MATCH($K$111,'Availability Model'!$B$18:$B$22, 0), MATCH($K$10, 'Availability Model'!$C$1:$T$1, 0))</f>
        <v>3</v>
      </c>
      <c r="V112">
        <f>INDEX('Availability Model'!$C$18:$T$22, MATCH($K$111,'Availability Model'!$B$18:$B$22, 0), MATCH($K$10, 'Availability Model'!$C$1:$T$1, 0))</f>
        <v>3</v>
      </c>
      <c r="W112">
        <f>INDEX('Availability Model'!$C$18:$T$22, MATCH($K$111,'Availability Model'!$B$18:$B$22, 0), MATCH($K$10, 'Availability Model'!$C$1:$T$1, 0))</f>
        <v>3</v>
      </c>
      <c r="X112">
        <f>INDEX('Availability Model'!$C$18:$T$22, MATCH($K$111,'Availability Model'!$B$18:$B$22, 0), MATCH($K$10, 'Availability Model'!$C$1:$T$1, 0))</f>
        <v>3</v>
      </c>
      <c r="Y112">
        <f>INDEX('Availability Model'!$C$18:$T$22, MATCH($K$111,'Availability Model'!$B$18:$B$22, 0), MATCH($K$10, 'Availability Model'!$C$1:$T$1, 0))</f>
        <v>3</v>
      </c>
      <c r="Z112">
        <f>INDEX('Availability Model'!$C$18:$T$22, MATCH($K$111,'Availability Model'!$B$18:$B$22, 0), MATCH($K$10, 'Availability Model'!$C$1:$T$1, 0))</f>
        <v>3</v>
      </c>
      <c r="AA112">
        <f>INDEX('Availability Model'!$C$18:$T$22, MATCH($K$111,'Availability Model'!$B$18:$B$22, 0), MATCH($K$10, 'Availability Model'!$C$1:$T$1, 0))</f>
        <v>3</v>
      </c>
      <c r="AB112">
        <f>INDEX('Availability Model'!$C$18:$T$22, MATCH($K$111,'Availability Model'!$B$18:$B$22, 0), MATCH($K$10, 'Availability Model'!$C$1:$T$1, 0))</f>
        <v>3</v>
      </c>
      <c r="AC112">
        <f>INDEX('Availability Model'!$C$18:$T$22, MATCH($K$111,'Availability Model'!$B$18:$B$22, 0), MATCH($K$10, 'Availability Model'!$C$1:$T$1, 0))</f>
        <v>3</v>
      </c>
      <c r="AD112">
        <f>INDEX('Availability Model'!$C$18:$T$22, MATCH($K$111,'Availability Model'!$B$18:$B$22, 0), MATCH($K$10, 'Availability Model'!$C$1:$T$1, 0))</f>
        <v>3</v>
      </c>
      <c r="AE112">
        <f>INDEX('Availability Model'!$C$18:$T$22, MATCH($K$111,'Availability Model'!$B$18:$B$22, 0), MATCH($K$10, 'Availability Model'!$C$1:$T$1, 0))</f>
        <v>3</v>
      </c>
      <c r="AF112">
        <f>INDEX('Availability Model'!$C$18:$T$22, MATCH($K$111,'Availability Model'!$B$18:$B$22, 0), MATCH($K$10, 'Availability Model'!$C$1:$T$1, 0))</f>
        <v>3</v>
      </c>
      <c r="AG112">
        <f>INDEX('Availability Model'!$C$18:$T$22, MATCH($K$111,'Availability Model'!$B$18:$B$22, 0), MATCH($K$10, 'Availability Model'!$C$1:$T$1, 0))</f>
        <v>3</v>
      </c>
      <c r="AH112">
        <f>INDEX('Availability Model'!$C$18:$T$22, MATCH($K$111,'Availability Model'!$B$18:$B$22, 0), MATCH($K$10, 'Availability Model'!$C$1:$T$1, 0))</f>
        <v>3</v>
      </c>
      <c r="AI112">
        <f>INDEX('Availability Model'!$C$18:$T$22, MATCH($K$111,'Availability Model'!$B$18:$B$22, 0), MATCH($K$10, 'Availability Model'!$C$1:$T$1, 0))</f>
        <v>3</v>
      </c>
      <c r="AJ112">
        <f>INDEX('Availability Model'!$C$18:$T$22, MATCH($K$111,'Availability Model'!$B$18:$B$22, 0), MATCH($K$10, 'Availability Model'!$C$1:$T$1, 0))</f>
        <v>3</v>
      </c>
      <c r="AK112">
        <f>INDEX('Availability Model'!$C$18:$T$22, MATCH($K$111,'Availability Model'!$B$18:$B$22, 0), MATCH($K$10, 'Availability Model'!$C$1:$T$1, 0))</f>
        <v>3</v>
      </c>
      <c r="AL112">
        <f>INDEX('Availability Model'!$C$18:$T$22, MATCH($K$111,'Availability Model'!$B$18:$B$22, 0), MATCH($K$10, 'Availability Model'!$C$1:$T$1, 0))</f>
        <v>3</v>
      </c>
    </row>
    <row r="113" spans="4:38">
      <c r="D113" s="7" t="s">
        <v>301</v>
      </c>
      <c r="E113" s="16" t="s">
        <v>106</v>
      </c>
      <c r="K113">
        <f>K112*INDEX('Availability Model'!$C$25:$T$30, MATCH($K$111,'Availability Model'!$B$25:$B$30, 0), MATCH($K$10, 'Availability Model'!$C$1:$T$1, 0))</f>
        <v>9</v>
      </c>
      <c r="L113">
        <f>L112*INDEX('Availability Model'!$C$25:$T$30, MATCH($K$111,'Availability Model'!$B$25:$B$30, 0), MATCH($K$10, 'Availability Model'!$C$1:$T$1, 0))</f>
        <v>9</v>
      </c>
      <c r="M113">
        <f>M112*INDEX('Availability Model'!$C$25:$T$30, MATCH($K$111,'Availability Model'!$B$25:$B$30, 0), MATCH($K$10, 'Availability Model'!$C$1:$T$1, 0))</f>
        <v>9</v>
      </c>
      <c r="N113">
        <f>N112*INDEX('Availability Model'!$C$25:$T$30, MATCH($K$111,'Availability Model'!$B$25:$B$30, 0), MATCH($K$10, 'Availability Model'!$C$1:$T$1, 0))</f>
        <v>9</v>
      </c>
      <c r="O113">
        <f>O112*INDEX('Availability Model'!$C$25:$T$30, MATCH($K$111,'Availability Model'!$B$25:$B$30, 0), MATCH($K$10, 'Availability Model'!$C$1:$T$1, 0))</f>
        <v>9</v>
      </c>
      <c r="P113">
        <f>P112*INDEX('Availability Model'!$C$25:$T$30, MATCH($K$111,'Availability Model'!$B$25:$B$30, 0), MATCH($K$10, 'Availability Model'!$C$1:$T$1, 0))</f>
        <v>9</v>
      </c>
      <c r="Q113">
        <f>Q112*INDEX('Availability Model'!$C$25:$T$30, MATCH($K$111,'Availability Model'!$B$25:$B$30, 0), MATCH($K$10, 'Availability Model'!$C$1:$T$1, 0))</f>
        <v>9</v>
      </c>
      <c r="R113">
        <f>R112*INDEX('Availability Model'!$C$25:$T$30, MATCH($K$111,'Availability Model'!$B$25:$B$30, 0), MATCH($K$10, 'Availability Model'!$C$1:$T$1, 0))</f>
        <v>9</v>
      </c>
      <c r="S113">
        <f>S112*INDEX('Availability Model'!$C$25:$T$30, MATCH($K$111,'Availability Model'!$B$25:$B$30, 0), MATCH($K$10, 'Availability Model'!$C$1:$T$1, 0))</f>
        <v>9</v>
      </c>
      <c r="T113">
        <f>T112*INDEX('Availability Model'!$C$25:$T$30, MATCH($K$111,'Availability Model'!$B$25:$B$30, 0), MATCH($K$10, 'Availability Model'!$C$1:$T$1, 0))</f>
        <v>9</v>
      </c>
      <c r="U113">
        <f>U112*INDEX('Availability Model'!$C$25:$T$30, MATCH($K$111,'Availability Model'!$B$25:$B$30, 0), MATCH($K$10, 'Availability Model'!$C$1:$T$1, 0))</f>
        <v>9</v>
      </c>
      <c r="V113">
        <f>V112*INDEX('Availability Model'!$C$25:$T$30, MATCH($K$111,'Availability Model'!$B$25:$B$30, 0), MATCH($K$10, 'Availability Model'!$C$1:$T$1, 0))</f>
        <v>9</v>
      </c>
      <c r="W113">
        <f>W112*INDEX('Availability Model'!$C$25:$T$30, MATCH($K$111,'Availability Model'!$B$25:$B$30, 0), MATCH($K$10, 'Availability Model'!$C$1:$T$1, 0))</f>
        <v>9</v>
      </c>
      <c r="X113">
        <f>X112*INDEX('Availability Model'!$C$25:$T$30, MATCH($K$111,'Availability Model'!$B$25:$B$30, 0), MATCH($K$10, 'Availability Model'!$C$1:$T$1, 0))</f>
        <v>9</v>
      </c>
      <c r="Y113">
        <f>Y112*INDEX('Availability Model'!$C$25:$T$30, MATCH($K$111,'Availability Model'!$B$25:$B$30, 0), MATCH($K$10, 'Availability Model'!$C$1:$T$1, 0))</f>
        <v>9</v>
      </c>
      <c r="Z113">
        <f>Z112*INDEX('Availability Model'!$C$25:$T$30, MATCH($K$111,'Availability Model'!$B$25:$B$30, 0), MATCH($K$10, 'Availability Model'!$C$1:$T$1, 0))</f>
        <v>9</v>
      </c>
      <c r="AA113">
        <f>AA112*INDEX('Availability Model'!$C$25:$T$30, MATCH($K$111,'Availability Model'!$B$25:$B$30, 0), MATCH($K$10, 'Availability Model'!$C$1:$T$1, 0))</f>
        <v>9</v>
      </c>
      <c r="AB113">
        <f>AB112*INDEX('Availability Model'!$C$25:$T$30, MATCH($K$111,'Availability Model'!$B$25:$B$30, 0), MATCH($K$10, 'Availability Model'!$C$1:$T$1, 0))</f>
        <v>9</v>
      </c>
      <c r="AC113">
        <f>AC112*INDEX('Availability Model'!$C$25:$T$30, MATCH($K$111,'Availability Model'!$B$25:$B$30, 0), MATCH($K$10, 'Availability Model'!$C$1:$T$1, 0))</f>
        <v>9</v>
      </c>
      <c r="AD113">
        <f>AD112*INDEX('Availability Model'!$C$25:$T$30, MATCH($K$111,'Availability Model'!$B$25:$B$30, 0), MATCH($K$10, 'Availability Model'!$C$1:$T$1, 0))</f>
        <v>9</v>
      </c>
      <c r="AE113">
        <f>AE112*INDEX('Availability Model'!$C$25:$T$30, MATCH($K$111,'Availability Model'!$B$25:$B$30, 0), MATCH($K$10, 'Availability Model'!$C$1:$T$1, 0))</f>
        <v>9</v>
      </c>
      <c r="AF113">
        <f>AF112*INDEX('Availability Model'!$C$25:$T$30, MATCH($K$111,'Availability Model'!$B$25:$B$30, 0), MATCH($K$10, 'Availability Model'!$C$1:$T$1, 0))</f>
        <v>9</v>
      </c>
      <c r="AG113">
        <f>AG112*INDEX('Availability Model'!$C$25:$T$30, MATCH($K$111,'Availability Model'!$B$25:$B$30, 0), MATCH($K$10, 'Availability Model'!$C$1:$T$1, 0))</f>
        <v>9</v>
      </c>
      <c r="AH113">
        <f>AH112*INDEX('Availability Model'!$C$25:$T$30, MATCH($K$111,'Availability Model'!$B$25:$B$30, 0), MATCH($K$10, 'Availability Model'!$C$1:$T$1, 0))</f>
        <v>9</v>
      </c>
      <c r="AI113">
        <f>AI112*INDEX('Availability Model'!$C$25:$T$30, MATCH($K$111,'Availability Model'!$B$25:$B$30, 0), MATCH($K$10, 'Availability Model'!$C$1:$T$1, 0))</f>
        <v>9</v>
      </c>
      <c r="AJ113">
        <f>AJ112*INDEX('Availability Model'!$C$25:$T$30, MATCH($K$111,'Availability Model'!$B$25:$B$30, 0), MATCH($K$10, 'Availability Model'!$C$1:$T$1, 0))</f>
        <v>9</v>
      </c>
      <c r="AK113">
        <f>AK112*INDEX('Availability Model'!$C$25:$T$30, MATCH($K$111,'Availability Model'!$B$25:$B$30, 0), MATCH($K$10, 'Availability Model'!$C$1:$T$1, 0))</f>
        <v>9</v>
      </c>
      <c r="AL113">
        <f>AL112*INDEX('Availability Model'!$C$25:$T$30, MATCH($K$111,'Availability Model'!$B$25:$B$30, 0), MATCH($K$10, 'Availability Model'!$C$1:$T$1, 0))</f>
        <v>9</v>
      </c>
    </row>
    <row r="114" spans="4:38">
      <c r="D114" s="7" t="s">
        <v>302</v>
      </c>
      <c r="E114" s="16" t="s">
        <v>106</v>
      </c>
      <c r="K114" s="65">
        <f>K107</f>
        <v>1.8129533678756478</v>
      </c>
      <c r="L114" s="65">
        <f t="shared" ref="L114:AL114" si="112">L107</f>
        <v>1.9014456764652192</v>
      </c>
      <c r="M114" s="65">
        <f t="shared" si="112"/>
        <v>1.8367738032705883</v>
      </c>
      <c r="N114" s="65">
        <f t="shared" si="112"/>
        <v>1.8815339776532183</v>
      </c>
      <c r="O114" s="65">
        <f t="shared" si="112"/>
        <v>2.274116334125547</v>
      </c>
      <c r="P114" s="65">
        <f t="shared" si="112"/>
        <v>2.2713840936883885</v>
      </c>
      <c r="Q114" s="65">
        <f t="shared" si="112"/>
        <v>2.0845047041176494</v>
      </c>
      <c r="R114" s="65">
        <f t="shared" si="112"/>
        <v>2.0845047041176494</v>
      </c>
      <c r="S114" s="65">
        <f t="shared" si="112"/>
        <v>1.8015541388963427</v>
      </c>
      <c r="T114" s="65">
        <f t="shared" si="112"/>
        <v>1.7991245737385273</v>
      </c>
      <c r="U114" s="65">
        <f t="shared" si="112"/>
        <v>1.8015541388963427</v>
      </c>
      <c r="V114" s="65">
        <f t="shared" si="112"/>
        <v>1.8015541388963427</v>
      </c>
      <c r="W114" s="65">
        <f t="shared" si="112"/>
        <v>1.8015541388963427</v>
      </c>
      <c r="X114" s="65">
        <f t="shared" si="112"/>
        <v>1.7991245737385273</v>
      </c>
      <c r="Y114" s="65">
        <f t="shared" si="112"/>
        <v>1.8015541388963427</v>
      </c>
      <c r="Z114" s="65">
        <f t="shared" si="112"/>
        <v>1.8015541388963427</v>
      </c>
      <c r="AA114" s="65">
        <f t="shared" si="112"/>
        <v>1.8015541388963427</v>
      </c>
      <c r="AB114" s="65">
        <f t="shared" si="112"/>
        <v>1.7991245737385273</v>
      </c>
      <c r="AC114" s="65">
        <f t="shared" si="112"/>
        <v>1.8015541388963427</v>
      </c>
      <c r="AD114" s="65">
        <f t="shared" si="112"/>
        <v>1.8015541388963427</v>
      </c>
      <c r="AE114" s="65">
        <f t="shared" si="112"/>
        <v>1.8015541388963427</v>
      </c>
      <c r="AF114" s="65">
        <f t="shared" si="112"/>
        <v>1.7991245737385273</v>
      </c>
      <c r="AG114" s="65">
        <f t="shared" si="112"/>
        <v>1.8015541388963427</v>
      </c>
      <c r="AH114" s="65">
        <f t="shared" si="112"/>
        <v>1.8015541388963427</v>
      </c>
      <c r="AI114" s="65">
        <f t="shared" si="112"/>
        <v>1.8015541388963427</v>
      </c>
      <c r="AJ114" s="65">
        <f t="shared" si="112"/>
        <v>1.7991245737385273</v>
      </c>
      <c r="AK114" s="65">
        <f t="shared" si="112"/>
        <v>1.8015541388963427</v>
      </c>
      <c r="AL114" s="65">
        <f t="shared" si="112"/>
        <v>1.8015541388963427</v>
      </c>
    </row>
    <row r="115" spans="4:38">
      <c r="D115" s="7" t="s">
        <v>304</v>
      </c>
      <c r="E115" s="16" t="s">
        <v>106</v>
      </c>
      <c r="K115" s="116">
        <f>ROUND(K113-K114,0)</f>
        <v>7</v>
      </c>
      <c r="L115" s="116">
        <f t="shared" ref="L115:AL115" si="113">ROUND(L113-L114,0)</f>
        <v>7</v>
      </c>
      <c r="M115" s="116">
        <f t="shared" si="113"/>
        <v>7</v>
      </c>
      <c r="N115" s="116">
        <f t="shared" si="113"/>
        <v>7</v>
      </c>
      <c r="O115" s="116">
        <f t="shared" si="113"/>
        <v>7</v>
      </c>
      <c r="P115" s="116">
        <f t="shared" si="113"/>
        <v>7</v>
      </c>
      <c r="Q115" s="116">
        <f t="shared" si="113"/>
        <v>7</v>
      </c>
      <c r="R115" s="116">
        <f t="shared" si="113"/>
        <v>7</v>
      </c>
      <c r="S115" s="116">
        <f t="shared" si="113"/>
        <v>7</v>
      </c>
      <c r="T115" s="116">
        <f t="shared" si="113"/>
        <v>7</v>
      </c>
      <c r="U115" s="116">
        <f t="shared" si="113"/>
        <v>7</v>
      </c>
      <c r="V115" s="116">
        <f t="shared" si="113"/>
        <v>7</v>
      </c>
      <c r="W115" s="116">
        <f t="shared" si="113"/>
        <v>7</v>
      </c>
      <c r="X115" s="116">
        <f t="shared" si="113"/>
        <v>7</v>
      </c>
      <c r="Y115" s="116">
        <f t="shared" si="113"/>
        <v>7</v>
      </c>
      <c r="Z115" s="116">
        <f t="shared" si="113"/>
        <v>7</v>
      </c>
      <c r="AA115" s="116">
        <f t="shared" si="113"/>
        <v>7</v>
      </c>
      <c r="AB115" s="116">
        <f t="shared" si="113"/>
        <v>7</v>
      </c>
      <c r="AC115" s="116">
        <f t="shared" si="113"/>
        <v>7</v>
      </c>
      <c r="AD115" s="116">
        <f t="shared" si="113"/>
        <v>7</v>
      </c>
      <c r="AE115" s="116">
        <f t="shared" si="113"/>
        <v>7</v>
      </c>
      <c r="AF115" s="116">
        <f t="shared" si="113"/>
        <v>7</v>
      </c>
      <c r="AG115" s="116">
        <f t="shared" si="113"/>
        <v>7</v>
      </c>
      <c r="AH115" s="116">
        <f t="shared" si="113"/>
        <v>7</v>
      </c>
      <c r="AI115" s="116">
        <f t="shared" si="113"/>
        <v>7</v>
      </c>
      <c r="AJ115" s="116">
        <f t="shared" si="113"/>
        <v>7</v>
      </c>
      <c r="AK115" s="116">
        <f t="shared" si="113"/>
        <v>7</v>
      </c>
      <c r="AL115" s="116">
        <f t="shared" si="113"/>
        <v>7</v>
      </c>
    </row>
    <row r="116" spans="4:38">
      <c r="D116" s="7"/>
      <c r="E116" s="16"/>
    </row>
    <row r="117" spans="4:38">
      <c r="D117" s="3" t="s">
        <v>298</v>
      </c>
    </row>
    <row r="118" spans="4:38">
      <c r="D118" s="7" t="s">
        <v>299</v>
      </c>
      <c r="E118" s="16" t="s">
        <v>169</v>
      </c>
      <c r="K118" t="str">
        <f>Inputs!E75</f>
        <v>Average</v>
      </c>
      <c r="L118" t="str">
        <f>Inputs!F75</f>
        <v>Average</v>
      </c>
      <c r="M118" t="str">
        <f>Inputs!G75</f>
        <v>Average</v>
      </c>
      <c r="N118" t="str">
        <f>Inputs!H75</f>
        <v>Average</v>
      </c>
      <c r="O118" t="str">
        <f>Inputs!I75</f>
        <v>Average</v>
      </c>
      <c r="P118" t="str">
        <f>Inputs!J75</f>
        <v>Average</v>
      </c>
      <c r="Q118" t="str">
        <f>P118</f>
        <v>Average</v>
      </c>
      <c r="R118" t="str">
        <f t="shared" ref="R118:AL118" si="114">Q118</f>
        <v>Average</v>
      </c>
      <c r="S118" t="str">
        <f t="shared" si="114"/>
        <v>Average</v>
      </c>
      <c r="T118" t="str">
        <f t="shared" si="114"/>
        <v>Average</v>
      </c>
      <c r="U118" t="str">
        <f t="shared" si="114"/>
        <v>Average</v>
      </c>
      <c r="V118" t="str">
        <f t="shared" si="114"/>
        <v>Average</v>
      </c>
      <c r="W118" t="str">
        <f t="shared" si="114"/>
        <v>Average</v>
      </c>
      <c r="X118" t="str">
        <f t="shared" si="114"/>
        <v>Average</v>
      </c>
      <c r="Y118" t="str">
        <f t="shared" si="114"/>
        <v>Average</v>
      </c>
      <c r="Z118" t="str">
        <f t="shared" si="114"/>
        <v>Average</v>
      </c>
      <c r="AA118" t="str">
        <f t="shared" si="114"/>
        <v>Average</v>
      </c>
      <c r="AB118" t="str">
        <f t="shared" si="114"/>
        <v>Average</v>
      </c>
      <c r="AC118" t="str">
        <f t="shared" si="114"/>
        <v>Average</v>
      </c>
      <c r="AD118" t="str">
        <f t="shared" si="114"/>
        <v>Average</v>
      </c>
      <c r="AE118" t="str">
        <f t="shared" si="114"/>
        <v>Average</v>
      </c>
      <c r="AF118" t="str">
        <f t="shared" si="114"/>
        <v>Average</v>
      </c>
      <c r="AG118" t="str">
        <f t="shared" si="114"/>
        <v>Average</v>
      </c>
      <c r="AH118" t="str">
        <f t="shared" si="114"/>
        <v>Average</v>
      </c>
      <c r="AI118" t="str">
        <f t="shared" si="114"/>
        <v>Average</v>
      </c>
      <c r="AJ118" t="str">
        <f t="shared" si="114"/>
        <v>Average</v>
      </c>
      <c r="AK118" t="str">
        <f t="shared" si="114"/>
        <v>Average</v>
      </c>
      <c r="AL118" t="str">
        <f t="shared" si="114"/>
        <v>Average</v>
      </c>
    </row>
    <row r="119" spans="4:38">
      <c r="D119" s="7" t="s">
        <v>300</v>
      </c>
      <c r="E119" s="16" t="s">
        <v>303</v>
      </c>
      <c r="K119">
        <f>INDEX('Availability Model'!$C$32:$T$36, MATCH($K$118,'Availability Model'!$B$32:$B$36, 0), MATCH($K$10, 'Availability Model'!$C$1:$T$1, 0))</f>
        <v>2</v>
      </c>
      <c r="L119">
        <f>INDEX('Availability Model'!$C$32:$T$36, MATCH($K$118,'Availability Model'!$B$32:$B$36, 0), MATCH($K$10, 'Availability Model'!$C$1:$T$1, 0))</f>
        <v>2</v>
      </c>
      <c r="M119">
        <f>INDEX('Availability Model'!$C$32:$T$36, MATCH($K$118,'Availability Model'!$B$32:$B$36, 0), MATCH($K$10, 'Availability Model'!$C$1:$T$1, 0))</f>
        <v>2</v>
      </c>
      <c r="N119">
        <f>INDEX('Availability Model'!$C$32:$T$36, MATCH($K$118,'Availability Model'!$B$32:$B$36, 0), MATCH($K$10, 'Availability Model'!$C$1:$T$1, 0))</f>
        <v>2</v>
      </c>
      <c r="O119">
        <f>INDEX('Availability Model'!$C$32:$T$36, MATCH($K$118,'Availability Model'!$B$32:$B$36, 0), MATCH($K$10, 'Availability Model'!$C$1:$T$1, 0))</f>
        <v>2</v>
      </c>
      <c r="P119">
        <f>INDEX('Availability Model'!$C$32:$T$36, MATCH($K$118,'Availability Model'!$B$32:$B$36, 0), MATCH($K$10, 'Availability Model'!$C$1:$T$1, 0))</f>
        <v>2</v>
      </c>
      <c r="Q119">
        <f>INDEX('Availability Model'!$C$32:$T$36, MATCH($K$118,'Availability Model'!$B$32:$B$36, 0), MATCH($K$10, 'Availability Model'!$C$1:$T$1, 0))</f>
        <v>2</v>
      </c>
      <c r="R119">
        <f>INDEX('Availability Model'!$C$32:$T$36, MATCH($K$118,'Availability Model'!$B$32:$B$36, 0), MATCH($K$10, 'Availability Model'!$C$1:$T$1, 0))</f>
        <v>2</v>
      </c>
      <c r="S119">
        <f>INDEX('Availability Model'!$C$32:$T$36, MATCH($K$118,'Availability Model'!$B$32:$B$36, 0), MATCH($K$10, 'Availability Model'!$C$1:$T$1, 0))</f>
        <v>2</v>
      </c>
      <c r="T119">
        <f>INDEX('Availability Model'!$C$32:$T$36, MATCH($K$118,'Availability Model'!$B$32:$B$36, 0), MATCH($K$10, 'Availability Model'!$C$1:$T$1, 0))</f>
        <v>2</v>
      </c>
      <c r="U119">
        <f>INDEX('Availability Model'!$C$32:$T$36, MATCH($K$118,'Availability Model'!$B$32:$B$36, 0), MATCH($K$10, 'Availability Model'!$C$1:$T$1, 0))</f>
        <v>2</v>
      </c>
      <c r="V119">
        <f>INDEX('Availability Model'!$C$32:$T$36, MATCH($K$118,'Availability Model'!$B$32:$B$36, 0), MATCH($K$10, 'Availability Model'!$C$1:$T$1, 0))</f>
        <v>2</v>
      </c>
      <c r="W119">
        <f>INDEX('Availability Model'!$C$32:$T$36, MATCH($K$118,'Availability Model'!$B$32:$B$36, 0), MATCH($K$10, 'Availability Model'!$C$1:$T$1, 0))</f>
        <v>2</v>
      </c>
      <c r="X119">
        <f>INDEX('Availability Model'!$C$32:$T$36, MATCH($K$118,'Availability Model'!$B$32:$B$36, 0), MATCH($K$10, 'Availability Model'!$C$1:$T$1, 0))</f>
        <v>2</v>
      </c>
      <c r="Y119">
        <f>INDEX('Availability Model'!$C$32:$T$36, MATCH($K$118,'Availability Model'!$B$32:$B$36, 0), MATCH($K$10, 'Availability Model'!$C$1:$T$1, 0))</f>
        <v>2</v>
      </c>
      <c r="Z119">
        <f>INDEX('Availability Model'!$C$32:$T$36, MATCH($K$118,'Availability Model'!$B$32:$B$36, 0), MATCH($K$10, 'Availability Model'!$C$1:$T$1, 0))</f>
        <v>2</v>
      </c>
      <c r="AA119">
        <f>INDEX('Availability Model'!$C$32:$T$36, MATCH($K$118,'Availability Model'!$B$32:$B$36, 0), MATCH($K$10, 'Availability Model'!$C$1:$T$1, 0))</f>
        <v>2</v>
      </c>
      <c r="AB119">
        <f>INDEX('Availability Model'!$C$32:$T$36, MATCH($K$118,'Availability Model'!$B$32:$B$36, 0), MATCH($K$10, 'Availability Model'!$C$1:$T$1, 0))</f>
        <v>2</v>
      </c>
      <c r="AC119">
        <f>INDEX('Availability Model'!$C$32:$T$36, MATCH($K$118,'Availability Model'!$B$32:$B$36, 0), MATCH($K$10, 'Availability Model'!$C$1:$T$1, 0))</f>
        <v>2</v>
      </c>
      <c r="AD119">
        <f>INDEX('Availability Model'!$C$32:$T$36, MATCH($K$118,'Availability Model'!$B$32:$B$36, 0), MATCH($K$10, 'Availability Model'!$C$1:$T$1, 0))</f>
        <v>2</v>
      </c>
      <c r="AE119">
        <f>INDEX('Availability Model'!$C$32:$T$36, MATCH($K$118,'Availability Model'!$B$32:$B$36, 0), MATCH($K$10, 'Availability Model'!$C$1:$T$1, 0))</f>
        <v>2</v>
      </c>
      <c r="AF119">
        <f>INDEX('Availability Model'!$C$32:$T$36, MATCH($K$118,'Availability Model'!$B$32:$B$36, 0), MATCH($K$10, 'Availability Model'!$C$1:$T$1, 0))</f>
        <v>2</v>
      </c>
      <c r="AG119">
        <f>INDEX('Availability Model'!$C$32:$T$36, MATCH($K$118,'Availability Model'!$B$32:$B$36, 0), MATCH($K$10, 'Availability Model'!$C$1:$T$1, 0))</f>
        <v>2</v>
      </c>
      <c r="AH119">
        <f>INDEX('Availability Model'!$C$32:$T$36, MATCH($K$118,'Availability Model'!$B$32:$B$36, 0), MATCH($K$10, 'Availability Model'!$C$1:$T$1, 0))</f>
        <v>2</v>
      </c>
      <c r="AI119">
        <f>INDEX('Availability Model'!$C$32:$T$36, MATCH($K$118,'Availability Model'!$B$32:$B$36, 0), MATCH($K$10, 'Availability Model'!$C$1:$T$1, 0))</f>
        <v>2</v>
      </c>
      <c r="AJ119">
        <f>INDEX('Availability Model'!$C$32:$T$36, MATCH($K$118,'Availability Model'!$B$32:$B$36, 0), MATCH($K$10, 'Availability Model'!$C$1:$T$1, 0))</f>
        <v>2</v>
      </c>
      <c r="AK119">
        <f>INDEX('Availability Model'!$C$32:$T$36, MATCH($K$118,'Availability Model'!$B$32:$B$36, 0), MATCH($K$10, 'Availability Model'!$C$1:$T$1, 0))</f>
        <v>2</v>
      </c>
      <c r="AL119">
        <f>INDEX('Availability Model'!$C$32:$T$36, MATCH($K$118,'Availability Model'!$B$32:$B$36, 0), MATCH($K$10, 'Availability Model'!$C$1:$T$1, 0))</f>
        <v>2</v>
      </c>
    </row>
    <row r="120" spans="4:38">
      <c r="D120" s="7" t="s">
        <v>301</v>
      </c>
      <c r="E120" s="16" t="s">
        <v>106</v>
      </c>
      <c r="K120">
        <f>K119*INDEX('Availability Model'!$C$39:$T$43, MATCH($K$118,'Availability Model'!$B$39:$B$43, 0), MATCH($K$10, 'Availability Model'!$C$1:$T$1, 0))</f>
        <v>6</v>
      </c>
      <c r="L120">
        <f>L119*INDEX('Availability Model'!$C$39:$T$43, MATCH($K$118,'Availability Model'!$B$39:$B$43, 0), MATCH($K$10, 'Availability Model'!$C$1:$T$1, 0))</f>
        <v>6</v>
      </c>
      <c r="M120">
        <f>M119*INDEX('Availability Model'!$C$39:$T$43, MATCH($K$118,'Availability Model'!$B$39:$B$43, 0), MATCH($K$10, 'Availability Model'!$C$1:$T$1, 0))</f>
        <v>6</v>
      </c>
      <c r="N120">
        <f>N119*INDEX('Availability Model'!$C$39:$T$43, MATCH($K$118,'Availability Model'!$B$39:$B$43, 0), MATCH($K$10, 'Availability Model'!$C$1:$T$1, 0))</f>
        <v>6</v>
      </c>
      <c r="O120">
        <f>O119*INDEX('Availability Model'!$C$39:$T$43, MATCH($K$118,'Availability Model'!$B$39:$B$43, 0), MATCH($K$10, 'Availability Model'!$C$1:$T$1, 0))</f>
        <v>6</v>
      </c>
      <c r="P120">
        <f>P119*INDEX('Availability Model'!$C$39:$T$43, MATCH($K$118,'Availability Model'!$B$39:$B$43, 0), MATCH($K$10, 'Availability Model'!$C$1:$T$1, 0))</f>
        <v>6</v>
      </c>
      <c r="Q120">
        <f>Q119*INDEX('Availability Model'!$C$39:$T$43, MATCH($K$118,'Availability Model'!$B$39:$B$43, 0), MATCH($K$10, 'Availability Model'!$C$1:$T$1, 0))</f>
        <v>6</v>
      </c>
      <c r="R120">
        <f>R119*INDEX('Availability Model'!$C$39:$T$43, MATCH($K$118,'Availability Model'!$B$39:$B$43, 0), MATCH($K$10, 'Availability Model'!$C$1:$T$1, 0))</f>
        <v>6</v>
      </c>
      <c r="S120">
        <f>S119*INDEX('Availability Model'!$C$39:$T$43, MATCH($K$118,'Availability Model'!$B$39:$B$43, 0), MATCH($K$10, 'Availability Model'!$C$1:$T$1, 0))</f>
        <v>6</v>
      </c>
      <c r="T120">
        <f>T119*INDEX('Availability Model'!$C$39:$T$43, MATCH($K$118,'Availability Model'!$B$39:$B$43, 0), MATCH($K$10, 'Availability Model'!$C$1:$T$1, 0))</f>
        <v>6</v>
      </c>
      <c r="U120">
        <f>U119*INDEX('Availability Model'!$C$39:$T$43, MATCH($K$118,'Availability Model'!$B$39:$B$43, 0), MATCH($K$10, 'Availability Model'!$C$1:$T$1, 0))</f>
        <v>6</v>
      </c>
      <c r="V120">
        <f>V119*INDEX('Availability Model'!$C$39:$T$43, MATCH($K$118,'Availability Model'!$B$39:$B$43, 0), MATCH($K$10, 'Availability Model'!$C$1:$T$1, 0))</f>
        <v>6</v>
      </c>
      <c r="W120">
        <f>W119*INDEX('Availability Model'!$C$39:$T$43, MATCH($K$118,'Availability Model'!$B$39:$B$43, 0), MATCH($K$10, 'Availability Model'!$C$1:$T$1, 0))</f>
        <v>6</v>
      </c>
      <c r="X120">
        <f>X119*INDEX('Availability Model'!$C$39:$T$43, MATCH($K$118,'Availability Model'!$B$39:$B$43, 0), MATCH($K$10, 'Availability Model'!$C$1:$T$1, 0))</f>
        <v>6</v>
      </c>
      <c r="Y120">
        <f>Y119*INDEX('Availability Model'!$C$39:$T$43, MATCH($K$118,'Availability Model'!$B$39:$B$43, 0), MATCH($K$10, 'Availability Model'!$C$1:$T$1, 0))</f>
        <v>6</v>
      </c>
      <c r="Z120">
        <f>Z119*INDEX('Availability Model'!$C$39:$T$43, MATCH($K$118,'Availability Model'!$B$39:$B$43, 0), MATCH($K$10, 'Availability Model'!$C$1:$T$1, 0))</f>
        <v>6</v>
      </c>
      <c r="AA120">
        <f>AA119*INDEX('Availability Model'!$C$39:$T$43, MATCH($K$118,'Availability Model'!$B$39:$B$43, 0), MATCH($K$10, 'Availability Model'!$C$1:$T$1, 0))</f>
        <v>6</v>
      </c>
      <c r="AB120">
        <f>AB119*INDEX('Availability Model'!$C$39:$T$43, MATCH($K$118,'Availability Model'!$B$39:$B$43, 0), MATCH($K$10, 'Availability Model'!$C$1:$T$1, 0))</f>
        <v>6</v>
      </c>
      <c r="AC120">
        <f>AC119*INDEX('Availability Model'!$C$39:$T$43, MATCH($K$118,'Availability Model'!$B$39:$B$43, 0), MATCH($K$10, 'Availability Model'!$C$1:$T$1, 0))</f>
        <v>6</v>
      </c>
      <c r="AD120">
        <f>AD119*INDEX('Availability Model'!$C$39:$T$43, MATCH($K$118,'Availability Model'!$B$39:$B$43, 0), MATCH($K$10, 'Availability Model'!$C$1:$T$1, 0))</f>
        <v>6</v>
      </c>
      <c r="AE120">
        <f>AE119*INDEX('Availability Model'!$C$39:$T$43, MATCH($K$118,'Availability Model'!$B$39:$B$43, 0), MATCH($K$10, 'Availability Model'!$C$1:$T$1, 0))</f>
        <v>6</v>
      </c>
      <c r="AF120">
        <f>AF119*INDEX('Availability Model'!$C$39:$T$43, MATCH($K$118,'Availability Model'!$B$39:$B$43, 0), MATCH($K$10, 'Availability Model'!$C$1:$T$1, 0))</f>
        <v>6</v>
      </c>
      <c r="AG120">
        <f>AG119*INDEX('Availability Model'!$C$39:$T$43, MATCH($K$118,'Availability Model'!$B$39:$B$43, 0), MATCH($K$10, 'Availability Model'!$C$1:$T$1, 0))</f>
        <v>6</v>
      </c>
      <c r="AH120">
        <f>AH119*INDEX('Availability Model'!$C$39:$T$43, MATCH($K$118,'Availability Model'!$B$39:$B$43, 0), MATCH($K$10, 'Availability Model'!$C$1:$T$1, 0))</f>
        <v>6</v>
      </c>
      <c r="AI120">
        <f>AI119*INDEX('Availability Model'!$C$39:$T$43, MATCH($K$118,'Availability Model'!$B$39:$B$43, 0), MATCH($K$10, 'Availability Model'!$C$1:$T$1, 0))</f>
        <v>6</v>
      </c>
      <c r="AJ120">
        <f>AJ119*INDEX('Availability Model'!$C$39:$T$43, MATCH($K$118,'Availability Model'!$B$39:$B$43, 0), MATCH($K$10, 'Availability Model'!$C$1:$T$1, 0))</f>
        <v>6</v>
      </c>
      <c r="AK120">
        <f>AK119*INDEX('Availability Model'!$C$39:$T$43, MATCH($K$118,'Availability Model'!$B$39:$B$43, 0), MATCH($K$10, 'Availability Model'!$C$1:$T$1, 0))</f>
        <v>6</v>
      </c>
      <c r="AL120">
        <f>AL119*INDEX('Availability Model'!$C$39:$T$43, MATCH($K$118,'Availability Model'!$B$39:$B$43, 0), MATCH($K$10, 'Availability Model'!$C$1:$T$1, 0))</f>
        <v>6</v>
      </c>
    </row>
    <row r="121" spans="4:38">
      <c r="D121" s="7" t="s">
        <v>302</v>
      </c>
      <c r="E121" s="16" t="s">
        <v>106</v>
      </c>
      <c r="K121" s="65">
        <f>K114</f>
        <v>1.8129533678756478</v>
      </c>
      <c r="L121" s="65">
        <f t="shared" ref="L121:AL121" si="115">L114</f>
        <v>1.9014456764652192</v>
      </c>
      <c r="M121" s="65">
        <f t="shared" si="115"/>
        <v>1.8367738032705883</v>
      </c>
      <c r="N121" s="65">
        <f t="shared" si="115"/>
        <v>1.8815339776532183</v>
      </c>
      <c r="O121" s="65">
        <f t="shared" si="115"/>
        <v>2.274116334125547</v>
      </c>
      <c r="P121" s="65">
        <f t="shared" si="115"/>
        <v>2.2713840936883885</v>
      </c>
      <c r="Q121" s="65">
        <f t="shared" si="115"/>
        <v>2.0845047041176494</v>
      </c>
      <c r="R121" s="65">
        <f t="shared" si="115"/>
        <v>2.0845047041176494</v>
      </c>
      <c r="S121" s="65">
        <f t="shared" si="115"/>
        <v>1.8015541388963427</v>
      </c>
      <c r="T121" s="65">
        <f t="shared" si="115"/>
        <v>1.7991245737385273</v>
      </c>
      <c r="U121" s="65">
        <f t="shared" si="115"/>
        <v>1.8015541388963427</v>
      </c>
      <c r="V121" s="65">
        <f t="shared" si="115"/>
        <v>1.8015541388963427</v>
      </c>
      <c r="W121" s="65">
        <f t="shared" si="115"/>
        <v>1.8015541388963427</v>
      </c>
      <c r="X121" s="65">
        <f t="shared" si="115"/>
        <v>1.7991245737385273</v>
      </c>
      <c r="Y121" s="65">
        <f t="shared" si="115"/>
        <v>1.8015541388963427</v>
      </c>
      <c r="Z121" s="65">
        <f t="shared" si="115"/>
        <v>1.8015541388963427</v>
      </c>
      <c r="AA121" s="65">
        <f t="shared" si="115"/>
        <v>1.8015541388963427</v>
      </c>
      <c r="AB121" s="65">
        <f t="shared" si="115"/>
        <v>1.7991245737385273</v>
      </c>
      <c r="AC121" s="65">
        <f t="shared" si="115"/>
        <v>1.8015541388963427</v>
      </c>
      <c r="AD121" s="65">
        <f t="shared" si="115"/>
        <v>1.8015541388963427</v>
      </c>
      <c r="AE121" s="65">
        <f t="shared" si="115"/>
        <v>1.8015541388963427</v>
      </c>
      <c r="AF121" s="65">
        <f t="shared" si="115"/>
        <v>1.7991245737385273</v>
      </c>
      <c r="AG121" s="65">
        <f t="shared" si="115"/>
        <v>1.8015541388963427</v>
      </c>
      <c r="AH121" s="65">
        <f t="shared" si="115"/>
        <v>1.8015541388963427</v>
      </c>
      <c r="AI121" s="65">
        <f t="shared" si="115"/>
        <v>1.8015541388963427</v>
      </c>
      <c r="AJ121" s="65">
        <f t="shared" si="115"/>
        <v>1.7991245737385273</v>
      </c>
      <c r="AK121" s="65">
        <f t="shared" si="115"/>
        <v>1.8015541388963427</v>
      </c>
      <c r="AL121" s="65">
        <f t="shared" si="115"/>
        <v>1.8015541388963427</v>
      </c>
    </row>
    <row r="122" spans="4:38">
      <c r="D122" s="7" t="s">
        <v>304</v>
      </c>
      <c r="E122" s="16" t="s">
        <v>106</v>
      </c>
      <c r="K122" s="116">
        <f>ROUND(K120-K121,0)</f>
        <v>4</v>
      </c>
      <c r="L122" s="116">
        <f t="shared" ref="L122:AL122" si="116">ROUND(L120-L121,0)</f>
        <v>4</v>
      </c>
      <c r="M122" s="116">
        <f t="shared" si="116"/>
        <v>4</v>
      </c>
      <c r="N122" s="116">
        <f t="shared" si="116"/>
        <v>4</v>
      </c>
      <c r="O122" s="116">
        <f t="shared" si="116"/>
        <v>4</v>
      </c>
      <c r="P122" s="116">
        <f t="shared" si="116"/>
        <v>4</v>
      </c>
      <c r="Q122" s="116">
        <f t="shared" si="116"/>
        <v>4</v>
      </c>
      <c r="R122" s="116">
        <f t="shared" si="116"/>
        <v>4</v>
      </c>
      <c r="S122" s="116">
        <f t="shared" si="116"/>
        <v>4</v>
      </c>
      <c r="T122" s="116">
        <f t="shared" si="116"/>
        <v>4</v>
      </c>
      <c r="U122" s="116">
        <f t="shared" si="116"/>
        <v>4</v>
      </c>
      <c r="V122" s="116">
        <f t="shared" si="116"/>
        <v>4</v>
      </c>
      <c r="W122" s="116">
        <f t="shared" si="116"/>
        <v>4</v>
      </c>
      <c r="X122" s="116">
        <f t="shared" si="116"/>
        <v>4</v>
      </c>
      <c r="Y122" s="116">
        <f t="shared" si="116"/>
        <v>4</v>
      </c>
      <c r="Z122" s="116">
        <f t="shared" si="116"/>
        <v>4</v>
      </c>
      <c r="AA122" s="116">
        <f t="shared" si="116"/>
        <v>4</v>
      </c>
      <c r="AB122" s="116">
        <f t="shared" si="116"/>
        <v>4</v>
      </c>
      <c r="AC122" s="116">
        <f t="shared" si="116"/>
        <v>4</v>
      </c>
      <c r="AD122" s="116">
        <f t="shared" si="116"/>
        <v>4</v>
      </c>
      <c r="AE122" s="116">
        <f t="shared" si="116"/>
        <v>4</v>
      </c>
      <c r="AF122" s="116">
        <f t="shared" si="116"/>
        <v>4</v>
      </c>
      <c r="AG122" s="116">
        <f t="shared" si="116"/>
        <v>4</v>
      </c>
      <c r="AH122" s="116">
        <f t="shared" si="116"/>
        <v>4</v>
      </c>
      <c r="AI122" s="116">
        <f t="shared" si="116"/>
        <v>4</v>
      </c>
      <c r="AJ122" s="116">
        <f t="shared" si="116"/>
        <v>4</v>
      </c>
      <c r="AK122" s="116">
        <f t="shared" si="116"/>
        <v>4</v>
      </c>
      <c r="AL122" s="116">
        <f t="shared" si="116"/>
        <v>4</v>
      </c>
    </row>
    <row r="123" spans="4:38">
      <c r="D123" s="7"/>
      <c r="W123"/>
      <c r="AB123"/>
    </row>
    <row r="124" spans="4:38">
      <c r="D124" s="3" t="s">
        <v>309</v>
      </c>
      <c r="E124" s="16" t="s">
        <v>106</v>
      </c>
      <c r="K124">
        <f>K108+K115+K122</f>
        <v>11</v>
      </c>
      <c r="L124">
        <f t="shared" ref="L124:P124" si="117">L108+L115+L122</f>
        <v>11</v>
      </c>
      <c r="M124">
        <f t="shared" si="117"/>
        <v>11</v>
      </c>
      <c r="N124">
        <f t="shared" si="117"/>
        <v>11</v>
      </c>
      <c r="O124">
        <f t="shared" si="117"/>
        <v>11</v>
      </c>
      <c r="P124">
        <f t="shared" si="117"/>
        <v>11</v>
      </c>
      <c r="Q124">
        <f t="shared" ref="Q124:AL124" si="118">Q108+Q115+Q122</f>
        <v>11</v>
      </c>
      <c r="R124">
        <f t="shared" si="118"/>
        <v>11</v>
      </c>
      <c r="S124">
        <f t="shared" si="118"/>
        <v>11</v>
      </c>
      <c r="T124">
        <f t="shared" si="118"/>
        <v>11</v>
      </c>
      <c r="U124">
        <f t="shared" si="118"/>
        <v>11</v>
      </c>
      <c r="V124">
        <f t="shared" si="118"/>
        <v>11</v>
      </c>
      <c r="W124">
        <f t="shared" si="118"/>
        <v>11</v>
      </c>
      <c r="X124">
        <f t="shared" si="118"/>
        <v>11</v>
      </c>
      <c r="Y124">
        <f t="shared" si="118"/>
        <v>11</v>
      </c>
      <c r="Z124">
        <f t="shared" si="118"/>
        <v>11</v>
      </c>
      <c r="AA124">
        <f t="shared" si="118"/>
        <v>11</v>
      </c>
      <c r="AB124">
        <f t="shared" si="118"/>
        <v>11</v>
      </c>
      <c r="AC124">
        <f t="shared" si="118"/>
        <v>11</v>
      </c>
      <c r="AD124">
        <f t="shared" si="118"/>
        <v>11</v>
      </c>
      <c r="AE124">
        <f t="shared" si="118"/>
        <v>11</v>
      </c>
      <c r="AF124">
        <f t="shared" si="118"/>
        <v>11</v>
      </c>
      <c r="AG124">
        <f t="shared" si="118"/>
        <v>11</v>
      </c>
      <c r="AH124">
        <f t="shared" si="118"/>
        <v>11</v>
      </c>
      <c r="AI124">
        <f t="shared" si="118"/>
        <v>11</v>
      </c>
      <c r="AJ124">
        <f t="shared" si="118"/>
        <v>11</v>
      </c>
      <c r="AK124">
        <f t="shared" si="118"/>
        <v>11</v>
      </c>
      <c r="AL124">
        <f t="shared" si="118"/>
        <v>11</v>
      </c>
    </row>
    <row r="125" spans="4:38" ht="15">
      <c r="D125" s="4"/>
    </row>
    <row r="126" spans="4:38" ht="15">
      <c r="D126" s="4" t="s">
        <v>137</v>
      </c>
    </row>
    <row r="127" spans="4:38">
      <c r="D127" s="7" t="s">
        <v>299</v>
      </c>
      <c r="E127" s="16" t="s">
        <v>169</v>
      </c>
      <c r="K127" t="str">
        <f>Inputs!E76</f>
        <v>Average</v>
      </c>
      <c r="L127" t="str">
        <f>Inputs!F76</f>
        <v>Average</v>
      </c>
      <c r="M127" t="str">
        <f>Inputs!G76</f>
        <v>Average</v>
      </c>
      <c r="N127" t="str">
        <f>Inputs!H76</f>
        <v>Average</v>
      </c>
      <c r="O127" t="str">
        <f>Inputs!I76</f>
        <v>Average</v>
      </c>
      <c r="P127" t="str">
        <f>Inputs!J76</f>
        <v>Average</v>
      </c>
      <c r="Q127" t="str">
        <f>P127</f>
        <v>Average</v>
      </c>
      <c r="R127" t="str">
        <f t="shared" ref="R127:AL127" si="119">Q127</f>
        <v>Average</v>
      </c>
      <c r="S127" t="str">
        <f t="shared" si="119"/>
        <v>Average</v>
      </c>
      <c r="T127" t="str">
        <f t="shared" si="119"/>
        <v>Average</v>
      </c>
      <c r="U127" t="str">
        <f t="shared" si="119"/>
        <v>Average</v>
      </c>
      <c r="V127" t="str">
        <f t="shared" si="119"/>
        <v>Average</v>
      </c>
      <c r="W127" t="str">
        <f t="shared" si="119"/>
        <v>Average</v>
      </c>
      <c r="X127" t="str">
        <f t="shared" si="119"/>
        <v>Average</v>
      </c>
      <c r="Y127" t="str">
        <f t="shared" si="119"/>
        <v>Average</v>
      </c>
      <c r="Z127" t="str">
        <f t="shared" si="119"/>
        <v>Average</v>
      </c>
      <c r="AA127" t="str">
        <f t="shared" si="119"/>
        <v>Average</v>
      </c>
      <c r="AB127" t="str">
        <f t="shared" si="119"/>
        <v>Average</v>
      </c>
      <c r="AC127" t="str">
        <f t="shared" si="119"/>
        <v>Average</v>
      </c>
      <c r="AD127" t="str">
        <f t="shared" si="119"/>
        <v>Average</v>
      </c>
      <c r="AE127" t="str">
        <f t="shared" si="119"/>
        <v>Average</v>
      </c>
      <c r="AF127" t="str">
        <f t="shared" si="119"/>
        <v>Average</v>
      </c>
      <c r="AG127" t="str">
        <f t="shared" si="119"/>
        <v>Average</v>
      </c>
      <c r="AH127" t="str">
        <f t="shared" si="119"/>
        <v>Average</v>
      </c>
      <c r="AI127" t="str">
        <f t="shared" si="119"/>
        <v>Average</v>
      </c>
      <c r="AJ127" t="str">
        <f t="shared" si="119"/>
        <v>Average</v>
      </c>
      <c r="AK127" t="str">
        <f t="shared" si="119"/>
        <v>Average</v>
      </c>
      <c r="AL127" t="str">
        <f t="shared" si="119"/>
        <v>Average</v>
      </c>
    </row>
    <row r="128" spans="4:38">
      <c r="D128" s="7" t="s">
        <v>300</v>
      </c>
      <c r="E128" s="16" t="s">
        <v>303</v>
      </c>
      <c r="K128">
        <f>INDEX('Availability Model'!$C$46:$T$50, MATCH($K$127,'Availability Model'!$B$46:$B$50, 0), MATCH($K$10, 'Availability Model'!$C$1:$T$1, 0))</f>
        <v>2</v>
      </c>
      <c r="L128">
        <f>INDEX('Availability Model'!$C$46:$T$50, MATCH($K$127,'Availability Model'!$B$46:$B$50, 0), MATCH($K$10, 'Availability Model'!$C$1:$T$1, 0))</f>
        <v>2</v>
      </c>
      <c r="M128">
        <f>INDEX('Availability Model'!$C$46:$T$50, MATCH($K$127,'Availability Model'!$B$46:$B$50, 0), MATCH($K$10, 'Availability Model'!$C$1:$T$1, 0))</f>
        <v>2</v>
      </c>
      <c r="N128">
        <f>INDEX('Availability Model'!$C$46:$T$50, MATCH($K$127,'Availability Model'!$B$46:$B$50, 0), MATCH($K$10, 'Availability Model'!$C$1:$T$1, 0))</f>
        <v>2</v>
      </c>
      <c r="O128">
        <f>INDEX('Availability Model'!$C$46:$T$50, MATCH($K$127,'Availability Model'!$B$46:$B$50, 0), MATCH($K$10, 'Availability Model'!$C$1:$T$1, 0))</f>
        <v>2</v>
      </c>
      <c r="P128">
        <f>INDEX('Availability Model'!$C$46:$T$50, MATCH($K$127,'Availability Model'!$B$46:$B$50, 0), MATCH($K$10, 'Availability Model'!$C$1:$T$1, 0))</f>
        <v>2</v>
      </c>
      <c r="Q128">
        <f>INDEX('Availability Model'!$C$46:$T$50, MATCH($K$127,'Availability Model'!$B$46:$B$50, 0), MATCH($K$10, 'Availability Model'!$C$1:$T$1, 0))</f>
        <v>2</v>
      </c>
      <c r="R128">
        <f>INDEX('Availability Model'!$C$46:$T$50, MATCH($K$127,'Availability Model'!$B$46:$B$50, 0), MATCH($K$10, 'Availability Model'!$C$1:$T$1, 0))</f>
        <v>2</v>
      </c>
      <c r="S128">
        <f>INDEX('Availability Model'!$C$46:$T$50, MATCH($K$127,'Availability Model'!$B$46:$B$50, 0), MATCH($K$10, 'Availability Model'!$C$1:$T$1, 0))</f>
        <v>2</v>
      </c>
      <c r="T128">
        <f>INDEX('Availability Model'!$C$46:$T$50, MATCH($K$127,'Availability Model'!$B$46:$B$50, 0), MATCH($K$10, 'Availability Model'!$C$1:$T$1, 0))</f>
        <v>2</v>
      </c>
      <c r="U128">
        <f>INDEX('Availability Model'!$C$46:$T$50, MATCH($K$127,'Availability Model'!$B$46:$B$50, 0), MATCH($K$10, 'Availability Model'!$C$1:$T$1, 0))</f>
        <v>2</v>
      </c>
      <c r="V128">
        <f>INDEX('Availability Model'!$C$46:$T$50, MATCH($K$127,'Availability Model'!$B$46:$B$50, 0), MATCH($K$10, 'Availability Model'!$C$1:$T$1, 0))</f>
        <v>2</v>
      </c>
      <c r="W128">
        <f>INDEX('Availability Model'!$C$46:$T$50, MATCH($K$127,'Availability Model'!$B$46:$B$50, 0), MATCH($K$10, 'Availability Model'!$C$1:$T$1, 0))</f>
        <v>2</v>
      </c>
      <c r="X128">
        <f>INDEX('Availability Model'!$C$46:$T$50, MATCH($K$127,'Availability Model'!$B$46:$B$50, 0), MATCH($K$10, 'Availability Model'!$C$1:$T$1, 0))</f>
        <v>2</v>
      </c>
      <c r="Y128">
        <f>INDEX('Availability Model'!$C$46:$T$50, MATCH($K$127,'Availability Model'!$B$46:$B$50, 0), MATCH($K$10, 'Availability Model'!$C$1:$T$1, 0))</f>
        <v>2</v>
      </c>
      <c r="Z128">
        <f>INDEX('Availability Model'!$C$46:$T$50, MATCH($K$127,'Availability Model'!$B$46:$B$50, 0), MATCH($K$10, 'Availability Model'!$C$1:$T$1, 0))</f>
        <v>2</v>
      </c>
      <c r="AA128">
        <f>INDEX('Availability Model'!$C$46:$T$50, MATCH($K$127,'Availability Model'!$B$46:$B$50, 0), MATCH($K$10, 'Availability Model'!$C$1:$T$1, 0))</f>
        <v>2</v>
      </c>
      <c r="AB128">
        <f>INDEX('Availability Model'!$C$46:$T$50, MATCH($K$127,'Availability Model'!$B$46:$B$50, 0), MATCH($K$10, 'Availability Model'!$C$1:$T$1, 0))</f>
        <v>2</v>
      </c>
      <c r="AC128">
        <f>INDEX('Availability Model'!$C$46:$T$50, MATCH($K$127,'Availability Model'!$B$46:$B$50, 0), MATCH($K$10, 'Availability Model'!$C$1:$T$1, 0))</f>
        <v>2</v>
      </c>
      <c r="AD128">
        <f>INDEX('Availability Model'!$C$46:$T$50, MATCH($K$127,'Availability Model'!$B$46:$B$50, 0), MATCH($K$10, 'Availability Model'!$C$1:$T$1, 0))</f>
        <v>2</v>
      </c>
      <c r="AE128">
        <f>INDEX('Availability Model'!$C$46:$T$50, MATCH($K$127,'Availability Model'!$B$46:$B$50, 0), MATCH($K$10, 'Availability Model'!$C$1:$T$1, 0))</f>
        <v>2</v>
      </c>
      <c r="AF128">
        <f>INDEX('Availability Model'!$C$46:$T$50, MATCH($K$127,'Availability Model'!$B$46:$B$50, 0), MATCH($K$10, 'Availability Model'!$C$1:$T$1, 0))</f>
        <v>2</v>
      </c>
      <c r="AG128">
        <f>INDEX('Availability Model'!$C$46:$T$50, MATCH($K$127,'Availability Model'!$B$46:$B$50, 0), MATCH($K$10, 'Availability Model'!$C$1:$T$1, 0))</f>
        <v>2</v>
      </c>
      <c r="AH128">
        <f>INDEX('Availability Model'!$C$46:$T$50, MATCH($K$127,'Availability Model'!$B$46:$B$50, 0), MATCH($K$10, 'Availability Model'!$C$1:$T$1, 0))</f>
        <v>2</v>
      </c>
      <c r="AI128">
        <f>INDEX('Availability Model'!$C$46:$T$50, MATCH($K$127,'Availability Model'!$B$46:$B$50, 0), MATCH($K$10, 'Availability Model'!$C$1:$T$1, 0))</f>
        <v>2</v>
      </c>
      <c r="AJ128">
        <f>INDEX('Availability Model'!$C$46:$T$50, MATCH($K$127,'Availability Model'!$B$46:$B$50, 0), MATCH($K$10, 'Availability Model'!$C$1:$T$1, 0))</f>
        <v>2</v>
      </c>
      <c r="AK128">
        <f>INDEX('Availability Model'!$C$46:$T$50, MATCH($K$127,'Availability Model'!$B$46:$B$50, 0), MATCH($K$10, 'Availability Model'!$C$1:$T$1, 0))</f>
        <v>2</v>
      </c>
      <c r="AL128">
        <f>INDEX('Availability Model'!$C$46:$T$50, MATCH($K$127,'Availability Model'!$B$46:$B$50, 0), MATCH($K$10, 'Availability Model'!$C$1:$T$1, 0))</f>
        <v>2</v>
      </c>
    </row>
    <row r="129" spans="4:38">
      <c r="D129" s="7" t="s">
        <v>312</v>
      </c>
      <c r="E129" s="16" t="s">
        <v>106</v>
      </c>
      <c r="K129">
        <f>K128*INDEX('Availability Model'!$C$53:$T$57, MATCH($K$127,'Availability Model'!$B$53:$B$57, 0), MATCH($K$10, 'Availability Model'!$C$1:$T$1, 0))</f>
        <v>4</v>
      </c>
      <c r="L129">
        <f>L128*INDEX('Availability Model'!$C$53:$T$57, MATCH($K$127,'Availability Model'!$B$53:$B$57, 0), MATCH($K$10, 'Availability Model'!$C$1:$T$1, 0))</f>
        <v>4</v>
      </c>
      <c r="M129">
        <f>M128*INDEX('Availability Model'!$C$53:$T$57, MATCH($K$127,'Availability Model'!$B$53:$B$57, 0), MATCH($K$10, 'Availability Model'!$C$1:$T$1, 0))</f>
        <v>4</v>
      </c>
      <c r="N129">
        <f>N128*INDEX('Availability Model'!$C$53:$T$57, MATCH($K$127,'Availability Model'!$B$53:$B$57, 0), MATCH($K$10, 'Availability Model'!$C$1:$T$1, 0))</f>
        <v>4</v>
      </c>
      <c r="O129">
        <f>O128*INDEX('Availability Model'!$C$53:$T$57, MATCH($K$127,'Availability Model'!$B$53:$B$57, 0), MATCH($K$10, 'Availability Model'!$C$1:$T$1, 0))</f>
        <v>4</v>
      </c>
      <c r="P129">
        <f>P128*INDEX('Availability Model'!$C$53:$T$57, MATCH($K$127,'Availability Model'!$B$53:$B$57, 0), MATCH($K$10, 'Availability Model'!$C$1:$T$1, 0))</f>
        <v>4</v>
      </c>
      <c r="Q129">
        <f>Q128*INDEX('Availability Model'!$C$53:$T$57, MATCH($K$127,'Availability Model'!$B$53:$B$57, 0), MATCH($K$10, 'Availability Model'!$C$1:$T$1, 0))</f>
        <v>4</v>
      </c>
      <c r="R129">
        <f>R128*INDEX('Availability Model'!$C$53:$T$57, MATCH($K$127,'Availability Model'!$B$53:$B$57, 0), MATCH($K$10, 'Availability Model'!$C$1:$T$1, 0))</f>
        <v>4</v>
      </c>
      <c r="S129">
        <f>S128*INDEX('Availability Model'!$C$53:$T$57, MATCH($K$127,'Availability Model'!$B$53:$B$57, 0), MATCH($K$10, 'Availability Model'!$C$1:$T$1, 0))</f>
        <v>4</v>
      </c>
      <c r="T129">
        <f>T128*INDEX('Availability Model'!$C$53:$T$57, MATCH($K$127,'Availability Model'!$B$53:$B$57, 0), MATCH($K$10, 'Availability Model'!$C$1:$T$1, 0))</f>
        <v>4</v>
      </c>
      <c r="U129">
        <f>U128*INDEX('Availability Model'!$C$53:$T$57, MATCH($K$127,'Availability Model'!$B$53:$B$57, 0), MATCH($K$10, 'Availability Model'!$C$1:$T$1, 0))</f>
        <v>4</v>
      </c>
      <c r="V129">
        <f>V128*INDEX('Availability Model'!$C$53:$T$57, MATCH($K$127,'Availability Model'!$B$53:$B$57, 0), MATCH($K$10, 'Availability Model'!$C$1:$T$1, 0))</f>
        <v>4</v>
      </c>
      <c r="W129">
        <f>W128*INDEX('Availability Model'!$C$53:$T$57, MATCH($K$127,'Availability Model'!$B$53:$B$57, 0), MATCH($K$10, 'Availability Model'!$C$1:$T$1, 0))</f>
        <v>4</v>
      </c>
      <c r="X129">
        <f>X128*INDEX('Availability Model'!$C$53:$T$57, MATCH($K$127,'Availability Model'!$B$53:$B$57, 0), MATCH($K$10, 'Availability Model'!$C$1:$T$1, 0))</f>
        <v>4</v>
      </c>
      <c r="Y129">
        <f>Y128*INDEX('Availability Model'!$C$53:$T$57, MATCH($K$127,'Availability Model'!$B$53:$B$57, 0), MATCH($K$10, 'Availability Model'!$C$1:$T$1, 0))</f>
        <v>4</v>
      </c>
      <c r="Z129">
        <f>Z128*INDEX('Availability Model'!$C$53:$T$57, MATCH($K$127,'Availability Model'!$B$53:$B$57, 0), MATCH($K$10, 'Availability Model'!$C$1:$T$1, 0))</f>
        <v>4</v>
      </c>
      <c r="AA129">
        <f>AA128*INDEX('Availability Model'!$C$53:$T$57, MATCH($K$127,'Availability Model'!$B$53:$B$57, 0), MATCH($K$10, 'Availability Model'!$C$1:$T$1, 0))</f>
        <v>4</v>
      </c>
      <c r="AB129">
        <f>AB128*INDEX('Availability Model'!$C$53:$T$57, MATCH($K$127,'Availability Model'!$B$53:$B$57, 0), MATCH($K$10, 'Availability Model'!$C$1:$T$1, 0))</f>
        <v>4</v>
      </c>
      <c r="AC129">
        <f>AC128*INDEX('Availability Model'!$C$53:$T$57, MATCH($K$127,'Availability Model'!$B$53:$B$57, 0), MATCH($K$10, 'Availability Model'!$C$1:$T$1, 0))</f>
        <v>4</v>
      </c>
      <c r="AD129">
        <f>AD128*INDEX('Availability Model'!$C$53:$T$57, MATCH($K$127,'Availability Model'!$B$53:$B$57, 0), MATCH($K$10, 'Availability Model'!$C$1:$T$1, 0))</f>
        <v>4</v>
      </c>
      <c r="AE129">
        <f>AE128*INDEX('Availability Model'!$C$53:$T$57, MATCH($K$127,'Availability Model'!$B$53:$B$57, 0), MATCH($K$10, 'Availability Model'!$C$1:$T$1, 0))</f>
        <v>4</v>
      </c>
      <c r="AF129">
        <f>AF128*INDEX('Availability Model'!$C$53:$T$57, MATCH($K$127,'Availability Model'!$B$53:$B$57, 0), MATCH($K$10, 'Availability Model'!$C$1:$T$1, 0))</f>
        <v>4</v>
      </c>
      <c r="AG129">
        <f>AG128*INDEX('Availability Model'!$C$53:$T$57, MATCH($K$127,'Availability Model'!$B$53:$B$57, 0), MATCH($K$10, 'Availability Model'!$C$1:$T$1, 0))</f>
        <v>4</v>
      </c>
      <c r="AH129">
        <f>AH128*INDEX('Availability Model'!$C$53:$T$57, MATCH($K$127,'Availability Model'!$B$53:$B$57, 0), MATCH($K$10, 'Availability Model'!$C$1:$T$1, 0))</f>
        <v>4</v>
      </c>
      <c r="AI129">
        <f>AI128*INDEX('Availability Model'!$C$53:$T$57, MATCH($K$127,'Availability Model'!$B$53:$B$57, 0), MATCH($K$10, 'Availability Model'!$C$1:$T$1, 0))</f>
        <v>4</v>
      </c>
      <c r="AJ129">
        <f>AJ128*INDEX('Availability Model'!$C$53:$T$57, MATCH($K$127,'Availability Model'!$B$53:$B$57, 0), MATCH($K$10, 'Availability Model'!$C$1:$T$1, 0))</f>
        <v>4</v>
      </c>
      <c r="AK129">
        <f>AK128*INDEX('Availability Model'!$C$53:$T$57, MATCH($K$127,'Availability Model'!$B$53:$B$57, 0), MATCH($K$10, 'Availability Model'!$C$1:$T$1, 0))</f>
        <v>4</v>
      </c>
      <c r="AL129">
        <f>AL128*INDEX('Availability Model'!$C$53:$T$57, MATCH($K$127,'Availability Model'!$B$53:$B$57, 0), MATCH($K$10, 'Availability Model'!$C$1:$T$1, 0))</f>
        <v>4</v>
      </c>
    </row>
    <row r="130" spans="4:38">
      <c r="D130" s="7" t="s">
        <v>302</v>
      </c>
      <c r="E130" s="16" t="s">
        <v>106</v>
      </c>
      <c r="K130" s="65">
        <f>K121</f>
        <v>1.8129533678756478</v>
      </c>
      <c r="L130" s="65">
        <f t="shared" ref="L130:AL130" si="120">L121</f>
        <v>1.9014456764652192</v>
      </c>
      <c r="M130" s="65">
        <f t="shared" si="120"/>
        <v>1.8367738032705883</v>
      </c>
      <c r="N130" s="65">
        <f t="shared" si="120"/>
        <v>1.8815339776532183</v>
      </c>
      <c r="O130" s="65">
        <f t="shared" si="120"/>
        <v>2.274116334125547</v>
      </c>
      <c r="P130" s="65">
        <f t="shared" si="120"/>
        <v>2.2713840936883885</v>
      </c>
      <c r="Q130" s="65">
        <f t="shared" si="120"/>
        <v>2.0845047041176494</v>
      </c>
      <c r="R130" s="65">
        <f t="shared" si="120"/>
        <v>2.0845047041176494</v>
      </c>
      <c r="S130" s="65">
        <f t="shared" si="120"/>
        <v>1.8015541388963427</v>
      </c>
      <c r="T130" s="65">
        <f t="shared" si="120"/>
        <v>1.7991245737385273</v>
      </c>
      <c r="U130" s="65">
        <f t="shared" si="120"/>
        <v>1.8015541388963427</v>
      </c>
      <c r="V130" s="65">
        <f t="shared" si="120"/>
        <v>1.8015541388963427</v>
      </c>
      <c r="W130" s="65">
        <f t="shared" si="120"/>
        <v>1.8015541388963427</v>
      </c>
      <c r="X130" s="65">
        <f t="shared" si="120"/>
        <v>1.7991245737385273</v>
      </c>
      <c r="Y130" s="65">
        <f t="shared" si="120"/>
        <v>1.8015541388963427</v>
      </c>
      <c r="Z130" s="65">
        <f t="shared" si="120"/>
        <v>1.8015541388963427</v>
      </c>
      <c r="AA130" s="65">
        <f t="shared" si="120"/>
        <v>1.8015541388963427</v>
      </c>
      <c r="AB130" s="65">
        <f t="shared" si="120"/>
        <v>1.7991245737385273</v>
      </c>
      <c r="AC130" s="65">
        <f t="shared" si="120"/>
        <v>1.8015541388963427</v>
      </c>
      <c r="AD130" s="65">
        <f t="shared" si="120"/>
        <v>1.8015541388963427</v>
      </c>
      <c r="AE130" s="65">
        <f t="shared" si="120"/>
        <v>1.8015541388963427</v>
      </c>
      <c r="AF130" s="65">
        <f t="shared" si="120"/>
        <v>1.7991245737385273</v>
      </c>
      <c r="AG130" s="65">
        <f t="shared" si="120"/>
        <v>1.8015541388963427</v>
      </c>
      <c r="AH130" s="65">
        <f t="shared" si="120"/>
        <v>1.8015541388963427</v>
      </c>
      <c r="AI130" s="65">
        <f t="shared" si="120"/>
        <v>1.8015541388963427</v>
      </c>
      <c r="AJ130" s="65">
        <f t="shared" si="120"/>
        <v>1.7991245737385273</v>
      </c>
      <c r="AK130" s="65">
        <f t="shared" si="120"/>
        <v>1.8015541388963427</v>
      </c>
      <c r="AL130" s="65">
        <f t="shared" si="120"/>
        <v>1.8015541388963427</v>
      </c>
    </row>
    <row r="131" spans="4:38">
      <c r="D131" s="7" t="s">
        <v>313</v>
      </c>
      <c r="E131" s="16" t="s">
        <v>106</v>
      </c>
      <c r="K131" s="116">
        <f>ROUND(K129-K130,0)</f>
        <v>2</v>
      </c>
      <c r="L131" s="116">
        <f t="shared" ref="L131:AL131" si="121">ROUND(L129-L130,0)</f>
        <v>2</v>
      </c>
      <c r="M131" s="116">
        <f t="shared" si="121"/>
        <v>2</v>
      </c>
      <c r="N131" s="116">
        <f t="shared" si="121"/>
        <v>2</v>
      </c>
      <c r="O131" s="116">
        <f t="shared" si="121"/>
        <v>2</v>
      </c>
      <c r="P131" s="116">
        <f t="shared" si="121"/>
        <v>2</v>
      </c>
      <c r="Q131" s="116">
        <f t="shared" si="121"/>
        <v>2</v>
      </c>
      <c r="R131" s="116">
        <f t="shared" si="121"/>
        <v>2</v>
      </c>
      <c r="S131" s="116">
        <f t="shared" si="121"/>
        <v>2</v>
      </c>
      <c r="T131" s="116">
        <f t="shared" si="121"/>
        <v>2</v>
      </c>
      <c r="U131" s="116">
        <f t="shared" si="121"/>
        <v>2</v>
      </c>
      <c r="V131" s="116">
        <f t="shared" si="121"/>
        <v>2</v>
      </c>
      <c r="W131" s="116">
        <f t="shared" si="121"/>
        <v>2</v>
      </c>
      <c r="X131" s="116">
        <f t="shared" si="121"/>
        <v>2</v>
      </c>
      <c r="Y131" s="116">
        <f t="shared" si="121"/>
        <v>2</v>
      </c>
      <c r="Z131" s="116">
        <f t="shared" si="121"/>
        <v>2</v>
      </c>
      <c r="AA131" s="116">
        <f t="shared" si="121"/>
        <v>2</v>
      </c>
      <c r="AB131" s="116">
        <f t="shared" si="121"/>
        <v>2</v>
      </c>
      <c r="AC131" s="116">
        <f t="shared" si="121"/>
        <v>2</v>
      </c>
      <c r="AD131" s="116">
        <f t="shared" si="121"/>
        <v>2</v>
      </c>
      <c r="AE131" s="116">
        <f t="shared" si="121"/>
        <v>2</v>
      </c>
      <c r="AF131" s="116">
        <f t="shared" si="121"/>
        <v>2</v>
      </c>
      <c r="AG131" s="116">
        <f t="shared" si="121"/>
        <v>2</v>
      </c>
      <c r="AH131" s="116">
        <f t="shared" si="121"/>
        <v>2</v>
      </c>
      <c r="AI131" s="116">
        <f t="shared" si="121"/>
        <v>2</v>
      </c>
      <c r="AJ131" s="116">
        <f t="shared" si="121"/>
        <v>2</v>
      </c>
      <c r="AK131" s="116">
        <f t="shared" si="121"/>
        <v>2</v>
      </c>
      <c r="AL131" s="116">
        <f t="shared" si="121"/>
        <v>2</v>
      </c>
    </row>
    <row r="132" spans="4:38">
      <c r="D132" s="7" t="s">
        <v>314</v>
      </c>
      <c r="E132" s="16" t="s">
        <v>145</v>
      </c>
      <c r="K132" s="65">
        <f t="shared" ref="K132:AL132" si="122">K131*K30</f>
        <v>740.27397260273972</v>
      </c>
      <c r="L132" s="65">
        <f t="shared" si="122"/>
        <v>699.01031123287669</v>
      </c>
      <c r="M132" s="65">
        <f t="shared" si="122"/>
        <v>728.79951338082208</v>
      </c>
      <c r="N132" s="65">
        <f t="shared" si="122"/>
        <v>1302.8995515967122</v>
      </c>
      <c r="O132" s="65">
        <f t="shared" si="122"/>
        <v>0</v>
      </c>
      <c r="P132" s="65">
        <f t="shared" si="122"/>
        <v>0</v>
      </c>
      <c r="Q132" s="65">
        <f t="shared" si="122"/>
        <v>0</v>
      </c>
      <c r="R132" s="65">
        <f t="shared" si="122"/>
        <v>0</v>
      </c>
      <c r="S132" s="65">
        <f t="shared" si="122"/>
        <v>437.12637907343162</v>
      </c>
      <c r="T132" s="65">
        <f t="shared" si="122"/>
        <v>437.12637907343162</v>
      </c>
      <c r="U132" s="65">
        <f t="shared" si="122"/>
        <v>437.12637907343162</v>
      </c>
      <c r="V132" s="65">
        <f t="shared" si="122"/>
        <v>437.12637907343162</v>
      </c>
      <c r="W132" s="65">
        <f t="shared" si="122"/>
        <v>437.12637907343162</v>
      </c>
      <c r="X132" s="65">
        <f t="shared" si="122"/>
        <v>437.12637907343162</v>
      </c>
      <c r="Y132" s="65">
        <f t="shared" si="122"/>
        <v>437.12637907343162</v>
      </c>
      <c r="Z132" s="65">
        <f t="shared" si="122"/>
        <v>437.12637907343162</v>
      </c>
      <c r="AA132" s="65">
        <f t="shared" si="122"/>
        <v>437.12637907343162</v>
      </c>
      <c r="AB132" s="65">
        <f t="shared" si="122"/>
        <v>437.12637907343162</v>
      </c>
      <c r="AC132" s="65">
        <f t="shared" si="122"/>
        <v>437.12637907343162</v>
      </c>
      <c r="AD132" s="65">
        <f t="shared" si="122"/>
        <v>437.12637907343162</v>
      </c>
      <c r="AE132" s="65">
        <f t="shared" si="122"/>
        <v>437.12637907343162</v>
      </c>
      <c r="AF132" s="65">
        <f t="shared" si="122"/>
        <v>437.12637907343162</v>
      </c>
      <c r="AG132" s="65">
        <f t="shared" si="122"/>
        <v>437.12637907343162</v>
      </c>
      <c r="AH132" s="65">
        <f t="shared" si="122"/>
        <v>437.12637907343162</v>
      </c>
      <c r="AI132" s="65">
        <f t="shared" si="122"/>
        <v>437.12637907343162</v>
      </c>
      <c r="AJ132" s="65">
        <f t="shared" si="122"/>
        <v>437.12637907343162</v>
      </c>
      <c r="AK132" s="65">
        <f t="shared" si="122"/>
        <v>437.12637907343162</v>
      </c>
      <c r="AL132" s="65">
        <f t="shared" si="122"/>
        <v>437.12637907343162</v>
      </c>
    </row>
    <row r="133" spans="4:38">
      <c r="D133" s="7"/>
    </row>
    <row r="134" spans="4:38">
      <c r="D134" s="3" t="s">
        <v>315</v>
      </c>
      <c r="E134" s="16" t="s">
        <v>145</v>
      </c>
      <c r="K134" s="65">
        <f>K132*INDEX('Availability Model'!$C$60:$T$64, MATCH($K$127,'Availability Model'!$B$60:$B$64, 0), MATCH($K$10, 'Availability Model'!$C$1:$T$1, 0))</f>
        <v>222.08219178082192</v>
      </c>
      <c r="L134" s="65">
        <f>L132*INDEX('Availability Model'!$C$60:$T$64, MATCH($K$127,'Availability Model'!$B$60:$B$64, 0), MATCH($K$10, 'Availability Model'!$C$1:$T$1, 0))</f>
        <v>209.70309336986301</v>
      </c>
      <c r="M134" s="65">
        <f>M132*INDEX('Availability Model'!$C$60:$T$64, MATCH($K$127,'Availability Model'!$B$60:$B$64, 0), MATCH($K$10, 'Availability Model'!$C$1:$T$1, 0))</f>
        <v>218.63985401424662</v>
      </c>
      <c r="N134" s="65">
        <f>N132*INDEX('Availability Model'!$C$60:$T$64, MATCH($N$127,'Availability Model'!$B$60:$B$64, 0), MATCH($K$10, 'Availability Model'!$C$1:$T$1, 0))</f>
        <v>390.86986547901364</v>
      </c>
      <c r="O134" s="65">
        <f>O132*INDEX('Availability Model'!$C$60:$T$64, MATCH($K$127,'Availability Model'!$B$60:$B$64, 0), MATCH($K$10, 'Availability Model'!$C$1:$T$1, 0))</f>
        <v>0</v>
      </c>
      <c r="P134" s="65">
        <f>P132*INDEX('Availability Model'!$C$60:$T$64, MATCH($K$127,'Availability Model'!$B$60:$B$64, 0), MATCH($K$10, 'Availability Model'!$C$1:$T$1, 0))</f>
        <v>0</v>
      </c>
      <c r="Q134" s="65">
        <f>Q132*INDEX('Availability Model'!$C$60:$T$64, MATCH($K$127,'Availability Model'!$B$60:$B$64, 0), MATCH($K$10, 'Availability Model'!$C$1:$T$1, 0))</f>
        <v>0</v>
      </c>
      <c r="R134" s="65">
        <f>R132*INDEX('Availability Model'!$C$60:$T$64, MATCH($K$127,'Availability Model'!$B$60:$B$64, 0), MATCH($K$10, 'Availability Model'!$C$1:$T$1, 0))</f>
        <v>0</v>
      </c>
      <c r="S134" s="65">
        <f>S132*INDEX('Availability Model'!$C$60:$T$64, MATCH($K$127,'Availability Model'!$B$60:$B$64, 0), MATCH($K$10, 'Availability Model'!$C$1:$T$1, 0))</f>
        <v>131.13791372202948</v>
      </c>
      <c r="T134" s="65">
        <f>T132*INDEX('Availability Model'!$C$60:$T$64, MATCH($K$127,'Availability Model'!$B$60:$B$64, 0), MATCH($K$10, 'Availability Model'!$C$1:$T$1, 0))</f>
        <v>131.13791372202948</v>
      </c>
      <c r="U134" s="65">
        <f>U132*INDEX('Availability Model'!$C$60:$T$64, MATCH($K$127,'Availability Model'!$B$60:$B$64, 0), MATCH($K$10, 'Availability Model'!$C$1:$T$1, 0))</f>
        <v>131.13791372202948</v>
      </c>
      <c r="V134" s="65">
        <f>V132*INDEX('Availability Model'!$C$60:$T$64, MATCH($K$127,'Availability Model'!$B$60:$B$64, 0), MATCH($K$10, 'Availability Model'!$C$1:$T$1, 0))</f>
        <v>131.13791372202948</v>
      </c>
      <c r="W134" s="65">
        <f>W132*INDEX('Availability Model'!$C$60:$T$64, MATCH($K$127,'Availability Model'!$B$60:$B$64, 0), MATCH($K$10, 'Availability Model'!$C$1:$T$1, 0))</f>
        <v>131.13791372202948</v>
      </c>
      <c r="X134" s="65">
        <f>X132*INDEX('Availability Model'!$C$60:$T$64, MATCH($K$127,'Availability Model'!$B$60:$B$64, 0), MATCH($K$10, 'Availability Model'!$C$1:$T$1, 0))</f>
        <v>131.13791372202948</v>
      </c>
      <c r="Y134" s="65">
        <f>Y132*INDEX('Availability Model'!$C$60:$T$64, MATCH($K$127,'Availability Model'!$B$60:$B$64, 0), MATCH($K$10, 'Availability Model'!$C$1:$T$1, 0))</f>
        <v>131.13791372202948</v>
      </c>
      <c r="Z134" s="65">
        <f>Z132*INDEX('Availability Model'!$C$60:$T$64, MATCH($K$127,'Availability Model'!$B$60:$B$64, 0), MATCH($K$10, 'Availability Model'!$C$1:$T$1, 0))</f>
        <v>131.13791372202948</v>
      </c>
      <c r="AA134" s="65">
        <f>AA132*INDEX('Availability Model'!$C$60:$T$64, MATCH($K$127,'Availability Model'!$B$60:$B$64, 0), MATCH($K$10, 'Availability Model'!$C$1:$T$1, 0))</f>
        <v>131.13791372202948</v>
      </c>
      <c r="AB134" s="65">
        <f>AB132*INDEX('Availability Model'!$C$60:$T$64, MATCH($K$127,'Availability Model'!$B$60:$B$64, 0), MATCH($K$10, 'Availability Model'!$C$1:$T$1, 0))</f>
        <v>131.13791372202948</v>
      </c>
      <c r="AC134" s="65">
        <f>AC132*INDEX('Availability Model'!$C$60:$T$64, MATCH($K$127,'Availability Model'!$B$60:$B$64, 0), MATCH($K$10, 'Availability Model'!$C$1:$T$1, 0))</f>
        <v>131.13791372202948</v>
      </c>
      <c r="AD134" s="65">
        <f>AD132*INDEX('Availability Model'!$C$60:$T$64, MATCH($K$127,'Availability Model'!$B$60:$B$64, 0), MATCH($K$10, 'Availability Model'!$C$1:$T$1, 0))</f>
        <v>131.13791372202948</v>
      </c>
      <c r="AE134" s="65">
        <f>AE132*INDEX('Availability Model'!$C$60:$T$64, MATCH($K$127,'Availability Model'!$B$60:$B$64, 0), MATCH($K$10, 'Availability Model'!$C$1:$T$1, 0))</f>
        <v>131.13791372202948</v>
      </c>
      <c r="AF134" s="65">
        <f>AF132*INDEX('Availability Model'!$C$60:$T$64, MATCH($K$127,'Availability Model'!$B$60:$B$64, 0), MATCH($K$10, 'Availability Model'!$C$1:$T$1, 0))</f>
        <v>131.13791372202948</v>
      </c>
      <c r="AG134" s="65">
        <f>AG132*INDEX('Availability Model'!$C$60:$T$64, MATCH($K$127,'Availability Model'!$B$60:$B$64, 0), MATCH($K$10, 'Availability Model'!$C$1:$T$1, 0))</f>
        <v>131.13791372202948</v>
      </c>
      <c r="AH134" s="65">
        <f>AH132*INDEX('Availability Model'!$C$60:$T$64, MATCH($K$127,'Availability Model'!$B$60:$B$64, 0), MATCH($K$10, 'Availability Model'!$C$1:$T$1, 0))</f>
        <v>131.13791372202948</v>
      </c>
      <c r="AI134" s="65">
        <f>AI132*INDEX('Availability Model'!$C$60:$T$64, MATCH($K$127,'Availability Model'!$B$60:$B$64, 0), MATCH($K$10, 'Availability Model'!$C$1:$T$1, 0))</f>
        <v>131.13791372202948</v>
      </c>
      <c r="AJ134" s="65">
        <f>AJ132*INDEX('Availability Model'!$C$60:$T$64, MATCH($K$127,'Availability Model'!$B$60:$B$64, 0), MATCH($K$10, 'Availability Model'!$C$1:$T$1, 0))</f>
        <v>131.13791372202948</v>
      </c>
      <c r="AK134" s="65">
        <f>AK132*INDEX('Availability Model'!$C$60:$T$64, MATCH($K$127,'Availability Model'!$B$60:$B$64, 0), MATCH($K$10, 'Availability Model'!$C$1:$T$1, 0))</f>
        <v>131.13791372202948</v>
      </c>
      <c r="AL134" s="65">
        <f>AL132*INDEX('Availability Model'!$C$60:$T$64, MATCH($K$127,'Availability Model'!$B$60:$B$64, 0), MATCH($K$10, 'Availability Model'!$C$1:$T$1, 0))</f>
        <v>131.13791372202948</v>
      </c>
    </row>
    <row r="135" spans="4:38">
      <c r="D135" t="s">
        <v>317</v>
      </c>
      <c r="E135" s="16" t="s">
        <v>211</v>
      </c>
      <c r="K135" s="65">
        <f t="shared" ref="K135:AL135" si="123">K134*K65</f>
        <v>6158.3391780821921</v>
      </c>
      <c r="L135" s="65">
        <f t="shared" si="123"/>
        <v>6186.2412544109593</v>
      </c>
      <c r="M135" s="65">
        <f t="shared" si="123"/>
        <v>6611.6691853908178</v>
      </c>
      <c r="N135" s="65">
        <f t="shared" si="123"/>
        <v>12531.287887257178</v>
      </c>
      <c r="O135" s="65">
        <f t="shared" si="123"/>
        <v>0</v>
      </c>
      <c r="P135" s="65">
        <f t="shared" si="123"/>
        <v>0</v>
      </c>
      <c r="Q135" s="65">
        <f t="shared" si="123"/>
        <v>0</v>
      </c>
      <c r="R135" s="65">
        <f t="shared" si="123"/>
        <v>0</v>
      </c>
      <c r="S135" s="65">
        <f t="shared" si="123"/>
        <v>5572.7022961388029</v>
      </c>
      <c r="T135" s="65">
        <f t="shared" si="123"/>
        <v>5907.0644339071323</v>
      </c>
      <c r="U135" s="65">
        <f t="shared" si="123"/>
        <v>6261.4882999415604</v>
      </c>
      <c r="V135" s="65">
        <f t="shared" si="123"/>
        <v>6637.1775979380545</v>
      </c>
      <c r="W135" s="65">
        <f t="shared" si="123"/>
        <v>7035.4082538143375</v>
      </c>
      <c r="X135" s="65">
        <f t="shared" si="123"/>
        <v>7457.5327490431982</v>
      </c>
      <c r="Y135" s="65">
        <f t="shared" si="123"/>
        <v>7904.9847139857902</v>
      </c>
      <c r="Z135" s="65">
        <f t="shared" si="123"/>
        <v>8379.2837968249369</v>
      </c>
      <c r="AA135" s="65">
        <f t="shared" si="123"/>
        <v>8882.0408246344341</v>
      </c>
      <c r="AB135" s="65">
        <f t="shared" si="123"/>
        <v>9414.9632741125006</v>
      </c>
      <c r="AC135" s="65">
        <f t="shared" si="123"/>
        <v>9979.8610705592509</v>
      </c>
      <c r="AD135" s="65">
        <f t="shared" si="123"/>
        <v>10578.652734792808</v>
      </c>
      <c r="AE135" s="65">
        <f t="shared" si="123"/>
        <v>11213.371898880378</v>
      </c>
      <c r="AF135" s="65">
        <f t="shared" si="123"/>
        <v>11886.174212813201</v>
      </c>
      <c r="AG135" s="65">
        <f t="shared" si="123"/>
        <v>12599.344665581993</v>
      </c>
      <c r="AH135" s="65">
        <f t="shared" si="123"/>
        <v>13355.305345516914</v>
      </c>
      <c r="AI135" s="65">
        <f t="shared" si="123"/>
        <v>14156.62366624793</v>
      </c>
      <c r="AJ135" s="65">
        <f t="shared" si="123"/>
        <v>15006.021086222807</v>
      </c>
      <c r="AK135" s="65">
        <f t="shared" si="123"/>
        <v>15906.382351396174</v>
      </c>
      <c r="AL135" s="65">
        <f t="shared" si="123"/>
        <v>16860.765292479948</v>
      </c>
    </row>
    <row r="136" spans="4:38">
      <c r="D136" t="s">
        <v>318</v>
      </c>
      <c r="E136" s="16" t="s">
        <v>211</v>
      </c>
      <c r="K136" s="65">
        <f>(Inputs!$E$117*Inputs!$E$118*'BaU Model'!K134*K70)+(Inputs!$E$114*0.25*'BaU Model'!K134*K72)</f>
        <v>995.4834246575341</v>
      </c>
      <c r="L136" s="65">
        <f>(Inputs!$E$117*Inputs!$E$118*'BaU Model'!L134*L70)+(Inputs!$E$114*0.25*'BaU Model'!L134*L72)</f>
        <v>1027.9775652908572</v>
      </c>
      <c r="M136" s="65">
        <f>(Inputs!$E$117*Inputs!$E$118*'BaU Model'!M134*M70)+(Inputs!$E$114*0.25*'BaU Model'!M134*M72)</f>
        <v>1172.1053008853519</v>
      </c>
      <c r="N136" s="65">
        <f>(Inputs!$E$117*Inputs!$E$118*'BaU Model'!N134*N70)+(Inputs!$E$114*0.25*'BaU Model'!N134*N72)</f>
        <v>2291.5429008467036</v>
      </c>
      <c r="O136" s="65">
        <f>(Inputs!$E$117*Inputs!$E$118*'BaU Model'!O134*O70)+(Inputs!$E$114*0.25*'BaU Model'!O134*O72)</f>
        <v>0</v>
      </c>
      <c r="P136" s="65">
        <f>(Inputs!$E$117*Inputs!$E$118*'BaU Model'!P134*P70)+(Inputs!$E$114*0.25*'BaU Model'!P134*P72)</f>
        <v>0</v>
      </c>
      <c r="Q136" s="65">
        <f>(Inputs!$E$117*Inputs!$E$118*'BaU Model'!Q134*Q70)+(Inputs!$E$114*0.25*'BaU Model'!Q134*Q72)</f>
        <v>0</v>
      </c>
      <c r="R136" s="65">
        <f>(Inputs!$E$117*Inputs!$E$118*'BaU Model'!R134*R70)+(Inputs!$E$114*0.25*'BaU Model'!R134*R72)</f>
        <v>0</v>
      </c>
      <c r="S136" s="65">
        <f>(Inputs!$E$117*Inputs!$E$118*'BaU Model'!S134*S70)+(Inputs!$E$114*0.25*'BaU Model'!S134*S72)</f>
        <v>1202.5872107022033</v>
      </c>
      <c r="T136" s="65">
        <f>(Inputs!$E$117*Inputs!$E$118*'BaU Model'!T134*T70)+(Inputs!$E$114*0.25*'BaU Model'!T134*T72)</f>
        <v>1315.1493736239295</v>
      </c>
      <c r="U136" s="65">
        <f>(Inputs!$E$117*Inputs!$E$118*'BaU Model'!U134*U70)+(Inputs!$E$114*0.25*'BaU Model'!U134*U72)</f>
        <v>1438.2473549951292</v>
      </c>
      <c r="V136" s="65">
        <f>(Inputs!$E$117*Inputs!$E$118*'BaU Model'!V134*V70)+(Inputs!$E$114*0.25*'BaU Model'!V134*V72)</f>
        <v>1572.8673074226731</v>
      </c>
      <c r="W136" s="65">
        <f>(Inputs!$E$117*Inputs!$E$118*'BaU Model'!W134*W70)+(Inputs!$E$114*0.25*'BaU Model'!W134*W72)</f>
        <v>1720.0876873974348</v>
      </c>
      <c r="X136" s="65">
        <f>(Inputs!$E$117*Inputs!$E$118*'BaU Model'!X134*X70)+(Inputs!$E$114*0.25*'BaU Model'!X134*X72)</f>
        <v>1881.0878949378348</v>
      </c>
      <c r="Y136" s="65">
        <f>(Inputs!$E$117*Inputs!$E$118*'BaU Model'!Y134*Y70)+(Inputs!$E$114*0.25*'BaU Model'!Y134*Y72)</f>
        <v>2057.1577219040159</v>
      </c>
      <c r="Z136" s="65">
        <f>(Inputs!$E$117*Inputs!$E$118*'BaU Model'!Z134*Z70)+(Inputs!$E$114*0.25*'BaU Model'!Z134*Z72)</f>
        <v>2249.7076846742311</v>
      </c>
      <c r="AA136" s="65">
        <f>(Inputs!$E$117*Inputs!$E$118*'BaU Model'!AA134*AA70)+(Inputs!$E$114*0.25*'BaU Model'!AA134*AA72)</f>
        <v>2460.2803239597392</v>
      </c>
      <c r="AB136" s="65">
        <f>(Inputs!$E$117*Inputs!$E$118*'BaU Model'!AB134*AB70)+(Inputs!$E$114*0.25*'BaU Model'!AB134*AB72)</f>
        <v>2690.5625622823704</v>
      </c>
      <c r="AC136" s="65">
        <f>(Inputs!$E$117*Inputs!$E$118*'BaU Model'!AC134*AC70)+(Inputs!$E$114*0.25*'BaU Model'!AC134*AC72)</f>
        <v>2942.3992181120002</v>
      </c>
      <c r="AD136" s="65">
        <f>(Inputs!$E$117*Inputs!$E$118*'BaU Model'!AD134*AD70)+(Inputs!$E$114*0.25*'BaU Model'!AD134*AD72)</f>
        <v>3217.8077849272831</v>
      </c>
      <c r="AE136" s="65">
        <f>(Inputs!$E$117*Inputs!$E$118*'BaU Model'!AE134*AE70)+(Inputs!$E$114*0.25*'BaU Model'!AE134*AE72)</f>
        <v>3518.9945935964765</v>
      </c>
      <c r="AF136" s="65">
        <f>(Inputs!$E$117*Inputs!$E$118*'BaU Model'!AF134*AF70)+(Inputs!$E$114*0.25*'BaU Model'!AF134*AF72)</f>
        <v>3848.3724875571061</v>
      </c>
      <c r="AG136" s="65">
        <f>(Inputs!$E$117*Inputs!$E$118*'BaU Model'!AG134*AG70)+(Inputs!$E$114*0.25*'BaU Model'!AG134*AG72)</f>
        <v>4208.5801523924511</v>
      </c>
      <c r="AH136" s="65">
        <f>(Inputs!$E$117*Inputs!$E$118*'BaU Model'!AH134*AH70)+(Inputs!$E$114*0.25*'BaU Model'!AH134*AH72)</f>
        <v>4602.5032546563843</v>
      </c>
      <c r="AI136" s="65">
        <f>(Inputs!$E$117*Inputs!$E$118*'BaU Model'!AI134*AI70)+(Inputs!$E$114*0.25*'BaU Model'!AI134*AI72)</f>
        <v>5033.2975592922212</v>
      </c>
      <c r="AJ136" s="65">
        <f>(Inputs!$E$117*Inputs!$E$118*'BaU Model'!AJ134*AJ70)+(Inputs!$E$114*0.25*'BaU Model'!AJ134*AJ72)</f>
        <v>5504.4142108419719</v>
      </c>
      <c r="AK136" s="65">
        <f>(Inputs!$E$117*Inputs!$E$118*'BaU Model'!AK134*AK70)+(Inputs!$E$114*0.25*'BaU Model'!AK134*AK72)</f>
        <v>6019.6273809767808</v>
      </c>
      <c r="AL136" s="65">
        <f>(Inputs!$E$117*Inputs!$E$118*'BaU Model'!AL134*AL70)+(Inputs!$E$114*0.25*'BaU Model'!AL134*AL72)</f>
        <v>6583.0645038362072</v>
      </c>
    </row>
    <row r="137" spans="4:38">
      <c r="D137" s="3" t="s">
        <v>319</v>
      </c>
      <c r="E137" s="16" t="s">
        <v>211</v>
      </c>
      <c r="K137" s="65">
        <f t="shared" ref="K137:AL137" si="124">IF(K24&gt;0,K135+K136,0)</f>
        <v>7153.8226027397259</v>
      </c>
      <c r="L137" s="65">
        <f t="shared" si="124"/>
        <v>7214.2188197018168</v>
      </c>
      <c r="M137" s="65">
        <f t="shared" si="124"/>
        <v>7783.7744862761701</v>
      </c>
      <c r="N137" s="65">
        <f t="shared" si="124"/>
        <v>14822.830788103882</v>
      </c>
      <c r="O137" s="65">
        <f t="shared" si="124"/>
        <v>0</v>
      </c>
      <c r="P137" s="65">
        <f t="shared" si="124"/>
        <v>0</v>
      </c>
      <c r="Q137" s="65">
        <f t="shared" si="124"/>
        <v>0</v>
      </c>
      <c r="R137" s="65">
        <f t="shared" si="124"/>
        <v>0</v>
      </c>
      <c r="S137" s="65">
        <f t="shared" si="124"/>
        <v>6775.2895068410062</v>
      </c>
      <c r="T137" s="65">
        <f t="shared" si="124"/>
        <v>7222.2138075310613</v>
      </c>
      <c r="U137" s="65">
        <f t="shared" si="124"/>
        <v>7699.7356549366896</v>
      </c>
      <c r="V137" s="65">
        <f t="shared" si="124"/>
        <v>8210.0449053607281</v>
      </c>
      <c r="W137" s="65">
        <f t="shared" si="124"/>
        <v>8755.4959412117714</v>
      </c>
      <c r="X137" s="65">
        <f t="shared" si="124"/>
        <v>9338.6206439810339</v>
      </c>
      <c r="Y137" s="65">
        <f t="shared" si="124"/>
        <v>9962.1424358898057</v>
      </c>
      <c r="Z137" s="65">
        <f t="shared" si="124"/>
        <v>10628.991481499168</v>
      </c>
      <c r="AA137" s="65">
        <f t="shared" si="124"/>
        <v>11342.321148594174</v>
      </c>
      <c r="AB137" s="65">
        <f t="shared" si="124"/>
        <v>12105.525836394871</v>
      </c>
      <c r="AC137" s="65">
        <f t="shared" si="124"/>
        <v>12922.260288671252</v>
      </c>
      <c r="AD137" s="65">
        <f t="shared" si="124"/>
        <v>13796.460519720091</v>
      </c>
      <c r="AE137" s="65">
        <f t="shared" si="124"/>
        <v>14732.366492476855</v>
      </c>
      <c r="AF137" s="65">
        <f t="shared" si="124"/>
        <v>15734.546700370307</v>
      </c>
      <c r="AG137" s="65">
        <f t="shared" si="124"/>
        <v>16807.924817974446</v>
      </c>
      <c r="AH137" s="65">
        <f t="shared" si="124"/>
        <v>17957.808600173299</v>
      </c>
      <c r="AI137" s="65">
        <f t="shared" si="124"/>
        <v>19189.921225540151</v>
      </c>
      <c r="AJ137" s="65">
        <f t="shared" si="124"/>
        <v>20510.435297064778</v>
      </c>
      <c r="AK137" s="65">
        <f t="shared" si="124"/>
        <v>21926.009732372957</v>
      </c>
      <c r="AL137" s="65">
        <f t="shared" si="124"/>
        <v>23443.829796316153</v>
      </c>
    </row>
    <row r="138" spans="4:38">
      <c r="D138" s="3"/>
      <c r="E138" s="16"/>
      <c r="K138" s="65"/>
      <c r="L138" s="65"/>
      <c r="M138" s="65"/>
      <c r="N138" s="65"/>
      <c r="O138" s="65"/>
      <c r="P138" s="65"/>
    </row>
    <row r="139" spans="4:38">
      <c r="D139" s="3" t="s">
        <v>323</v>
      </c>
      <c r="E139" s="16" t="s">
        <v>211</v>
      </c>
      <c r="K139" s="65">
        <f>K84*INDEX('Availability Model'!$C$67:$T$71, MATCH($K$127,'Availability Model'!$B$67:$B$71, 0), MATCH($K$10, 'Availability Model'!$C$1:$T$1, 0))</f>
        <v>190339.01249999998</v>
      </c>
      <c r="L139" s="65">
        <f>L84*INDEX('Availability Model'!$C$67:$T$71, MATCH($K$127,'Availability Model'!$B$67:$B$71, 0), MATCH($K$10, 'Availability Model'!$C$1:$T$1, 0))</f>
        <v>196551.97646000827</v>
      </c>
      <c r="M139" s="65">
        <f>M84*INDEX('Availability Model'!$C$67:$T$71, MATCH($K$127,'Availability Model'!$B$67:$B$71, 0), MATCH($K$10, 'Availability Model'!$C$1:$T$1, 0))</f>
        <v>224109.57328926207</v>
      </c>
      <c r="N139" s="65">
        <f>N84*INDEX('Availability Model'!$C$67:$T$71, MATCH($K$127,'Availability Model'!$B$67:$B$71, 0), MATCH($K$10, 'Availability Model'!$C$1:$T$1, 0))</f>
        <v>613408.52380142547</v>
      </c>
      <c r="O139" s="65">
        <f>O84*INDEX('Availability Model'!$C$67:$T$71, MATCH($K$127,'Availability Model'!$B$67:$B$71, 0), MATCH($K$10, 'Availability Model'!$C$1:$T$1, 0))</f>
        <v>727379.06153381173</v>
      </c>
      <c r="P139" s="65">
        <f>P84*INDEX('Availability Model'!$C$67:$T$71, MATCH($K$127,'Availability Model'!$B$67:$B$71, 0), MATCH($K$10, 'Availability Model'!$C$1:$T$1, 0))</f>
        <v>795461.74169337645</v>
      </c>
      <c r="Q139" s="65">
        <f>Q84*INDEX('Availability Model'!$C$67:$T$71, MATCH($K$127,'Availability Model'!$B$67:$B$71, 0), MATCH($K$10, 'Availability Model'!$C$1:$T$1, 0))</f>
        <v>1022010.6973927068</v>
      </c>
      <c r="R139" s="65">
        <f>R84*INDEX('Availability Model'!$C$67:$T$71, MATCH($K$127,'Availability Model'!$B$67:$B$71, 0), MATCH($K$10, 'Availability Model'!$C$1:$T$1, 0))</f>
        <v>1117670.898668664</v>
      </c>
      <c r="S139" s="65">
        <f>S84*INDEX('Availability Model'!$C$67:$T$71, MATCH($K$127,'Availability Model'!$B$67:$B$71, 0), MATCH($K$10, 'Availability Model'!$C$1:$T$1, 0))</f>
        <v>1452948.9727540854</v>
      </c>
      <c r="T139" s="65">
        <f>T84*INDEX('Availability Model'!$C$67:$T$71, MATCH($K$127,'Availability Model'!$B$67:$B$71, 0), MATCH($K$10, 'Availability Model'!$C$1:$T$1, 0))</f>
        <v>1588944.9966038677</v>
      </c>
      <c r="U139" s="65">
        <f>U84*INDEX('Availability Model'!$C$67:$T$71, MATCH($K$127,'Availability Model'!$B$67:$B$71, 0), MATCH($K$10, 'Availability Model'!$C$1:$T$1, 0))</f>
        <v>1737670.2482859897</v>
      </c>
      <c r="V139" s="65">
        <f>V84*INDEX('Availability Model'!$C$67:$T$71, MATCH($K$127,'Availability Model'!$B$67:$B$71, 0), MATCH($K$10, 'Availability Model'!$C$1:$T$1, 0))</f>
        <v>1900316.1835255581</v>
      </c>
      <c r="W139" s="65">
        <f>W84*INDEX('Availability Model'!$C$67:$T$71, MATCH($K$127,'Availability Model'!$B$67:$B$71, 0), MATCH($K$10, 'Availability Model'!$C$1:$T$1, 0))</f>
        <v>2078185.7783035501</v>
      </c>
      <c r="X139" s="65">
        <f>X84*INDEX('Availability Model'!$C$67:$T$71, MATCH($K$127,'Availability Model'!$B$67:$B$71, 0), MATCH($K$10, 'Availability Model'!$C$1:$T$1, 0))</f>
        <v>2272703.9671527622</v>
      </c>
      <c r="Y139" s="65">
        <f>Y84*INDEX('Availability Model'!$C$67:$T$71, MATCH($K$127,'Availability Model'!$B$67:$B$71, 0), MATCH($K$10, 'Availability Model'!$C$1:$T$1, 0))</f>
        <v>2485429.0584782604</v>
      </c>
      <c r="Z139" s="65">
        <f>Z84*INDEX('Availability Model'!$C$67:$T$71, MATCH($K$127,'Availability Model'!$B$67:$B$71, 0), MATCH($K$10, 'Availability Model'!$C$1:$T$1, 0))</f>
        <v>2718065.2183518251</v>
      </c>
      <c r="AA139" s="65">
        <f>AA84*INDEX('Availability Model'!$C$67:$T$71, MATCH($K$127,'Availability Model'!$B$67:$B$71, 0), MATCH($K$10, 'Availability Model'!$C$1:$T$1, 0))</f>
        <v>2972476.1227895557</v>
      </c>
      <c r="AB139" s="65">
        <f>AB84*INDEX('Availability Model'!$C$67:$T$71, MATCH($K$127,'Availability Model'!$B$67:$B$71, 0), MATCH($K$10, 'Availability Model'!$C$1:$T$1, 0))</f>
        <v>3250699.8878826578</v>
      </c>
      <c r="AC139" s="65">
        <f>AC84*INDEX('Availability Model'!$C$67:$T$71, MATCH($K$127,'Availability Model'!$B$67:$B$71, 0), MATCH($K$10, 'Availability Model'!$C$1:$T$1, 0))</f>
        <v>3554965.3973884741</v>
      </c>
      <c r="AD139" s="65">
        <f>AD84*INDEX('Availability Model'!$C$67:$T$71, MATCH($K$127,'Availability Model'!$B$67:$B$71, 0), MATCH($K$10, 'Availability Model'!$C$1:$T$1, 0))</f>
        <v>3887710.158584035</v>
      </c>
      <c r="AE139" s="65">
        <f>AE84*INDEX('Availability Model'!$C$67:$T$71, MATCH($K$127,'Availability Model'!$B$67:$B$71, 0), MATCH($K$10, 'Availability Model'!$C$1:$T$1, 0))</f>
        <v>4251599.8294275003</v>
      </c>
      <c r="AF139" s="65">
        <f>AF84*INDEX('Availability Model'!$C$67:$T$71, MATCH($K$127,'Availability Model'!$B$67:$B$71, 0), MATCH($K$10, 'Availability Model'!$C$1:$T$1, 0))</f>
        <v>4649549.5734619144</v>
      </c>
      <c r="AG139" s="65">
        <f>AG84*INDEX('Availability Model'!$C$67:$T$71, MATCH($K$127,'Availability Model'!$B$67:$B$71, 0), MATCH($K$10, 'Availability Model'!$C$1:$T$1, 0))</f>
        <v>5084747.4135379493</v>
      </c>
      <c r="AH139" s="65">
        <f>AH84*INDEX('Availability Model'!$C$67:$T$71, MATCH($K$127,'Availability Model'!$B$67:$B$71, 0), MATCH($K$10, 'Availability Model'!$C$1:$T$1, 0))</f>
        <v>5560679.7714451002</v>
      </c>
      <c r="AI139" s="65">
        <f>AI84*INDEX('Availability Model'!$C$67:$T$71, MATCH($K$127,'Availability Model'!$B$67:$B$71, 0), MATCH($K$10, 'Availability Model'!$C$1:$T$1, 0))</f>
        <v>6081159.3980523599</v>
      </c>
      <c r="AJ139" s="65">
        <f>AJ84*INDEX('Availability Model'!$C$67:$T$71, MATCH($K$127,'Availability Model'!$B$67:$B$71, 0), MATCH($K$10, 'Availability Model'!$C$1:$T$1, 0))</f>
        <v>6650355.9177100612</v>
      </c>
      <c r="AK139" s="65">
        <f>AK84*INDEX('Availability Model'!$C$67:$T$71, MATCH($K$127,'Availability Model'!$B$67:$B$71, 0), MATCH($K$10, 'Availability Model'!$C$1:$T$1, 0))</f>
        <v>7272829.2316077221</v>
      </c>
      <c r="AL139" s="65">
        <f>AL84*INDEX('Availability Model'!$C$67:$T$71, MATCH($K$127,'Availability Model'!$B$67:$B$71, 0), MATCH($K$10, 'Availability Model'!$C$1:$T$1, 0))</f>
        <v>7953566.0476862052</v>
      </c>
    </row>
    <row r="140" spans="4:38">
      <c r="D140" s="3" t="s">
        <v>324</v>
      </c>
      <c r="E140" s="16" t="s">
        <v>211</v>
      </c>
      <c r="K140" s="65">
        <f>K86*INDEX('Availability Model'!$C$67:$T$71, MATCH($K$127,'Availability Model'!$B$67:$B$71, 0), MATCH($K$10, 'Availability Model'!$C$1:$T$1, 0))</f>
        <v>14243.399999999998</v>
      </c>
      <c r="L140" s="65">
        <f>L86*INDEX('Availability Model'!$C$67:$T$71, MATCH($K$127,'Availability Model'!$B$67:$B$71, 0), MATCH($K$10, 'Availability Model'!$C$1:$T$1, 0))</f>
        <v>14708.32692016032</v>
      </c>
      <c r="M140" s="65">
        <f>M86*INDEX('Availability Model'!$C$67:$T$71, MATCH($K$127,'Availability Model'!$B$67:$B$71, 0), MATCH($K$10, 'Availability Model'!$C$1:$T$1, 0))</f>
        <v>16770.509914189428</v>
      </c>
      <c r="N140" s="65">
        <f>N86*INDEX('Availability Model'!$C$67:$T$71, MATCH($K$127,'Availability Model'!$B$67:$B$71, 0), MATCH($K$10, 'Availability Model'!$C$1:$T$1, 0))</f>
        <v>45902.428793536092</v>
      </c>
      <c r="O140" s="65">
        <f>O86*INDEX('Availability Model'!$C$67:$T$71, MATCH($K$127,'Availability Model'!$B$67:$B$71, 0), MATCH($K$10, 'Availability Model'!$C$1:$T$1, 0))</f>
        <v>54431.042743014616</v>
      </c>
      <c r="P140" s="65">
        <f>P86*INDEX('Availability Model'!$C$67:$T$71, MATCH($K$127,'Availability Model'!$B$67:$B$71, 0), MATCH($K$10, 'Availability Model'!$C$1:$T$1, 0))</f>
        <v>59525.788343760774</v>
      </c>
      <c r="Q140" s="65">
        <f>Q86*INDEX('Availability Model'!$C$67:$T$71, MATCH($K$127,'Availability Model'!$B$67:$B$71, 0), MATCH($K$10, 'Availability Model'!$C$1:$T$1, 0))</f>
        <v>65097.402132736781</v>
      </c>
      <c r="R140" s="65">
        <f>R86*INDEX('Availability Model'!$C$67:$T$71, MATCH($K$127,'Availability Model'!$B$67:$B$71, 0), MATCH($K$10, 'Availability Model'!$C$1:$T$1, 0))</f>
        <v>71190.518972360936</v>
      </c>
      <c r="S140" s="65">
        <f>S86*INDEX('Availability Model'!$C$67:$T$71, MATCH($K$127,'Availability Model'!$B$67:$B$71, 0), MATCH($K$10, 'Availability Model'!$C$1:$T$1, 0))</f>
        <v>77853.951548173922</v>
      </c>
      <c r="T140" s="65">
        <f>T86*INDEX('Availability Model'!$C$67:$T$71, MATCH($K$127,'Availability Model'!$B$67:$B$71, 0), MATCH($K$10, 'Availability Model'!$C$1:$T$1, 0))</f>
        <v>85141.081413082997</v>
      </c>
      <c r="U140" s="65">
        <f>U86*INDEX('Availability Model'!$C$67:$T$71, MATCH($K$127,'Availability Model'!$B$67:$B$71, 0), MATCH($K$10, 'Availability Model'!$C$1:$T$1, 0))</f>
        <v>93110.286633347569</v>
      </c>
      <c r="V140" s="65">
        <f>V86*INDEX('Availability Model'!$C$67:$T$71, MATCH($K$127,'Availability Model'!$B$67:$B$71, 0), MATCH($K$10, 'Availability Model'!$C$1:$T$1, 0))</f>
        <v>101825.40946222887</v>
      </c>
      <c r="W140" s="65">
        <f>W86*INDEX('Availability Model'!$C$67:$T$71, MATCH($K$127,'Availability Model'!$B$67:$B$71, 0), MATCH($K$10, 'Availability Model'!$C$1:$T$1, 0))</f>
        <v>111356.26778789349</v>
      </c>
      <c r="X140" s="65">
        <f>X86*INDEX('Availability Model'!$C$67:$T$71, MATCH($K$127,'Availability Model'!$B$67:$B$71, 0), MATCH($K$10, 'Availability Model'!$C$1:$T$1, 0))</f>
        <v>121779.21445284033</v>
      </c>
      <c r="Y140" s="65">
        <f>Y86*INDEX('Availability Model'!$C$67:$T$71, MATCH($K$127,'Availability Model'!$B$67:$B$71, 0), MATCH($K$10, 'Availability Model'!$C$1:$T$1, 0))</f>
        <v>133177.74892562616</v>
      </c>
      <c r="Z140" s="65">
        <f>Z86*INDEX('Availability Model'!$C$67:$T$71, MATCH($K$127,'Availability Model'!$B$67:$B$71, 0), MATCH($K$10, 'Availability Model'!$C$1:$T$1, 0))</f>
        <v>145643.18622506474</v>
      </c>
      <c r="AA140" s="65">
        <f>AA86*INDEX('Availability Model'!$C$67:$T$71, MATCH($K$127,'Availability Model'!$B$67:$B$71, 0), MATCH($K$10, 'Availability Model'!$C$1:$T$1, 0))</f>
        <v>159275.3884557308</v>
      </c>
      <c r="AB140" s="65">
        <f>AB86*INDEX('Availability Model'!$C$67:$T$71, MATCH($K$127,'Availability Model'!$B$67:$B$71, 0), MATCH($K$10, 'Availability Model'!$C$1:$T$1, 0))</f>
        <v>174183.56481518719</v>
      </c>
      <c r="AC140" s="65">
        <f>AC86*INDEX('Availability Model'!$C$67:$T$71, MATCH($K$127,'Availability Model'!$B$67:$B$71, 0), MATCH($K$10, 'Availability Model'!$C$1:$T$1, 0))</f>
        <v>190487.14648188869</v>
      </c>
      <c r="AD140" s="65">
        <f>AD86*INDEX('Availability Model'!$C$67:$T$71, MATCH($K$127,'Availability Model'!$B$67:$B$71, 0), MATCH($K$10, 'Availability Model'!$C$1:$T$1, 0))</f>
        <v>208316.74339259349</v>
      </c>
      <c r="AE140" s="65">
        <f>AE86*INDEX('Availability Model'!$C$67:$T$71, MATCH($K$127,'Availability Model'!$B$67:$B$71, 0), MATCH($K$10, 'Availability Model'!$C$1:$T$1, 0))</f>
        <v>227815.1905741402</v>
      </c>
      <c r="AF140" s="65">
        <f>AF86*INDEX('Availability Model'!$C$67:$T$71, MATCH($K$127,'Availability Model'!$B$67:$B$71, 0), MATCH($K$10, 'Availability Model'!$C$1:$T$1, 0))</f>
        <v>249138.69241187975</v>
      </c>
      <c r="AG140" s="65">
        <f>AG86*INDEX('Availability Model'!$C$67:$T$71, MATCH($K$127,'Availability Model'!$B$67:$B$71, 0), MATCH($K$10, 'Availability Model'!$C$1:$T$1, 0))</f>
        <v>272458.07402163168</v>
      </c>
      <c r="AH140" s="65">
        <f>AH86*INDEX('Availability Model'!$C$67:$T$71, MATCH($K$127,'Availability Model'!$B$67:$B$71, 0), MATCH($K$10, 'Availability Model'!$C$1:$T$1, 0))</f>
        <v>297960.14975005639</v>
      </c>
      <c r="AI140" s="65">
        <f>AI86*INDEX('Availability Model'!$C$67:$T$71, MATCH($K$127,'Availability Model'!$B$67:$B$71, 0), MATCH($K$10, 'Availability Model'!$C$1:$T$1, 0))</f>
        <v>325849.21976666164</v>
      </c>
      <c r="AJ140" s="65">
        <f>AJ86*INDEX('Availability Model'!$C$67:$T$71, MATCH($K$127,'Availability Model'!$B$67:$B$71, 0), MATCH($K$10, 'Availability Model'!$C$1:$T$1, 0))</f>
        <v>356348.7067368211</v>
      </c>
      <c r="AK140" s="65">
        <f>AK86*INDEX('Availability Model'!$C$67:$T$71, MATCH($K$127,'Availability Model'!$B$67:$B$71, 0), MATCH($K$10, 'Availability Model'!$C$1:$T$1, 0))</f>
        <v>389702.94568738755</v>
      </c>
      <c r="AL140" s="65">
        <f>AL86*INDEX('Availability Model'!$C$67:$T$71, MATCH($K$127,'Availability Model'!$B$67:$B$71, 0), MATCH($K$10, 'Availability Model'!$C$1:$T$1, 0))</f>
        <v>426179.141403727</v>
      </c>
    </row>
    <row r="141" spans="4:38">
      <c r="D141" s="3" t="s">
        <v>321</v>
      </c>
      <c r="E141" s="3" t="s">
        <v>211</v>
      </c>
      <c r="K141" s="65">
        <f t="shared" ref="K141:AL141" si="125">IF(K24&gt;0,K139+K140,0)</f>
        <v>204582.41249999998</v>
      </c>
      <c r="L141" s="65">
        <f t="shared" si="125"/>
        <v>211260.3033801686</v>
      </c>
      <c r="M141" s="65">
        <f t="shared" si="125"/>
        <v>240880.0832034515</v>
      </c>
      <c r="N141" s="65">
        <f t="shared" si="125"/>
        <v>659310.95259496151</v>
      </c>
      <c r="O141" s="65">
        <f t="shared" si="125"/>
        <v>0</v>
      </c>
      <c r="P141" s="65">
        <f t="shared" si="125"/>
        <v>0</v>
      </c>
      <c r="Q141" s="65">
        <f t="shared" si="125"/>
        <v>0</v>
      </c>
      <c r="R141" s="65">
        <f t="shared" si="125"/>
        <v>0</v>
      </c>
      <c r="S141" s="65">
        <f t="shared" si="125"/>
        <v>1530802.9243022595</v>
      </c>
      <c r="T141" s="65">
        <f t="shared" si="125"/>
        <v>1674086.0780169507</v>
      </c>
      <c r="U141" s="65">
        <f t="shared" si="125"/>
        <v>1830780.5349193374</v>
      </c>
      <c r="V141" s="65">
        <f t="shared" si="125"/>
        <v>2002141.592987787</v>
      </c>
      <c r="W141" s="65">
        <f t="shared" si="125"/>
        <v>2189542.0460914434</v>
      </c>
      <c r="X141" s="65">
        <f t="shared" si="125"/>
        <v>2394483.1816056026</v>
      </c>
      <c r="Y141" s="65">
        <f t="shared" si="125"/>
        <v>2618606.8074038867</v>
      </c>
      <c r="Z141" s="65">
        <f t="shared" si="125"/>
        <v>2863708.4045768897</v>
      </c>
      <c r="AA141" s="65">
        <f t="shared" si="125"/>
        <v>3131751.5112452866</v>
      </c>
      <c r="AB141" s="65">
        <f t="shared" si="125"/>
        <v>3424883.4526978452</v>
      </c>
      <c r="AC141" s="65">
        <f t="shared" si="125"/>
        <v>3745452.5438703629</v>
      </c>
      <c r="AD141" s="65">
        <f t="shared" si="125"/>
        <v>4096026.9019766287</v>
      </c>
      <c r="AE141" s="65">
        <f t="shared" si="125"/>
        <v>4479415.0200016405</v>
      </c>
      <c r="AF141" s="65">
        <f t="shared" si="125"/>
        <v>4898688.2658737944</v>
      </c>
      <c r="AG141" s="65">
        <f t="shared" si="125"/>
        <v>5357205.4875595812</v>
      </c>
      <c r="AH141" s="65">
        <f t="shared" si="125"/>
        <v>5858639.9211951569</v>
      </c>
      <c r="AI141" s="65">
        <f t="shared" si="125"/>
        <v>6407008.6178190215</v>
      </c>
      <c r="AJ141" s="65">
        <f t="shared" si="125"/>
        <v>7006704.6244468819</v>
      </c>
      <c r="AK141" s="65">
        <f t="shared" si="125"/>
        <v>7662532.1772951093</v>
      </c>
      <c r="AL141" s="65">
        <f t="shared" si="125"/>
        <v>8379745.1890899325</v>
      </c>
    </row>
    <row r="142" spans="4:38">
      <c r="D142" s="7"/>
      <c r="E142" s="16"/>
    </row>
    <row r="143" spans="4:38" ht="18">
      <c r="D143" s="15" t="s">
        <v>249</v>
      </c>
    </row>
    <row r="144" spans="4:38" ht="15">
      <c r="D144" s="100" t="s">
        <v>250</v>
      </c>
      <c r="E144" s="101"/>
      <c r="F144" s="101"/>
      <c r="G144" s="101"/>
      <c r="H144" s="101"/>
      <c r="I144" s="101"/>
      <c r="J144" s="101"/>
      <c r="K144" s="101"/>
    </row>
    <row r="145" spans="4:38">
      <c r="D145" s="102" t="s">
        <v>299</v>
      </c>
      <c r="E145" s="103" t="s">
        <v>169</v>
      </c>
      <c r="F145" s="101"/>
      <c r="G145" s="101"/>
      <c r="H145" s="101"/>
      <c r="I145" s="101"/>
      <c r="J145" s="101"/>
      <c r="K145" s="101" t="str">
        <f>Inputs!E69</f>
        <v>Low</v>
      </c>
      <c r="M145" s="7"/>
    </row>
    <row r="146" spans="4:38">
      <c r="D146" s="102" t="s">
        <v>329</v>
      </c>
      <c r="E146" s="103" t="s">
        <v>303</v>
      </c>
      <c r="F146" s="101"/>
      <c r="G146" s="101"/>
      <c r="H146" s="101"/>
      <c r="I146" s="101"/>
      <c r="J146" s="101"/>
      <c r="K146" s="101">
        <f>INDEX('Availability Model'!$C$4:$T$8, MATCH($K$118,'Availability Model'!$B$4:$B$8, 0), MATCH($K$10, 'Availability Model'!$C$1:$T$1, 0))</f>
        <v>2</v>
      </c>
      <c r="M146" s="7"/>
    </row>
    <row r="147" spans="4:38">
      <c r="D147" s="102" t="s">
        <v>301</v>
      </c>
      <c r="E147" s="103" t="s">
        <v>106</v>
      </c>
      <c r="F147" s="101"/>
      <c r="G147" s="101"/>
      <c r="H147" s="101"/>
      <c r="I147" s="101"/>
      <c r="J147" s="101"/>
      <c r="K147" s="101"/>
      <c r="M147" s="7"/>
    </row>
    <row r="148" spans="4:38">
      <c r="D148" s="102" t="s">
        <v>302</v>
      </c>
      <c r="E148" s="103" t="s">
        <v>106</v>
      </c>
      <c r="F148" s="101"/>
      <c r="G148" s="101"/>
      <c r="H148" s="101"/>
      <c r="I148" s="101"/>
      <c r="J148" s="101"/>
      <c r="K148" s="101">
        <f>Inputs!E132</f>
        <v>376680</v>
      </c>
      <c r="M148" s="7"/>
    </row>
    <row r="149" spans="4:38">
      <c r="D149" s="102" t="s">
        <v>326</v>
      </c>
      <c r="E149" s="103" t="s">
        <v>106</v>
      </c>
      <c r="F149" s="101"/>
      <c r="G149" s="101"/>
      <c r="H149" s="101"/>
      <c r="I149" s="101"/>
      <c r="J149" s="101"/>
      <c r="K149" s="101">
        <f>K147-K148</f>
        <v>-376680</v>
      </c>
      <c r="M149" s="7"/>
    </row>
    <row r="150" spans="4:38">
      <c r="D150" s="7"/>
    </row>
    <row r="152" spans="4:38" ht="15">
      <c r="D152" s="4" t="s">
        <v>137</v>
      </c>
    </row>
    <row r="153" spans="4:38">
      <c r="D153" s="7" t="s">
        <v>299</v>
      </c>
      <c r="E153" s="16" t="s">
        <v>169</v>
      </c>
      <c r="K153" t="str">
        <f>Inputs!E70</f>
        <v>Good</v>
      </c>
      <c r="L153" t="str">
        <f>Inputs!F70</f>
        <v>Good</v>
      </c>
      <c r="M153" t="str">
        <f>Inputs!G70</f>
        <v>Good</v>
      </c>
      <c r="N153" t="str">
        <f>Inputs!H70</f>
        <v>Good</v>
      </c>
      <c r="O153" t="str">
        <f>Inputs!I70</f>
        <v>Good</v>
      </c>
      <c r="P153" t="str">
        <f>Inputs!J70</f>
        <v>Good</v>
      </c>
      <c r="Q153" t="str">
        <f>P153</f>
        <v>Good</v>
      </c>
      <c r="R153" t="str">
        <f t="shared" ref="R153:AL153" si="126">Q153</f>
        <v>Good</v>
      </c>
      <c r="S153" t="str">
        <f t="shared" si="126"/>
        <v>Good</v>
      </c>
      <c r="T153" t="str">
        <f t="shared" si="126"/>
        <v>Good</v>
      </c>
      <c r="U153" t="str">
        <f t="shared" si="126"/>
        <v>Good</v>
      </c>
      <c r="V153" t="str">
        <f t="shared" si="126"/>
        <v>Good</v>
      </c>
      <c r="W153" t="str">
        <f t="shared" si="126"/>
        <v>Good</v>
      </c>
      <c r="X153" t="str">
        <f t="shared" si="126"/>
        <v>Good</v>
      </c>
      <c r="Y153" t="str">
        <f t="shared" si="126"/>
        <v>Good</v>
      </c>
      <c r="Z153" t="str">
        <f t="shared" si="126"/>
        <v>Good</v>
      </c>
      <c r="AA153" t="str">
        <f t="shared" si="126"/>
        <v>Good</v>
      </c>
      <c r="AB153" t="str">
        <f t="shared" si="126"/>
        <v>Good</v>
      </c>
      <c r="AC153" t="str">
        <f t="shared" si="126"/>
        <v>Good</v>
      </c>
      <c r="AD153" t="str">
        <f t="shared" si="126"/>
        <v>Good</v>
      </c>
      <c r="AE153" t="str">
        <f t="shared" si="126"/>
        <v>Good</v>
      </c>
      <c r="AF153" t="str">
        <f t="shared" si="126"/>
        <v>Good</v>
      </c>
      <c r="AG153" t="str">
        <f t="shared" si="126"/>
        <v>Good</v>
      </c>
      <c r="AH153" t="str">
        <f t="shared" si="126"/>
        <v>Good</v>
      </c>
      <c r="AI153" t="str">
        <f t="shared" si="126"/>
        <v>Good</v>
      </c>
      <c r="AJ153" t="str">
        <f t="shared" si="126"/>
        <v>Good</v>
      </c>
      <c r="AK153" t="str">
        <f t="shared" si="126"/>
        <v>Good</v>
      </c>
      <c r="AL153" t="str">
        <f t="shared" si="126"/>
        <v>Good</v>
      </c>
    </row>
    <row r="154" spans="4:38">
      <c r="D154" s="7" t="s">
        <v>300</v>
      </c>
      <c r="E154" s="16" t="s">
        <v>303</v>
      </c>
      <c r="K154">
        <f>INDEX('Availability Model'!$C$81:$T$84, MATCH($K$153,'Availability Model'!$B$81:$B$84, 0), MATCH($K$10, 'Availability Model'!$C$1:$T$1, 0))</f>
        <v>0</v>
      </c>
      <c r="L154">
        <f>INDEX('Availability Model'!$C$81:$T$84, MATCH($K$153,'Availability Model'!$B$81:$B$84, 0), MATCH($K$10, 'Availability Model'!$C$1:$T$1, 0))</f>
        <v>0</v>
      </c>
      <c r="M154">
        <f>INDEX('Availability Model'!$C$81:$T$84, MATCH($K$153,'Availability Model'!$B$81:$B$84, 0), MATCH($K$10, 'Availability Model'!$C$1:$T$1, 0))</f>
        <v>0</v>
      </c>
      <c r="N154">
        <f>INDEX('Availability Model'!$C$81:$T$84, MATCH($K$153,'Availability Model'!$B$81:$B$84, 0), MATCH($K$10, 'Availability Model'!$C$1:$T$1, 0))</f>
        <v>0</v>
      </c>
      <c r="O154">
        <f>INDEX('Availability Model'!$C$81:$T$84, MATCH($K$153,'Availability Model'!$B$81:$B$84, 0), MATCH($K$10, 'Availability Model'!$C$1:$T$1, 0))</f>
        <v>0</v>
      </c>
      <c r="P154">
        <f>INDEX('Availability Model'!$C$81:$T$84, MATCH($K$153,'Availability Model'!$B$81:$B$84, 0), MATCH($K$10, 'Availability Model'!$C$1:$T$1, 0))</f>
        <v>0</v>
      </c>
      <c r="Q154">
        <f>INDEX('Availability Model'!$C$81:$T$84, MATCH($K$153,'Availability Model'!$B$81:$B$84, 0), MATCH($K$10, 'Availability Model'!$C$1:$T$1, 0))</f>
        <v>0</v>
      </c>
      <c r="R154">
        <f>INDEX('Availability Model'!$C$81:$T$84, MATCH($K$153,'Availability Model'!$B$81:$B$84, 0), MATCH($K$10, 'Availability Model'!$C$1:$T$1, 0))</f>
        <v>0</v>
      </c>
      <c r="S154">
        <f>INDEX('Availability Model'!$C$81:$T$84, MATCH($K$153,'Availability Model'!$B$81:$B$84, 0), MATCH($K$10, 'Availability Model'!$C$1:$T$1, 0))</f>
        <v>0</v>
      </c>
      <c r="T154">
        <f>INDEX('Availability Model'!$C$81:$T$84, MATCH($K$153,'Availability Model'!$B$81:$B$84, 0), MATCH($K$10, 'Availability Model'!$C$1:$T$1, 0))</f>
        <v>0</v>
      </c>
      <c r="U154">
        <f>INDEX('Availability Model'!$C$81:$T$84, MATCH($K$153,'Availability Model'!$B$81:$B$84, 0), MATCH($K$10, 'Availability Model'!$C$1:$T$1, 0))</f>
        <v>0</v>
      </c>
      <c r="V154">
        <f>INDEX('Availability Model'!$C$81:$T$84, MATCH($K$153,'Availability Model'!$B$81:$B$84, 0), MATCH($K$10, 'Availability Model'!$C$1:$T$1, 0))</f>
        <v>0</v>
      </c>
      <c r="W154">
        <f>INDEX('Availability Model'!$C$81:$T$84, MATCH($K$153,'Availability Model'!$B$81:$B$84, 0), MATCH($K$10, 'Availability Model'!$C$1:$T$1, 0))</f>
        <v>0</v>
      </c>
      <c r="X154">
        <f>INDEX('Availability Model'!$C$81:$T$84, MATCH($K$153,'Availability Model'!$B$81:$B$84, 0), MATCH($K$10, 'Availability Model'!$C$1:$T$1, 0))</f>
        <v>0</v>
      </c>
      <c r="Y154">
        <f>INDEX('Availability Model'!$C$81:$T$84, MATCH($K$153,'Availability Model'!$B$81:$B$84, 0), MATCH($K$10, 'Availability Model'!$C$1:$T$1, 0))</f>
        <v>0</v>
      </c>
      <c r="Z154">
        <f>INDEX('Availability Model'!$C$81:$T$84, MATCH($K$153,'Availability Model'!$B$81:$B$84, 0), MATCH($K$10, 'Availability Model'!$C$1:$T$1, 0))</f>
        <v>0</v>
      </c>
      <c r="AA154">
        <f>INDEX('Availability Model'!$C$81:$T$84, MATCH($K$153,'Availability Model'!$B$81:$B$84, 0), MATCH($K$10, 'Availability Model'!$C$1:$T$1, 0))</f>
        <v>0</v>
      </c>
      <c r="AB154">
        <f>INDEX('Availability Model'!$C$81:$T$84, MATCH($K$153,'Availability Model'!$B$81:$B$84, 0), MATCH($K$10, 'Availability Model'!$C$1:$T$1, 0))</f>
        <v>0</v>
      </c>
      <c r="AC154">
        <f>INDEX('Availability Model'!$C$81:$T$84, MATCH($K$153,'Availability Model'!$B$81:$B$84, 0), MATCH($K$10, 'Availability Model'!$C$1:$T$1, 0))</f>
        <v>0</v>
      </c>
      <c r="AD154">
        <f>INDEX('Availability Model'!$C$81:$T$84, MATCH($K$153,'Availability Model'!$B$81:$B$84, 0), MATCH($K$10, 'Availability Model'!$C$1:$T$1, 0))</f>
        <v>0</v>
      </c>
      <c r="AE154">
        <f>INDEX('Availability Model'!$C$81:$T$84, MATCH($K$153,'Availability Model'!$B$81:$B$84, 0), MATCH($K$10, 'Availability Model'!$C$1:$T$1, 0))</f>
        <v>0</v>
      </c>
      <c r="AF154">
        <f>INDEX('Availability Model'!$C$81:$T$84, MATCH($K$153,'Availability Model'!$B$81:$B$84, 0), MATCH($K$10, 'Availability Model'!$C$1:$T$1, 0))</f>
        <v>0</v>
      </c>
      <c r="AG154">
        <f>INDEX('Availability Model'!$C$81:$T$84, MATCH($K$153,'Availability Model'!$B$81:$B$84, 0), MATCH($K$10, 'Availability Model'!$C$1:$T$1, 0))</f>
        <v>0</v>
      </c>
      <c r="AH154">
        <f>INDEX('Availability Model'!$C$81:$T$84, MATCH($K$153,'Availability Model'!$B$81:$B$84, 0), MATCH($K$10, 'Availability Model'!$C$1:$T$1, 0))</f>
        <v>0</v>
      </c>
      <c r="AI154">
        <f>INDEX('Availability Model'!$C$81:$T$84, MATCH($K$153,'Availability Model'!$B$81:$B$84, 0), MATCH($K$10, 'Availability Model'!$C$1:$T$1, 0))</f>
        <v>0</v>
      </c>
      <c r="AJ154">
        <f>INDEX('Availability Model'!$C$81:$T$84, MATCH($K$153,'Availability Model'!$B$81:$B$84, 0), MATCH($K$10, 'Availability Model'!$C$1:$T$1, 0))</f>
        <v>0</v>
      </c>
      <c r="AK154">
        <f>INDEX('Availability Model'!$C$81:$T$84, MATCH($K$153,'Availability Model'!$B$81:$B$84, 0), MATCH($K$10, 'Availability Model'!$C$1:$T$1, 0))</f>
        <v>0</v>
      </c>
      <c r="AL154">
        <f>INDEX('Availability Model'!$C$81:$T$84, MATCH($K$153,'Availability Model'!$B$81:$B$84, 0), MATCH($K$10, 'Availability Model'!$C$1:$T$1, 0))</f>
        <v>0</v>
      </c>
    </row>
    <row r="155" spans="4:38">
      <c r="D155" s="7" t="s">
        <v>312</v>
      </c>
      <c r="E155" s="16" t="s">
        <v>106</v>
      </c>
      <c r="K155">
        <f>K154*INDEX('Availability Model'!$C$81:$T$84, MATCH($K$153,'Availability Model'!$B$81:$B$84, 0), MATCH($K$10, 'Availability Model'!$C$1:$T$1, 0))</f>
        <v>0</v>
      </c>
      <c r="L155">
        <f>L154*INDEX('Availability Model'!$C$81:$T$84, MATCH($K$153,'Availability Model'!$B$81:$B$84, 0), MATCH($K$10, 'Availability Model'!$C$1:$T$1, 0))</f>
        <v>0</v>
      </c>
      <c r="M155">
        <f>M154*INDEX('Availability Model'!$C$81:$T$84, MATCH($K$153,'Availability Model'!$B$81:$B$84, 0), MATCH($K$10, 'Availability Model'!$C$1:$T$1, 0))</f>
        <v>0</v>
      </c>
      <c r="N155">
        <f>N154*INDEX('Availability Model'!$C$81:$T$84, MATCH($K$153,'Availability Model'!$B$81:$B$84, 0), MATCH($K$10, 'Availability Model'!$C$1:$T$1, 0))</f>
        <v>0</v>
      </c>
      <c r="O155">
        <f>O154*INDEX('Availability Model'!$C$81:$T$84, MATCH($K$153,'Availability Model'!$B$81:$B$84, 0), MATCH($K$10, 'Availability Model'!$C$1:$T$1, 0))</f>
        <v>0</v>
      </c>
      <c r="P155">
        <f>P154*INDEX('Availability Model'!$C$81:$T$84, MATCH($K$153,'Availability Model'!$B$81:$B$84, 0), MATCH($K$10, 'Availability Model'!$C$1:$T$1, 0))</f>
        <v>0</v>
      </c>
      <c r="Q155">
        <f>Q154*INDEX('Availability Model'!$C$81:$T$84, MATCH($K$153,'Availability Model'!$B$81:$B$84, 0), MATCH($K$10, 'Availability Model'!$C$1:$T$1, 0))</f>
        <v>0</v>
      </c>
      <c r="R155">
        <f>R154*INDEX('Availability Model'!$C$81:$T$84, MATCH($K$153,'Availability Model'!$B$81:$B$84, 0), MATCH($K$10, 'Availability Model'!$C$1:$T$1, 0))</f>
        <v>0</v>
      </c>
      <c r="S155">
        <f>S154*INDEX('Availability Model'!$C$81:$T$84, MATCH($K$153,'Availability Model'!$B$81:$B$84, 0), MATCH($K$10, 'Availability Model'!$C$1:$T$1, 0))</f>
        <v>0</v>
      </c>
      <c r="T155">
        <f>T154*INDEX('Availability Model'!$C$81:$T$84, MATCH($K$153,'Availability Model'!$B$81:$B$84, 0), MATCH($K$10, 'Availability Model'!$C$1:$T$1, 0))</f>
        <v>0</v>
      </c>
      <c r="U155">
        <f>U154*INDEX('Availability Model'!$C$81:$T$84, MATCH($K$153,'Availability Model'!$B$81:$B$84, 0), MATCH($K$10, 'Availability Model'!$C$1:$T$1, 0))</f>
        <v>0</v>
      </c>
      <c r="V155">
        <f>V154*INDEX('Availability Model'!$C$81:$T$84, MATCH($K$153,'Availability Model'!$B$81:$B$84, 0), MATCH($K$10, 'Availability Model'!$C$1:$T$1, 0))</f>
        <v>0</v>
      </c>
      <c r="W155">
        <f>W154*INDEX('Availability Model'!$C$81:$T$84, MATCH($K$153,'Availability Model'!$B$81:$B$84, 0), MATCH($K$10, 'Availability Model'!$C$1:$T$1, 0))</f>
        <v>0</v>
      </c>
      <c r="X155">
        <f>X154*INDEX('Availability Model'!$C$81:$T$84, MATCH($K$153,'Availability Model'!$B$81:$B$84, 0), MATCH($K$10, 'Availability Model'!$C$1:$T$1, 0))</f>
        <v>0</v>
      </c>
      <c r="Y155">
        <f>Y154*INDEX('Availability Model'!$C$81:$T$84, MATCH($K$153,'Availability Model'!$B$81:$B$84, 0), MATCH($K$10, 'Availability Model'!$C$1:$T$1, 0))</f>
        <v>0</v>
      </c>
      <c r="Z155">
        <f>Z154*INDEX('Availability Model'!$C$81:$T$84, MATCH($K$153,'Availability Model'!$B$81:$B$84, 0), MATCH($K$10, 'Availability Model'!$C$1:$T$1, 0))</f>
        <v>0</v>
      </c>
      <c r="AA155">
        <f>AA154*INDEX('Availability Model'!$C$81:$T$84, MATCH($K$153,'Availability Model'!$B$81:$B$84, 0), MATCH($K$10, 'Availability Model'!$C$1:$T$1, 0))</f>
        <v>0</v>
      </c>
      <c r="AB155">
        <f>AB154*INDEX('Availability Model'!$C$81:$T$84, MATCH($K$153,'Availability Model'!$B$81:$B$84, 0), MATCH($K$10, 'Availability Model'!$C$1:$T$1, 0))</f>
        <v>0</v>
      </c>
      <c r="AC155">
        <f>AC154*INDEX('Availability Model'!$C$81:$T$84, MATCH($K$153,'Availability Model'!$B$81:$B$84, 0), MATCH($K$10, 'Availability Model'!$C$1:$T$1, 0))</f>
        <v>0</v>
      </c>
      <c r="AD155">
        <f>AD154*INDEX('Availability Model'!$C$81:$T$84, MATCH($K$153,'Availability Model'!$B$81:$B$84, 0), MATCH($K$10, 'Availability Model'!$C$1:$T$1, 0))</f>
        <v>0</v>
      </c>
      <c r="AE155">
        <f>AE154*INDEX('Availability Model'!$C$81:$T$84, MATCH($K$153,'Availability Model'!$B$81:$B$84, 0), MATCH($K$10, 'Availability Model'!$C$1:$T$1, 0))</f>
        <v>0</v>
      </c>
      <c r="AF155">
        <f>AF154*INDEX('Availability Model'!$C$81:$T$84, MATCH($K$153,'Availability Model'!$B$81:$B$84, 0), MATCH($K$10, 'Availability Model'!$C$1:$T$1, 0))</f>
        <v>0</v>
      </c>
      <c r="AG155">
        <f>AG154*INDEX('Availability Model'!$C$81:$T$84, MATCH($K$153,'Availability Model'!$B$81:$B$84, 0), MATCH($K$10, 'Availability Model'!$C$1:$T$1, 0))</f>
        <v>0</v>
      </c>
      <c r="AH155">
        <f>AH154*INDEX('Availability Model'!$C$81:$T$84, MATCH($K$153,'Availability Model'!$B$81:$B$84, 0), MATCH($K$10, 'Availability Model'!$C$1:$T$1, 0))</f>
        <v>0</v>
      </c>
      <c r="AI155">
        <f>AI154*INDEX('Availability Model'!$C$81:$T$84, MATCH($K$153,'Availability Model'!$B$81:$B$84, 0), MATCH($K$10, 'Availability Model'!$C$1:$T$1, 0))</f>
        <v>0</v>
      </c>
      <c r="AJ155">
        <f>AJ154*INDEX('Availability Model'!$C$81:$T$84, MATCH($K$153,'Availability Model'!$B$81:$B$84, 0), MATCH($K$10, 'Availability Model'!$C$1:$T$1, 0))</f>
        <v>0</v>
      </c>
      <c r="AK155">
        <f>AK154*INDEX('Availability Model'!$C$81:$T$84, MATCH($K$153,'Availability Model'!$B$81:$B$84, 0), MATCH($K$10, 'Availability Model'!$C$1:$T$1, 0))</f>
        <v>0</v>
      </c>
      <c r="AL155">
        <f>AL154*INDEX('Availability Model'!$C$81:$T$84, MATCH($K$153,'Availability Model'!$B$81:$B$84, 0), MATCH($K$10, 'Availability Model'!$C$1:$T$1, 0))</f>
        <v>0</v>
      </c>
    </row>
    <row r="156" spans="4:38">
      <c r="D156" s="7" t="s">
        <v>302</v>
      </c>
      <c r="E156" s="16" t="s">
        <v>106</v>
      </c>
      <c r="K156" s="65">
        <f>K130</f>
        <v>1.8129533678756478</v>
      </c>
      <c r="L156" s="65">
        <f t="shared" ref="L156:AL156" si="127">L130</f>
        <v>1.9014456764652192</v>
      </c>
      <c r="M156" s="65">
        <f t="shared" si="127"/>
        <v>1.8367738032705883</v>
      </c>
      <c r="N156" s="65">
        <f t="shared" si="127"/>
        <v>1.8815339776532183</v>
      </c>
      <c r="O156" s="65">
        <f t="shared" si="127"/>
        <v>2.274116334125547</v>
      </c>
      <c r="P156" s="65">
        <f t="shared" si="127"/>
        <v>2.2713840936883885</v>
      </c>
      <c r="Q156" s="65">
        <f t="shared" si="127"/>
        <v>2.0845047041176494</v>
      </c>
      <c r="R156" s="65">
        <f t="shared" si="127"/>
        <v>2.0845047041176494</v>
      </c>
      <c r="S156" s="65">
        <f t="shared" si="127"/>
        <v>1.8015541388963427</v>
      </c>
      <c r="T156" s="65">
        <f t="shared" si="127"/>
        <v>1.7991245737385273</v>
      </c>
      <c r="U156" s="65">
        <f t="shared" si="127"/>
        <v>1.8015541388963427</v>
      </c>
      <c r="V156" s="65">
        <f t="shared" si="127"/>
        <v>1.8015541388963427</v>
      </c>
      <c r="W156" s="65">
        <f t="shared" si="127"/>
        <v>1.8015541388963427</v>
      </c>
      <c r="X156" s="65">
        <f t="shared" si="127"/>
        <v>1.7991245737385273</v>
      </c>
      <c r="Y156" s="65">
        <f t="shared" si="127"/>
        <v>1.8015541388963427</v>
      </c>
      <c r="Z156" s="65">
        <f t="shared" si="127"/>
        <v>1.8015541388963427</v>
      </c>
      <c r="AA156" s="65">
        <f t="shared" si="127"/>
        <v>1.8015541388963427</v>
      </c>
      <c r="AB156" s="65">
        <f t="shared" si="127"/>
        <v>1.7991245737385273</v>
      </c>
      <c r="AC156" s="65">
        <f t="shared" si="127"/>
        <v>1.8015541388963427</v>
      </c>
      <c r="AD156" s="65">
        <f t="shared" si="127"/>
        <v>1.8015541388963427</v>
      </c>
      <c r="AE156" s="65">
        <f t="shared" si="127"/>
        <v>1.8015541388963427</v>
      </c>
      <c r="AF156" s="65">
        <f t="shared" si="127"/>
        <v>1.7991245737385273</v>
      </c>
      <c r="AG156" s="65">
        <f t="shared" si="127"/>
        <v>1.8015541388963427</v>
      </c>
      <c r="AH156" s="65">
        <f t="shared" si="127"/>
        <v>1.8015541388963427</v>
      </c>
      <c r="AI156" s="65">
        <f t="shared" si="127"/>
        <v>1.8015541388963427</v>
      </c>
      <c r="AJ156" s="65">
        <f t="shared" si="127"/>
        <v>1.7991245737385273</v>
      </c>
      <c r="AK156" s="65">
        <f t="shared" si="127"/>
        <v>1.8015541388963427</v>
      </c>
      <c r="AL156" s="65">
        <f t="shared" si="127"/>
        <v>1.8015541388963427</v>
      </c>
    </row>
    <row r="157" spans="4:38">
      <c r="D157" s="7" t="s">
        <v>313</v>
      </c>
      <c r="E157" s="16" t="s">
        <v>106</v>
      </c>
      <c r="K157">
        <f>IF((K155-K156)&gt;0, K155-K156,0)</f>
        <v>0</v>
      </c>
      <c r="L157">
        <f t="shared" ref="L157:AL157" si="128">IF((L155-L156)&gt;0, L155-L156,0)</f>
        <v>0</v>
      </c>
      <c r="M157">
        <f t="shared" si="128"/>
        <v>0</v>
      </c>
      <c r="N157">
        <f t="shared" si="128"/>
        <v>0</v>
      </c>
      <c r="O157">
        <f t="shared" si="128"/>
        <v>0</v>
      </c>
      <c r="P157">
        <f t="shared" si="128"/>
        <v>0</v>
      </c>
      <c r="Q157">
        <f t="shared" si="128"/>
        <v>0</v>
      </c>
      <c r="R157">
        <f t="shared" si="128"/>
        <v>0</v>
      </c>
      <c r="S157">
        <f t="shared" si="128"/>
        <v>0</v>
      </c>
      <c r="T157">
        <f t="shared" si="128"/>
        <v>0</v>
      </c>
      <c r="U157">
        <f t="shared" si="128"/>
        <v>0</v>
      </c>
      <c r="V157">
        <f t="shared" si="128"/>
        <v>0</v>
      </c>
      <c r="W157">
        <f t="shared" si="128"/>
        <v>0</v>
      </c>
      <c r="X157">
        <f t="shared" si="128"/>
        <v>0</v>
      </c>
      <c r="Y157">
        <f t="shared" si="128"/>
        <v>0</v>
      </c>
      <c r="Z157">
        <f t="shared" si="128"/>
        <v>0</v>
      </c>
      <c r="AA157">
        <f t="shared" si="128"/>
        <v>0</v>
      </c>
      <c r="AB157">
        <f t="shared" si="128"/>
        <v>0</v>
      </c>
      <c r="AC157">
        <f t="shared" si="128"/>
        <v>0</v>
      </c>
      <c r="AD157">
        <f t="shared" si="128"/>
        <v>0</v>
      </c>
      <c r="AE157">
        <f t="shared" si="128"/>
        <v>0</v>
      </c>
      <c r="AF157">
        <f t="shared" si="128"/>
        <v>0</v>
      </c>
      <c r="AG157">
        <f t="shared" si="128"/>
        <v>0</v>
      </c>
      <c r="AH157">
        <f t="shared" si="128"/>
        <v>0</v>
      </c>
      <c r="AI157">
        <f t="shared" si="128"/>
        <v>0</v>
      </c>
      <c r="AJ157">
        <f t="shared" si="128"/>
        <v>0</v>
      </c>
      <c r="AK157">
        <f t="shared" si="128"/>
        <v>0</v>
      </c>
      <c r="AL157">
        <f t="shared" si="128"/>
        <v>0</v>
      </c>
    </row>
    <row r="158" spans="4:38">
      <c r="D158" s="7" t="s">
        <v>314</v>
      </c>
      <c r="E158" s="16" t="s">
        <v>306</v>
      </c>
      <c r="K158" s="65">
        <f t="shared" ref="K158:AL158" si="129">IF(K157&gt;0,K157*K31,0)</f>
        <v>0</v>
      </c>
      <c r="L158" s="65">
        <f t="shared" si="129"/>
        <v>0</v>
      </c>
      <c r="M158" s="65">
        <f t="shared" si="129"/>
        <v>0</v>
      </c>
      <c r="N158" s="65">
        <f t="shared" si="129"/>
        <v>0</v>
      </c>
      <c r="O158" s="65">
        <f t="shared" si="129"/>
        <v>0</v>
      </c>
      <c r="P158" s="65">
        <f t="shared" si="129"/>
        <v>0</v>
      </c>
      <c r="Q158" s="65">
        <f t="shared" si="129"/>
        <v>0</v>
      </c>
      <c r="R158" s="65">
        <f t="shared" si="129"/>
        <v>0</v>
      </c>
      <c r="S158" s="65">
        <f t="shared" si="129"/>
        <v>0</v>
      </c>
      <c r="T158" s="65">
        <f t="shared" si="129"/>
        <v>0</v>
      </c>
      <c r="U158" s="65">
        <f t="shared" si="129"/>
        <v>0</v>
      </c>
      <c r="V158" s="65">
        <f t="shared" si="129"/>
        <v>0</v>
      </c>
      <c r="W158" s="65">
        <f t="shared" si="129"/>
        <v>0</v>
      </c>
      <c r="X158" s="65">
        <f t="shared" si="129"/>
        <v>0</v>
      </c>
      <c r="Y158" s="65">
        <f t="shared" si="129"/>
        <v>0</v>
      </c>
      <c r="Z158" s="65">
        <f t="shared" si="129"/>
        <v>0</v>
      </c>
      <c r="AA158" s="65">
        <f t="shared" si="129"/>
        <v>0</v>
      </c>
      <c r="AB158" s="65">
        <f t="shared" si="129"/>
        <v>0</v>
      </c>
      <c r="AC158" s="65">
        <f t="shared" si="129"/>
        <v>0</v>
      </c>
      <c r="AD158" s="65">
        <f t="shared" si="129"/>
        <v>0</v>
      </c>
      <c r="AE158" s="65">
        <f t="shared" si="129"/>
        <v>0</v>
      </c>
      <c r="AF158" s="65">
        <f t="shared" si="129"/>
        <v>0</v>
      </c>
      <c r="AG158" s="65">
        <f t="shared" si="129"/>
        <v>0</v>
      </c>
      <c r="AH158" s="65">
        <f t="shared" si="129"/>
        <v>0</v>
      </c>
      <c r="AI158" s="65">
        <f t="shared" si="129"/>
        <v>0</v>
      </c>
      <c r="AJ158" s="65">
        <f t="shared" si="129"/>
        <v>0</v>
      </c>
      <c r="AK158" s="65">
        <f t="shared" si="129"/>
        <v>0</v>
      </c>
      <c r="AL158" s="65">
        <f t="shared" si="129"/>
        <v>0</v>
      </c>
    </row>
    <row r="159" spans="4:38">
      <c r="D159" s="7"/>
    </row>
    <row r="160" spans="4:38">
      <c r="D160" s="3" t="s">
        <v>315</v>
      </c>
      <c r="E160" s="16" t="s">
        <v>306</v>
      </c>
      <c r="K160" s="65">
        <f>K158*INDEX('Availability Model'!$C$60:$T$64, MATCH($K$127,'Availability Model'!$B$60:$B$64, 0), MATCH($K$10, 'Availability Model'!$C$1:$T$1, 0))</f>
        <v>0</v>
      </c>
      <c r="L160" s="65">
        <f>L158*INDEX('Availability Model'!$C$60:$T$64, MATCH($K$127,'Availability Model'!$B$60:$B$64, 0), MATCH($K$10, 'Availability Model'!$C$1:$T$1, 0))</f>
        <v>0</v>
      </c>
      <c r="M160" s="65">
        <f>M158*INDEX('Availability Model'!$C$60:$T$64, MATCH($K$127,'Availability Model'!$B$60:$B$64, 0), MATCH($K$10, 'Availability Model'!$C$1:$T$1, 0))</f>
        <v>0</v>
      </c>
      <c r="N160" s="65">
        <f>N158*INDEX('Availability Model'!$C$60:$T$64, MATCH($K$127,'Availability Model'!$B$60:$B$64, 0), MATCH($K$10, 'Availability Model'!$C$1:$T$1, 0))</f>
        <v>0</v>
      </c>
      <c r="O160" s="65">
        <f>O158*INDEX('Availability Model'!$C$60:$T$64, MATCH($K$127,'Availability Model'!$B$60:$B$64, 0), MATCH($K$10, 'Availability Model'!$C$1:$T$1, 0))</f>
        <v>0</v>
      </c>
      <c r="P160" s="65">
        <f>P158*INDEX('Availability Model'!$C$60:$T$64, MATCH($K$127,'Availability Model'!$B$60:$B$64, 0), MATCH($K$10, 'Availability Model'!$C$1:$T$1, 0))</f>
        <v>0</v>
      </c>
    </row>
    <row r="161" spans="4:38">
      <c r="D161" s="3" t="s">
        <v>333</v>
      </c>
      <c r="E161" s="16" t="s">
        <v>246</v>
      </c>
      <c r="K161" s="65">
        <f>K160*Inputs!E52</f>
        <v>0</v>
      </c>
      <c r="L161" s="65">
        <f>L160*Inputs!F52</f>
        <v>0</v>
      </c>
      <c r="M161" s="65">
        <f>M160*Inputs!G52</f>
        <v>0</v>
      </c>
      <c r="N161" s="65">
        <f>N160*Inputs!H52</f>
        <v>0</v>
      </c>
      <c r="O161" s="65">
        <f>O160*Inputs!I52</f>
        <v>0</v>
      </c>
      <c r="P161" s="65">
        <f>P160*Inputs!J52</f>
        <v>0</v>
      </c>
    </row>
    <row r="162" spans="4:38">
      <c r="D162" t="s">
        <v>318</v>
      </c>
      <c r="E162" s="16" t="s">
        <v>211</v>
      </c>
      <c r="K162" s="65">
        <f>(K25*K69)*INDEX('Availability Model'!$C$93:$T$96, MATCH($K$153,'Availability Model'!$B$93:$B$96, 0), MATCH($K$10, 'Availability Model'!$C$1:$T$1, 0))</f>
        <v>104654.25</v>
      </c>
      <c r="L162" s="65">
        <f>(L25*L69)*INDEX('Availability Model'!$C$93:$T$96, MATCH($K$153,'Availability Model'!$B$93:$B$96, 0), MATCH($K$10, 'Availability Model'!$C$1:$T$1, 0))</f>
        <v>108070.32889508041</v>
      </c>
      <c r="M162" s="65">
        <f>(M25*M69)*INDEX('Availability Model'!$C$93:$T$96, MATCH($K$153,'Availability Model'!$B$93:$B$96, 0), MATCH($K$10, 'Availability Model'!$C$1:$T$1, 0))</f>
        <v>123222.34418657479</v>
      </c>
      <c r="N162" s="65">
        <f>(N25*N69)*INDEX('Availability Model'!$C$93:$T$96, MATCH($K$153,'Availability Model'!$B$93:$B$96, 0), MATCH($K$10, 'Availability Model'!$C$1:$T$1, 0))</f>
        <v>875621.78677276801</v>
      </c>
      <c r="O162" s="65">
        <f>(O25*O69)*INDEX('Availability Model'!$C$93:$T$96, MATCH($K$153,'Availability Model'!$B$93:$B$96, 0), MATCH($K$10, 'Availability Model'!$C$1:$T$1, 0))</f>
        <v>2076622.4426562337</v>
      </c>
      <c r="P162" s="65">
        <f>(P25*P69)*INDEX('Availability Model'!$C$93:$T$96, MATCH($K$153,'Availability Model'!$B$93:$B$96, 0), MATCH($K$10, 'Availability Model'!$C$1:$T$1, 0))</f>
        <v>2270994.303288857</v>
      </c>
      <c r="Q162" s="65">
        <f>(Q25*Q69)*INDEX('Availability Model'!$C$93:$T$96, MATCH($K$153,'Availability Model'!$B$93:$B$96, 0), MATCH($K$10, 'Availability Model'!$C$1:$T$1, 0))</f>
        <v>2917777.625279895</v>
      </c>
      <c r="R162" s="65">
        <f>(R25*R69)*INDEX('Availability Model'!$C$93:$T$96, MATCH($K$153,'Availability Model'!$B$93:$B$96, 0), MATCH($K$10, 'Availability Model'!$C$1:$T$1, 0))</f>
        <v>3190881.6110060923</v>
      </c>
      <c r="S162" s="65">
        <f>(S25*S69)*INDEX('Availability Model'!$C$93:$T$96, MATCH($K$153,'Availability Model'!$B$93:$B$96, 0), MATCH($K$10, 'Availability Model'!$C$1:$T$1, 0))</f>
        <v>3688559.1008380982</v>
      </c>
      <c r="T162" s="65">
        <f>(T25*T69)*INDEX('Availability Model'!$C$93:$T$96, MATCH($K$153,'Availability Model'!$B$93:$B$96, 0), MATCH($K$10, 'Availability Model'!$C$1:$T$1, 0))</f>
        <v>4033808.2326765438</v>
      </c>
      <c r="U162" s="65">
        <f>(U25*U69)*INDEX('Availability Model'!$C$93:$T$96, MATCH($K$153,'Availability Model'!$B$93:$B$96, 0), MATCH($K$10, 'Availability Model'!$C$1:$T$1, 0))</f>
        <v>4411372.683255068</v>
      </c>
      <c r="V162" s="65">
        <f>(V25*V69)*INDEX('Availability Model'!$C$93:$T$96, MATCH($K$153,'Availability Model'!$B$93:$B$96, 0), MATCH($K$10, 'Availability Model'!$C$1:$T$1, 0))</f>
        <v>4824277.1664077416</v>
      </c>
      <c r="W162" s="65">
        <f>(W25*W69)*INDEX('Availability Model'!$C$93:$T$96, MATCH($K$153,'Availability Model'!$B$93:$B$96, 0), MATCH($K$10, 'Availability Model'!$C$1:$T$1, 0))</f>
        <v>5275829.5091835056</v>
      </c>
      <c r="X162" s="65">
        <f>(X25*X69)*INDEX('Availability Model'!$C$93:$T$96, MATCH($K$153,'Availability Model'!$B$93:$B$96, 0), MATCH($K$10, 'Availability Model'!$C$1:$T$1, 0))</f>
        <v>5769647.1512430813</v>
      </c>
      <c r="Y162" s="65">
        <f>(Y25*Y69)*INDEX('Availability Model'!$C$93:$T$96, MATCH($K$153,'Availability Model'!$B$93:$B$96, 0), MATCH($K$10, 'Availability Model'!$C$1:$T$1, 0))</f>
        <v>6309686.1245994335</v>
      </c>
      <c r="Z162" s="65">
        <f>(Z25*Z69)*INDEX('Availability Model'!$C$93:$T$96, MATCH($K$153,'Availability Model'!$B$93:$B$96, 0), MATCH($K$10, 'Availability Model'!$C$1:$T$1, 0))</f>
        <v>6900272.7458619392</v>
      </c>
      <c r="AA162" s="65">
        <f>(AA25*AA69)*INDEX('Availability Model'!$C$93:$T$96, MATCH($K$153,'Availability Model'!$B$93:$B$96, 0), MATCH($K$10, 'Availability Model'!$C$1:$T$1, 0))</f>
        <v>7546138.2748746155</v>
      </c>
      <c r="AB162" s="65">
        <f>(AB25*AB69)*INDEX('Availability Model'!$C$93:$T$96, MATCH($K$153,'Availability Model'!$B$93:$B$96, 0), MATCH($K$10, 'Availability Model'!$C$1:$T$1, 0))</f>
        <v>8252456.8174028797</v>
      </c>
      <c r="AC162" s="65">
        <f>(AC25*AC69)*INDEX('Availability Model'!$C$93:$T$96, MATCH($K$153,'Availability Model'!$B$93:$B$96, 0), MATCH($K$10, 'Availability Model'!$C$1:$T$1, 0))</f>
        <v>9024886.7755117882</v>
      </c>
      <c r="AD162" s="65">
        <f>(AD25*AD69)*INDEX('Availability Model'!$C$93:$T$96, MATCH($K$153,'Availability Model'!$B$93:$B$96, 0), MATCH($K$10, 'Availability Model'!$C$1:$T$1, 0))</f>
        <v>9869616.1776996907</v>
      </c>
      <c r="AE162" s="65">
        <f>(AE25*AE69)*INDEX('Availability Model'!$C$93:$T$96, MATCH($K$153,'Availability Model'!$B$93:$B$96, 0), MATCH($K$10, 'Availability Model'!$C$1:$T$1, 0))</f>
        <v>10793412.251932381</v>
      </c>
      <c r="AF162" s="65">
        <f>(AF25*AF69)*INDEX('Availability Model'!$C$93:$T$96, MATCH($K$153,'Availability Model'!$B$93:$B$96, 0), MATCH($K$10, 'Availability Model'!$C$1:$T$1, 0))</f>
        <v>11803675.638713252</v>
      </c>
      <c r="AG162" s="65">
        <f>(AG25*AG69)*INDEX('Availability Model'!$C$93:$T$96, MATCH($K$153,'Availability Model'!$B$93:$B$96, 0), MATCH($K$10, 'Availability Model'!$C$1:$T$1, 0))</f>
        <v>12908499.678496812</v>
      </c>
      <c r="AH162" s="65">
        <f>(AH25*AH69)*INDEX('Availability Model'!$C$93:$T$96, MATCH($K$153,'Availability Model'!$B$93:$B$96, 0), MATCH($K$10, 'Availability Model'!$C$1:$T$1, 0))</f>
        <v>14116735.248404112</v>
      </c>
      <c r="AI162" s="65">
        <f>(AI25*AI69)*INDEX('Availability Model'!$C$93:$T$96, MATCH($K$153,'Availability Model'!$B$93:$B$96, 0), MATCH($K$10, 'Availability Model'!$C$1:$T$1, 0))</f>
        <v>15438061.667654736</v>
      </c>
      <c r="AJ162" s="65">
        <f>(AJ25*AJ69)*INDEX('Availability Model'!$C$93:$T$96, MATCH($K$153,'Availability Model'!$B$93:$B$96, 0), MATCH($K$10, 'Availability Model'!$C$1:$T$1, 0))</f>
        <v>16883064.239747219</v>
      </c>
      <c r="AK162" s="65">
        <f>(AK25*AK69)*INDEX('Availability Model'!$C$93:$T$96, MATCH($K$153,'Availability Model'!$B$93:$B$96, 0), MATCH($K$10, 'Availability Model'!$C$1:$T$1, 0))</f>
        <v>18463319.052587558</v>
      </c>
      <c r="AL162" s="65">
        <f>(AL25*AL69)*INDEX('Availability Model'!$C$93:$T$96, MATCH($K$153,'Availability Model'!$B$93:$B$96, 0), MATCH($K$10, 'Availability Model'!$C$1:$T$1, 0))</f>
        <v>20191485.715909753</v>
      </c>
    </row>
    <row r="163" spans="4:38">
      <c r="E163" s="16"/>
      <c r="K163" s="65"/>
    </row>
    <row r="164" spans="4:38">
      <c r="D164" s="3" t="s">
        <v>334</v>
      </c>
      <c r="E164" s="16" t="s">
        <v>211</v>
      </c>
      <c r="K164" s="65">
        <f t="shared" ref="K164:AL164" si="130">IF(K25&gt;0,K161+K162,0)</f>
        <v>104654.25</v>
      </c>
      <c r="L164" s="65">
        <f t="shared" si="130"/>
        <v>108070.32889508041</v>
      </c>
      <c r="M164" s="65">
        <f t="shared" si="130"/>
        <v>123222.34418657479</v>
      </c>
      <c r="N164" s="65">
        <f t="shared" si="130"/>
        <v>875621.78677276801</v>
      </c>
      <c r="O164" s="65">
        <f t="shared" si="130"/>
        <v>2076622.4426562337</v>
      </c>
      <c r="P164" s="65">
        <f t="shared" si="130"/>
        <v>2270994.303288857</v>
      </c>
      <c r="Q164" s="65">
        <f t="shared" si="130"/>
        <v>2917777.625279895</v>
      </c>
      <c r="R164" s="65">
        <f t="shared" si="130"/>
        <v>3190881.6110060923</v>
      </c>
      <c r="S164" s="65">
        <f t="shared" si="130"/>
        <v>3688559.1008380982</v>
      </c>
      <c r="T164" s="65">
        <f t="shared" si="130"/>
        <v>4033808.2326765438</v>
      </c>
      <c r="U164" s="65">
        <f t="shared" si="130"/>
        <v>4411372.683255068</v>
      </c>
      <c r="V164" s="65">
        <f t="shared" si="130"/>
        <v>4824277.1664077416</v>
      </c>
      <c r="W164" s="65">
        <f t="shared" si="130"/>
        <v>5275829.5091835056</v>
      </c>
      <c r="X164" s="65">
        <f t="shared" si="130"/>
        <v>5769647.1512430813</v>
      </c>
      <c r="Y164" s="65">
        <f t="shared" si="130"/>
        <v>6309686.1245994335</v>
      </c>
      <c r="Z164" s="65">
        <f t="shared" si="130"/>
        <v>6900272.7458619392</v>
      </c>
      <c r="AA164" s="65">
        <f t="shared" si="130"/>
        <v>7546138.2748746155</v>
      </c>
      <c r="AB164" s="65">
        <f t="shared" si="130"/>
        <v>8252456.8174028797</v>
      </c>
      <c r="AC164" s="65">
        <f t="shared" si="130"/>
        <v>9024886.7755117882</v>
      </c>
      <c r="AD164" s="65">
        <f t="shared" si="130"/>
        <v>9869616.1776996907</v>
      </c>
      <c r="AE164" s="65">
        <f t="shared" si="130"/>
        <v>10793412.251932381</v>
      </c>
      <c r="AF164" s="65">
        <f t="shared" si="130"/>
        <v>11803675.638713252</v>
      </c>
      <c r="AG164" s="65">
        <f t="shared" si="130"/>
        <v>12908499.678496812</v>
      </c>
      <c r="AH164" s="65">
        <f t="shared" si="130"/>
        <v>14116735.248404112</v>
      </c>
      <c r="AI164" s="65">
        <f t="shared" si="130"/>
        <v>15438061.667654736</v>
      </c>
      <c r="AJ164" s="65">
        <f t="shared" si="130"/>
        <v>16883064.239747219</v>
      </c>
      <c r="AK164" s="65">
        <f t="shared" si="130"/>
        <v>18463319.052587558</v>
      </c>
      <c r="AL164" s="65">
        <f t="shared" si="130"/>
        <v>20191485.715909753</v>
      </c>
    </row>
    <row r="165" spans="4:38">
      <c r="D165" s="7"/>
    </row>
    <row r="166" spans="4:38" ht="18">
      <c r="D166" s="15" t="s">
        <v>261</v>
      </c>
    </row>
    <row r="175" spans="4:38" ht="18">
      <c r="D175" s="71" t="s">
        <v>251</v>
      </c>
    </row>
    <row r="177" spans="4:39">
      <c r="D177" s="7" t="s">
        <v>242</v>
      </c>
      <c r="E177" s="7" t="s">
        <v>243</v>
      </c>
      <c r="K177" s="9">
        <f>Inputs!F34/'BaU Model'!K11</f>
        <v>8261.9863013698632</v>
      </c>
      <c r="L177" s="9">
        <f>Inputs!G34/'BaU Model'!L11</f>
        <v>8584.9808743169397</v>
      </c>
      <c r="M177" s="9">
        <f>Inputs!H34/'BaU Model'!M11</f>
        <v>7544.5084200913252</v>
      </c>
      <c r="N177" s="65">
        <f t="shared" ref="N177:AL177" si="131">N58/N11</f>
        <v>7435.93049369863</v>
      </c>
      <c r="O177" s="65">
        <f t="shared" si="131"/>
        <v>9152.2474695959772</v>
      </c>
      <c r="P177" s="65">
        <f t="shared" si="131"/>
        <v>9127.2413289686665</v>
      </c>
      <c r="Q177" s="65">
        <f t="shared" si="131"/>
        <v>9152.2474695959772</v>
      </c>
      <c r="R177" s="65">
        <f t="shared" si="131"/>
        <v>9152.2474695959772</v>
      </c>
      <c r="S177" s="65">
        <f t="shared" si="131"/>
        <v>14046.299836511185</v>
      </c>
      <c r="T177" s="65">
        <f t="shared" si="131"/>
        <v>14007.921968105416</v>
      </c>
      <c r="U177" s="65">
        <f t="shared" si="131"/>
        <v>14046.299836511185</v>
      </c>
      <c r="V177" s="65">
        <f t="shared" si="131"/>
        <v>14046.299836511185</v>
      </c>
      <c r="W177" s="65">
        <f t="shared" si="131"/>
        <v>14046.299836511185</v>
      </c>
      <c r="X177" s="65">
        <f t="shared" si="131"/>
        <v>14007.921968105416</v>
      </c>
      <c r="Y177" s="65">
        <f t="shared" si="131"/>
        <v>14046.299836511185</v>
      </c>
      <c r="Z177" s="65">
        <f t="shared" si="131"/>
        <v>14046.299836511185</v>
      </c>
      <c r="AA177" s="65">
        <f t="shared" si="131"/>
        <v>14046.299836511185</v>
      </c>
      <c r="AB177" s="65">
        <f t="shared" si="131"/>
        <v>14007.921968105416</v>
      </c>
      <c r="AC177" s="65">
        <f t="shared" si="131"/>
        <v>14046.299836511185</v>
      </c>
      <c r="AD177" s="65">
        <f t="shared" si="131"/>
        <v>14046.299836511185</v>
      </c>
      <c r="AE177" s="65">
        <f t="shared" si="131"/>
        <v>14046.299836511185</v>
      </c>
      <c r="AF177" s="65">
        <f t="shared" si="131"/>
        <v>14007.921968105416</v>
      </c>
      <c r="AG177" s="65">
        <f t="shared" si="131"/>
        <v>14046.299836511185</v>
      </c>
      <c r="AH177" s="65">
        <f t="shared" si="131"/>
        <v>14046.299836511185</v>
      </c>
      <c r="AI177" s="65">
        <f t="shared" si="131"/>
        <v>14046.299836511185</v>
      </c>
      <c r="AJ177" s="65">
        <f t="shared" si="131"/>
        <v>14007.921968105416</v>
      </c>
      <c r="AK177" s="65">
        <f t="shared" si="131"/>
        <v>14046.299836511185</v>
      </c>
      <c r="AL177" s="65">
        <f t="shared" si="131"/>
        <v>14046.299836511185</v>
      </c>
    </row>
    <row r="178" spans="4:39">
      <c r="D178" s="7" t="s">
        <v>244</v>
      </c>
      <c r="E178" s="7" t="s">
        <v>106</v>
      </c>
      <c r="K178" s="9">
        <f>K124</f>
        <v>11</v>
      </c>
      <c r="L178" s="9">
        <f t="shared" ref="L178:AL178" si="132">L124</f>
        <v>11</v>
      </c>
      <c r="M178" s="9">
        <f t="shared" si="132"/>
        <v>11</v>
      </c>
      <c r="N178" s="9">
        <f t="shared" si="132"/>
        <v>11</v>
      </c>
      <c r="O178" s="9">
        <f t="shared" si="132"/>
        <v>11</v>
      </c>
      <c r="P178" s="9">
        <f t="shared" si="132"/>
        <v>11</v>
      </c>
      <c r="Q178" s="9">
        <f t="shared" si="132"/>
        <v>11</v>
      </c>
      <c r="R178" s="9">
        <f t="shared" si="132"/>
        <v>11</v>
      </c>
      <c r="S178" s="9">
        <f t="shared" si="132"/>
        <v>11</v>
      </c>
      <c r="T178" s="9">
        <f t="shared" si="132"/>
        <v>11</v>
      </c>
      <c r="U178" s="9">
        <f t="shared" si="132"/>
        <v>11</v>
      </c>
      <c r="V178" s="9">
        <f t="shared" si="132"/>
        <v>11</v>
      </c>
      <c r="W178" s="9">
        <f t="shared" si="132"/>
        <v>11</v>
      </c>
      <c r="X178" s="9">
        <f t="shared" si="132"/>
        <v>11</v>
      </c>
      <c r="Y178" s="9">
        <f t="shared" si="132"/>
        <v>11</v>
      </c>
      <c r="Z178" s="9">
        <f t="shared" si="132"/>
        <v>11</v>
      </c>
      <c r="AA178" s="9">
        <f t="shared" si="132"/>
        <v>11</v>
      </c>
      <c r="AB178" s="9">
        <f t="shared" si="132"/>
        <v>11</v>
      </c>
      <c r="AC178" s="9">
        <f t="shared" si="132"/>
        <v>11</v>
      </c>
      <c r="AD178" s="9">
        <f t="shared" si="132"/>
        <v>11</v>
      </c>
      <c r="AE178" s="9">
        <f t="shared" si="132"/>
        <v>11</v>
      </c>
      <c r="AF178" s="9">
        <f t="shared" si="132"/>
        <v>11</v>
      </c>
      <c r="AG178" s="9">
        <f t="shared" si="132"/>
        <v>11</v>
      </c>
      <c r="AH178" s="9">
        <f t="shared" si="132"/>
        <v>11</v>
      </c>
      <c r="AI178" s="9">
        <f t="shared" si="132"/>
        <v>11</v>
      </c>
      <c r="AJ178" s="9">
        <f t="shared" si="132"/>
        <v>11</v>
      </c>
      <c r="AK178" s="9">
        <f t="shared" si="132"/>
        <v>11</v>
      </c>
      <c r="AL178" s="9">
        <f t="shared" si="132"/>
        <v>11</v>
      </c>
    </row>
    <row r="179" spans="4:39">
      <c r="D179" s="7" t="s">
        <v>244</v>
      </c>
      <c r="E179" s="7" t="s">
        <v>113</v>
      </c>
      <c r="K179" s="9">
        <f t="shared" ref="K179:AL179" si="133">IF(K24&gt;0,K178*K177,0)</f>
        <v>90881.849315068495</v>
      </c>
      <c r="L179" s="9">
        <f t="shared" si="133"/>
        <v>94434.789617486342</v>
      </c>
      <c r="M179" s="9">
        <f t="shared" si="133"/>
        <v>82989.592621004573</v>
      </c>
      <c r="N179" s="9">
        <f t="shared" si="133"/>
        <v>81795.23543068493</v>
      </c>
      <c r="O179" s="9">
        <f t="shared" si="133"/>
        <v>0</v>
      </c>
      <c r="P179" s="9">
        <f t="shared" si="133"/>
        <v>0</v>
      </c>
      <c r="Q179" s="9">
        <f t="shared" si="133"/>
        <v>0</v>
      </c>
      <c r="R179" s="9">
        <f t="shared" si="133"/>
        <v>0</v>
      </c>
      <c r="S179" s="9">
        <f t="shared" si="133"/>
        <v>154509.29820162302</v>
      </c>
      <c r="T179" s="9">
        <f t="shared" si="133"/>
        <v>154087.14164915957</v>
      </c>
      <c r="U179" s="9">
        <f t="shared" si="133"/>
        <v>154509.29820162302</v>
      </c>
      <c r="V179" s="9">
        <f t="shared" si="133"/>
        <v>154509.29820162302</v>
      </c>
      <c r="W179" s="9">
        <f t="shared" si="133"/>
        <v>154509.29820162302</v>
      </c>
      <c r="X179" s="9">
        <f t="shared" si="133"/>
        <v>154087.14164915957</v>
      </c>
      <c r="Y179" s="9">
        <f t="shared" si="133"/>
        <v>154509.29820162302</v>
      </c>
      <c r="Z179" s="9">
        <f t="shared" si="133"/>
        <v>154509.29820162302</v>
      </c>
      <c r="AA179" s="9">
        <f t="shared" si="133"/>
        <v>154509.29820162302</v>
      </c>
      <c r="AB179" s="9">
        <f t="shared" si="133"/>
        <v>154087.14164915957</v>
      </c>
      <c r="AC179" s="9">
        <f t="shared" si="133"/>
        <v>154509.29820162302</v>
      </c>
      <c r="AD179" s="9">
        <f t="shared" si="133"/>
        <v>154509.29820162302</v>
      </c>
      <c r="AE179" s="9">
        <f t="shared" si="133"/>
        <v>154509.29820162302</v>
      </c>
      <c r="AF179" s="9">
        <f t="shared" si="133"/>
        <v>154087.14164915957</v>
      </c>
      <c r="AG179" s="9">
        <f t="shared" si="133"/>
        <v>154509.29820162302</v>
      </c>
      <c r="AH179" s="9">
        <f t="shared" si="133"/>
        <v>154509.29820162302</v>
      </c>
      <c r="AI179" s="9">
        <f t="shared" si="133"/>
        <v>154509.29820162302</v>
      </c>
      <c r="AJ179" s="9">
        <f t="shared" si="133"/>
        <v>154087.14164915957</v>
      </c>
      <c r="AK179" s="9">
        <f t="shared" si="133"/>
        <v>154509.29820162302</v>
      </c>
      <c r="AL179" s="9">
        <f t="shared" si="133"/>
        <v>154509.29820162302</v>
      </c>
      <c r="AM179" s="133">
        <f>SUM(M179:AL179)</f>
        <v>3252860.0093218316</v>
      </c>
    </row>
    <row r="180" spans="4:39">
      <c r="D180" s="109" t="s">
        <v>374</v>
      </c>
      <c r="E180" s="109"/>
      <c r="F180" s="110"/>
      <c r="G180" s="110"/>
      <c r="H180" s="110"/>
      <c r="I180" s="110"/>
      <c r="J180" s="110"/>
      <c r="K180" s="111">
        <f t="shared" ref="K180:AL180" si="134">K179/K58</f>
        <v>2.8364106720300351E-2</v>
      </c>
      <c r="L180" s="111">
        <f t="shared" si="134"/>
        <v>2.9472974757957317E-2</v>
      </c>
      <c r="M180" s="111">
        <f t="shared" si="134"/>
        <v>2.5900943692462208E-2</v>
      </c>
      <c r="N180" s="111">
        <f t="shared" si="134"/>
        <v>3.0136986301369861E-2</v>
      </c>
      <c r="O180" s="111">
        <f t="shared" si="134"/>
        <v>0</v>
      </c>
      <c r="P180" s="111">
        <f t="shared" si="134"/>
        <v>0</v>
      </c>
      <c r="Q180" s="111">
        <f t="shared" si="134"/>
        <v>0</v>
      </c>
      <c r="R180" s="111">
        <f t="shared" si="134"/>
        <v>0</v>
      </c>
      <c r="S180" s="111">
        <f t="shared" si="134"/>
        <v>3.0136986301369861E-2</v>
      </c>
      <c r="T180" s="111">
        <f t="shared" si="134"/>
        <v>3.0054644808743168E-2</v>
      </c>
      <c r="U180" s="111">
        <f t="shared" si="134"/>
        <v>3.0136986301369861E-2</v>
      </c>
      <c r="V180" s="111">
        <f t="shared" si="134"/>
        <v>3.0136986301369861E-2</v>
      </c>
      <c r="W180" s="111">
        <f t="shared" si="134"/>
        <v>3.0136986301369861E-2</v>
      </c>
      <c r="X180" s="111">
        <f t="shared" si="134"/>
        <v>3.0054644808743168E-2</v>
      </c>
      <c r="Y180" s="111">
        <f t="shared" si="134"/>
        <v>3.0136986301369861E-2</v>
      </c>
      <c r="Z180" s="111">
        <f t="shared" si="134"/>
        <v>3.0136986301369861E-2</v>
      </c>
      <c r="AA180" s="111">
        <f t="shared" si="134"/>
        <v>3.0136986301369861E-2</v>
      </c>
      <c r="AB180" s="111">
        <f t="shared" si="134"/>
        <v>3.0054644808743168E-2</v>
      </c>
      <c r="AC180" s="111">
        <f t="shared" si="134"/>
        <v>3.0136986301369861E-2</v>
      </c>
      <c r="AD180" s="111">
        <f t="shared" si="134"/>
        <v>3.0136986301369861E-2</v>
      </c>
      <c r="AE180" s="111">
        <f t="shared" si="134"/>
        <v>3.0136986301369861E-2</v>
      </c>
      <c r="AF180" s="111">
        <f t="shared" si="134"/>
        <v>3.0054644808743168E-2</v>
      </c>
      <c r="AG180" s="111">
        <f t="shared" si="134"/>
        <v>3.0136986301369861E-2</v>
      </c>
      <c r="AH180" s="111">
        <f t="shared" si="134"/>
        <v>3.0136986301369861E-2</v>
      </c>
      <c r="AI180" s="111">
        <f t="shared" si="134"/>
        <v>3.0136986301369861E-2</v>
      </c>
      <c r="AJ180" s="111">
        <f t="shared" si="134"/>
        <v>3.0054644808743168E-2</v>
      </c>
      <c r="AK180" s="111">
        <f t="shared" si="134"/>
        <v>3.0136986301369861E-2</v>
      </c>
      <c r="AL180" s="111">
        <f t="shared" si="134"/>
        <v>3.0136986301369861E-2</v>
      </c>
    </row>
    <row r="181" spans="4:39">
      <c r="K181" s="9"/>
    </row>
    <row r="182" spans="4:39">
      <c r="D182" t="s">
        <v>399</v>
      </c>
      <c r="E182" t="s">
        <v>108</v>
      </c>
      <c r="K182" s="9">
        <f>K76/Inputs!E34</f>
        <v>551.54081671843676</v>
      </c>
      <c r="L182" s="9">
        <f>L76/Inputs!F34</f>
        <v>623.41968911917104</v>
      </c>
      <c r="M182" s="9">
        <f>M76/Inputs!G34</f>
        <v>636.51637136020042</v>
      </c>
      <c r="N182" s="65">
        <f t="shared" ref="N182:AL182" si="135">N76/N58</f>
        <v>781.10186519416811</v>
      </c>
      <c r="O182" s="65">
        <f t="shared" si="135"/>
        <v>672.69950350664078</v>
      </c>
      <c r="P182" s="65">
        <f t="shared" si="135"/>
        <v>713.06147371703912</v>
      </c>
      <c r="Q182" s="65">
        <f t="shared" si="135"/>
        <v>755.84516214006157</v>
      </c>
      <c r="R182" s="65">
        <f t="shared" si="135"/>
        <v>801.19587186846525</v>
      </c>
      <c r="S182" s="65">
        <f t="shared" si="135"/>
        <v>553.36334514321618</v>
      </c>
      <c r="T182" s="65">
        <f t="shared" si="135"/>
        <v>586.56514585180923</v>
      </c>
      <c r="U182" s="65">
        <f t="shared" si="135"/>
        <v>621.75905460291779</v>
      </c>
      <c r="V182" s="65">
        <f t="shared" si="135"/>
        <v>659.06459787909284</v>
      </c>
      <c r="W182" s="65">
        <f t="shared" si="135"/>
        <v>698.60847375183846</v>
      </c>
      <c r="X182" s="65">
        <f t="shared" si="135"/>
        <v>740.52498217694881</v>
      </c>
      <c r="Y182" s="65">
        <f t="shared" si="135"/>
        <v>784.95648110756576</v>
      </c>
      <c r="Z182" s="65">
        <f t="shared" si="135"/>
        <v>832.05386997401979</v>
      </c>
      <c r="AA182" s="65">
        <f t="shared" si="135"/>
        <v>881.97710217246095</v>
      </c>
      <c r="AB182" s="65">
        <f t="shared" si="135"/>
        <v>934.89572830280872</v>
      </c>
      <c r="AC182" s="65">
        <f t="shared" si="135"/>
        <v>990.98947200097734</v>
      </c>
      <c r="AD182" s="65">
        <f t="shared" si="135"/>
        <v>1050.448840321036</v>
      </c>
      <c r="AE182" s="65">
        <f t="shared" si="135"/>
        <v>1113.4757707402982</v>
      </c>
      <c r="AF182" s="65">
        <f t="shared" si="135"/>
        <v>1180.2843169847163</v>
      </c>
      <c r="AG182" s="65">
        <f t="shared" si="135"/>
        <v>1251.1013760037993</v>
      </c>
      <c r="AH182" s="65">
        <f t="shared" si="135"/>
        <v>1326.1674585640271</v>
      </c>
      <c r="AI182" s="65">
        <f t="shared" si="135"/>
        <v>1405.7375060778688</v>
      </c>
      <c r="AJ182" s="65">
        <f t="shared" si="135"/>
        <v>1490.0817564425408</v>
      </c>
      <c r="AK182" s="65">
        <f t="shared" si="135"/>
        <v>1579.4866618290935</v>
      </c>
      <c r="AL182" s="65">
        <f t="shared" si="135"/>
        <v>1674.2558615388391</v>
      </c>
    </row>
    <row r="183" spans="4:39">
      <c r="D183" s="7" t="s">
        <v>245</v>
      </c>
      <c r="E183" s="7" t="s">
        <v>211</v>
      </c>
      <c r="K183" s="9">
        <f>K179*K182</f>
        <v>50125049.396114781</v>
      </c>
      <c r="L183" s="9">
        <f t="shared" ref="L183:AL183" si="136">L179*L182</f>
        <v>58872507.185367659</v>
      </c>
      <c r="M183" s="9">
        <f t="shared" si="136"/>
        <v>52824234.355783097</v>
      </c>
      <c r="N183" s="9">
        <f t="shared" si="136"/>
        <v>63890410.958904102</v>
      </c>
      <c r="O183" s="9">
        <f t="shared" si="136"/>
        <v>0</v>
      </c>
      <c r="P183" s="9">
        <f t="shared" si="136"/>
        <v>0</v>
      </c>
      <c r="Q183" s="9">
        <f t="shared" si="136"/>
        <v>0</v>
      </c>
      <c r="R183" s="9">
        <f t="shared" si="136"/>
        <v>0</v>
      </c>
      <c r="S183" s="9">
        <f>S179*S182</f>
        <v>85499782.108580828</v>
      </c>
      <c r="T183" s="9">
        <f t="shared" si="136"/>
        <v>90382146.71532768</v>
      </c>
      <c r="U183" s="9">
        <f t="shared" si="136"/>
        <v>96067555.177201435</v>
      </c>
      <c r="V183" s="9">
        <f t="shared" si="136"/>
        <v>101831608.48783351</v>
      </c>
      <c r="W183" s="9">
        <f t="shared" si="136"/>
        <v>107941504.99710354</v>
      </c>
      <c r="X183" s="9">
        <f t="shared" si="136"/>
        <v>114105377.82344088</v>
      </c>
      <c r="Y183" s="9">
        <f t="shared" si="136"/>
        <v>121283075.01474555</v>
      </c>
      <c r="Z183" s="9">
        <f t="shared" si="136"/>
        <v>128560059.51563029</v>
      </c>
      <c r="AA183" s="9">
        <f t="shared" si="136"/>
        <v>136273663.08656812</v>
      </c>
      <c r="AB183" s="9">
        <f t="shared" si="136"/>
        <v>144055410.51418909</v>
      </c>
      <c r="AC183" s="9">
        <f t="shared" si="136"/>
        <v>153117087.84406796</v>
      </c>
      <c r="AD183" s="9">
        <f t="shared" si="136"/>
        <v>162304113.11471203</v>
      </c>
      <c r="AE183" s="9">
        <f t="shared" si="136"/>
        <v>172042359.90159476</v>
      </c>
      <c r="AF183" s="9">
        <f t="shared" si="136"/>
        <v>181866636.73750553</v>
      </c>
      <c r="AG183" s="9">
        <f t="shared" si="136"/>
        <v>193306795.5854319</v>
      </c>
      <c r="AH183" s="9">
        <f t="shared" si="136"/>
        <v>204905203.3205578</v>
      </c>
      <c r="AI183" s="9">
        <f t="shared" si="136"/>
        <v>217199515.51979131</v>
      </c>
      <c r="AJ183" s="9">
        <f t="shared" si="136"/>
        <v>229602438.67379028</v>
      </c>
      <c r="AK183" s="9">
        <f t="shared" si="136"/>
        <v>244045375.6380375</v>
      </c>
      <c r="AL183" s="9">
        <f t="shared" si="136"/>
        <v>258688098.17631975</v>
      </c>
    </row>
    <row r="184" spans="4:39">
      <c r="D184" t="s">
        <v>316</v>
      </c>
      <c r="E184" s="7" t="s">
        <v>211</v>
      </c>
      <c r="K184" s="65">
        <f>K141+K164+K137</f>
        <v>316390.48510273971</v>
      </c>
      <c r="L184" s="65">
        <f t="shared" ref="L184:AL184" si="137">L141+L164+L137</f>
        <v>326544.85109495081</v>
      </c>
      <c r="M184" s="65">
        <f t="shared" si="137"/>
        <v>371886.20187630242</v>
      </c>
      <c r="N184" s="65">
        <f t="shared" si="137"/>
        <v>1549755.5701558334</v>
      </c>
      <c r="O184" s="65">
        <f t="shared" si="137"/>
        <v>2076622.4426562337</v>
      </c>
      <c r="P184" s="65">
        <f t="shared" si="137"/>
        <v>2270994.303288857</v>
      </c>
      <c r="Q184" s="65">
        <f t="shared" si="137"/>
        <v>2917777.625279895</v>
      </c>
      <c r="R184" s="65">
        <f t="shared" si="137"/>
        <v>3190881.6110060923</v>
      </c>
      <c r="S184" s="65">
        <f t="shared" si="137"/>
        <v>5226137.3146471996</v>
      </c>
      <c r="T184" s="65">
        <f t="shared" si="137"/>
        <v>5715116.5245010257</v>
      </c>
      <c r="U184" s="65">
        <f t="shared" si="137"/>
        <v>6249852.9538293425</v>
      </c>
      <c r="V184" s="65">
        <f t="shared" si="137"/>
        <v>6834628.8043008894</v>
      </c>
      <c r="W184" s="65">
        <f t="shared" si="137"/>
        <v>7474127.0512161599</v>
      </c>
      <c r="X184" s="65">
        <f t="shared" si="137"/>
        <v>8173468.9534926647</v>
      </c>
      <c r="Y184" s="65">
        <f t="shared" si="137"/>
        <v>8938255.074439209</v>
      </c>
      <c r="Z184" s="65">
        <f t="shared" si="137"/>
        <v>9774610.1419203281</v>
      </c>
      <c r="AA184" s="65">
        <f t="shared" si="137"/>
        <v>10689232.107268497</v>
      </c>
      <c r="AB184" s="65">
        <f t="shared" si="137"/>
        <v>11689445.795937119</v>
      </c>
      <c r="AC184" s="65">
        <f t="shared" si="137"/>
        <v>12783261.579670822</v>
      </c>
      <c r="AD184" s="65">
        <f t="shared" si="137"/>
        <v>13979439.540196039</v>
      </c>
      <c r="AE184" s="65">
        <f t="shared" si="137"/>
        <v>15287559.638426498</v>
      </c>
      <c r="AF184" s="65">
        <f t="shared" si="137"/>
        <v>16718098.451287415</v>
      </c>
      <c r="AG184" s="65">
        <f t="shared" si="137"/>
        <v>18282513.09087437</v>
      </c>
      <c r="AH184" s="65">
        <f t="shared" si="137"/>
        <v>19993332.978199441</v>
      </c>
      <c r="AI184" s="65">
        <f t="shared" si="137"/>
        <v>21864260.206699297</v>
      </c>
      <c r="AJ184" s="65">
        <f t="shared" si="137"/>
        <v>23910279.299491167</v>
      </c>
      <c r="AK184" s="65">
        <f t="shared" si="137"/>
        <v>26147777.239615038</v>
      </c>
      <c r="AL184" s="65">
        <f t="shared" si="137"/>
        <v>28594674.734796003</v>
      </c>
    </row>
    <row r="185" spans="4:39">
      <c r="D185" s="110" t="s">
        <v>335</v>
      </c>
      <c r="E185" s="109" t="s">
        <v>211</v>
      </c>
      <c r="F185" s="110"/>
      <c r="G185" s="110"/>
      <c r="H185" s="110"/>
      <c r="I185" s="110"/>
      <c r="J185" s="110"/>
      <c r="K185" s="122">
        <f>K183+K184</f>
        <v>50441439.881217524</v>
      </c>
      <c r="L185" s="122">
        <f t="shared" ref="L185:AL185" si="138">L183+L184</f>
        <v>59199052.036462612</v>
      </c>
      <c r="M185" s="122">
        <f t="shared" si="138"/>
        <v>53196120.557659402</v>
      </c>
      <c r="N185" s="122">
        <f t="shared" si="138"/>
        <v>65440166.529059939</v>
      </c>
      <c r="O185" s="122">
        <f t="shared" si="138"/>
        <v>2076622.4426562337</v>
      </c>
      <c r="P185" s="122">
        <f t="shared" si="138"/>
        <v>2270994.303288857</v>
      </c>
      <c r="Q185" s="122">
        <f t="shared" si="138"/>
        <v>2917777.625279895</v>
      </c>
      <c r="R185" s="122">
        <f t="shared" si="138"/>
        <v>3190881.6110060923</v>
      </c>
      <c r="S185" s="122">
        <f t="shared" si="138"/>
        <v>90725919.423228025</v>
      </c>
      <c r="T185" s="122">
        <f t="shared" si="138"/>
        <v>96097263.239828706</v>
      </c>
      <c r="U185" s="122">
        <f t="shared" si="138"/>
        <v>102317408.13103078</v>
      </c>
      <c r="V185" s="122">
        <f t="shared" si="138"/>
        <v>108666237.2921344</v>
      </c>
      <c r="W185" s="122">
        <f t="shared" si="138"/>
        <v>115415632.0483197</v>
      </c>
      <c r="X185" s="122">
        <f t="shared" si="138"/>
        <v>122278846.77693355</v>
      </c>
      <c r="Y185" s="122">
        <f t="shared" si="138"/>
        <v>130221330.08918476</v>
      </c>
      <c r="Z185" s="122">
        <f t="shared" si="138"/>
        <v>138334669.65755063</v>
      </c>
      <c r="AA185" s="122">
        <f t="shared" si="138"/>
        <v>146962895.19383663</v>
      </c>
      <c r="AB185" s="122">
        <f t="shared" si="138"/>
        <v>155744856.31012622</v>
      </c>
      <c r="AC185" s="122">
        <f t="shared" si="138"/>
        <v>165900349.42373878</v>
      </c>
      <c r="AD185" s="122">
        <f t="shared" si="138"/>
        <v>176283552.65490806</v>
      </c>
      <c r="AE185" s="122">
        <f t="shared" si="138"/>
        <v>187329919.54002124</v>
      </c>
      <c r="AF185" s="122">
        <f t="shared" si="138"/>
        <v>198584735.18879294</v>
      </c>
      <c r="AG185" s="122">
        <f t="shared" si="138"/>
        <v>211589308.67630628</v>
      </c>
      <c r="AH185" s="122">
        <f t="shared" si="138"/>
        <v>224898536.29875726</v>
      </c>
      <c r="AI185" s="122">
        <f t="shared" si="138"/>
        <v>239063775.72649062</v>
      </c>
      <c r="AJ185" s="122">
        <f t="shared" si="138"/>
        <v>253512717.97328144</v>
      </c>
      <c r="AK185" s="122">
        <f t="shared" si="138"/>
        <v>270193152.87765253</v>
      </c>
      <c r="AL185" s="122">
        <f t="shared" si="138"/>
        <v>287282772.91111577</v>
      </c>
    </row>
    <row r="186" spans="4:39">
      <c r="D186" t="s">
        <v>473</v>
      </c>
      <c r="E186" s="7" t="s">
        <v>337</v>
      </c>
      <c r="K186" s="65">
        <f>K185/K23</f>
        <v>261.35461078351051</v>
      </c>
      <c r="L186" s="65">
        <f>L185/L23</f>
        <v>324.83763612252471</v>
      </c>
      <c r="M186" s="65">
        <f>M185/M23</f>
        <v>279.96713872820197</v>
      </c>
      <c r="N186" s="65">
        <f>N185/N23</f>
        <v>137.60702216618137</v>
      </c>
      <c r="O186" s="65">
        <f t="shared" ref="O186:R186" si="139">O164/O23</f>
        <v>4.0271819999999998</v>
      </c>
      <c r="P186" s="65">
        <f t="shared" si="139"/>
        <v>4.4041262351999997</v>
      </c>
      <c r="Q186" s="65">
        <f t="shared" si="139"/>
        <v>4.8163524508147191</v>
      </c>
      <c r="R186" s="65">
        <f t="shared" si="139"/>
        <v>5.2671630402109759</v>
      </c>
      <c r="S186" s="65">
        <f>S185/S23</f>
        <v>125.98520039379518</v>
      </c>
      <c r="T186" s="65">
        <f t="shared" ref="T186:AL186" si="140">T185/T23</f>
        <v>133.44403720052537</v>
      </c>
      <c r="U186" s="65">
        <f t="shared" si="140"/>
        <v>142.08154901168595</v>
      </c>
      <c r="V186" s="65">
        <f t="shared" si="140"/>
        <v>150.89775632281103</v>
      </c>
      <c r="W186" s="65">
        <f t="shared" si="140"/>
        <v>160.27020309767536</v>
      </c>
      <c r="X186" s="65">
        <f t="shared" si="140"/>
        <v>169.80070428660781</v>
      </c>
      <c r="Y186" s="65">
        <f t="shared" si="140"/>
        <v>180.82991576310408</v>
      </c>
      <c r="Z186" s="65">
        <f t="shared" si="140"/>
        <v>192.09638424181077</v>
      </c>
      <c r="AA186" s="65">
        <f t="shared" si="140"/>
        <v>204.0778414719212</v>
      </c>
      <c r="AB186" s="65">
        <f t="shared" si="140"/>
        <v>216.27278133166539</v>
      </c>
      <c r="AC186" s="65">
        <f t="shared" si="140"/>
        <v>230.37505599749497</v>
      </c>
      <c r="AD186" s="65">
        <f t="shared" si="140"/>
        <v>244.79353693573776</v>
      </c>
      <c r="AE186" s="65">
        <f t="shared" si="140"/>
        <v>260.1329102316127</v>
      </c>
      <c r="AF186" s="65">
        <f t="shared" si="140"/>
        <v>275.76174280691203</v>
      </c>
      <c r="AG186" s="65">
        <f t="shared" si="140"/>
        <v>293.8203506146466</v>
      </c>
      <c r="AH186" s="65">
        <f t="shared" si="140"/>
        <v>312.30201186162896</v>
      </c>
      <c r="AI186" s="65">
        <f t="shared" si="140"/>
        <v>331.97236118709606</v>
      </c>
      <c r="AJ186" s="65">
        <f t="shared" si="140"/>
        <v>352.03667021821803</v>
      </c>
      <c r="AK186" s="65">
        <f t="shared" si="140"/>
        <v>375.19970838242335</v>
      </c>
      <c r="AL186" s="65">
        <f t="shared" si="140"/>
        <v>398.93095539823975</v>
      </c>
    </row>
    <row r="187" spans="4:39">
      <c r="D187" s="7" t="s">
        <v>583</v>
      </c>
      <c r="E187" s="7" t="s">
        <v>337</v>
      </c>
      <c r="K187" s="187">
        <f>(K34*K183+K184)/K23</f>
        <v>183.44002622996422</v>
      </c>
      <c r="L187" s="187">
        <f t="shared" ref="L187:AL187" si="141">(L34*L183+L184)/L23</f>
        <v>227.92389134707412</v>
      </c>
      <c r="M187" s="187">
        <f t="shared" si="141"/>
        <v>196.56415975307149</v>
      </c>
      <c r="N187" s="187">
        <f t="shared" si="141"/>
        <v>70.432917458454156</v>
      </c>
      <c r="O187" s="187">
        <f t="shared" si="141"/>
        <v>4.0271819999999998</v>
      </c>
      <c r="P187" s="187">
        <f t="shared" si="141"/>
        <v>4.4041262351999997</v>
      </c>
      <c r="Q187" s="187">
        <f t="shared" si="141"/>
        <v>4.8163524508147191</v>
      </c>
      <c r="R187" s="187">
        <f t="shared" si="141"/>
        <v>5.2671630402109759</v>
      </c>
      <c r="S187" s="187">
        <f t="shared" si="141"/>
        <v>20.409785411947119</v>
      </c>
      <c r="T187" s="187">
        <f t="shared" si="141"/>
        <v>21.839862182828565</v>
      </c>
      <c r="U187" s="187">
        <f t="shared" si="141"/>
        <v>23.457012738081424</v>
      </c>
      <c r="V187" s="187">
        <f t="shared" si="141"/>
        <v>25.155747872790279</v>
      </c>
      <c r="W187" s="187">
        <f t="shared" si="141"/>
        <v>26.983674140653349</v>
      </c>
      <c r="X187" s="187">
        <f t="shared" si="141"/>
        <v>28.903004686957999</v>
      </c>
      <c r="Y187" s="187">
        <f t="shared" si="141"/>
        <v>31.069171826994111</v>
      </c>
      <c r="Z187" s="187">
        <f t="shared" si="141"/>
        <v>33.349995669534181</v>
      </c>
      <c r="AA187" s="187">
        <f t="shared" si="141"/>
        <v>35.806669585308008</v>
      </c>
      <c r="AB187" s="187">
        <f t="shared" si="141"/>
        <v>38.39268187010623</v>
      </c>
      <c r="AC187" s="187">
        <f t="shared" si="141"/>
        <v>41.305567265696382</v>
      </c>
      <c r="AD187" s="187">
        <f t="shared" si="141"/>
        <v>44.379878880031256</v>
      </c>
      <c r="AE187" s="187">
        <f t="shared" si="141"/>
        <v>47.694432692563815</v>
      </c>
      <c r="AF187" s="187">
        <f t="shared" si="141"/>
        <v>51.192215594185136</v>
      </c>
      <c r="AG187" s="187">
        <f t="shared" si="141"/>
        <v>55.124477251771182</v>
      </c>
      <c r="AH187" s="187">
        <f t="shared" si="141"/>
        <v>59.284386096981059</v>
      </c>
      <c r="AI187" s="187">
        <f t="shared" si="141"/>
        <v>63.773677876569231</v>
      </c>
      <c r="AJ187" s="187">
        <f t="shared" si="141"/>
        <v>68.522816194057341</v>
      </c>
      <c r="AK187" s="187">
        <f t="shared" si="141"/>
        <v>73.851667814715427</v>
      </c>
      <c r="AL187" s="187">
        <f t="shared" si="141"/>
        <v>79.50203239646936</v>
      </c>
    </row>
    <row r="188" spans="4:39">
      <c r="D188" s="7"/>
      <c r="E188" s="7"/>
      <c r="K188" s="10"/>
    </row>
    <row r="189" spans="4:39">
      <c r="D189" s="7"/>
      <c r="E189" s="7"/>
      <c r="K189" s="10"/>
    </row>
    <row r="190" spans="4:39">
      <c r="D190" s="110" t="s">
        <v>348</v>
      </c>
      <c r="E190" s="110" t="s">
        <v>211</v>
      </c>
      <c r="F190" s="110"/>
      <c r="G190" s="110"/>
      <c r="H190" s="110"/>
      <c r="I190" s="110"/>
      <c r="J190" s="110"/>
      <c r="K190" s="122">
        <f t="shared" ref="K190:AL190" si="142">K80+K83+K88</f>
        <v>9446804.7750000004</v>
      </c>
      <c r="L190" s="122">
        <f t="shared" si="142"/>
        <v>9561710.1156316809</v>
      </c>
      <c r="M190" s="122">
        <f t="shared" si="142"/>
        <v>10573824.57784687</v>
      </c>
      <c r="N190" s="122">
        <f t="shared" si="142"/>
        <v>27832572.701335274</v>
      </c>
      <c r="O190" s="122">
        <f t="shared" si="142"/>
        <v>28582831.733632732</v>
      </c>
      <c r="P190" s="122">
        <f t="shared" si="142"/>
        <v>31026456.052562669</v>
      </c>
      <c r="Q190" s="122">
        <f t="shared" si="142"/>
        <v>40878961.024009615</v>
      </c>
      <c r="R190" s="122">
        <f t="shared" si="142"/>
        <v>44129378.259496078</v>
      </c>
      <c r="S190" s="122">
        <f t="shared" si="142"/>
        <v>60013181.343991078</v>
      </c>
      <c r="T190" s="122">
        <f t="shared" si="142"/>
        <v>64673894.103768557</v>
      </c>
      <c r="U190" s="122">
        <f t="shared" si="142"/>
        <v>69707724.464736432</v>
      </c>
      <c r="V190" s="122">
        <f t="shared" si="142"/>
        <v>75145355.753248245</v>
      </c>
      <c r="W190" s="122">
        <f t="shared" si="142"/>
        <v>81020053.041165024</v>
      </c>
      <c r="X190" s="122">
        <f t="shared" si="142"/>
        <v>87367884.557391718</v>
      </c>
      <c r="Y190" s="122">
        <f t="shared" si="142"/>
        <v>94227962.385808676</v>
      </c>
      <c r="Z190" s="122">
        <f t="shared" si="142"/>
        <v>101642704.15089816</v>
      </c>
      <c r="AA190" s="122">
        <f t="shared" si="142"/>
        <v>109658117.54397893</v>
      </c>
      <c r="AB190" s="122">
        <f t="shared" si="142"/>
        <v>118324109.7081987</v>
      </c>
      <c r="AC190" s="122">
        <f t="shared" si="142"/>
        <v>127694823.68052623</v>
      </c>
      <c r="AD190" s="122">
        <f t="shared" si="142"/>
        <v>137829004.28527766</v>
      </c>
      <c r="AE190" s="122">
        <f t="shared" si="142"/>
        <v>148790396.08766997</v>
      </c>
      <c r="AF190" s="122">
        <f t="shared" si="142"/>
        <v>160648176.24912122</v>
      </c>
      <c r="AG190" s="122">
        <f t="shared" si="142"/>
        <v>173477425.38025656</v>
      </c>
      <c r="AH190" s="122">
        <f t="shared" si="142"/>
        <v>187359639.76473656</v>
      </c>
      <c r="AI190" s="122">
        <f t="shared" si="142"/>
        <v>202383288.6291793</v>
      </c>
      <c r="AJ190" s="122">
        <f t="shared" si="142"/>
        <v>218644420.46386763</v>
      </c>
      <c r="AK190" s="122">
        <f t="shared" si="142"/>
        <v>236247322.75809395</v>
      </c>
      <c r="AL190" s="122">
        <f t="shared" si="142"/>
        <v>255305239.90559474</v>
      </c>
    </row>
    <row r="191" spans="4:39">
      <c r="D191" t="s">
        <v>336</v>
      </c>
      <c r="E191" t="s">
        <v>211</v>
      </c>
      <c r="K191" s="65">
        <f>K190+K185</f>
        <v>59888244.656217523</v>
      </c>
      <c r="L191" s="65">
        <f t="shared" ref="L191:AL191" si="143">L190+L185</f>
        <v>68760762.15209429</v>
      </c>
      <c r="M191" s="65">
        <f t="shared" si="143"/>
        <v>63769945.135506272</v>
      </c>
      <c r="N191" s="65">
        <f t="shared" si="143"/>
        <v>93272739.230395213</v>
      </c>
      <c r="O191" s="65">
        <f t="shared" si="143"/>
        <v>30659454.176288966</v>
      </c>
      <c r="P191" s="65">
        <f t="shared" si="143"/>
        <v>33297450.355851527</v>
      </c>
      <c r="Q191" s="65">
        <f t="shared" si="143"/>
        <v>43796738.649289511</v>
      </c>
      <c r="R191" s="65">
        <f t="shared" si="143"/>
        <v>47320259.870502174</v>
      </c>
      <c r="S191" s="65">
        <f t="shared" si="143"/>
        <v>150739100.7672191</v>
      </c>
      <c r="T191" s="65">
        <f t="shared" si="143"/>
        <v>160771157.34359726</v>
      </c>
      <c r="U191" s="65">
        <f t="shared" si="143"/>
        <v>172025132.5957672</v>
      </c>
      <c r="V191" s="65">
        <f t="shared" si="143"/>
        <v>183811593.04538265</v>
      </c>
      <c r="W191" s="65">
        <f t="shared" si="143"/>
        <v>196435685.08948472</v>
      </c>
      <c r="X191" s="65">
        <f t="shared" si="143"/>
        <v>209646731.33432525</v>
      </c>
      <c r="Y191" s="65">
        <f t="shared" si="143"/>
        <v>224449292.47499344</v>
      </c>
      <c r="Z191" s="65">
        <f t="shared" si="143"/>
        <v>239977373.80844879</v>
      </c>
      <c r="AA191" s="65">
        <f t="shared" si="143"/>
        <v>256621012.73781556</v>
      </c>
      <c r="AB191" s="65">
        <f t="shared" si="143"/>
        <v>274068966.01832491</v>
      </c>
      <c r="AC191" s="65">
        <f t="shared" si="143"/>
        <v>293595173.10426497</v>
      </c>
      <c r="AD191" s="65">
        <f t="shared" si="143"/>
        <v>314112556.94018573</v>
      </c>
      <c r="AE191" s="65">
        <f t="shared" si="143"/>
        <v>336120315.62769121</v>
      </c>
      <c r="AF191" s="65">
        <f t="shared" si="143"/>
        <v>359232911.43791413</v>
      </c>
      <c r="AG191" s="65">
        <f t="shared" si="143"/>
        <v>385066734.05656284</v>
      </c>
      <c r="AH191" s="65">
        <f t="shared" si="143"/>
        <v>412258176.06349385</v>
      </c>
      <c r="AI191" s="65">
        <f t="shared" si="143"/>
        <v>441447064.35566992</v>
      </c>
      <c r="AJ191" s="65">
        <f t="shared" si="143"/>
        <v>472157138.43714905</v>
      </c>
      <c r="AK191" s="65">
        <f t="shared" si="143"/>
        <v>506440475.63574648</v>
      </c>
      <c r="AL191" s="65">
        <f t="shared" si="143"/>
        <v>542588012.81671047</v>
      </c>
      <c r="AM191" s="65">
        <f>SUM(M191:AL191)/10^6</f>
        <v>6443.6811911085824</v>
      </c>
    </row>
    <row r="192" spans="4:39">
      <c r="D192" s="109" t="s">
        <v>336</v>
      </c>
      <c r="E192" s="110" t="s">
        <v>337</v>
      </c>
      <c r="F192" s="110"/>
      <c r="G192" s="110"/>
      <c r="H192" s="110"/>
      <c r="I192" s="110"/>
      <c r="J192" s="110">
        <f>K192/K94</f>
        <v>6.3395239006849824</v>
      </c>
      <c r="K192" s="113">
        <f t="shared" ref="K192:AL192" si="144">K191/K23</f>
        <v>310.30178578351047</v>
      </c>
      <c r="L192" s="113">
        <f t="shared" si="144"/>
        <v>377.30474842252465</v>
      </c>
      <c r="M192" s="113">
        <f t="shared" si="144"/>
        <v>335.61637369948198</v>
      </c>
      <c r="N192" s="113">
        <f t="shared" si="144"/>
        <v>196.13311786237327</v>
      </c>
      <c r="O192" s="113">
        <f t="shared" si="144"/>
        <v>59.457703746398018</v>
      </c>
      <c r="P192" s="113">
        <f t="shared" si="144"/>
        <v>64.573554616628527</v>
      </c>
      <c r="Q192" s="113">
        <f t="shared" si="144"/>
        <v>72.294930122017874</v>
      </c>
      <c r="R192" s="113">
        <f t="shared" si="144"/>
        <v>78.111178736117566</v>
      </c>
      <c r="S192" s="113">
        <f t="shared" si="144"/>
        <v>209.32161325087057</v>
      </c>
      <c r="T192" s="113">
        <f t="shared" si="144"/>
        <v>223.25247960275576</v>
      </c>
      <c r="U192" s="113">
        <f t="shared" si="144"/>
        <v>238.88014517379699</v>
      </c>
      <c r="V192" s="113">
        <f t="shared" si="144"/>
        <v>255.24723840490915</v>
      </c>
      <c r="W192" s="113">
        <f t="shared" si="144"/>
        <v>272.77749630779817</v>
      </c>
      <c r="X192" s="113">
        <f t="shared" si="144"/>
        <v>291.12281944311604</v>
      </c>
      <c r="Y192" s="113">
        <f t="shared" si="144"/>
        <v>311.67817609868086</v>
      </c>
      <c r="Z192" s="113">
        <f t="shared" si="144"/>
        <v>333.24101559331882</v>
      </c>
      <c r="AA192" s="113">
        <f t="shared" si="144"/>
        <v>356.3529575733898</v>
      </c>
      <c r="AB192" s="113">
        <f t="shared" si="144"/>
        <v>380.58179873015143</v>
      </c>
      <c r="AC192" s="113">
        <f t="shared" si="144"/>
        <v>407.69657616411899</v>
      </c>
      <c r="AD192" s="113">
        <f t="shared" si="144"/>
        <v>436.1877364693305</v>
      </c>
      <c r="AE192" s="113">
        <f t="shared" si="144"/>
        <v>466.74848367465228</v>
      </c>
      <c r="AF192" s="113">
        <f t="shared" si="144"/>
        <v>498.84344653954469</v>
      </c>
      <c r="AG192" s="113">
        <f t="shared" si="144"/>
        <v>534.71720059174049</v>
      </c>
      <c r="AH192" s="113">
        <f t="shared" si="144"/>
        <v>572.47619264183811</v>
      </c>
      <c r="AI192" s="113">
        <f t="shared" si="144"/>
        <v>613.00890880652446</v>
      </c>
      <c r="AJ192" s="113">
        <f t="shared" si="144"/>
        <v>655.65399702232799</v>
      </c>
      <c r="AK192" s="113">
        <f t="shared" si="144"/>
        <v>703.26104398963082</v>
      </c>
      <c r="AL192" s="113">
        <f t="shared" si="144"/>
        <v>753.45678457222743</v>
      </c>
    </row>
    <row r="193" spans="5:38">
      <c r="E193" t="s">
        <v>108</v>
      </c>
      <c r="J193">
        <f>K193/K95</f>
        <v>5.9665863957588288</v>
      </c>
      <c r="K193" s="65">
        <f>K191/Inputs!E34</f>
        <v>18.691043101812905</v>
      </c>
      <c r="L193" s="65">
        <f>L191/Inputs!F34</f>
        <v>22.801496257689298</v>
      </c>
      <c r="M193" s="65">
        <f>M191/Inputs!G34</f>
        <v>20.295307039745762</v>
      </c>
      <c r="N193" s="65">
        <f>N191/Inputs!H34</f>
        <v>33.871226206817326</v>
      </c>
      <c r="O193" s="65">
        <f t="shared" ref="O193:AL193" si="145">O191/O58</f>
        <v>9.1779101113270691</v>
      </c>
      <c r="P193" s="65">
        <f t="shared" si="145"/>
        <v>9.9675944830982282</v>
      </c>
      <c r="Q193" s="65">
        <f t="shared" si="145"/>
        <v>13.110557291112121</v>
      </c>
      <c r="R193" s="65">
        <f t="shared" si="145"/>
        <v>14.165323656413326</v>
      </c>
      <c r="S193" s="65">
        <f t="shared" si="145"/>
        <v>29.401610568280823</v>
      </c>
      <c r="T193" s="65">
        <f t="shared" si="145"/>
        <v>31.358359806908201</v>
      </c>
      <c r="U193" s="65">
        <f t="shared" si="145"/>
        <v>33.553443869538668</v>
      </c>
      <c r="V193" s="65">
        <f t="shared" si="145"/>
        <v>35.852388989645149</v>
      </c>
      <c r="W193" s="65">
        <f t="shared" si="145"/>
        <v>38.314713868655829</v>
      </c>
      <c r="X193" s="65">
        <f t="shared" si="145"/>
        <v>40.891523965793013</v>
      </c>
      <c r="Y193" s="65">
        <f t="shared" si="145"/>
        <v>43.778758504515558</v>
      </c>
      <c r="Z193" s="65">
        <f t="shared" si="145"/>
        <v>46.807505511198848</v>
      </c>
      <c r="AA193" s="65">
        <f t="shared" si="145"/>
        <v>50.053841649265671</v>
      </c>
      <c r="AB193" s="65">
        <f t="shared" si="145"/>
        <v>53.457059029202796</v>
      </c>
      <c r="AC193" s="65">
        <f t="shared" si="145"/>
        <v>57.265639110246134</v>
      </c>
      <c r="AD193" s="65">
        <f t="shared" si="145"/>
        <v>61.267547880786367</v>
      </c>
      <c r="AE193" s="65">
        <f t="shared" si="145"/>
        <v>65.560153761525783</v>
      </c>
      <c r="AF193" s="65">
        <f t="shared" si="145"/>
        <v>70.068257748981921</v>
      </c>
      <c r="AG193" s="65">
        <f t="shared" si="145"/>
        <v>75.107136104084418</v>
      </c>
      <c r="AH193" s="65">
        <f t="shared" si="145"/>
        <v>80.410817661216512</v>
      </c>
      <c r="AI193" s="65">
        <f t="shared" si="145"/>
        <v>86.104100440001957</v>
      </c>
      <c r="AJ193" s="65">
        <f t="shared" si="145"/>
        <v>92.094089991956764</v>
      </c>
      <c r="AK193" s="65">
        <f t="shared" si="145"/>
        <v>98.781043305090904</v>
      </c>
      <c r="AL193" s="65">
        <f t="shared" si="145"/>
        <v>105.83160819361569</v>
      </c>
    </row>
  </sheetData>
  <conditionalFormatting sqref="K6:AL6">
    <cfRule type="cellIs" dxfId="17" priority="2" operator="equal">
      <formula>1</formula>
    </cfRule>
  </conditionalFormatting>
  <conditionalFormatting sqref="K7:AL7">
    <cfRule type="cellIs" dxfId="16" priority="1" operator="equal">
      <formula>1</formula>
    </cfRule>
  </conditionalFormatting>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E1613-E73F-4154-9F7D-BA0C4C70698D}">
  <sheetPr codeName="Sheet20">
    <tabColor theme="0" tint="-0.14999847407452621"/>
  </sheetPr>
  <dimension ref="A1:AO212"/>
  <sheetViews>
    <sheetView tabSelected="1" zoomScale="85" zoomScaleNormal="85" workbookViewId="0">
      <selection activeCell="AL203" sqref="AL203"/>
    </sheetView>
  </sheetViews>
  <sheetFormatPr defaultColWidth="9.140625" defaultRowHeight="12.75"/>
  <cols>
    <col min="1" max="3" width="2.140625" customWidth="1"/>
    <col min="4" max="4" width="39.7109375" bestFit="1" customWidth="1"/>
    <col min="5" max="5" width="13.5703125" customWidth="1"/>
    <col min="6" max="6" width="14" customWidth="1"/>
    <col min="7" max="7" width="15.28515625" customWidth="1"/>
    <col min="8" max="8" width="2.140625" customWidth="1"/>
    <col min="9" max="9" width="2.42578125" customWidth="1"/>
    <col min="10" max="10" width="16.140625" bestFit="1" customWidth="1"/>
    <col min="11" max="11" width="17.5703125" customWidth="1"/>
    <col min="12" max="20" width="15.28515625" customWidth="1"/>
    <col min="21" max="21" width="15.28515625" style="128" customWidth="1"/>
    <col min="22" max="22" width="15.28515625" customWidth="1"/>
    <col min="23" max="23" width="15.28515625" style="128" customWidth="1"/>
    <col min="24" max="26" width="15.28515625" customWidth="1"/>
    <col min="27" max="27" width="15.5703125" customWidth="1"/>
    <col min="28" max="28" width="14.5703125" style="128" customWidth="1"/>
    <col min="29" max="29" width="14.85546875" customWidth="1"/>
    <col min="30" max="30" width="14.28515625" customWidth="1"/>
    <col min="31" max="31" width="19.42578125" customWidth="1"/>
    <col min="32" max="32" width="14.85546875" customWidth="1"/>
    <col min="33" max="33" width="15.28515625" customWidth="1"/>
    <col min="34" max="34" width="14.140625" customWidth="1"/>
    <col min="35" max="35" width="14.42578125" customWidth="1"/>
    <col min="36" max="36" width="19.7109375" customWidth="1"/>
    <col min="37" max="37" width="15.42578125" customWidth="1"/>
    <col min="38" max="38" width="29.42578125" customWidth="1"/>
    <col min="39" max="39" width="19.42578125" customWidth="1"/>
    <col min="40" max="40" width="15.28515625" customWidth="1"/>
    <col min="41" max="41" width="13.140625" customWidth="1"/>
    <col min="56" max="56" width="1.28515625" customWidth="1"/>
    <col min="57" max="57" width="0.7109375" customWidth="1"/>
    <col min="58" max="58" width="1.28515625" customWidth="1"/>
    <col min="60" max="69" width="14" customWidth="1"/>
    <col min="70" max="70" width="16.28515625" customWidth="1"/>
  </cols>
  <sheetData>
    <row r="1" spans="1:38" ht="23.25">
      <c r="A1" s="30" t="s">
        <v>162</v>
      </c>
      <c r="B1" s="30"/>
      <c r="C1" s="30"/>
      <c r="D1" s="30"/>
      <c r="E1" s="30"/>
      <c r="F1" s="30"/>
      <c r="G1" s="30"/>
      <c r="H1" s="30"/>
      <c r="I1" s="30"/>
      <c r="J1" s="30"/>
      <c r="K1" s="30"/>
      <c r="L1" s="30"/>
      <c r="M1" s="30"/>
      <c r="N1" s="30"/>
      <c r="O1" s="30"/>
      <c r="P1" s="30"/>
      <c r="Q1" s="30"/>
      <c r="R1" s="30"/>
      <c r="S1" s="30"/>
      <c r="T1" s="176"/>
      <c r="U1" s="124"/>
      <c r="V1" s="30"/>
      <c r="W1" s="124"/>
      <c r="X1" s="30"/>
      <c r="Y1" s="30"/>
      <c r="Z1" s="30"/>
      <c r="AA1" s="30"/>
    </row>
    <row r="2" spans="1:38" ht="15.75">
      <c r="A2" s="17" t="str">
        <f>Name_Model</f>
        <v>Aspen PE</v>
      </c>
      <c r="B2" s="17"/>
      <c r="C2" s="17"/>
      <c r="D2" s="17"/>
      <c r="E2" s="17"/>
      <c r="F2" s="17"/>
      <c r="G2" s="17"/>
      <c r="H2" s="17"/>
      <c r="I2" s="17"/>
      <c r="J2" s="17"/>
      <c r="K2" s="17"/>
      <c r="L2" s="17"/>
      <c r="M2" s="17"/>
      <c r="N2" s="17"/>
      <c r="O2" s="17"/>
      <c r="P2" s="17"/>
      <c r="Q2" s="17"/>
      <c r="R2" s="17"/>
      <c r="S2" s="17"/>
      <c r="T2" s="64"/>
      <c r="U2" s="125"/>
      <c r="V2" s="17"/>
      <c r="W2" s="125"/>
      <c r="X2" s="17"/>
      <c r="Y2" s="17"/>
      <c r="Z2" s="17"/>
      <c r="AA2" s="17"/>
    </row>
    <row r="3" spans="1:38" ht="15.75">
      <c r="A3" s="64"/>
      <c r="B3" s="64"/>
      <c r="C3" s="64"/>
      <c r="D3" s="64"/>
      <c r="E3" s="64"/>
      <c r="F3" s="64"/>
      <c r="G3" s="64"/>
      <c r="H3" s="64"/>
      <c r="I3" s="64"/>
      <c r="J3" s="64"/>
      <c r="K3" s="64"/>
      <c r="L3" s="64"/>
      <c r="M3" s="64"/>
      <c r="N3" s="64"/>
      <c r="O3" s="64"/>
      <c r="P3" s="64"/>
      <c r="Q3" s="64"/>
      <c r="R3" s="64"/>
      <c r="S3" s="64"/>
      <c r="T3" s="64"/>
      <c r="U3" s="125"/>
      <c r="V3" s="64"/>
      <c r="W3" s="125"/>
      <c r="X3" s="64"/>
      <c r="Y3" s="64"/>
      <c r="Z3" s="64"/>
      <c r="AA3" s="64"/>
    </row>
    <row r="4" spans="1:38">
      <c r="D4" t="s">
        <v>70</v>
      </c>
      <c r="E4" s="16" t="s">
        <v>17</v>
      </c>
      <c r="K4" s="37">
        <f>J5+1</f>
        <v>44743</v>
      </c>
      <c r="L4" s="37">
        <f t="shared" ref="L4:AL4" si="0">K5+1</f>
        <v>45108</v>
      </c>
      <c r="M4" s="37">
        <f t="shared" si="0"/>
        <v>45474</v>
      </c>
      <c r="N4" s="37">
        <f t="shared" si="0"/>
        <v>45839</v>
      </c>
      <c r="O4" s="37">
        <f t="shared" si="0"/>
        <v>46204</v>
      </c>
      <c r="P4" s="37">
        <f t="shared" si="0"/>
        <v>46569</v>
      </c>
      <c r="Q4" s="37">
        <f t="shared" si="0"/>
        <v>46935</v>
      </c>
      <c r="R4" s="37">
        <f t="shared" si="0"/>
        <v>47300</v>
      </c>
      <c r="S4" s="37">
        <f t="shared" si="0"/>
        <v>47665</v>
      </c>
      <c r="T4" s="177">
        <f t="shared" si="0"/>
        <v>48030</v>
      </c>
      <c r="U4" s="126">
        <f t="shared" si="0"/>
        <v>48396</v>
      </c>
      <c r="V4" s="37">
        <f t="shared" si="0"/>
        <v>48761</v>
      </c>
      <c r="W4" s="126">
        <f t="shared" si="0"/>
        <v>49126</v>
      </c>
      <c r="X4" s="37">
        <f t="shared" si="0"/>
        <v>49491</v>
      </c>
      <c r="Y4" s="37">
        <f t="shared" si="0"/>
        <v>49857</v>
      </c>
      <c r="Z4" s="37">
        <f t="shared" si="0"/>
        <v>50222</v>
      </c>
      <c r="AA4" s="37">
        <f t="shared" si="0"/>
        <v>50587</v>
      </c>
      <c r="AB4" s="126">
        <f t="shared" si="0"/>
        <v>50952</v>
      </c>
      <c r="AC4" s="37">
        <f t="shared" si="0"/>
        <v>51318</v>
      </c>
      <c r="AD4" s="37">
        <f t="shared" si="0"/>
        <v>51683</v>
      </c>
      <c r="AE4" s="37">
        <f t="shared" si="0"/>
        <v>52048</v>
      </c>
      <c r="AF4" s="37">
        <f t="shared" si="0"/>
        <v>52413</v>
      </c>
      <c r="AG4" s="37">
        <f t="shared" si="0"/>
        <v>52779</v>
      </c>
      <c r="AH4" s="37">
        <f t="shared" si="0"/>
        <v>53144</v>
      </c>
      <c r="AI4" s="37">
        <f t="shared" si="0"/>
        <v>53509</v>
      </c>
      <c r="AJ4" s="37">
        <f t="shared" si="0"/>
        <v>53874</v>
      </c>
      <c r="AK4" s="37">
        <f t="shared" si="0"/>
        <v>54240</v>
      </c>
      <c r="AL4" s="37">
        <f t="shared" si="0"/>
        <v>54605</v>
      </c>
    </row>
    <row r="5" spans="1:38">
      <c r="D5" t="s">
        <v>71</v>
      </c>
      <c r="E5" s="16" t="s">
        <v>17</v>
      </c>
      <c r="F5" s="36" t="s">
        <v>16</v>
      </c>
      <c r="G5" s="36" t="s">
        <v>18</v>
      </c>
      <c r="J5" s="38">
        <f>Model_Start</f>
        <v>44742</v>
      </c>
      <c r="K5" s="37">
        <f>EOMONTH(K4,11)</f>
        <v>45107</v>
      </c>
      <c r="L5" s="37">
        <f t="shared" ref="L5:AL5" si="1">EOMONTH(L4,11)</f>
        <v>45473</v>
      </c>
      <c r="M5" s="37">
        <f t="shared" si="1"/>
        <v>45838</v>
      </c>
      <c r="N5" s="37">
        <f t="shared" si="1"/>
        <v>46203</v>
      </c>
      <c r="O5" s="37">
        <f t="shared" si="1"/>
        <v>46568</v>
      </c>
      <c r="P5" s="37">
        <f t="shared" si="1"/>
        <v>46934</v>
      </c>
      <c r="Q5" s="37">
        <f t="shared" si="1"/>
        <v>47299</v>
      </c>
      <c r="R5" s="37">
        <f t="shared" si="1"/>
        <v>47664</v>
      </c>
      <c r="S5" s="37">
        <f t="shared" si="1"/>
        <v>48029</v>
      </c>
      <c r="T5" s="177">
        <f t="shared" si="1"/>
        <v>48395</v>
      </c>
      <c r="U5" s="126">
        <f t="shared" si="1"/>
        <v>48760</v>
      </c>
      <c r="V5" s="37">
        <f t="shared" si="1"/>
        <v>49125</v>
      </c>
      <c r="W5" s="126">
        <f t="shared" si="1"/>
        <v>49490</v>
      </c>
      <c r="X5" s="37">
        <f t="shared" si="1"/>
        <v>49856</v>
      </c>
      <c r="Y5" s="37">
        <f t="shared" si="1"/>
        <v>50221</v>
      </c>
      <c r="Z5" s="37">
        <f t="shared" si="1"/>
        <v>50586</v>
      </c>
      <c r="AA5" s="37">
        <f t="shared" si="1"/>
        <v>50951</v>
      </c>
      <c r="AB5" s="126">
        <f t="shared" si="1"/>
        <v>51317</v>
      </c>
      <c r="AC5" s="37">
        <f t="shared" si="1"/>
        <v>51682</v>
      </c>
      <c r="AD5" s="37">
        <f t="shared" si="1"/>
        <v>52047</v>
      </c>
      <c r="AE5" s="37">
        <f t="shared" si="1"/>
        <v>52412</v>
      </c>
      <c r="AF5" s="37">
        <f t="shared" si="1"/>
        <v>52778</v>
      </c>
      <c r="AG5" s="37">
        <f t="shared" si="1"/>
        <v>53143</v>
      </c>
      <c r="AH5" s="37">
        <f t="shared" si="1"/>
        <v>53508</v>
      </c>
      <c r="AI5" s="37">
        <f t="shared" si="1"/>
        <v>53873</v>
      </c>
      <c r="AJ5" s="37">
        <f t="shared" si="1"/>
        <v>54239</v>
      </c>
      <c r="AK5" s="37">
        <f t="shared" si="1"/>
        <v>54604</v>
      </c>
      <c r="AL5" s="37">
        <f t="shared" si="1"/>
        <v>54969</v>
      </c>
    </row>
    <row r="6" spans="1:38">
      <c r="D6" s="7" t="s">
        <v>95</v>
      </c>
      <c r="E6" s="16" t="s">
        <v>72</v>
      </c>
      <c r="F6" s="38">
        <f>Inputs!E9</f>
        <v>44743</v>
      </c>
      <c r="G6" s="38">
        <f>Inputs!E11</f>
        <v>45473</v>
      </c>
      <c r="K6" s="8">
        <f t="shared" ref="K6:Z7" si="2">IF(AND(K$4&gt;=$F6,K$5&lt;=$G6),1,0)</f>
        <v>1</v>
      </c>
      <c r="L6" s="8">
        <f t="shared" si="2"/>
        <v>1</v>
      </c>
      <c r="M6" s="8">
        <f t="shared" si="2"/>
        <v>0</v>
      </c>
      <c r="N6" s="8">
        <f t="shared" si="2"/>
        <v>0</v>
      </c>
      <c r="O6" s="8">
        <f t="shared" si="2"/>
        <v>0</v>
      </c>
      <c r="P6" s="8">
        <f t="shared" si="2"/>
        <v>0</v>
      </c>
      <c r="Q6" s="8">
        <f t="shared" si="2"/>
        <v>0</v>
      </c>
      <c r="R6" s="8">
        <f t="shared" si="2"/>
        <v>0</v>
      </c>
      <c r="S6" s="8">
        <f t="shared" si="2"/>
        <v>0</v>
      </c>
      <c r="T6" s="178">
        <f t="shared" si="2"/>
        <v>0</v>
      </c>
      <c r="U6" s="127">
        <f t="shared" si="2"/>
        <v>0</v>
      </c>
      <c r="V6" s="8">
        <f t="shared" si="2"/>
        <v>0</v>
      </c>
      <c r="W6" s="127">
        <f t="shared" si="2"/>
        <v>0</v>
      </c>
      <c r="X6" s="8">
        <f t="shared" si="2"/>
        <v>0</v>
      </c>
      <c r="Y6" s="8">
        <f t="shared" si="2"/>
        <v>0</v>
      </c>
      <c r="Z6" s="8">
        <f t="shared" si="2"/>
        <v>0</v>
      </c>
      <c r="AA6" s="8">
        <f t="shared" ref="AA6:AL7" si="3">IF(AND(AA$4&gt;=$F6,AA$5&lt;=$G6),1,0)</f>
        <v>0</v>
      </c>
      <c r="AB6" s="127">
        <f t="shared" si="3"/>
        <v>0</v>
      </c>
      <c r="AC6" s="8">
        <f t="shared" si="3"/>
        <v>0</v>
      </c>
      <c r="AD6" s="8">
        <f t="shared" si="3"/>
        <v>0</v>
      </c>
      <c r="AE6" s="8">
        <f t="shared" si="3"/>
        <v>0</v>
      </c>
      <c r="AF6" s="8">
        <f t="shared" si="3"/>
        <v>0</v>
      </c>
      <c r="AG6" s="8">
        <f t="shared" si="3"/>
        <v>0</v>
      </c>
      <c r="AH6" s="8">
        <f t="shared" si="3"/>
        <v>0</v>
      </c>
      <c r="AI6" s="8">
        <f t="shared" si="3"/>
        <v>0</v>
      </c>
      <c r="AJ6" s="8">
        <f t="shared" si="3"/>
        <v>0</v>
      </c>
      <c r="AK6" s="8">
        <f t="shared" si="3"/>
        <v>0</v>
      </c>
      <c r="AL6" s="8">
        <f t="shared" si="3"/>
        <v>0</v>
      </c>
    </row>
    <row r="7" spans="1:38">
      <c r="D7" s="7" t="s">
        <v>103</v>
      </c>
      <c r="E7" s="16" t="s">
        <v>72</v>
      </c>
      <c r="F7" s="38">
        <f>Inputs!E14</f>
        <v>45474</v>
      </c>
      <c r="G7" s="38">
        <f>Inputs!E16</f>
        <v>54604</v>
      </c>
      <c r="K7" s="8">
        <f t="shared" si="2"/>
        <v>0</v>
      </c>
      <c r="L7" s="8">
        <f t="shared" si="2"/>
        <v>0</v>
      </c>
      <c r="M7" s="8">
        <f t="shared" si="2"/>
        <v>1</v>
      </c>
      <c r="N7" s="8">
        <f t="shared" si="2"/>
        <v>1</v>
      </c>
      <c r="O7" s="8">
        <f t="shared" si="2"/>
        <v>1</v>
      </c>
      <c r="P7" s="8">
        <f t="shared" si="2"/>
        <v>1</v>
      </c>
      <c r="Q7" s="8">
        <f t="shared" si="2"/>
        <v>1</v>
      </c>
      <c r="R7" s="8">
        <f t="shared" si="2"/>
        <v>1</v>
      </c>
      <c r="S7" s="8">
        <f t="shared" si="2"/>
        <v>1</v>
      </c>
      <c r="T7" s="178">
        <f t="shared" si="2"/>
        <v>1</v>
      </c>
      <c r="U7" s="127">
        <f t="shared" si="2"/>
        <v>1</v>
      </c>
      <c r="V7" s="8">
        <f t="shared" si="2"/>
        <v>1</v>
      </c>
      <c r="W7" s="127">
        <f t="shared" si="2"/>
        <v>1</v>
      </c>
      <c r="X7" s="8">
        <f t="shared" si="2"/>
        <v>1</v>
      </c>
      <c r="Y7" s="8">
        <f t="shared" si="2"/>
        <v>1</v>
      </c>
      <c r="Z7" s="8">
        <f t="shared" si="2"/>
        <v>1</v>
      </c>
      <c r="AA7" s="8">
        <f t="shared" si="3"/>
        <v>1</v>
      </c>
      <c r="AB7" s="127">
        <f t="shared" si="3"/>
        <v>1</v>
      </c>
      <c r="AC7" s="8">
        <f t="shared" si="3"/>
        <v>1</v>
      </c>
      <c r="AD7" s="8">
        <f t="shared" si="3"/>
        <v>1</v>
      </c>
      <c r="AE7" s="8">
        <f t="shared" si="3"/>
        <v>1</v>
      </c>
      <c r="AF7" s="8">
        <f t="shared" si="3"/>
        <v>1</v>
      </c>
      <c r="AG7" s="8">
        <f t="shared" si="3"/>
        <v>1</v>
      </c>
      <c r="AH7" s="8">
        <f t="shared" si="3"/>
        <v>1</v>
      </c>
      <c r="AI7" s="8">
        <f t="shared" si="3"/>
        <v>1</v>
      </c>
      <c r="AJ7" s="8">
        <f t="shared" si="3"/>
        <v>1</v>
      </c>
      <c r="AK7" s="8">
        <f t="shared" si="3"/>
        <v>1</v>
      </c>
      <c r="AL7" s="8">
        <f t="shared" si="3"/>
        <v>0</v>
      </c>
    </row>
    <row r="9" spans="1:38" ht="18">
      <c r="D9" s="15" t="s">
        <v>74</v>
      </c>
    </row>
    <row r="10" spans="1:38">
      <c r="D10" s="7" t="s">
        <v>77</v>
      </c>
      <c r="E10" s="16" t="s">
        <v>21</v>
      </c>
      <c r="K10">
        <f t="shared" ref="K10:AL10" si="4">YEAR(K5)</f>
        <v>2023</v>
      </c>
      <c r="L10">
        <f t="shared" si="4"/>
        <v>2024</v>
      </c>
      <c r="M10">
        <f t="shared" si="4"/>
        <v>2025</v>
      </c>
      <c r="N10">
        <f t="shared" si="4"/>
        <v>2026</v>
      </c>
      <c r="O10">
        <f t="shared" si="4"/>
        <v>2027</v>
      </c>
      <c r="P10">
        <f t="shared" si="4"/>
        <v>2028</v>
      </c>
      <c r="Q10">
        <f t="shared" si="4"/>
        <v>2029</v>
      </c>
      <c r="R10">
        <f t="shared" si="4"/>
        <v>2030</v>
      </c>
      <c r="S10">
        <f t="shared" si="4"/>
        <v>2031</v>
      </c>
      <c r="T10">
        <f t="shared" si="4"/>
        <v>2032</v>
      </c>
      <c r="U10" s="89">
        <f t="shared" si="4"/>
        <v>2033</v>
      </c>
      <c r="V10">
        <f t="shared" si="4"/>
        <v>2034</v>
      </c>
      <c r="W10" s="89">
        <f t="shared" si="4"/>
        <v>2035</v>
      </c>
      <c r="X10">
        <f t="shared" si="4"/>
        <v>2036</v>
      </c>
      <c r="Y10">
        <f t="shared" si="4"/>
        <v>2037</v>
      </c>
      <c r="Z10">
        <f t="shared" si="4"/>
        <v>2038</v>
      </c>
      <c r="AA10">
        <f t="shared" si="4"/>
        <v>2039</v>
      </c>
      <c r="AB10" s="128">
        <f t="shared" si="4"/>
        <v>2040</v>
      </c>
      <c r="AC10">
        <f t="shared" si="4"/>
        <v>2041</v>
      </c>
      <c r="AD10">
        <f t="shared" si="4"/>
        <v>2042</v>
      </c>
      <c r="AE10">
        <f t="shared" si="4"/>
        <v>2043</v>
      </c>
      <c r="AF10">
        <f t="shared" si="4"/>
        <v>2044</v>
      </c>
      <c r="AG10">
        <f t="shared" si="4"/>
        <v>2045</v>
      </c>
      <c r="AH10">
        <f t="shared" si="4"/>
        <v>2046</v>
      </c>
      <c r="AI10">
        <f t="shared" si="4"/>
        <v>2047</v>
      </c>
      <c r="AJ10">
        <f t="shared" si="4"/>
        <v>2048</v>
      </c>
      <c r="AK10">
        <f t="shared" si="4"/>
        <v>2049</v>
      </c>
      <c r="AL10">
        <f t="shared" si="4"/>
        <v>2050</v>
      </c>
    </row>
    <row r="11" spans="1:38">
      <c r="D11" s="7" t="s">
        <v>78</v>
      </c>
      <c r="E11" s="16" t="s">
        <v>76</v>
      </c>
      <c r="K11">
        <f>K5-K4+1</f>
        <v>365</v>
      </c>
      <c r="L11">
        <f t="shared" ref="L11:AL11" si="5">L5-L4+1</f>
        <v>366</v>
      </c>
      <c r="M11">
        <f t="shared" si="5"/>
        <v>365</v>
      </c>
      <c r="N11">
        <f t="shared" si="5"/>
        <v>365</v>
      </c>
      <c r="O11">
        <f t="shared" si="5"/>
        <v>365</v>
      </c>
      <c r="P11">
        <f t="shared" si="5"/>
        <v>366</v>
      </c>
      <c r="Q11">
        <f t="shared" si="5"/>
        <v>365</v>
      </c>
      <c r="R11">
        <f t="shared" si="5"/>
        <v>365</v>
      </c>
      <c r="S11">
        <f t="shared" si="5"/>
        <v>365</v>
      </c>
      <c r="T11">
        <f t="shared" si="5"/>
        <v>366</v>
      </c>
      <c r="U11" s="128">
        <f t="shared" si="5"/>
        <v>365</v>
      </c>
      <c r="V11">
        <f t="shared" si="5"/>
        <v>365</v>
      </c>
      <c r="W11" s="128">
        <f t="shared" si="5"/>
        <v>365</v>
      </c>
      <c r="X11">
        <f t="shared" si="5"/>
        <v>366</v>
      </c>
      <c r="Y11">
        <f t="shared" si="5"/>
        <v>365</v>
      </c>
      <c r="Z11">
        <f t="shared" si="5"/>
        <v>365</v>
      </c>
      <c r="AA11">
        <f t="shared" si="5"/>
        <v>365</v>
      </c>
      <c r="AB11" s="128">
        <f t="shared" si="5"/>
        <v>366</v>
      </c>
      <c r="AC11">
        <f t="shared" si="5"/>
        <v>365</v>
      </c>
      <c r="AD11">
        <f t="shared" si="5"/>
        <v>365</v>
      </c>
      <c r="AE11">
        <f t="shared" si="5"/>
        <v>365</v>
      </c>
      <c r="AF11">
        <f t="shared" si="5"/>
        <v>366</v>
      </c>
      <c r="AG11">
        <f t="shared" si="5"/>
        <v>365</v>
      </c>
      <c r="AH11">
        <f t="shared" si="5"/>
        <v>365</v>
      </c>
      <c r="AI11">
        <f t="shared" si="5"/>
        <v>365</v>
      </c>
      <c r="AJ11">
        <f t="shared" si="5"/>
        <v>366</v>
      </c>
      <c r="AK11">
        <f t="shared" si="5"/>
        <v>365</v>
      </c>
      <c r="AL11">
        <f t="shared" si="5"/>
        <v>365</v>
      </c>
    </row>
    <row r="12" spans="1:38" ht="15.75">
      <c r="A12" s="64"/>
      <c r="B12" s="64"/>
      <c r="C12" s="64"/>
      <c r="D12" s="64"/>
      <c r="E12" s="64"/>
      <c r="F12" s="64"/>
      <c r="G12" s="64"/>
      <c r="H12" s="64"/>
      <c r="I12" s="64"/>
      <c r="J12" s="64"/>
      <c r="K12" s="64"/>
      <c r="L12" s="64"/>
      <c r="M12" s="64"/>
      <c r="N12" s="64"/>
      <c r="O12" s="64"/>
      <c r="P12" s="64"/>
      <c r="Q12" s="64"/>
      <c r="R12" s="64"/>
      <c r="S12" s="64"/>
      <c r="T12" s="64"/>
      <c r="U12" s="125"/>
      <c r="V12" s="64"/>
      <c r="W12" s="125"/>
      <c r="X12" s="64"/>
      <c r="Y12" s="64"/>
      <c r="Z12" s="64"/>
      <c r="AA12" s="64"/>
    </row>
    <row r="13" spans="1:38" ht="24" thickBot="1">
      <c r="D13" s="57" t="s">
        <v>188</v>
      </c>
      <c r="AC13" s="65">
        <f>AC17-AC31</f>
        <v>227522.46095357079</v>
      </c>
      <c r="AD13">
        <f>12*60*60*24*365/1000</f>
        <v>378432</v>
      </c>
    </row>
    <row r="14" spans="1:38" ht="18">
      <c r="D14" s="15" t="s">
        <v>331</v>
      </c>
      <c r="M14" s="9">
        <f>N15-N14</f>
        <v>320316.5</v>
      </c>
      <c r="N14" s="150">
        <f>(0.85*N16)+20000+(637.5*N11)+(650*N11)</f>
        <v>1130293.5</v>
      </c>
      <c r="O14" s="151" t="s">
        <v>547</v>
      </c>
    </row>
    <row r="15" spans="1:38" ht="15">
      <c r="D15" s="4" t="s">
        <v>410</v>
      </c>
      <c r="N15" s="9">
        <f>N16+22000+(850*N11)+(1000*N11)</f>
        <v>1450610</v>
      </c>
      <c r="O15" s="7" t="s">
        <v>546</v>
      </c>
      <c r="AC15">
        <f>ABS(AC19)/AC31</f>
        <v>0.63860456652444642</v>
      </c>
    </row>
    <row r="16" spans="1:38">
      <c r="D16" s="63" t="s">
        <v>558</v>
      </c>
      <c r="K16">
        <f>Inputs!E86</f>
        <v>376680</v>
      </c>
      <c r="L16">
        <f>Inputs!F86</f>
        <v>376680</v>
      </c>
      <c r="M16">
        <f>Inputs!G86</f>
        <v>376680</v>
      </c>
      <c r="N16">
        <f>Inputs!H86</f>
        <v>753360</v>
      </c>
      <c r="O16">
        <f>Inputs!I86</f>
        <v>753360</v>
      </c>
      <c r="P16" s="139">
        <f>O16</f>
        <v>753360</v>
      </c>
      <c r="Q16">
        <f>P16</f>
        <v>753360</v>
      </c>
      <c r="R16">
        <f>Q16</f>
        <v>753360</v>
      </c>
      <c r="S16" s="139">
        <f>R16+Inputs!E172</f>
        <v>775360</v>
      </c>
      <c r="T16" s="139">
        <f>S16</f>
        <v>775360</v>
      </c>
      <c r="U16" s="185">
        <f>T16</f>
        <v>775360</v>
      </c>
      <c r="V16">
        <f t="shared" ref="V16:AA17" si="6">U16</f>
        <v>775360</v>
      </c>
      <c r="W16" s="128">
        <f>V16+Inputs!F182</f>
        <v>1085610</v>
      </c>
      <c r="X16">
        <f t="shared" si="6"/>
        <v>1085610</v>
      </c>
      <c r="Y16">
        <f t="shared" si="6"/>
        <v>1085610</v>
      </c>
      <c r="Z16">
        <f t="shared" si="6"/>
        <v>1085610</v>
      </c>
      <c r="AA16">
        <f t="shared" si="6"/>
        <v>1085610</v>
      </c>
      <c r="AB16" s="128">
        <f t="shared" ref="AB16:AD17" si="7">AA16</f>
        <v>1085610</v>
      </c>
      <c r="AC16">
        <f t="shared" si="7"/>
        <v>1085610</v>
      </c>
      <c r="AD16">
        <f t="shared" si="7"/>
        <v>1085610</v>
      </c>
      <c r="AE16">
        <f t="shared" ref="AE16:AL17" si="8">AD16</f>
        <v>1085610</v>
      </c>
      <c r="AF16">
        <f t="shared" si="8"/>
        <v>1085610</v>
      </c>
      <c r="AG16">
        <f t="shared" si="8"/>
        <v>1085610</v>
      </c>
      <c r="AH16">
        <f t="shared" si="8"/>
        <v>1085610</v>
      </c>
      <c r="AI16">
        <f t="shared" si="8"/>
        <v>1085610</v>
      </c>
      <c r="AJ16">
        <f t="shared" si="8"/>
        <v>1085610</v>
      </c>
      <c r="AK16">
        <f t="shared" si="8"/>
        <v>1085610</v>
      </c>
      <c r="AL16">
        <f t="shared" si="8"/>
        <v>1085610</v>
      </c>
    </row>
    <row r="17" spans="4:40">
      <c r="D17" s="63" t="s">
        <v>559</v>
      </c>
      <c r="K17" s="117">
        <f>0.85*K16</f>
        <v>320178</v>
      </c>
      <c r="L17" s="117">
        <f t="shared" ref="L17:O17" si="9">0.85*L16</f>
        <v>320178</v>
      </c>
      <c r="M17" s="117">
        <f t="shared" si="9"/>
        <v>320178</v>
      </c>
      <c r="N17" s="117">
        <f t="shared" si="9"/>
        <v>640356</v>
      </c>
      <c r="O17" s="117">
        <f t="shared" si="9"/>
        <v>640356</v>
      </c>
      <c r="P17" s="117">
        <f>O17</f>
        <v>640356</v>
      </c>
      <c r="Q17" s="117">
        <f>P17+Inputs!F174</f>
        <v>640356</v>
      </c>
      <c r="R17" s="117">
        <f>Q17</f>
        <v>640356</v>
      </c>
      <c r="S17" s="117">
        <f>R17+Inputs!E174</f>
        <v>657356</v>
      </c>
      <c r="T17" s="179">
        <f>S17</f>
        <v>657356</v>
      </c>
      <c r="U17" s="166">
        <f>T17</f>
        <v>657356</v>
      </c>
      <c r="V17" s="117">
        <f>U17+(Inputs!$E$184*'Strategic Model'!V11)</f>
        <v>890043.5</v>
      </c>
      <c r="W17" s="166">
        <f>V17</f>
        <v>890043.5</v>
      </c>
      <c r="X17" s="117">
        <f t="shared" si="6"/>
        <v>890043.5</v>
      </c>
      <c r="Y17" s="117">
        <f t="shared" si="6"/>
        <v>890043.5</v>
      </c>
      <c r="Z17" s="117">
        <f t="shared" si="6"/>
        <v>890043.5</v>
      </c>
      <c r="AA17" s="117">
        <f t="shared" si="6"/>
        <v>890043.5</v>
      </c>
      <c r="AB17" s="166">
        <f t="shared" si="7"/>
        <v>890043.5</v>
      </c>
      <c r="AC17" s="117">
        <f t="shared" si="7"/>
        <v>890043.5</v>
      </c>
      <c r="AD17" s="117">
        <f t="shared" si="7"/>
        <v>890043.5</v>
      </c>
      <c r="AE17" s="117">
        <f>AD17</f>
        <v>890043.5</v>
      </c>
      <c r="AF17" s="117">
        <f t="shared" si="8"/>
        <v>890043.5</v>
      </c>
      <c r="AG17" s="117">
        <f t="shared" si="8"/>
        <v>890043.5</v>
      </c>
      <c r="AH17" s="117">
        <f t="shared" si="8"/>
        <v>890043.5</v>
      </c>
      <c r="AI17" s="117">
        <f t="shared" si="8"/>
        <v>890043.5</v>
      </c>
      <c r="AJ17" s="117">
        <f t="shared" si="8"/>
        <v>890043.5</v>
      </c>
      <c r="AK17" s="117">
        <f t="shared" si="8"/>
        <v>890043.5</v>
      </c>
      <c r="AL17" s="117">
        <f t="shared" si="8"/>
        <v>890043.5</v>
      </c>
    </row>
    <row r="18" spans="4:40">
      <c r="D18" s="63" t="s">
        <v>563</v>
      </c>
      <c r="K18">
        <f>'BaU Model'!K16</f>
        <v>320178</v>
      </c>
      <c r="L18">
        <f>'BaU Model'!L16</f>
        <v>320178</v>
      </c>
      <c r="M18">
        <f>'BaU Model'!M16</f>
        <v>320178</v>
      </c>
      <c r="N18">
        <f>'BaU Model'!N16</f>
        <v>640356</v>
      </c>
      <c r="O18">
        <f>'BaU Model'!O16</f>
        <v>640356</v>
      </c>
      <c r="P18">
        <f>'BaU Model'!P16</f>
        <v>640356</v>
      </c>
      <c r="Q18">
        <f>'BaU Model'!Q16</f>
        <v>640356</v>
      </c>
      <c r="R18">
        <f>'BaU Model'!R16</f>
        <v>640356</v>
      </c>
      <c r="S18">
        <f>'BaU Model'!S16</f>
        <v>640356</v>
      </c>
      <c r="T18">
        <f>'BaU Model'!T16</f>
        <v>640356</v>
      </c>
      <c r="U18" s="128">
        <f>'BaU Model'!U16</f>
        <v>640356</v>
      </c>
      <c r="V18">
        <f>'BaU Model'!V16</f>
        <v>640356</v>
      </c>
      <c r="W18" s="128">
        <f>'BaU Model'!W16</f>
        <v>640356</v>
      </c>
      <c r="X18">
        <f>'BaU Model'!X16</f>
        <v>640356</v>
      </c>
      <c r="Y18">
        <f>'BaU Model'!Y16</f>
        <v>640356</v>
      </c>
      <c r="Z18">
        <f>'BaU Model'!Z16</f>
        <v>640356</v>
      </c>
      <c r="AA18">
        <f>'BaU Model'!AA16</f>
        <v>640356</v>
      </c>
      <c r="AB18">
        <f>'BaU Model'!AB16</f>
        <v>640356</v>
      </c>
      <c r="AC18">
        <f>'BaU Model'!AC16</f>
        <v>640356</v>
      </c>
      <c r="AD18">
        <f>'BaU Model'!AD16</f>
        <v>640356</v>
      </c>
      <c r="AE18">
        <f>'BaU Model'!AE16</f>
        <v>640356</v>
      </c>
      <c r="AF18">
        <f>'BaU Model'!AF16</f>
        <v>640356</v>
      </c>
      <c r="AG18">
        <f>'BaU Model'!AG16</f>
        <v>640356</v>
      </c>
      <c r="AH18">
        <f>'BaU Model'!AH16</f>
        <v>640356</v>
      </c>
      <c r="AI18">
        <f>'BaU Model'!AI16</f>
        <v>640356</v>
      </c>
      <c r="AJ18">
        <f>'BaU Model'!AJ16</f>
        <v>640356</v>
      </c>
      <c r="AK18">
        <f>'BaU Model'!AK16</f>
        <v>640356</v>
      </c>
      <c r="AL18">
        <f>'BaU Model'!AL16</f>
        <v>640356</v>
      </c>
    </row>
    <row r="19" spans="4:40">
      <c r="D19" s="7" t="s">
        <v>402</v>
      </c>
      <c r="K19" s="65">
        <f t="shared" ref="K19:AL19" si="10">K16-K31</f>
        <v>183680</v>
      </c>
      <c r="L19" s="65">
        <f t="shared" si="10"/>
        <v>194438.02599999998</v>
      </c>
      <c r="M19" s="65">
        <f t="shared" si="10"/>
        <v>186671.55543999997</v>
      </c>
      <c r="N19" s="65">
        <f t="shared" si="10"/>
        <v>277801.66366720002</v>
      </c>
      <c r="O19" s="65">
        <f t="shared" si="10"/>
        <v>278960.61918141885</v>
      </c>
      <c r="P19" s="65">
        <f t="shared" si="10"/>
        <v>278960.61918141885</v>
      </c>
      <c r="Q19" s="65">
        <f t="shared" si="10"/>
        <v>196018.01918141881</v>
      </c>
      <c r="R19" s="65">
        <f t="shared" si="10"/>
        <v>196018.01918141881</v>
      </c>
      <c r="S19" s="65">
        <f t="shared" si="10"/>
        <v>112838.96095357079</v>
      </c>
      <c r="T19" s="65">
        <f t="shared" si="10"/>
        <v>112838.96095357079</v>
      </c>
      <c r="U19" s="165">
        <f t="shared" si="10"/>
        <v>112838.96095357079</v>
      </c>
      <c r="V19" s="65">
        <f t="shared" si="10"/>
        <v>112838.96095357079</v>
      </c>
      <c r="W19" s="165">
        <f t="shared" si="10"/>
        <v>423088.96095357079</v>
      </c>
      <c r="X19" s="65">
        <f t="shared" si="10"/>
        <v>423088.96095357079</v>
      </c>
      <c r="Y19" s="65">
        <f t="shared" si="10"/>
        <v>423088.96095357079</v>
      </c>
      <c r="Z19" s="65">
        <f t="shared" si="10"/>
        <v>423088.96095357079</v>
      </c>
      <c r="AA19" s="65">
        <f t="shared" si="10"/>
        <v>423088.96095357079</v>
      </c>
      <c r="AB19" s="65">
        <f t="shared" si="10"/>
        <v>423088.96095357079</v>
      </c>
      <c r="AC19" s="65">
        <f t="shared" si="10"/>
        <v>423088.96095357079</v>
      </c>
      <c r="AD19" s="65">
        <f t="shared" si="10"/>
        <v>423088.96095357079</v>
      </c>
      <c r="AE19" s="65">
        <f t="shared" si="10"/>
        <v>423088.96095357079</v>
      </c>
      <c r="AF19" s="65">
        <f t="shared" si="10"/>
        <v>423088.96095357079</v>
      </c>
      <c r="AG19" s="65">
        <f t="shared" si="10"/>
        <v>423088.96095357079</v>
      </c>
      <c r="AH19" s="65">
        <f t="shared" si="10"/>
        <v>423088.96095357079</v>
      </c>
      <c r="AI19" s="65">
        <f t="shared" si="10"/>
        <v>423088.96095357079</v>
      </c>
      <c r="AJ19" s="65">
        <f t="shared" si="10"/>
        <v>423088.96095357079</v>
      </c>
      <c r="AK19" s="65">
        <f t="shared" si="10"/>
        <v>423088.96095357079</v>
      </c>
      <c r="AL19" s="65">
        <f t="shared" si="10"/>
        <v>423088.96095357079</v>
      </c>
      <c r="AM19" s="145" t="s">
        <v>492</v>
      </c>
    </row>
    <row r="20" spans="4:40" ht="15">
      <c r="D20" s="4" t="s">
        <v>411</v>
      </c>
    </row>
    <row r="21" spans="4:40">
      <c r="D21" s="63" t="s">
        <v>558</v>
      </c>
      <c r="K21">
        <f>K16</f>
        <v>376680</v>
      </c>
      <c r="L21">
        <f t="shared" ref="L21:AB21" si="11">L16</f>
        <v>376680</v>
      </c>
      <c r="M21">
        <f t="shared" si="11"/>
        <v>376680</v>
      </c>
      <c r="N21">
        <f t="shared" si="11"/>
        <v>753360</v>
      </c>
      <c r="O21">
        <f t="shared" si="11"/>
        <v>753360</v>
      </c>
      <c r="P21">
        <f t="shared" si="11"/>
        <v>753360</v>
      </c>
      <c r="Q21">
        <f t="shared" si="11"/>
        <v>753360</v>
      </c>
      <c r="R21">
        <f t="shared" si="11"/>
        <v>753360</v>
      </c>
      <c r="S21">
        <f t="shared" si="11"/>
        <v>775360</v>
      </c>
      <c r="T21">
        <f t="shared" si="11"/>
        <v>775360</v>
      </c>
      <c r="U21" s="185">
        <f>U16</f>
        <v>775360</v>
      </c>
      <c r="V21">
        <f t="shared" si="11"/>
        <v>775360</v>
      </c>
      <c r="W21" s="128">
        <f t="shared" si="11"/>
        <v>1085610</v>
      </c>
      <c r="X21">
        <f t="shared" si="11"/>
        <v>1085610</v>
      </c>
      <c r="Y21">
        <f t="shared" si="11"/>
        <v>1085610</v>
      </c>
      <c r="Z21">
        <f t="shared" si="11"/>
        <v>1085610</v>
      </c>
      <c r="AA21">
        <f t="shared" si="11"/>
        <v>1085610</v>
      </c>
      <c r="AB21">
        <f t="shared" si="11"/>
        <v>1085610</v>
      </c>
      <c r="AC21">
        <f>AB21</f>
        <v>1085610</v>
      </c>
      <c r="AD21">
        <f>AC21</f>
        <v>1085610</v>
      </c>
      <c r="AE21">
        <f t="shared" ref="AE21:AK23" si="12">AD21</f>
        <v>1085610</v>
      </c>
      <c r="AF21">
        <f t="shared" si="12"/>
        <v>1085610</v>
      </c>
      <c r="AG21">
        <f t="shared" si="12"/>
        <v>1085610</v>
      </c>
      <c r="AH21">
        <f t="shared" si="12"/>
        <v>1085610</v>
      </c>
      <c r="AI21">
        <f t="shared" si="12"/>
        <v>1085610</v>
      </c>
      <c r="AJ21">
        <f t="shared" si="12"/>
        <v>1085610</v>
      </c>
      <c r="AK21">
        <f t="shared" si="12"/>
        <v>1085610</v>
      </c>
      <c r="AL21">
        <f>AK21</f>
        <v>1085610</v>
      </c>
    </row>
    <row r="22" spans="4:40">
      <c r="D22" s="63" t="s">
        <v>559</v>
      </c>
      <c r="K22">
        <f>K17</f>
        <v>320178</v>
      </c>
      <c r="L22">
        <f t="shared" ref="L22:AB22" si="13">L17</f>
        <v>320178</v>
      </c>
      <c r="M22">
        <f t="shared" si="13"/>
        <v>320178</v>
      </c>
      <c r="N22">
        <f t="shared" si="13"/>
        <v>640356</v>
      </c>
      <c r="O22">
        <f t="shared" si="13"/>
        <v>640356</v>
      </c>
      <c r="P22">
        <f t="shared" si="13"/>
        <v>640356</v>
      </c>
      <c r="Q22">
        <f t="shared" si="13"/>
        <v>640356</v>
      </c>
      <c r="R22">
        <f t="shared" si="13"/>
        <v>640356</v>
      </c>
      <c r="S22">
        <f t="shared" si="13"/>
        <v>657356</v>
      </c>
      <c r="T22">
        <f t="shared" si="13"/>
        <v>657356</v>
      </c>
      <c r="U22" s="186">
        <f>U17</f>
        <v>657356</v>
      </c>
      <c r="V22">
        <f t="shared" si="13"/>
        <v>890043.5</v>
      </c>
      <c r="W22" s="128">
        <f t="shared" si="13"/>
        <v>890043.5</v>
      </c>
      <c r="X22">
        <f t="shared" si="13"/>
        <v>890043.5</v>
      </c>
      <c r="Y22">
        <f t="shared" si="13"/>
        <v>890043.5</v>
      </c>
      <c r="Z22">
        <f t="shared" si="13"/>
        <v>890043.5</v>
      </c>
      <c r="AA22">
        <f t="shared" si="13"/>
        <v>890043.5</v>
      </c>
      <c r="AB22">
        <f t="shared" si="13"/>
        <v>890043.5</v>
      </c>
      <c r="AC22">
        <f>AB22</f>
        <v>890043.5</v>
      </c>
      <c r="AD22">
        <f t="shared" ref="AD22" si="14">AC22</f>
        <v>890043.5</v>
      </c>
      <c r="AE22">
        <f t="shared" si="12"/>
        <v>890043.5</v>
      </c>
      <c r="AF22">
        <f t="shared" si="12"/>
        <v>890043.5</v>
      </c>
      <c r="AG22">
        <f t="shared" si="12"/>
        <v>890043.5</v>
      </c>
      <c r="AH22">
        <f t="shared" si="12"/>
        <v>890043.5</v>
      </c>
      <c r="AI22">
        <f t="shared" si="12"/>
        <v>890043.5</v>
      </c>
      <c r="AJ22">
        <f t="shared" si="12"/>
        <v>890043.5</v>
      </c>
      <c r="AK22">
        <f t="shared" si="12"/>
        <v>890043.5</v>
      </c>
      <c r="AL22">
        <f t="shared" ref="AL22:AL23" si="15">AK22</f>
        <v>890043.5</v>
      </c>
    </row>
    <row r="23" spans="4:40">
      <c r="D23" s="63" t="s">
        <v>563</v>
      </c>
      <c r="K23">
        <f>K18</f>
        <v>320178</v>
      </c>
      <c r="L23">
        <f t="shared" ref="L23:N23" si="16">L18</f>
        <v>320178</v>
      </c>
      <c r="M23">
        <f t="shared" si="16"/>
        <v>320178</v>
      </c>
      <c r="N23">
        <f t="shared" si="16"/>
        <v>640356</v>
      </c>
      <c r="O23">
        <f>N23</f>
        <v>640356</v>
      </c>
      <c r="P23">
        <f t="shared" ref="P23:AD23" si="17">O23</f>
        <v>640356</v>
      </c>
      <c r="Q23">
        <f t="shared" si="17"/>
        <v>640356</v>
      </c>
      <c r="R23">
        <f t="shared" si="17"/>
        <v>640356</v>
      </c>
      <c r="S23">
        <f t="shared" si="17"/>
        <v>640356</v>
      </c>
      <c r="T23">
        <f t="shared" si="17"/>
        <v>640356</v>
      </c>
      <c r="U23" s="128">
        <f t="shared" si="17"/>
        <v>640356</v>
      </c>
      <c r="V23">
        <f t="shared" si="17"/>
        <v>640356</v>
      </c>
      <c r="W23" s="128">
        <f t="shared" si="17"/>
        <v>640356</v>
      </c>
      <c r="X23">
        <f t="shared" si="17"/>
        <v>640356</v>
      </c>
      <c r="Y23">
        <f t="shared" si="17"/>
        <v>640356</v>
      </c>
      <c r="Z23">
        <f t="shared" si="17"/>
        <v>640356</v>
      </c>
      <c r="AA23">
        <f t="shared" si="17"/>
        <v>640356</v>
      </c>
      <c r="AB23">
        <f t="shared" si="17"/>
        <v>640356</v>
      </c>
      <c r="AC23">
        <f t="shared" si="17"/>
        <v>640356</v>
      </c>
      <c r="AD23">
        <f t="shared" si="17"/>
        <v>640356</v>
      </c>
      <c r="AE23">
        <f t="shared" si="12"/>
        <v>640356</v>
      </c>
      <c r="AF23">
        <f t="shared" si="12"/>
        <v>640356</v>
      </c>
      <c r="AG23">
        <f t="shared" si="12"/>
        <v>640356</v>
      </c>
      <c r="AH23">
        <f t="shared" si="12"/>
        <v>640356</v>
      </c>
      <c r="AI23">
        <f t="shared" si="12"/>
        <v>640356</v>
      </c>
      <c r="AJ23">
        <f t="shared" si="12"/>
        <v>640356</v>
      </c>
      <c r="AK23">
        <f t="shared" si="12"/>
        <v>640356</v>
      </c>
      <c r="AL23">
        <f t="shared" si="15"/>
        <v>640356</v>
      </c>
    </row>
    <row r="24" spans="4:40">
      <c r="D24" s="7"/>
    </row>
    <row r="25" spans="4:40">
      <c r="D25" s="7" t="s">
        <v>402</v>
      </c>
      <c r="K25" s="65">
        <f>K21-K31</f>
        <v>183680</v>
      </c>
      <c r="L25" s="65">
        <f t="shared" ref="L25:AL25" si="18">L21-L31</f>
        <v>194438.02599999998</v>
      </c>
      <c r="M25" s="65">
        <f t="shared" si="18"/>
        <v>186671.55543999997</v>
      </c>
      <c r="N25" s="65">
        <f t="shared" si="18"/>
        <v>277801.66366720002</v>
      </c>
      <c r="O25" s="65">
        <f t="shared" si="18"/>
        <v>278960.61918141885</v>
      </c>
      <c r="P25" s="65">
        <f t="shared" si="18"/>
        <v>278960.61918141885</v>
      </c>
      <c r="Q25" s="65">
        <f t="shared" si="18"/>
        <v>196018.01918141881</v>
      </c>
      <c r="R25" s="65">
        <f t="shared" si="18"/>
        <v>196018.01918141881</v>
      </c>
      <c r="S25" s="65">
        <f t="shared" si="18"/>
        <v>112838.96095357079</v>
      </c>
      <c r="T25" s="65">
        <f t="shared" si="18"/>
        <v>112838.96095357079</v>
      </c>
      <c r="U25" s="165">
        <f t="shared" si="18"/>
        <v>112838.96095357079</v>
      </c>
      <c r="V25" s="65">
        <f t="shared" si="18"/>
        <v>112838.96095357079</v>
      </c>
      <c r="W25" s="165">
        <f t="shared" si="18"/>
        <v>423088.96095357079</v>
      </c>
      <c r="X25" s="65">
        <f t="shared" si="18"/>
        <v>423088.96095357079</v>
      </c>
      <c r="Y25" s="65">
        <f t="shared" si="18"/>
        <v>423088.96095357079</v>
      </c>
      <c r="Z25" s="65">
        <f t="shared" si="18"/>
        <v>423088.96095357079</v>
      </c>
      <c r="AA25" s="65">
        <f t="shared" si="18"/>
        <v>423088.96095357079</v>
      </c>
      <c r="AB25" s="65">
        <f t="shared" si="18"/>
        <v>423088.96095357079</v>
      </c>
      <c r="AC25" s="65">
        <f t="shared" si="18"/>
        <v>423088.96095357079</v>
      </c>
      <c r="AD25" s="65">
        <f t="shared" si="18"/>
        <v>423088.96095357079</v>
      </c>
      <c r="AE25" s="65">
        <f t="shared" si="18"/>
        <v>423088.96095357079</v>
      </c>
      <c r="AF25" s="65">
        <f t="shared" si="18"/>
        <v>423088.96095357079</v>
      </c>
      <c r="AG25" s="65">
        <f t="shared" si="18"/>
        <v>423088.96095357079</v>
      </c>
      <c r="AH25" s="65">
        <f t="shared" si="18"/>
        <v>423088.96095357079</v>
      </c>
      <c r="AI25" s="65">
        <f t="shared" si="18"/>
        <v>423088.96095357079</v>
      </c>
      <c r="AJ25" s="65">
        <f t="shared" si="18"/>
        <v>423088.96095357079</v>
      </c>
      <c r="AK25" s="65">
        <f t="shared" si="18"/>
        <v>423088.96095357079</v>
      </c>
      <c r="AL25" s="65">
        <f t="shared" si="18"/>
        <v>423088.96095357079</v>
      </c>
    </row>
    <row r="26" spans="4:40" ht="15">
      <c r="D26" s="4" t="s">
        <v>180</v>
      </c>
      <c r="E26" s="16" t="s">
        <v>306</v>
      </c>
      <c r="K26" s="65">
        <f>'BaU Model'!K18</f>
        <v>800</v>
      </c>
      <c r="L26" s="65">
        <f>'BaU Model'!L18</f>
        <v>800</v>
      </c>
      <c r="M26" s="65">
        <f>'BaU Model'!M18</f>
        <v>800</v>
      </c>
      <c r="N26" s="65">
        <f>'BaU Model'!N18</f>
        <v>1800</v>
      </c>
      <c r="O26" s="65">
        <f>'BaU Model'!O18</f>
        <v>1800</v>
      </c>
      <c r="P26" s="65">
        <f>'BaU Model'!P18</f>
        <v>1800</v>
      </c>
      <c r="Q26" s="65">
        <f>'BaU Model'!Q18+Inputs!$E$202</f>
        <v>2450</v>
      </c>
      <c r="R26" s="65">
        <f>'BaU Model'!R18+Inputs!$E$202</f>
        <v>2450</v>
      </c>
      <c r="S26" s="65">
        <f>'BaU Model'!S18+Inputs!$E$202</f>
        <v>2450</v>
      </c>
      <c r="T26" s="65">
        <f>'BaU Model'!T18+Inputs!$E$202</f>
        <v>2450</v>
      </c>
      <c r="U26" s="165">
        <f>'BaU Model'!U18+Inputs!$E$202</f>
        <v>2450</v>
      </c>
      <c r="V26" s="65">
        <f>'BaU Model'!V18+Inputs!$E$202</f>
        <v>2450</v>
      </c>
      <c r="W26" s="165">
        <f>'BaU Model'!W18+Inputs!$E$202</f>
        <v>2450</v>
      </c>
      <c r="X26" s="65">
        <f>'BaU Model'!X18+Inputs!$E$202</f>
        <v>2450</v>
      </c>
      <c r="Y26" s="65">
        <f>'BaU Model'!Y18+Inputs!$E$202</f>
        <v>2450</v>
      </c>
      <c r="Z26" s="65">
        <f>'BaU Model'!Z18+Inputs!$E$202</f>
        <v>2450</v>
      </c>
      <c r="AA26" s="65">
        <f>'BaU Model'!AA18+Inputs!$E$202</f>
        <v>2450</v>
      </c>
      <c r="AB26" s="65">
        <f>'BaU Model'!AB18+Inputs!$E$202</f>
        <v>2450</v>
      </c>
      <c r="AC26" s="65">
        <f>'BaU Model'!AC18+Inputs!$E$202</f>
        <v>2450</v>
      </c>
      <c r="AD26" s="65">
        <f>'BaU Model'!AD18+Inputs!$E$202</f>
        <v>2450</v>
      </c>
      <c r="AE26" s="65">
        <f>'BaU Model'!AE18+Inputs!$E$202</f>
        <v>2450</v>
      </c>
      <c r="AF26" s="65">
        <f>'BaU Model'!AF18+Inputs!$E$202</f>
        <v>2450</v>
      </c>
      <c r="AG26" s="65">
        <f>'BaU Model'!AG18+Inputs!$E$202</f>
        <v>2450</v>
      </c>
      <c r="AH26" s="65">
        <f>'BaU Model'!AH18+Inputs!$E$202</f>
        <v>2450</v>
      </c>
      <c r="AI26" s="65">
        <f>'BaU Model'!AI18+Inputs!$E$202</f>
        <v>2450</v>
      </c>
      <c r="AJ26" s="65">
        <f>'BaU Model'!AJ18+Inputs!$E$202</f>
        <v>2450</v>
      </c>
      <c r="AK26" s="65">
        <f>'BaU Model'!AK18+Inputs!$E$202</f>
        <v>2450</v>
      </c>
      <c r="AL26" s="65">
        <f>'BaU Model'!AL18+Inputs!$E$202</f>
        <v>2450</v>
      </c>
    </row>
    <row r="27" spans="4:40" ht="15">
      <c r="D27" s="4" t="s">
        <v>427</v>
      </c>
      <c r="E27" s="16" t="s">
        <v>106</v>
      </c>
      <c r="K27" s="65">
        <f>(K26+SUM(K41:K44))/K39</f>
        <v>1.8129533678756478</v>
      </c>
      <c r="L27" s="65">
        <f t="shared" ref="L27:O27" si="19">(L26+SUM(L41:L44))/L39</f>
        <v>1.9066551166747128</v>
      </c>
      <c r="M27" s="65">
        <f t="shared" si="19"/>
        <v>1.8367738032705883</v>
      </c>
      <c r="N27" s="65">
        <f t="shared" si="19"/>
        <v>1.8815339776532183</v>
      </c>
      <c r="O27" s="65">
        <f t="shared" si="19"/>
        <v>2.3849090588321165</v>
      </c>
      <c r="P27" s="65">
        <f t="shared" ref="P27" si="20">(P26+SUM(P41:P44))/P39</f>
        <v>2.3887033302261771</v>
      </c>
      <c r="Q27" s="65">
        <f t="shared" ref="Q27" si="21">(Q26+SUM(Q41:Q44))/Q39</f>
        <v>2.6044906552465226</v>
      </c>
      <c r="R27" s="65">
        <f t="shared" ref="R27:S27" si="22">(R26+SUM(R41:R44))/R39</f>
        <v>2.6044906552465226</v>
      </c>
      <c r="S27" s="65">
        <f t="shared" si="22"/>
        <v>2.3419724183148003</v>
      </c>
      <c r="T27" s="65">
        <f t="shared" ref="T27" si="23">(T26+SUM(T41:T44))/T39</f>
        <v>2.3456704140849065</v>
      </c>
      <c r="U27" s="165">
        <f t="shared" ref="U27" si="24">(U26+SUM(U41:U44))/U39</f>
        <v>2.3419724183148003</v>
      </c>
      <c r="V27" s="65">
        <f t="shared" ref="V27:W27" si="25">(V26+SUM(V41:V44))/V39</f>
        <v>2.34976845608873</v>
      </c>
      <c r="W27" s="165">
        <f t="shared" si="25"/>
        <v>2.34976845608873</v>
      </c>
      <c r="X27" s="65">
        <f t="shared" ref="X27" si="26">(X26+SUM(X41:X44))/X39</f>
        <v>2.3534664518588362</v>
      </c>
      <c r="Y27" s="65">
        <f t="shared" ref="Y27" si="27">(Y26+SUM(Y41:Y44))/Y39</f>
        <v>2.34976845608873</v>
      </c>
      <c r="Z27" s="65">
        <f t="shared" ref="Z27:AA27" si="28">(Z26+SUM(Z41:Z44))/Z39</f>
        <v>2.34976845608873</v>
      </c>
      <c r="AA27" s="65">
        <f t="shared" si="28"/>
        <v>2.34976845608873</v>
      </c>
      <c r="AB27" s="65">
        <f t="shared" ref="AB27" si="29">(AB26+SUM(AB41:AB44))/AB39</f>
        <v>2.3534664518588362</v>
      </c>
      <c r="AC27" s="65">
        <f t="shared" ref="AC27" si="30">(AC26+SUM(AC41:AC44))/AC39</f>
        <v>2.34976845608873</v>
      </c>
      <c r="AD27" s="65">
        <f t="shared" ref="AD27:AE27" si="31">(AD26+SUM(AD41:AD44))/AD39</f>
        <v>2.34976845608873</v>
      </c>
      <c r="AE27" s="65">
        <f t="shared" si="31"/>
        <v>2.34976845608873</v>
      </c>
      <c r="AF27" s="65">
        <f t="shared" ref="AF27" si="32">(AF26+SUM(AF41:AF44))/AF39</f>
        <v>2.3534664518588362</v>
      </c>
      <c r="AG27" s="65">
        <f t="shared" ref="AG27" si="33">(AG26+SUM(AG41:AG44))/AG39</f>
        <v>2.34976845608873</v>
      </c>
      <c r="AH27" s="65">
        <f t="shared" ref="AH27:AI27" si="34">(AH26+SUM(AH41:AH44))/AH39</f>
        <v>2.34976845608873</v>
      </c>
      <c r="AI27" s="65">
        <f t="shared" si="34"/>
        <v>2.34976845608873</v>
      </c>
      <c r="AJ27" s="65">
        <f t="shared" ref="AJ27" si="35">(AJ26+SUM(AJ41:AJ44))/AJ39</f>
        <v>2.3534664518588362</v>
      </c>
      <c r="AK27" s="65">
        <f t="shared" ref="AK27" si="36">(AK26+SUM(AK41:AK44))/AK39</f>
        <v>2.34976845608873</v>
      </c>
      <c r="AL27" s="65">
        <f t="shared" ref="AL27" si="37">(AL26+SUM(AL41:AL44))/AL39</f>
        <v>2.34976845608873</v>
      </c>
    </row>
    <row r="28" spans="4:40" ht="24" thickBot="1">
      <c r="D28" s="57"/>
      <c r="AB28" s="150">
        <v>1130293.5</v>
      </c>
    </row>
    <row r="29" spans="4:40" ht="18">
      <c r="D29" s="15" t="s">
        <v>225</v>
      </c>
      <c r="K29">
        <f>K34/K31</f>
        <v>0</v>
      </c>
      <c r="L29">
        <f t="shared" ref="L29:AL29" si="38">L34/L31</f>
        <v>0</v>
      </c>
      <c r="M29">
        <f t="shared" si="38"/>
        <v>0</v>
      </c>
      <c r="N29">
        <f t="shared" si="38"/>
        <v>0</v>
      </c>
      <c r="O29">
        <f t="shared" si="38"/>
        <v>0</v>
      </c>
      <c r="P29">
        <f>P34/P31</f>
        <v>0</v>
      </c>
      <c r="Q29">
        <f t="shared" si="38"/>
        <v>0</v>
      </c>
      <c r="R29">
        <f t="shared" si="38"/>
        <v>0</v>
      </c>
      <c r="S29">
        <f t="shared" si="38"/>
        <v>2.5659562486450557E-2</v>
      </c>
      <c r="T29">
        <f t="shared" si="38"/>
        <v>2.5659562486450557E-2</v>
      </c>
      <c r="U29" s="128">
        <f t="shared" si="38"/>
        <v>2.5659562486450557E-2</v>
      </c>
      <c r="V29">
        <f t="shared" si="38"/>
        <v>2.5659562486450557E-2</v>
      </c>
      <c r="W29" s="128">
        <f t="shared" si="38"/>
        <v>2.5659562486450557E-2</v>
      </c>
      <c r="X29">
        <f t="shared" si="38"/>
        <v>2.5659562486450557E-2</v>
      </c>
      <c r="Y29">
        <f t="shared" si="38"/>
        <v>2.5659562486450557E-2</v>
      </c>
      <c r="Z29">
        <f t="shared" si="38"/>
        <v>2.5659562486450557E-2</v>
      </c>
      <c r="AA29">
        <f t="shared" si="38"/>
        <v>2.5659562486450557E-2</v>
      </c>
      <c r="AB29">
        <f t="shared" si="38"/>
        <v>2.5659562486450557E-2</v>
      </c>
      <c r="AC29">
        <f t="shared" si="38"/>
        <v>2.5659562486450557E-2</v>
      </c>
      <c r="AD29">
        <f t="shared" si="38"/>
        <v>2.5659562486450557E-2</v>
      </c>
      <c r="AE29">
        <f t="shared" si="38"/>
        <v>2.5659562486450557E-2</v>
      </c>
      <c r="AF29">
        <f t="shared" si="38"/>
        <v>2.5659562486450557E-2</v>
      </c>
      <c r="AG29">
        <f t="shared" si="38"/>
        <v>2.5659562486450557E-2</v>
      </c>
      <c r="AH29">
        <f t="shared" si="38"/>
        <v>2.5659562486450557E-2</v>
      </c>
      <c r="AI29">
        <f t="shared" si="38"/>
        <v>2.5659562486450557E-2</v>
      </c>
      <c r="AJ29">
        <f t="shared" si="38"/>
        <v>2.5659562486450557E-2</v>
      </c>
      <c r="AK29">
        <f t="shared" si="38"/>
        <v>2.5659562486450557E-2</v>
      </c>
      <c r="AL29">
        <f t="shared" si="38"/>
        <v>2.5659562486450557E-2</v>
      </c>
    </row>
    <row r="30" spans="4:40" ht="15">
      <c r="D30" s="4" t="s">
        <v>310</v>
      </c>
      <c r="K30" s="65">
        <f>K31-SUM(K32:K36)</f>
        <v>0</v>
      </c>
      <c r="L30" s="65">
        <f t="shared" ref="L30:AL30" si="39">L31-SUM(L32:L36)</f>
        <v>0</v>
      </c>
      <c r="M30" s="65">
        <f t="shared" si="39"/>
        <v>0</v>
      </c>
      <c r="N30" s="65">
        <f t="shared" si="39"/>
        <v>0</v>
      </c>
      <c r="O30" s="65">
        <f t="shared" si="39"/>
        <v>0</v>
      </c>
      <c r="P30" s="65">
        <f t="shared" si="39"/>
        <v>0</v>
      </c>
      <c r="Q30" s="65">
        <f t="shared" si="39"/>
        <v>0</v>
      </c>
      <c r="R30" s="65">
        <f t="shared" si="39"/>
        <v>0</v>
      </c>
      <c r="S30" s="65">
        <f t="shared" si="39"/>
        <v>0</v>
      </c>
      <c r="T30" s="165">
        <f>T31-$T$17</f>
        <v>5165.0390464292141</v>
      </c>
      <c r="U30" s="165">
        <f>U31-$T$17</f>
        <v>5165.0390464292141</v>
      </c>
      <c r="V30" s="65">
        <f>V31-$T$17</f>
        <v>5165.0390464292141</v>
      </c>
      <c r="W30" s="165"/>
      <c r="X30" s="65">
        <f t="shared" si="39"/>
        <v>0</v>
      </c>
      <c r="Y30" s="65">
        <f t="shared" si="39"/>
        <v>0</v>
      </c>
      <c r="Z30" s="65">
        <f t="shared" si="39"/>
        <v>0</v>
      </c>
      <c r="AA30" s="65">
        <f t="shared" si="39"/>
        <v>0</v>
      </c>
      <c r="AB30" s="65">
        <f t="shared" si="39"/>
        <v>0</v>
      </c>
      <c r="AC30" s="65">
        <f t="shared" si="39"/>
        <v>0</v>
      </c>
      <c r="AD30" s="65">
        <f t="shared" si="39"/>
        <v>0</v>
      </c>
      <c r="AE30" s="65">
        <f t="shared" si="39"/>
        <v>0</v>
      </c>
      <c r="AF30" s="65">
        <f t="shared" si="39"/>
        <v>0</v>
      </c>
      <c r="AG30" s="65">
        <f t="shared" si="39"/>
        <v>0</v>
      </c>
      <c r="AH30" s="65">
        <f t="shared" si="39"/>
        <v>0</v>
      </c>
      <c r="AI30" s="65">
        <f t="shared" si="39"/>
        <v>0</v>
      </c>
      <c r="AJ30" s="65">
        <f t="shared" si="39"/>
        <v>0</v>
      </c>
      <c r="AK30" s="65">
        <f t="shared" si="39"/>
        <v>0</v>
      </c>
      <c r="AL30" s="65">
        <f t="shared" si="39"/>
        <v>0</v>
      </c>
    </row>
    <row r="31" spans="4:40">
      <c r="D31" t="s">
        <v>190</v>
      </c>
      <c r="E31" s="16" t="s">
        <v>145</v>
      </c>
      <c r="K31" s="59">
        <f>'BaU Model'!K23</f>
        <v>193000</v>
      </c>
      <c r="L31" s="59">
        <f>'BaU Model'!L23</f>
        <v>182241.97400000002</v>
      </c>
      <c r="M31" s="59">
        <f>'BaU Model'!M23</f>
        <v>190008.44456000003</v>
      </c>
      <c r="N31" s="59">
        <f>'BaU Model'!N23</f>
        <v>475558.33633279998</v>
      </c>
      <c r="O31" s="59">
        <f>'BaU Model'!O23*(1-Inputs!$E$163)</f>
        <v>474399.38081858115</v>
      </c>
      <c r="P31" s="59">
        <f>'BaU Model'!P23*(1-Inputs!$E$163)</f>
        <v>474399.38081858115</v>
      </c>
      <c r="Q31" s="59">
        <f>'BaU Model'!Q23*(1-Inputs!$E$163)</f>
        <v>557341.98081858119</v>
      </c>
      <c r="R31" s="59">
        <f>'BaU Model'!R23*(1-Inputs!$E$163)</f>
        <v>557341.98081858119</v>
      </c>
      <c r="S31" s="59">
        <f>'BaU Model'!S23*(1-Inputs!$E$163)</f>
        <v>662521.03904642921</v>
      </c>
      <c r="T31" s="180">
        <f>'BaU Model'!T23*(1-Inputs!$E$163)</f>
        <v>662521.03904642921</v>
      </c>
      <c r="U31" s="129">
        <f>'BaU Model'!U23*(1-Inputs!$E$163)</f>
        <v>662521.03904642921</v>
      </c>
      <c r="V31" s="59">
        <f>'BaU Model'!V23*(1-Inputs!$E$163)</f>
        <v>662521.03904642921</v>
      </c>
      <c r="W31" s="129">
        <f>'BaU Model'!W23*(1-Inputs!$E$163)</f>
        <v>662521.03904642921</v>
      </c>
      <c r="X31" s="59">
        <f>'BaU Model'!X23*(1-Inputs!$E$163)</f>
        <v>662521.03904642921</v>
      </c>
      <c r="Y31" s="59">
        <f>'BaU Model'!Y23*(1-Inputs!$E$163)</f>
        <v>662521.03904642921</v>
      </c>
      <c r="Z31" s="59">
        <f>'BaU Model'!Z23*(1-Inputs!$E$163)</f>
        <v>662521.03904642921</v>
      </c>
      <c r="AA31" s="59">
        <f>'BaU Model'!AA23*(1-Inputs!$E$163)</f>
        <v>662521.03904642921</v>
      </c>
      <c r="AB31" s="59">
        <f>'BaU Model'!AB23*(1-Inputs!$E$163)</f>
        <v>662521.03904642921</v>
      </c>
      <c r="AC31" s="59">
        <f>'BaU Model'!AC23*(1-Inputs!$E$163)</f>
        <v>662521.03904642921</v>
      </c>
      <c r="AD31" s="59">
        <f>'BaU Model'!AD23*(1-Inputs!$E$163)</f>
        <v>662521.03904642921</v>
      </c>
      <c r="AE31" s="59">
        <f>'BaU Model'!AE23*(1-Inputs!$E$163)</f>
        <v>662521.03904642921</v>
      </c>
      <c r="AF31" s="59">
        <f>'BaU Model'!AF23*(1-Inputs!$E$163)</f>
        <v>662521.03904642921</v>
      </c>
      <c r="AG31" s="59">
        <f>'BaU Model'!AG23*(1-Inputs!$E$163)</f>
        <v>662521.03904642921</v>
      </c>
      <c r="AH31" s="59">
        <f>'BaU Model'!AH23*(1-Inputs!$E$163)</f>
        <v>662521.03904642921</v>
      </c>
      <c r="AI31" s="59">
        <f>'BaU Model'!AI23*(1-Inputs!$E$163)</f>
        <v>662521.03904642921</v>
      </c>
      <c r="AJ31" s="59">
        <f>'BaU Model'!AJ23*(1-Inputs!$E$163)</f>
        <v>662521.03904642921</v>
      </c>
      <c r="AK31" s="59">
        <f>'BaU Model'!AK23*(1-Inputs!$E$163)</f>
        <v>662521.03904642921</v>
      </c>
      <c r="AL31" s="59">
        <f>'BaU Model'!AL23*(1-Inputs!$E$163)</f>
        <v>662521.03904642921</v>
      </c>
    </row>
    <row r="32" spans="4:40">
      <c r="D32" t="s">
        <v>189</v>
      </c>
      <c r="E32" s="16" t="s">
        <v>145</v>
      </c>
      <c r="K32" s="59">
        <f>Inputs!E93/100*'Strategic Model'!K31</f>
        <v>135100</v>
      </c>
      <c r="L32" s="59">
        <f>Inputs!F93/100*'Strategic Model'!L31</f>
        <v>127569.3818</v>
      </c>
      <c r="M32" s="59">
        <f>Inputs!G93/100*'Strategic Model'!M31</f>
        <v>133005.91119200003</v>
      </c>
      <c r="N32" s="59">
        <f>Inputs!H93/100*'Strategic Model'!N31</f>
        <v>237779.16816639999</v>
      </c>
      <c r="O32" s="59">
        <f>IF(O31&lt;O17,0,(O31-O17))</f>
        <v>0</v>
      </c>
      <c r="P32" s="59">
        <f t="shared" ref="P32:AL32" si="40">IF(P31&lt;P17,0,(P31-P17))</f>
        <v>0</v>
      </c>
      <c r="Q32" s="59">
        <f t="shared" si="40"/>
        <v>0</v>
      </c>
      <c r="R32" s="59">
        <f t="shared" si="40"/>
        <v>0</v>
      </c>
      <c r="S32" s="59">
        <f>IF(S31&lt;S17,0,(S31-S17))</f>
        <v>5165.0390464292141</v>
      </c>
      <c r="T32" s="180">
        <f t="shared" si="40"/>
        <v>5165.0390464292141</v>
      </c>
      <c r="U32" s="129">
        <f t="shared" si="40"/>
        <v>5165.0390464292141</v>
      </c>
      <c r="V32" s="59">
        <f t="shared" si="40"/>
        <v>0</v>
      </c>
      <c r="W32" s="129">
        <f t="shared" si="40"/>
        <v>0</v>
      </c>
      <c r="X32" s="59">
        <f t="shared" si="40"/>
        <v>0</v>
      </c>
      <c r="Y32" s="180">
        <f t="shared" si="40"/>
        <v>0</v>
      </c>
      <c r="Z32" s="129">
        <f t="shared" si="40"/>
        <v>0</v>
      </c>
      <c r="AA32" s="59">
        <f t="shared" si="40"/>
        <v>0</v>
      </c>
      <c r="AB32" s="129">
        <f t="shared" si="40"/>
        <v>0</v>
      </c>
      <c r="AC32" s="59">
        <f t="shared" si="40"/>
        <v>0</v>
      </c>
      <c r="AD32" s="180">
        <f t="shared" si="40"/>
        <v>0</v>
      </c>
      <c r="AE32" s="129">
        <f t="shared" si="40"/>
        <v>0</v>
      </c>
      <c r="AF32" s="59">
        <f t="shared" si="40"/>
        <v>0</v>
      </c>
      <c r="AG32" s="129">
        <f t="shared" si="40"/>
        <v>0</v>
      </c>
      <c r="AH32" s="59">
        <f t="shared" si="40"/>
        <v>0</v>
      </c>
      <c r="AI32" s="180">
        <f t="shared" si="40"/>
        <v>0</v>
      </c>
      <c r="AJ32" s="129">
        <f t="shared" si="40"/>
        <v>0</v>
      </c>
      <c r="AK32" s="59">
        <f t="shared" si="40"/>
        <v>0</v>
      </c>
      <c r="AL32" s="129">
        <f t="shared" si="40"/>
        <v>0</v>
      </c>
      <c r="AM32" s="65">
        <f>SUM(M32:AL32)/1000</f>
        <v>386.28019649768765</v>
      </c>
      <c r="AN32" s="65">
        <f>AL32/365</f>
        <v>0</v>
      </c>
    </row>
    <row r="33" spans="4:40">
      <c r="D33" t="s">
        <v>144</v>
      </c>
      <c r="E33" s="16" t="s">
        <v>145</v>
      </c>
      <c r="K33" s="59">
        <f>Inputs!E89/100*'Strategic Model'!K31</f>
        <v>57900</v>
      </c>
      <c r="L33" s="59">
        <f>Inputs!F89/100*'Strategic Model'!L31</f>
        <v>54672.592200000006</v>
      </c>
      <c r="M33" s="59">
        <f>Inputs!G89/100*'Strategic Model'!M31</f>
        <v>57002.533368000011</v>
      </c>
      <c r="N33" s="59">
        <f>Inputs!H89/100*'Strategic Model'!N31</f>
        <v>237779.16816639999</v>
      </c>
      <c r="O33" s="59">
        <f>IF(O31&lt;O18,O31,O18)</f>
        <v>474399.38081858115</v>
      </c>
      <c r="P33" s="59">
        <f>IF((P31-P34-P35-P36)&lt;P18,(P31-P34-P35-P36),P18)</f>
        <v>474399.38081858115</v>
      </c>
      <c r="Q33" s="59">
        <f t="shared" ref="Q33:T33" si="41">IF((Q31-Q34-Q35-Q36)&lt;Q18,(Q31-Q34-Q35-Q36),Q18)</f>
        <v>557341.98081858119</v>
      </c>
      <c r="R33" s="59">
        <f>IF((R31-R34-R35-R36)&lt;R18,(R31-R34-R35-R36),R18)</f>
        <v>557341.98081858119</v>
      </c>
      <c r="S33" s="59">
        <f t="shared" si="41"/>
        <v>640356</v>
      </c>
      <c r="T33" s="180">
        <f t="shared" si="41"/>
        <v>640356</v>
      </c>
      <c r="U33" s="129">
        <f>IF((U31-U34-U35-U36-U37)&lt;U18,(U31-U34-U35-U36-U37),U18)</f>
        <v>640356</v>
      </c>
      <c r="V33" s="59">
        <f t="shared" ref="V33:AL33" si="42">IF((V31-V34-V35-V36-V37)&lt;V18,(V31-V34-V35-V36-V37),V18)</f>
        <v>412833.53904642921</v>
      </c>
      <c r="W33" s="129">
        <f t="shared" si="42"/>
        <v>412833.53904642921</v>
      </c>
      <c r="X33" s="59">
        <f t="shared" si="42"/>
        <v>412196.03904642921</v>
      </c>
      <c r="Y33" s="59">
        <f t="shared" si="42"/>
        <v>412833.53904642921</v>
      </c>
      <c r="Z33" s="59">
        <f t="shared" si="42"/>
        <v>412833.53904642921</v>
      </c>
      <c r="AA33" s="59">
        <f t="shared" si="42"/>
        <v>412833.53904642921</v>
      </c>
      <c r="AB33" s="59">
        <f t="shared" si="42"/>
        <v>412196.03904642921</v>
      </c>
      <c r="AC33" s="59">
        <f t="shared" si="42"/>
        <v>412833.53904642921</v>
      </c>
      <c r="AD33" s="59">
        <f t="shared" si="42"/>
        <v>412833.53904642921</v>
      </c>
      <c r="AE33" s="59">
        <f t="shared" si="42"/>
        <v>412833.53904642921</v>
      </c>
      <c r="AF33" s="59">
        <f t="shared" si="42"/>
        <v>412196.03904642921</v>
      </c>
      <c r="AG33" s="59">
        <f t="shared" si="42"/>
        <v>412833.53904642921</v>
      </c>
      <c r="AH33" s="59">
        <f t="shared" si="42"/>
        <v>412833.53904642921</v>
      </c>
      <c r="AI33" s="59">
        <f t="shared" si="42"/>
        <v>412833.53904642921</v>
      </c>
      <c r="AJ33" s="59">
        <f t="shared" si="42"/>
        <v>412196.03904642921</v>
      </c>
      <c r="AK33" s="59">
        <f t="shared" si="42"/>
        <v>412833.53904642921</v>
      </c>
      <c r="AL33" s="59">
        <f t="shared" si="42"/>
        <v>412833.53904642921</v>
      </c>
    </row>
    <row r="34" spans="4:40">
      <c r="D34" t="s">
        <v>125</v>
      </c>
      <c r="E34" s="16" t="s">
        <v>145</v>
      </c>
      <c r="K34" s="59">
        <f>Inputs!E99/100*'Strategic Model'!K31</f>
        <v>0</v>
      </c>
      <c r="L34" s="59">
        <f>Inputs!F99/100*'Strategic Model'!L31</f>
        <v>0</v>
      </c>
      <c r="M34" s="59">
        <f>Inputs!G99/100*'Strategic Model'!M31</f>
        <v>0</v>
      </c>
      <c r="N34" s="59">
        <f>Inputs!H99/100*'Strategic Model'!N31</f>
        <v>0</v>
      </c>
      <c r="O34" s="59">
        <f>Inputs!I99/100*'Strategic Model'!O31</f>
        <v>0</v>
      </c>
      <c r="P34" s="59"/>
      <c r="Q34" s="59"/>
      <c r="R34" s="59"/>
      <c r="S34" s="59">
        <v>17000</v>
      </c>
      <c r="T34" s="180">
        <f>S34</f>
        <v>17000</v>
      </c>
      <c r="U34" s="180">
        <f t="shared" ref="U34:AL34" si="43">T34</f>
        <v>17000</v>
      </c>
      <c r="V34" s="180">
        <f t="shared" si="43"/>
        <v>17000</v>
      </c>
      <c r="W34" s="180">
        <f t="shared" si="43"/>
        <v>17000</v>
      </c>
      <c r="X34" s="180">
        <f t="shared" si="43"/>
        <v>17000</v>
      </c>
      <c r="Y34" s="180">
        <f t="shared" si="43"/>
        <v>17000</v>
      </c>
      <c r="Z34" s="180">
        <f t="shared" si="43"/>
        <v>17000</v>
      </c>
      <c r="AA34" s="180">
        <f t="shared" si="43"/>
        <v>17000</v>
      </c>
      <c r="AB34" s="180">
        <f t="shared" si="43"/>
        <v>17000</v>
      </c>
      <c r="AC34" s="180">
        <f t="shared" si="43"/>
        <v>17000</v>
      </c>
      <c r="AD34" s="180">
        <f t="shared" si="43"/>
        <v>17000</v>
      </c>
      <c r="AE34" s="180">
        <f t="shared" si="43"/>
        <v>17000</v>
      </c>
      <c r="AF34" s="180">
        <f t="shared" si="43"/>
        <v>17000</v>
      </c>
      <c r="AG34" s="180">
        <f t="shared" si="43"/>
        <v>17000</v>
      </c>
      <c r="AH34" s="180">
        <f t="shared" si="43"/>
        <v>17000</v>
      </c>
      <c r="AI34" s="180">
        <f t="shared" si="43"/>
        <v>17000</v>
      </c>
      <c r="AJ34" s="180">
        <f t="shared" si="43"/>
        <v>17000</v>
      </c>
      <c r="AK34" s="180">
        <f t="shared" si="43"/>
        <v>17000</v>
      </c>
      <c r="AL34" s="180">
        <f t="shared" si="43"/>
        <v>17000</v>
      </c>
    </row>
    <row r="35" spans="4:40">
      <c r="D35" t="s">
        <v>191</v>
      </c>
      <c r="E35" s="16" t="s">
        <v>145</v>
      </c>
      <c r="K35" s="59">
        <f>Inputs!E104/100*'Strategic Model'!K31</f>
        <v>0</v>
      </c>
      <c r="L35" s="59">
        <f>Inputs!F104/100*'Strategic Model'!L31</f>
        <v>0</v>
      </c>
      <c r="M35" s="59">
        <f>Inputs!G104/100*'Strategic Model'!M31</f>
        <v>0</v>
      </c>
      <c r="N35" s="59">
        <f>Inputs!H104/100*'Strategic Model'!N31</f>
        <v>0</v>
      </c>
      <c r="O35" s="59">
        <f>Inputs!I104/100*'Strategic Model'!O31</f>
        <v>0</v>
      </c>
      <c r="P35" s="59">
        <f>Inputs!J104/100*'Strategic Model'!P31</f>
        <v>0</v>
      </c>
      <c r="Q35" s="59">
        <f>Inputs!K104/100*'Strategic Model'!Q31</f>
        <v>0</v>
      </c>
      <c r="R35" s="59">
        <v>0</v>
      </c>
      <c r="S35" s="59">
        <v>0</v>
      </c>
      <c r="T35" s="180"/>
      <c r="U35" s="129"/>
      <c r="V35" s="59">
        <f>Inputs!$E$184*'Strategic Model'!V11</f>
        <v>232687.5</v>
      </c>
      <c r="W35" s="59">
        <f>Inputs!$E$184*'Strategic Model'!W11</f>
        <v>232687.5</v>
      </c>
      <c r="X35" s="59">
        <f>Inputs!$E$184*'Strategic Model'!X11</f>
        <v>233325</v>
      </c>
      <c r="Y35" s="59">
        <f>Inputs!$E$184*'Strategic Model'!Y11</f>
        <v>232687.5</v>
      </c>
      <c r="Z35" s="59">
        <f>Inputs!$E$184*'Strategic Model'!Z11</f>
        <v>232687.5</v>
      </c>
      <c r="AA35" s="59">
        <f>Inputs!$E$184*'Strategic Model'!AA11</f>
        <v>232687.5</v>
      </c>
      <c r="AB35" s="59">
        <f>Inputs!$E$184*'Strategic Model'!AB11</f>
        <v>233325</v>
      </c>
      <c r="AC35" s="59">
        <f>Inputs!$E$184*'Strategic Model'!AC11</f>
        <v>232687.5</v>
      </c>
      <c r="AD35" s="59">
        <f>Inputs!$E$184*'Strategic Model'!AD11</f>
        <v>232687.5</v>
      </c>
      <c r="AE35" s="59">
        <f>Inputs!$E$184*'Strategic Model'!AE11</f>
        <v>232687.5</v>
      </c>
      <c r="AF35" s="59">
        <f>Inputs!$E$184*'Strategic Model'!AF11</f>
        <v>233325</v>
      </c>
      <c r="AG35" s="59">
        <f>Inputs!$E$184*'Strategic Model'!AG11</f>
        <v>232687.5</v>
      </c>
      <c r="AH35" s="59">
        <f>Inputs!$E$184*'Strategic Model'!AH11</f>
        <v>232687.5</v>
      </c>
      <c r="AI35" s="59">
        <f>Inputs!$E$184*'Strategic Model'!AI11</f>
        <v>232687.5</v>
      </c>
      <c r="AJ35" s="59">
        <f>Inputs!$E$184*'Strategic Model'!AJ11</f>
        <v>233325</v>
      </c>
      <c r="AK35" s="59">
        <f>Inputs!$E$184*'Strategic Model'!AK11</f>
        <v>232687.5</v>
      </c>
      <c r="AL35" s="59">
        <f>Inputs!$E$184*'Strategic Model'!AL11</f>
        <v>232687.5</v>
      </c>
      <c r="AN35" s="175">
        <f>77500+20000</f>
        <v>97500</v>
      </c>
    </row>
    <row r="36" spans="4:40">
      <c r="D36" t="s">
        <v>424</v>
      </c>
      <c r="E36" s="16" t="s">
        <v>145</v>
      </c>
      <c r="K36" s="59">
        <f>Inputs!E105/100*'Strategic Model'!K32</f>
        <v>0</v>
      </c>
      <c r="L36" s="59">
        <f>Inputs!F105/100*'Strategic Model'!L32</f>
        <v>0</v>
      </c>
      <c r="M36" s="59">
        <f>Inputs!G105/100*'Strategic Model'!M32</f>
        <v>0</v>
      </c>
      <c r="N36" s="59">
        <f>Inputs!H105/100*'Strategic Model'!N32</f>
        <v>0</v>
      </c>
      <c r="O36" s="59">
        <f>Inputs!I105/100*'Strategic Model'!O32</f>
        <v>0</v>
      </c>
      <c r="P36" s="59">
        <f>Inputs!J105/100*'Strategic Model'!P32</f>
        <v>0</v>
      </c>
      <c r="Q36" s="59">
        <f>Inputs!K105/100*'Strategic Model'!Q32</f>
        <v>0</v>
      </c>
      <c r="R36" s="59">
        <f>Inputs!L105/100*'Strategic Model'!R32</f>
        <v>0</v>
      </c>
      <c r="S36" s="59">
        <f>Inputs!M105/100*'Strategic Model'!S32</f>
        <v>0</v>
      </c>
      <c r="T36" s="180">
        <f>Inputs!N105/100*'Strategic Model'!T32</f>
        <v>0</v>
      </c>
      <c r="U36" s="129">
        <f>Inputs!$E$184*'Strategic Model'!U12</f>
        <v>0</v>
      </c>
      <c r="V36" s="59">
        <f>Inputs!$E$184*'Strategic Model'!V12</f>
        <v>0</v>
      </c>
      <c r="W36" s="129">
        <f>Inputs!$E$184*'Strategic Model'!W12</f>
        <v>0</v>
      </c>
      <c r="X36" s="59">
        <f>Inputs!$E$184*'Strategic Model'!X12</f>
        <v>0</v>
      </c>
      <c r="Y36" s="59">
        <f>Inputs!$E$184*'Strategic Model'!Y12</f>
        <v>0</v>
      </c>
      <c r="Z36" s="59">
        <f>Inputs!$E$184*'Strategic Model'!Z12</f>
        <v>0</v>
      </c>
      <c r="AA36" s="59">
        <f>Inputs!$E$184*'Strategic Model'!AA12</f>
        <v>0</v>
      </c>
      <c r="AB36" s="59"/>
      <c r="AC36" s="59">
        <v>0</v>
      </c>
      <c r="AD36" s="59">
        <f>AC36</f>
        <v>0</v>
      </c>
      <c r="AE36" s="59">
        <f t="shared" ref="AE36:AL36" si="44">AD36</f>
        <v>0</v>
      </c>
      <c r="AF36" s="59">
        <f t="shared" si="44"/>
        <v>0</v>
      </c>
      <c r="AG36" s="59">
        <f t="shared" si="44"/>
        <v>0</v>
      </c>
      <c r="AH36" s="59">
        <f t="shared" si="44"/>
        <v>0</v>
      </c>
      <c r="AI36" s="59">
        <f t="shared" si="44"/>
        <v>0</v>
      </c>
      <c r="AJ36" s="59">
        <f t="shared" si="44"/>
        <v>0</v>
      </c>
      <c r="AK36" s="59">
        <f t="shared" si="44"/>
        <v>0</v>
      </c>
      <c r="AL36" s="59">
        <f t="shared" si="44"/>
        <v>0</v>
      </c>
    </row>
    <row r="37" spans="4:40">
      <c r="D37" s="7" t="s">
        <v>564</v>
      </c>
      <c r="E37" s="16" t="s">
        <v>145</v>
      </c>
      <c r="K37" s="173"/>
      <c r="L37" s="173"/>
      <c r="M37" s="173"/>
      <c r="N37" s="173"/>
      <c r="O37" s="173"/>
      <c r="P37" s="173"/>
      <c r="Q37" s="173"/>
      <c r="R37" s="173"/>
      <c r="S37" s="173"/>
      <c r="T37" s="181"/>
      <c r="U37" s="174"/>
      <c r="V37" s="173"/>
      <c r="W37" s="174"/>
      <c r="X37" s="173"/>
      <c r="Y37" s="173"/>
      <c r="Z37" s="173"/>
      <c r="AA37" s="173"/>
      <c r="AB37" s="173"/>
      <c r="AC37" s="173"/>
      <c r="AD37" s="173"/>
      <c r="AE37" s="173"/>
      <c r="AF37" s="173"/>
      <c r="AG37" s="173"/>
      <c r="AH37" s="173"/>
      <c r="AI37" s="173"/>
      <c r="AJ37" s="173"/>
      <c r="AK37" s="173"/>
      <c r="AL37" s="173"/>
    </row>
    <row r="38" spans="4:40" ht="15">
      <c r="D38" s="4" t="s">
        <v>311</v>
      </c>
    </row>
    <row r="39" spans="4:40">
      <c r="D39" t="s">
        <v>190</v>
      </c>
      <c r="E39" s="16" t="s">
        <v>156</v>
      </c>
      <c r="K39" s="59">
        <f t="shared" ref="K39:AL39" si="45">K31/K11</f>
        <v>528.76712328767121</v>
      </c>
      <c r="L39" s="59">
        <f t="shared" si="45"/>
        <v>497.92889071038257</v>
      </c>
      <c r="M39" s="59">
        <f t="shared" si="45"/>
        <v>520.57108098630147</v>
      </c>
      <c r="N39" s="59">
        <f t="shared" si="45"/>
        <v>1302.8995515967122</v>
      </c>
      <c r="O39" s="59">
        <f t="shared" si="45"/>
        <v>1299.7243310098113</v>
      </c>
      <c r="P39" s="59">
        <f t="shared" si="45"/>
        <v>1296.1731716354677</v>
      </c>
      <c r="Q39" s="59">
        <f t="shared" si="45"/>
        <v>1526.9643310098115</v>
      </c>
      <c r="R39" s="59">
        <f t="shared" si="45"/>
        <v>1526.9643310098115</v>
      </c>
      <c r="S39" s="59">
        <f t="shared" si="45"/>
        <v>1815.1261343737788</v>
      </c>
      <c r="T39" s="180">
        <f t="shared" si="45"/>
        <v>1810.1667733508996</v>
      </c>
      <c r="U39" s="129">
        <f t="shared" si="45"/>
        <v>1815.1261343737788</v>
      </c>
      <c r="V39" s="59">
        <f t="shared" si="45"/>
        <v>1815.1261343737788</v>
      </c>
      <c r="W39" s="129">
        <f t="shared" si="45"/>
        <v>1815.1261343737788</v>
      </c>
      <c r="X39" s="59">
        <f t="shared" si="45"/>
        <v>1810.1667733508996</v>
      </c>
      <c r="Y39" s="59">
        <f t="shared" si="45"/>
        <v>1815.1261343737788</v>
      </c>
      <c r="Z39" s="59">
        <f t="shared" si="45"/>
        <v>1815.1261343737788</v>
      </c>
      <c r="AA39" s="59">
        <f t="shared" si="45"/>
        <v>1815.1261343737788</v>
      </c>
      <c r="AB39" s="59">
        <f t="shared" si="45"/>
        <v>1810.1667733508996</v>
      </c>
      <c r="AC39" s="59">
        <f t="shared" si="45"/>
        <v>1815.1261343737788</v>
      </c>
      <c r="AD39" s="59">
        <f t="shared" si="45"/>
        <v>1815.1261343737788</v>
      </c>
      <c r="AE39" s="59">
        <f t="shared" si="45"/>
        <v>1815.1261343737788</v>
      </c>
      <c r="AF39" s="59">
        <f t="shared" si="45"/>
        <v>1810.1667733508996</v>
      </c>
      <c r="AG39" s="59">
        <f t="shared" si="45"/>
        <v>1815.1261343737788</v>
      </c>
      <c r="AH39" s="59">
        <f t="shared" si="45"/>
        <v>1815.1261343737788</v>
      </c>
      <c r="AI39" s="59">
        <f t="shared" si="45"/>
        <v>1815.1261343737788</v>
      </c>
      <c r="AJ39" s="59">
        <f t="shared" si="45"/>
        <v>1810.1667733508996</v>
      </c>
      <c r="AK39" s="59">
        <f t="shared" si="45"/>
        <v>1815.1261343737788</v>
      </c>
      <c r="AL39" s="59">
        <f t="shared" si="45"/>
        <v>1815.1261343737788</v>
      </c>
    </row>
    <row r="40" spans="4:40">
      <c r="D40" t="s">
        <v>189</v>
      </c>
      <c r="E40" s="16" t="s">
        <v>156</v>
      </c>
      <c r="K40" s="59">
        <f t="shared" ref="K40:AL40" si="46">K32/K11</f>
        <v>370.13698630136986</v>
      </c>
      <c r="L40" s="59">
        <f t="shared" si="46"/>
        <v>348.55022349726778</v>
      </c>
      <c r="M40" s="59">
        <f t="shared" si="46"/>
        <v>364.39975669041104</v>
      </c>
      <c r="N40" s="59">
        <f t="shared" si="46"/>
        <v>651.44977579835609</v>
      </c>
      <c r="O40" s="59">
        <f t="shared" si="46"/>
        <v>0</v>
      </c>
      <c r="P40" s="59">
        <f t="shared" si="46"/>
        <v>0</v>
      </c>
      <c r="Q40" s="59">
        <f t="shared" si="46"/>
        <v>0</v>
      </c>
      <c r="R40" s="59">
        <f t="shared" si="46"/>
        <v>0</v>
      </c>
      <c r="S40" s="59">
        <f t="shared" si="46"/>
        <v>14.150791908025244</v>
      </c>
      <c r="T40" s="180">
        <f t="shared" si="46"/>
        <v>14.112128542156322</v>
      </c>
      <c r="U40" s="129">
        <f t="shared" si="46"/>
        <v>14.150791908025244</v>
      </c>
      <c r="V40" s="59">
        <f t="shared" si="46"/>
        <v>0</v>
      </c>
      <c r="W40" s="129">
        <f t="shared" si="46"/>
        <v>0</v>
      </c>
      <c r="X40" s="59">
        <f t="shared" si="46"/>
        <v>0</v>
      </c>
      <c r="Y40" s="59">
        <f t="shared" si="46"/>
        <v>0</v>
      </c>
      <c r="Z40" s="59">
        <f t="shared" si="46"/>
        <v>0</v>
      </c>
      <c r="AA40" s="59">
        <f t="shared" si="46"/>
        <v>0</v>
      </c>
      <c r="AB40" s="59">
        <f t="shared" si="46"/>
        <v>0</v>
      </c>
      <c r="AC40" s="59">
        <f t="shared" si="46"/>
        <v>0</v>
      </c>
      <c r="AD40" s="59">
        <f t="shared" si="46"/>
        <v>0</v>
      </c>
      <c r="AE40" s="59">
        <f t="shared" si="46"/>
        <v>0</v>
      </c>
      <c r="AF40" s="59">
        <f t="shared" si="46"/>
        <v>0</v>
      </c>
      <c r="AG40" s="59">
        <f t="shared" si="46"/>
        <v>0</v>
      </c>
      <c r="AH40" s="59">
        <f t="shared" si="46"/>
        <v>0</v>
      </c>
      <c r="AI40" s="59">
        <f t="shared" si="46"/>
        <v>0</v>
      </c>
      <c r="AJ40" s="59">
        <f t="shared" si="46"/>
        <v>0</v>
      </c>
      <c r="AK40" s="59">
        <f t="shared" si="46"/>
        <v>0</v>
      </c>
      <c r="AL40" s="59">
        <f t="shared" si="46"/>
        <v>0</v>
      </c>
    </row>
    <row r="41" spans="4:40">
      <c r="D41" t="s">
        <v>144</v>
      </c>
      <c r="E41" s="16" t="s">
        <v>156</v>
      </c>
      <c r="K41" s="59">
        <f t="shared" ref="K41:AL41" si="47">K33/K11</f>
        <v>158.63013698630138</v>
      </c>
      <c r="L41" s="59">
        <f t="shared" si="47"/>
        <v>149.37866721311477</v>
      </c>
      <c r="M41" s="59">
        <f t="shared" si="47"/>
        <v>156.17132429589043</v>
      </c>
      <c r="N41" s="59">
        <f t="shared" si="47"/>
        <v>651.44977579835609</v>
      </c>
      <c r="O41" s="59">
        <f t="shared" si="47"/>
        <v>1299.7243310098113</v>
      </c>
      <c r="P41" s="59">
        <f t="shared" si="47"/>
        <v>1296.1731716354677</v>
      </c>
      <c r="Q41" s="59">
        <f t="shared" si="47"/>
        <v>1526.9643310098115</v>
      </c>
      <c r="R41" s="59">
        <f t="shared" si="47"/>
        <v>1526.9643310098115</v>
      </c>
      <c r="S41" s="59">
        <f t="shared" si="47"/>
        <v>1754.4</v>
      </c>
      <c r="T41" s="180">
        <f t="shared" si="47"/>
        <v>1749.6065573770493</v>
      </c>
      <c r="U41" s="129">
        <f t="shared" si="47"/>
        <v>1754.4</v>
      </c>
      <c r="V41" s="59">
        <f t="shared" si="47"/>
        <v>1131.0507919080253</v>
      </c>
      <c r="W41" s="129">
        <f t="shared" si="47"/>
        <v>1131.0507919080253</v>
      </c>
      <c r="X41" s="59">
        <f t="shared" si="47"/>
        <v>1126.2186859192054</v>
      </c>
      <c r="Y41" s="59">
        <f t="shared" si="47"/>
        <v>1131.0507919080253</v>
      </c>
      <c r="Z41" s="59">
        <f t="shared" si="47"/>
        <v>1131.0507919080253</v>
      </c>
      <c r="AA41" s="59">
        <f t="shared" si="47"/>
        <v>1131.0507919080253</v>
      </c>
      <c r="AB41" s="59">
        <f t="shared" si="47"/>
        <v>1126.2186859192054</v>
      </c>
      <c r="AC41" s="59">
        <f t="shared" si="47"/>
        <v>1131.0507919080253</v>
      </c>
      <c r="AD41" s="59">
        <f t="shared" si="47"/>
        <v>1131.0507919080253</v>
      </c>
      <c r="AE41" s="59">
        <f t="shared" si="47"/>
        <v>1131.0507919080253</v>
      </c>
      <c r="AF41" s="59">
        <f t="shared" si="47"/>
        <v>1126.2186859192054</v>
      </c>
      <c r="AG41" s="59">
        <f t="shared" si="47"/>
        <v>1131.0507919080253</v>
      </c>
      <c r="AH41" s="59">
        <f t="shared" si="47"/>
        <v>1131.0507919080253</v>
      </c>
      <c r="AI41" s="59">
        <f t="shared" si="47"/>
        <v>1131.0507919080253</v>
      </c>
      <c r="AJ41" s="59">
        <f t="shared" si="47"/>
        <v>1126.2186859192054</v>
      </c>
      <c r="AK41" s="59">
        <f t="shared" si="47"/>
        <v>1131.0507919080253</v>
      </c>
      <c r="AL41" s="59">
        <f t="shared" si="47"/>
        <v>1131.0507919080253</v>
      </c>
    </row>
    <row r="42" spans="4:40">
      <c r="D42" t="s">
        <v>125</v>
      </c>
      <c r="E42" s="16" t="s">
        <v>156</v>
      </c>
      <c r="K42" s="59">
        <f t="shared" ref="K42:AL42" si="48">K34/K11</f>
        <v>0</v>
      </c>
      <c r="L42" s="59">
        <f t="shared" si="48"/>
        <v>0</v>
      </c>
      <c r="M42" s="59">
        <f t="shared" si="48"/>
        <v>0</v>
      </c>
      <c r="N42" s="59">
        <f t="shared" si="48"/>
        <v>0</v>
      </c>
      <c r="O42" s="59">
        <f t="shared" si="48"/>
        <v>0</v>
      </c>
      <c r="P42" s="59">
        <f t="shared" si="48"/>
        <v>0</v>
      </c>
      <c r="Q42" s="59">
        <f t="shared" si="48"/>
        <v>0</v>
      </c>
      <c r="R42" s="59">
        <f t="shared" si="48"/>
        <v>0</v>
      </c>
      <c r="S42" s="59">
        <f t="shared" si="48"/>
        <v>46.575342465753423</v>
      </c>
      <c r="T42" s="180">
        <f t="shared" si="48"/>
        <v>46.448087431693992</v>
      </c>
      <c r="U42" s="129">
        <f t="shared" si="48"/>
        <v>46.575342465753423</v>
      </c>
      <c r="V42" s="59">
        <f t="shared" si="48"/>
        <v>46.575342465753423</v>
      </c>
      <c r="W42" s="129">
        <f t="shared" si="48"/>
        <v>46.575342465753423</v>
      </c>
      <c r="X42" s="59">
        <f t="shared" si="48"/>
        <v>46.448087431693992</v>
      </c>
      <c r="Y42" s="59">
        <f t="shared" si="48"/>
        <v>46.575342465753423</v>
      </c>
      <c r="Z42" s="59">
        <f t="shared" si="48"/>
        <v>46.575342465753423</v>
      </c>
      <c r="AA42" s="59">
        <f t="shared" si="48"/>
        <v>46.575342465753423</v>
      </c>
      <c r="AB42" s="59">
        <f t="shared" si="48"/>
        <v>46.448087431693992</v>
      </c>
      <c r="AC42" s="59">
        <f t="shared" si="48"/>
        <v>46.575342465753423</v>
      </c>
      <c r="AD42" s="59">
        <f t="shared" si="48"/>
        <v>46.575342465753423</v>
      </c>
      <c r="AE42" s="59">
        <f t="shared" si="48"/>
        <v>46.575342465753423</v>
      </c>
      <c r="AF42" s="59">
        <f t="shared" si="48"/>
        <v>46.448087431693992</v>
      </c>
      <c r="AG42" s="59">
        <f t="shared" si="48"/>
        <v>46.575342465753423</v>
      </c>
      <c r="AH42" s="59">
        <f t="shared" si="48"/>
        <v>46.575342465753423</v>
      </c>
      <c r="AI42" s="59">
        <f t="shared" si="48"/>
        <v>46.575342465753423</v>
      </c>
      <c r="AJ42" s="59">
        <f t="shared" si="48"/>
        <v>46.448087431693992</v>
      </c>
      <c r="AK42" s="59">
        <f t="shared" si="48"/>
        <v>46.575342465753423</v>
      </c>
      <c r="AL42" s="59">
        <f t="shared" si="48"/>
        <v>46.575342465753423</v>
      </c>
    </row>
    <row r="43" spans="4:40">
      <c r="D43" t="s">
        <v>191</v>
      </c>
      <c r="E43" s="16" t="s">
        <v>156</v>
      </c>
      <c r="K43" s="59">
        <f t="shared" ref="K43:AL43" si="49">K35/K11</f>
        <v>0</v>
      </c>
      <c r="L43" s="59">
        <f t="shared" si="49"/>
        <v>0</v>
      </c>
      <c r="M43" s="59">
        <f t="shared" si="49"/>
        <v>0</v>
      </c>
      <c r="N43" s="59">
        <f t="shared" si="49"/>
        <v>0</v>
      </c>
      <c r="O43" s="59">
        <f t="shared" si="49"/>
        <v>0</v>
      </c>
      <c r="P43" s="59">
        <f t="shared" si="49"/>
        <v>0</v>
      </c>
      <c r="Q43" s="59">
        <f t="shared" si="49"/>
        <v>0</v>
      </c>
      <c r="R43" s="59">
        <f t="shared" si="49"/>
        <v>0</v>
      </c>
      <c r="S43" s="59">
        <f t="shared" si="49"/>
        <v>0</v>
      </c>
      <c r="T43" s="180">
        <f t="shared" si="49"/>
        <v>0</v>
      </c>
      <c r="U43" s="129">
        <f t="shared" si="49"/>
        <v>0</v>
      </c>
      <c r="V43" s="59">
        <f t="shared" si="49"/>
        <v>637.5</v>
      </c>
      <c r="W43" s="129">
        <f t="shared" si="49"/>
        <v>637.5</v>
      </c>
      <c r="X43" s="59">
        <f t="shared" si="49"/>
        <v>637.5</v>
      </c>
      <c r="Y43" s="59">
        <f t="shared" si="49"/>
        <v>637.5</v>
      </c>
      <c r="Z43" s="59">
        <f t="shared" si="49"/>
        <v>637.5</v>
      </c>
      <c r="AA43" s="59">
        <f t="shared" si="49"/>
        <v>637.5</v>
      </c>
      <c r="AB43" s="59">
        <f t="shared" si="49"/>
        <v>637.5</v>
      </c>
      <c r="AC43" s="59">
        <f t="shared" si="49"/>
        <v>637.5</v>
      </c>
      <c r="AD43" s="59">
        <f t="shared" si="49"/>
        <v>637.5</v>
      </c>
      <c r="AE43" s="59">
        <f t="shared" si="49"/>
        <v>637.5</v>
      </c>
      <c r="AF43" s="59">
        <f t="shared" si="49"/>
        <v>637.5</v>
      </c>
      <c r="AG43" s="59">
        <f t="shared" si="49"/>
        <v>637.5</v>
      </c>
      <c r="AH43" s="59">
        <f t="shared" si="49"/>
        <v>637.5</v>
      </c>
      <c r="AI43" s="59">
        <f t="shared" si="49"/>
        <v>637.5</v>
      </c>
      <c r="AJ43" s="59">
        <f t="shared" si="49"/>
        <v>637.5</v>
      </c>
      <c r="AK43" s="59">
        <f t="shared" si="49"/>
        <v>637.5</v>
      </c>
      <c r="AL43" s="59">
        <f t="shared" si="49"/>
        <v>637.5</v>
      </c>
    </row>
    <row r="44" spans="4:40">
      <c r="D44" t="s">
        <v>424</v>
      </c>
      <c r="E44" s="16" t="s">
        <v>156</v>
      </c>
      <c r="K44" s="59">
        <f t="shared" ref="K44:AL44" si="50">K36/K11</f>
        <v>0</v>
      </c>
      <c r="L44" s="59">
        <f t="shared" si="50"/>
        <v>0</v>
      </c>
      <c r="M44" s="59">
        <f t="shared" si="50"/>
        <v>0</v>
      </c>
      <c r="N44" s="59">
        <f t="shared" si="50"/>
        <v>0</v>
      </c>
      <c r="O44" s="59">
        <f t="shared" si="50"/>
        <v>0</v>
      </c>
      <c r="P44" s="59">
        <f t="shared" si="50"/>
        <v>0</v>
      </c>
      <c r="Q44" s="59">
        <f t="shared" si="50"/>
        <v>0</v>
      </c>
      <c r="R44" s="59">
        <f t="shared" si="50"/>
        <v>0</v>
      </c>
      <c r="S44" s="59">
        <f t="shared" si="50"/>
        <v>0</v>
      </c>
      <c r="T44" s="180">
        <f t="shared" si="50"/>
        <v>0</v>
      </c>
      <c r="U44" s="129">
        <f t="shared" si="50"/>
        <v>0</v>
      </c>
      <c r="V44" s="59">
        <f t="shared" si="50"/>
        <v>0</v>
      </c>
      <c r="W44" s="129">
        <f t="shared" si="50"/>
        <v>0</v>
      </c>
      <c r="X44" s="59">
        <f t="shared" si="50"/>
        <v>0</v>
      </c>
      <c r="Y44" s="59">
        <f t="shared" si="50"/>
        <v>0</v>
      </c>
      <c r="Z44" s="59">
        <f t="shared" si="50"/>
        <v>0</v>
      </c>
      <c r="AA44" s="59">
        <f t="shared" si="50"/>
        <v>0</v>
      </c>
      <c r="AB44" s="59">
        <f t="shared" si="50"/>
        <v>0</v>
      </c>
      <c r="AC44" s="59">
        <f t="shared" si="50"/>
        <v>0</v>
      </c>
      <c r="AD44" s="59">
        <f t="shared" si="50"/>
        <v>0</v>
      </c>
      <c r="AE44" s="59">
        <f t="shared" si="50"/>
        <v>0</v>
      </c>
      <c r="AF44" s="59">
        <f t="shared" si="50"/>
        <v>0</v>
      </c>
      <c r="AG44" s="59">
        <f t="shared" si="50"/>
        <v>0</v>
      </c>
      <c r="AH44" s="59">
        <f t="shared" si="50"/>
        <v>0</v>
      </c>
      <c r="AI44" s="59">
        <f t="shared" si="50"/>
        <v>0</v>
      </c>
      <c r="AJ44" s="59">
        <f t="shared" si="50"/>
        <v>0</v>
      </c>
      <c r="AK44" s="59">
        <f t="shared" si="50"/>
        <v>0</v>
      </c>
      <c r="AL44" s="59">
        <f t="shared" si="50"/>
        <v>0</v>
      </c>
    </row>
    <row r="45" spans="4:40" ht="15">
      <c r="D45" s="4" t="s">
        <v>194</v>
      </c>
      <c r="P45">
        <v>1700</v>
      </c>
    </row>
    <row r="46" spans="4:40">
      <c r="D46" t="s">
        <v>189</v>
      </c>
      <c r="E46" s="16" t="s">
        <v>195</v>
      </c>
      <c r="K46" s="60">
        <f>K32/Inputs!F34</f>
        <v>4.48E-2</v>
      </c>
    </row>
    <row r="47" spans="4:40">
      <c r="D47" t="s">
        <v>144</v>
      </c>
      <c r="E47" s="16" t="s">
        <v>195</v>
      </c>
      <c r="K47" s="61">
        <f>K33/Inputs!F34</f>
        <v>1.9199999999999998E-2</v>
      </c>
      <c r="AG47">
        <f>AG43/AG39</f>
        <v>0.35121526153329197</v>
      </c>
    </row>
    <row r="48" spans="4:40">
      <c r="D48" t="s">
        <v>125</v>
      </c>
      <c r="E48" s="16" t="s">
        <v>195</v>
      </c>
      <c r="K48" s="62"/>
    </row>
    <row r="49" spans="4:38">
      <c r="D49" t="s">
        <v>191</v>
      </c>
      <c r="E49" s="16" t="s">
        <v>195</v>
      </c>
      <c r="K49" s="62"/>
    </row>
    <row r="50" spans="4:38">
      <c r="E50" s="16"/>
      <c r="K50" s="66"/>
    </row>
    <row r="51" spans="4:38" ht="18">
      <c r="D51" s="15" t="s">
        <v>226</v>
      </c>
    </row>
    <row r="52" spans="4:38" ht="15">
      <c r="D52" s="4" t="s">
        <v>212</v>
      </c>
      <c r="E52" s="16" t="s">
        <v>145</v>
      </c>
      <c r="K52" s="116">
        <f>K31*Inputs!E117</f>
        <v>67550</v>
      </c>
      <c r="L52" s="116">
        <f>L31*Inputs!F117</f>
        <v>63784.690900000001</v>
      </c>
      <c r="M52" s="116">
        <f>M31*Inputs!G117</f>
        <v>66502.955596000014</v>
      </c>
      <c r="N52" s="116">
        <f>N31*Inputs!H117</f>
        <v>166445.41771647998</v>
      </c>
      <c r="O52" s="116">
        <f>O31*Inputs!I117</f>
        <v>166039.7832865034</v>
      </c>
      <c r="P52" s="116">
        <f>P31*Inputs!$J$117</f>
        <v>166039.7832865034</v>
      </c>
      <c r="Q52" s="116">
        <f>Q31*Inputs!$J$117</f>
        <v>195069.6932865034</v>
      </c>
      <c r="R52" s="116">
        <f>R31*Inputs!$J$117</f>
        <v>195069.6932865034</v>
      </c>
      <c r="S52" s="116">
        <f>S31*Inputs!$J$117</f>
        <v>231882.3636662502</v>
      </c>
      <c r="T52" s="116">
        <f>T31*Inputs!$J$117</f>
        <v>231882.3636662502</v>
      </c>
      <c r="U52" s="130">
        <f>U31*Inputs!$J$117</f>
        <v>231882.3636662502</v>
      </c>
      <c r="V52" s="116">
        <f>V31*Inputs!$J$117</f>
        <v>231882.3636662502</v>
      </c>
      <c r="W52" s="130">
        <f>W31*Inputs!$J$117</f>
        <v>231882.3636662502</v>
      </c>
      <c r="X52" s="116">
        <f>X31*Inputs!$J$117</f>
        <v>231882.3636662502</v>
      </c>
      <c r="Y52" s="116">
        <f>Y31*Inputs!$J$117</f>
        <v>231882.3636662502</v>
      </c>
      <c r="Z52" s="116">
        <f>Z31*Inputs!$J$117</f>
        <v>231882.3636662502</v>
      </c>
      <c r="AA52" s="116">
        <f>AA31*Inputs!$J$117</f>
        <v>231882.3636662502</v>
      </c>
      <c r="AB52" s="116">
        <f>AB31*Inputs!$J$117</f>
        <v>231882.3636662502</v>
      </c>
      <c r="AC52" s="116">
        <f>AC31*Inputs!$J$117</f>
        <v>231882.3636662502</v>
      </c>
      <c r="AD52" s="116">
        <f>AD31*Inputs!$J$117</f>
        <v>231882.3636662502</v>
      </c>
      <c r="AE52" s="116">
        <f>AE31*Inputs!$J$117</f>
        <v>231882.3636662502</v>
      </c>
      <c r="AF52" s="116">
        <f>AF31*Inputs!$J$117</f>
        <v>231882.3636662502</v>
      </c>
      <c r="AG52" s="116">
        <f>AG31*Inputs!$J$117</f>
        <v>231882.3636662502</v>
      </c>
      <c r="AH52" s="116">
        <f>AH31*Inputs!$J$117</f>
        <v>231882.3636662502</v>
      </c>
      <c r="AI52" s="116">
        <f>AI31*Inputs!$J$117</f>
        <v>231882.3636662502</v>
      </c>
      <c r="AJ52" s="116">
        <f>AJ31*Inputs!$J$117</f>
        <v>231882.3636662502</v>
      </c>
      <c r="AK52" s="116">
        <f>AK31*Inputs!$J$117</f>
        <v>231882.3636662502</v>
      </c>
      <c r="AL52" s="116">
        <f>AL31*Inputs!$J$117</f>
        <v>231882.3636662502</v>
      </c>
    </row>
    <row r="53" spans="4:38">
      <c r="D53" s="7" t="s">
        <v>122</v>
      </c>
      <c r="E53" s="16" t="s">
        <v>145</v>
      </c>
      <c r="K53" s="116">
        <f>(K52*Inputs!E118)*Inputs!E120</f>
        <v>48804.875</v>
      </c>
      <c r="L53" s="116">
        <f>(L52*Inputs!F118)*Inputs!F120</f>
        <v>46084.439175250001</v>
      </c>
      <c r="M53" s="116">
        <f>(M52*Inputs!G118)*Inputs!G120</f>
        <v>48048.385418110011</v>
      </c>
      <c r="N53" s="116">
        <f>(N52*Inputs!H118)*Inputs!H120</f>
        <v>120256.81430015677</v>
      </c>
      <c r="O53" s="116">
        <f>(O52*Inputs!I118)*Inputs!I120</f>
        <v>119963.74342449869</v>
      </c>
      <c r="P53" s="116">
        <f>(P52*Inputs!$J$118)*Inputs!$J$120</f>
        <v>119963.74342449869</v>
      </c>
      <c r="Q53" s="116">
        <f>(Q52*Inputs!$J$118)*Inputs!$J$120</f>
        <v>140937.85339949868</v>
      </c>
      <c r="R53" s="116">
        <f>(R52*Inputs!$J$118)*Inputs!$J$120</f>
        <v>140937.85339949868</v>
      </c>
      <c r="S53" s="116">
        <f>(S52*Inputs!$J$118)*Inputs!$J$120</f>
        <v>167535.00774886576</v>
      </c>
      <c r="T53" s="116">
        <f>(T52*Inputs!$J$118)*Inputs!$J$120</f>
        <v>167535.00774886576</v>
      </c>
      <c r="U53" s="130">
        <f>(U52*Inputs!$J$118)*Inputs!$J$120</f>
        <v>167535.00774886576</v>
      </c>
      <c r="V53" s="116">
        <f>(V52*Inputs!$J$118)*Inputs!$J$120</f>
        <v>167535.00774886576</v>
      </c>
      <c r="W53" s="130">
        <f>(W52*Inputs!$J$118)*Inputs!$J$120</f>
        <v>167535.00774886576</v>
      </c>
      <c r="X53" s="116">
        <f>(X52*Inputs!$J$118)*Inputs!$J$120</f>
        <v>167535.00774886576</v>
      </c>
      <c r="Y53" s="116">
        <f>(Y52*Inputs!$J$118)*Inputs!$J$120</f>
        <v>167535.00774886576</v>
      </c>
      <c r="Z53" s="116">
        <f>(Z52*Inputs!$J$118)*Inputs!$J$120</f>
        <v>167535.00774886576</v>
      </c>
      <c r="AA53" s="116">
        <f>(AA52*Inputs!$J$118)*Inputs!$J$120</f>
        <v>167535.00774886576</v>
      </c>
      <c r="AB53" s="116">
        <f>(AB52*Inputs!$J$118)*Inputs!$J$120</f>
        <v>167535.00774886576</v>
      </c>
      <c r="AC53" s="116">
        <f>(AC52*Inputs!$J$118)*Inputs!$J$120</f>
        <v>167535.00774886576</v>
      </c>
      <c r="AD53" s="116">
        <f>(AD52*Inputs!$J$118)*Inputs!$J$120</f>
        <v>167535.00774886576</v>
      </c>
      <c r="AE53" s="116">
        <f>(AE52*Inputs!$J$118)*Inputs!$J$120</f>
        <v>167535.00774886576</v>
      </c>
      <c r="AF53" s="116">
        <f>(AF52*Inputs!$J$118)*Inputs!$J$120</f>
        <v>167535.00774886576</v>
      </c>
      <c r="AG53" s="116">
        <f>(AG52*Inputs!$J$118)*Inputs!$J$120</f>
        <v>167535.00774886576</v>
      </c>
      <c r="AH53" s="116">
        <f>(AH52*Inputs!$J$118)*Inputs!$J$120</f>
        <v>167535.00774886576</v>
      </c>
      <c r="AI53" s="116">
        <f>(AI52*Inputs!$J$118)*Inputs!$J$120</f>
        <v>167535.00774886576</v>
      </c>
      <c r="AJ53" s="116">
        <f>(AJ52*Inputs!$J$118)*Inputs!$J$120</f>
        <v>167535.00774886576</v>
      </c>
      <c r="AK53" s="116">
        <f>(AK52*Inputs!$J$118)*Inputs!$J$120</f>
        <v>167535.00774886576</v>
      </c>
      <c r="AL53" s="116">
        <f>(AL52*Inputs!$J$118)*Inputs!$J$120</f>
        <v>167535.00774886576</v>
      </c>
    </row>
    <row r="54" spans="4:38">
      <c r="D54" s="7" t="s">
        <v>219</v>
      </c>
      <c r="E54" s="16" t="s">
        <v>145</v>
      </c>
      <c r="K54" s="116">
        <f>K52*Inputs!E119</f>
        <v>10132.5</v>
      </c>
      <c r="L54" s="116">
        <f>L52*Inputs!F119</f>
        <v>9567.7036349999998</v>
      </c>
      <c r="M54" s="116">
        <f>M52*Inputs!G119</f>
        <v>9975.4433394000025</v>
      </c>
      <c r="N54" s="116">
        <f>N52*Inputs!H119</f>
        <v>24966.812657471997</v>
      </c>
      <c r="O54" s="116">
        <f>O52*Inputs!I119</f>
        <v>24905.967492975509</v>
      </c>
      <c r="P54" s="116">
        <f>P52*Inputs!$J$119</f>
        <v>24905.967492975509</v>
      </c>
      <c r="Q54" s="116">
        <f>Q52*Inputs!$J$119</f>
        <v>29260.453992975508</v>
      </c>
      <c r="R54" s="116">
        <f>R52*Inputs!$J$119</f>
        <v>29260.453992975508</v>
      </c>
      <c r="S54" s="116">
        <f>S52*Inputs!$J$119</f>
        <v>34782.354549937525</v>
      </c>
      <c r="T54" s="116">
        <f>T52*Inputs!$J$119</f>
        <v>34782.354549937525</v>
      </c>
      <c r="U54" s="130">
        <f>U52*Inputs!$J$119</f>
        <v>34782.354549937525</v>
      </c>
      <c r="V54" s="116">
        <f>V52*Inputs!$J$119</f>
        <v>34782.354549937525</v>
      </c>
      <c r="W54" s="130">
        <f>W52*Inputs!$J$119</f>
        <v>34782.354549937525</v>
      </c>
      <c r="X54" s="116">
        <f>X52*Inputs!$J$119</f>
        <v>34782.354549937525</v>
      </c>
      <c r="Y54" s="116">
        <f>Y52*Inputs!$J$119</f>
        <v>34782.354549937525</v>
      </c>
      <c r="Z54" s="116">
        <f>Z52*Inputs!$J$119</f>
        <v>34782.354549937525</v>
      </c>
      <c r="AA54" s="116">
        <f>AA52*Inputs!$J$119</f>
        <v>34782.354549937525</v>
      </c>
      <c r="AB54" s="116">
        <f>AB52*Inputs!$J$119</f>
        <v>34782.354549937525</v>
      </c>
      <c r="AC54" s="116">
        <f>AC52*Inputs!$J$119</f>
        <v>34782.354549937525</v>
      </c>
      <c r="AD54" s="116">
        <f>AD52*Inputs!$J$119</f>
        <v>34782.354549937525</v>
      </c>
      <c r="AE54" s="116">
        <f>AE52*Inputs!$J$119</f>
        <v>34782.354549937525</v>
      </c>
      <c r="AF54" s="116">
        <f>AF52*Inputs!$J$119</f>
        <v>34782.354549937525</v>
      </c>
      <c r="AG54" s="116">
        <f>AG52*Inputs!$J$119</f>
        <v>34782.354549937525</v>
      </c>
      <c r="AH54" s="116">
        <f>AH52*Inputs!$J$119</f>
        <v>34782.354549937525</v>
      </c>
      <c r="AI54" s="116">
        <f>AI52*Inputs!$J$119</f>
        <v>34782.354549937525</v>
      </c>
      <c r="AJ54" s="116">
        <f>AJ52*Inputs!$J$119</f>
        <v>34782.354549937525</v>
      </c>
      <c r="AK54" s="116">
        <f>AK52*Inputs!$J$119</f>
        <v>34782.354549937525</v>
      </c>
      <c r="AL54" s="116">
        <f>AL52*Inputs!$J$119</f>
        <v>34782.354549937525</v>
      </c>
    </row>
    <row r="55" spans="4:38" ht="15">
      <c r="D55" s="131" t="s">
        <v>227</v>
      </c>
      <c r="E55" s="16" t="s">
        <v>145</v>
      </c>
      <c r="K55" s="116">
        <f>K31*Inputs!E114</f>
        <v>115800</v>
      </c>
      <c r="L55" s="116">
        <f>L31*Inputs!F114</f>
        <v>109345.18440000001</v>
      </c>
      <c r="M55" s="116">
        <f>M31*Inputs!G114</f>
        <v>114005.06673600002</v>
      </c>
      <c r="N55" s="116">
        <f>N31*Inputs!H114</f>
        <v>285335.00179968</v>
      </c>
      <c r="O55" s="116">
        <f>O31*Inputs!I114</f>
        <v>284639.6284911487</v>
      </c>
      <c r="P55" s="116">
        <f>P31*Inputs!$J$114</f>
        <v>284639.6284911487</v>
      </c>
      <c r="Q55" s="116">
        <f>Q31*Inputs!$J$114</f>
        <v>334405.1884911487</v>
      </c>
      <c r="R55" s="116">
        <f>R31*Inputs!$J$114</f>
        <v>334405.1884911487</v>
      </c>
      <c r="S55" s="116">
        <f>S31*Inputs!$J$114</f>
        <v>397512.62342785753</v>
      </c>
      <c r="T55" s="116">
        <f>T31*Inputs!$J$114</f>
        <v>397512.62342785753</v>
      </c>
      <c r="U55" s="130">
        <f>U31*Inputs!$J$114</f>
        <v>397512.62342785753</v>
      </c>
      <c r="V55" s="116">
        <f>V31*Inputs!$J$114</f>
        <v>397512.62342785753</v>
      </c>
      <c r="W55" s="130">
        <f>W31*Inputs!$J$114</f>
        <v>397512.62342785753</v>
      </c>
      <c r="X55" s="116">
        <f>X31*Inputs!$J$114</f>
        <v>397512.62342785753</v>
      </c>
      <c r="Y55" s="116">
        <f>Y31*Inputs!$J$114</f>
        <v>397512.62342785753</v>
      </c>
      <c r="Z55" s="116">
        <f>Z31*Inputs!$J$114</f>
        <v>397512.62342785753</v>
      </c>
      <c r="AA55" s="116">
        <f>AA31*Inputs!$J$114</f>
        <v>397512.62342785753</v>
      </c>
      <c r="AB55" s="116">
        <f>AB31*Inputs!$J$114</f>
        <v>397512.62342785753</v>
      </c>
      <c r="AC55" s="116">
        <f>AC31*Inputs!$J$114</f>
        <v>397512.62342785753</v>
      </c>
      <c r="AD55" s="116">
        <f>AD31*Inputs!$J$114</f>
        <v>397512.62342785753</v>
      </c>
      <c r="AE55" s="116">
        <f>AE31*Inputs!$J$114</f>
        <v>397512.62342785753</v>
      </c>
      <c r="AF55" s="116">
        <f>AF31*Inputs!$J$114</f>
        <v>397512.62342785753</v>
      </c>
      <c r="AG55" s="116">
        <f>AG31*Inputs!$J$114</f>
        <v>397512.62342785753</v>
      </c>
      <c r="AH55" s="116">
        <f>AH31*Inputs!$J$114</f>
        <v>397512.62342785753</v>
      </c>
      <c r="AI55" s="116">
        <f>AI31*Inputs!$J$114</f>
        <v>397512.62342785753</v>
      </c>
      <c r="AJ55" s="116">
        <f>AJ31*Inputs!$J$114</f>
        <v>397512.62342785753</v>
      </c>
      <c r="AK55" s="116">
        <f>AK31*Inputs!$J$114</f>
        <v>397512.62342785753</v>
      </c>
      <c r="AL55" s="116">
        <f>AL31*Inputs!$J$114</f>
        <v>397512.62342785753</v>
      </c>
    </row>
    <row r="56" spans="4:38">
      <c r="D56" s="63" t="s">
        <v>394</v>
      </c>
      <c r="E56" s="16" t="s">
        <v>145</v>
      </c>
      <c r="J56" s="65"/>
      <c r="K56" s="116">
        <f>K55*Inputs!E115</f>
        <v>11580</v>
      </c>
      <c r="L56" s="116">
        <f>L55*Inputs!F115</f>
        <v>10934.518440000002</v>
      </c>
      <c r="M56" s="116">
        <f>M55*Inputs!G115</f>
        <v>11400.506673600003</v>
      </c>
      <c r="N56" s="116">
        <f>N55*Inputs!H115</f>
        <v>28533.500179968003</v>
      </c>
      <c r="O56" s="116">
        <f>O55*Inputs!I115</f>
        <v>28463.962849114872</v>
      </c>
      <c r="P56" s="116">
        <f>P55*Inputs!J115</f>
        <v>28463.962849114872</v>
      </c>
      <c r="Q56" s="116">
        <f>P56</f>
        <v>28463.962849114872</v>
      </c>
      <c r="R56" s="116">
        <f t="shared" ref="R56:AL56" si="51">Q56</f>
        <v>28463.962849114872</v>
      </c>
      <c r="S56" s="116">
        <f t="shared" si="51"/>
        <v>28463.962849114872</v>
      </c>
      <c r="T56" s="116">
        <f t="shared" si="51"/>
        <v>28463.962849114872</v>
      </c>
      <c r="U56" s="130">
        <f t="shared" si="51"/>
        <v>28463.962849114872</v>
      </c>
      <c r="V56" s="116">
        <f t="shared" si="51"/>
        <v>28463.962849114872</v>
      </c>
      <c r="W56" s="130">
        <f t="shared" si="51"/>
        <v>28463.962849114872</v>
      </c>
      <c r="X56" s="116">
        <f t="shared" si="51"/>
        <v>28463.962849114872</v>
      </c>
      <c r="Y56" s="116">
        <f t="shared" si="51"/>
        <v>28463.962849114872</v>
      </c>
      <c r="Z56" s="116">
        <f t="shared" si="51"/>
        <v>28463.962849114872</v>
      </c>
      <c r="AA56" s="116">
        <f t="shared" si="51"/>
        <v>28463.962849114872</v>
      </c>
      <c r="AB56" s="116">
        <f t="shared" si="51"/>
        <v>28463.962849114872</v>
      </c>
      <c r="AC56" s="116">
        <f t="shared" si="51"/>
        <v>28463.962849114872</v>
      </c>
      <c r="AD56" s="116">
        <f t="shared" si="51"/>
        <v>28463.962849114872</v>
      </c>
      <c r="AE56" s="116">
        <f t="shared" si="51"/>
        <v>28463.962849114872</v>
      </c>
      <c r="AF56" s="116">
        <f t="shared" si="51"/>
        <v>28463.962849114872</v>
      </c>
      <c r="AG56" s="116">
        <f t="shared" si="51"/>
        <v>28463.962849114872</v>
      </c>
      <c r="AH56" s="116">
        <f t="shared" si="51"/>
        <v>28463.962849114872</v>
      </c>
      <c r="AI56" s="116">
        <f t="shared" si="51"/>
        <v>28463.962849114872</v>
      </c>
      <c r="AJ56" s="116">
        <f t="shared" si="51"/>
        <v>28463.962849114872</v>
      </c>
      <c r="AK56" s="116">
        <f t="shared" si="51"/>
        <v>28463.962849114872</v>
      </c>
      <c r="AL56" s="116">
        <f t="shared" si="51"/>
        <v>28463.962849114872</v>
      </c>
    </row>
    <row r="57" spans="4:38">
      <c r="D57" s="63" t="s">
        <v>395</v>
      </c>
      <c r="E57" s="16" t="s">
        <v>145</v>
      </c>
      <c r="J57" s="65"/>
      <c r="K57" s="116">
        <f>Inputs!E116*K55</f>
        <v>104220</v>
      </c>
      <c r="L57" s="116">
        <f>Inputs!F116*L55</f>
        <v>98410.665960000013</v>
      </c>
      <c r="M57" s="116">
        <f>Inputs!G116*M55</f>
        <v>102604.56006240002</v>
      </c>
      <c r="N57" s="116">
        <f>Inputs!H116*N55</f>
        <v>256801.50161971201</v>
      </c>
      <c r="O57" s="116">
        <f>Inputs!I116*O55</f>
        <v>256175.66564203383</v>
      </c>
      <c r="P57" s="116">
        <f>Inputs!J116*P55</f>
        <v>256175.66564203383</v>
      </c>
      <c r="Q57" s="116">
        <f t="shared" ref="Q57:AL57" si="52">P57</f>
        <v>256175.66564203383</v>
      </c>
      <c r="R57" s="116">
        <f t="shared" si="52"/>
        <v>256175.66564203383</v>
      </c>
      <c r="S57" s="116">
        <f t="shared" si="52"/>
        <v>256175.66564203383</v>
      </c>
      <c r="T57" s="116">
        <f t="shared" si="52"/>
        <v>256175.66564203383</v>
      </c>
      <c r="U57" s="130">
        <f t="shared" si="52"/>
        <v>256175.66564203383</v>
      </c>
      <c r="V57" s="116">
        <f t="shared" si="52"/>
        <v>256175.66564203383</v>
      </c>
      <c r="W57" s="130">
        <f t="shared" si="52"/>
        <v>256175.66564203383</v>
      </c>
      <c r="X57" s="116">
        <f t="shared" si="52"/>
        <v>256175.66564203383</v>
      </c>
      <c r="Y57" s="116">
        <f t="shared" si="52"/>
        <v>256175.66564203383</v>
      </c>
      <c r="Z57" s="116">
        <f t="shared" si="52"/>
        <v>256175.66564203383</v>
      </c>
      <c r="AA57" s="116">
        <f t="shared" si="52"/>
        <v>256175.66564203383</v>
      </c>
      <c r="AB57" s="116">
        <f t="shared" si="52"/>
        <v>256175.66564203383</v>
      </c>
      <c r="AC57" s="116">
        <f t="shared" si="52"/>
        <v>256175.66564203383</v>
      </c>
      <c r="AD57" s="116">
        <f t="shared" si="52"/>
        <v>256175.66564203383</v>
      </c>
      <c r="AE57" s="116">
        <f t="shared" si="52"/>
        <v>256175.66564203383</v>
      </c>
      <c r="AF57" s="116">
        <f t="shared" si="52"/>
        <v>256175.66564203383</v>
      </c>
      <c r="AG57" s="116">
        <f t="shared" si="52"/>
        <v>256175.66564203383</v>
      </c>
      <c r="AH57" s="116">
        <f t="shared" si="52"/>
        <v>256175.66564203383</v>
      </c>
      <c r="AI57" s="116">
        <f t="shared" si="52"/>
        <v>256175.66564203383</v>
      </c>
      <c r="AJ57" s="116">
        <f t="shared" si="52"/>
        <v>256175.66564203383</v>
      </c>
      <c r="AK57" s="116">
        <f t="shared" si="52"/>
        <v>256175.66564203383</v>
      </c>
      <c r="AL57" s="116">
        <f t="shared" si="52"/>
        <v>256175.66564203383</v>
      </c>
    </row>
    <row r="58" spans="4:38" ht="15">
      <c r="D58" s="4" t="s">
        <v>228</v>
      </c>
      <c r="E58" s="16" t="s">
        <v>145</v>
      </c>
      <c r="K58" s="116">
        <f>K31*Inputs!E113</f>
        <v>9650</v>
      </c>
      <c r="L58" s="116">
        <f>L31*Inputs!F113</f>
        <v>9112.0987000000005</v>
      </c>
      <c r="M58" s="116">
        <f>M31*Inputs!G113</f>
        <v>9500.4222280000013</v>
      </c>
      <c r="N58" s="116">
        <f>N31*Inputs!H113</f>
        <v>23777.916816640001</v>
      </c>
      <c r="O58" s="116">
        <f>O31*Inputs!I113</f>
        <v>23719.96904092906</v>
      </c>
      <c r="P58" s="116">
        <f>P31*Inputs!$J$113</f>
        <v>23719.96904092906</v>
      </c>
      <c r="Q58" s="116">
        <f>Q31*Inputs!$J$113</f>
        <v>27867.099040929061</v>
      </c>
      <c r="R58" s="116">
        <f>R31*Inputs!$J$113</f>
        <v>27867.099040929061</v>
      </c>
      <c r="S58" s="116">
        <f>S31*Inputs!$J$113</f>
        <v>33126.051952321461</v>
      </c>
      <c r="T58" s="116">
        <f>T31*Inputs!$J$113</f>
        <v>33126.051952321461</v>
      </c>
      <c r="U58" s="130">
        <f>U31*Inputs!$J$113</f>
        <v>33126.051952321461</v>
      </c>
      <c r="V58" s="116">
        <f>V31*Inputs!$J$113</f>
        <v>33126.051952321461</v>
      </c>
      <c r="W58" s="130">
        <f>W31*Inputs!$J$113</f>
        <v>33126.051952321461</v>
      </c>
      <c r="X58" s="116">
        <f>X31*Inputs!$J$113</f>
        <v>33126.051952321461</v>
      </c>
      <c r="Y58" s="116">
        <f>Y31*Inputs!$J$113</f>
        <v>33126.051952321461</v>
      </c>
      <c r="Z58" s="116">
        <f>Z31*Inputs!$J$113</f>
        <v>33126.051952321461</v>
      </c>
      <c r="AA58" s="116">
        <f>AA31*Inputs!$J$113</f>
        <v>33126.051952321461</v>
      </c>
      <c r="AB58" s="116">
        <f>AB31*Inputs!$J$113</f>
        <v>33126.051952321461</v>
      </c>
      <c r="AC58" s="116">
        <f>AC31*Inputs!$J$113</f>
        <v>33126.051952321461</v>
      </c>
      <c r="AD58" s="116">
        <f>AD31*Inputs!$J$113</f>
        <v>33126.051952321461</v>
      </c>
      <c r="AE58" s="116">
        <f>AE31*Inputs!$J$113</f>
        <v>33126.051952321461</v>
      </c>
      <c r="AF58" s="116">
        <f>AF31*Inputs!$J$113</f>
        <v>33126.051952321461</v>
      </c>
      <c r="AG58" s="116">
        <f>AG31*Inputs!$J$113</f>
        <v>33126.051952321461</v>
      </c>
      <c r="AH58" s="116">
        <f>AH31*Inputs!$J$113</f>
        <v>33126.051952321461</v>
      </c>
      <c r="AI58" s="116">
        <f>AI31*Inputs!$J$113</f>
        <v>33126.051952321461</v>
      </c>
      <c r="AJ58" s="116">
        <f>AJ31*Inputs!$J$113</f>
        <v>33126.051952321461</v>
      </c>
      <c r="AK58" s="116">
        <f>AK31*Inputs!$J$113</f>
        <v>33126.051952321461</v>
      </c>
      <c r="AL58" s="116">
        <f>AL31*Inputs!$J$113</f>
        <v>33126.051952321461</v>
      </c>
    </row>
    <row r="59" spans="4:38">
      <c r="N59" s="65"/>
    </row>
    <row r="60" spans="4:38" ht="24" thickBot="1">
      <c r="D60" s="57" t="s">
        <v>230</v>
      </c>
    </row>
    <row r="61" spans="4:38" ht="15">
      <c r="D61" s="4" t="s">
        <v>236</v>
      </c>
      <c r="E61" s="16" t="s">
        <v>145</v>
      </c>
      <c r="K61" s="117">
        <f>Inputs!E124*'Strategic Model'!K31</f>
        <v>183350</v>
      </c>
      <c r="L61" s="117">
        <f>Inputs!F124*'Strategic Model'!L31</f>
        <v>173129.87530000001</v>
      </c>
      <c r="M61" s="117">
        <f>Inputs!G124*'Strategic Model'!M31</f>
        <v>180508.02233200002</v>
      </c>
      <c r="N61" s="117">
        <f>Inputs!H124*'Strategic Model'!N31</f>
        <v>451780.41951615998</v>
      </c>
      <c r="O61" s="117">
        <f>Inputs!I124*'Strategic Model'!O31</f>
        <v>450679.41177765204</v>
      </c>
      <c r="P61" s="117">
        <f>Inputs!$J$124*'Strategic Model'!P31</f>
        <v>450679.41177765204</v>
      </c>
      <c r="Q61" s="117">
        <f>Inputs!$J$124*'Strategic Model'!Q31</f>
        <v>529474.88177765207</v>
      </c>
      <c r="R61" s="117">
        <f>Inputs!$J$124*'Strategic Model'!R31</f>
        <v>529474.88177765207</v>
      </c>
      <c r="S61" s="117">
        <f>Inputs!$J$124*'Strategic Model'!S31</f>
        <v>629394.98709410767</v>
      </c>
      <c r="T61" s="179">
        <f>Inputs!$J$124*'Strategic Model'!T31</f>
        <v>629394.98709410767</v>
      </c>
      <c r="U61" s="166">
        <f>Inputs!$J$124*'Strategic Model'!U31</f>
        <v>629394.98709410767</v>
      </c>
      <c r="V61" s="117">
        <f>Inputs!$J$124*'Strategic Model'!V31</f>
        <v>629394.98709410767</v>
      </c>
      <c r="W61" s="166">
        <f>Inputs!$J$124*'Strategic Model'!W31</f>
        <v>629394.98709410767</v>
      </c>
      <c r="X61" s="117">
        <f>Inputs!$J$124*'Strategic Model'!X31</f>
        <v>629394.98709410767</v>
      </c>
      <c r="Y61" s="117">
        <f>Inputs!$J$124*'Strategic Model'!Y31</f>
        <v>629394.98709410767</v>
      </c>
      <c r="Z61" s="117">
        <f>Inputs!$J$124*'Strategic Model'!Z31</f>
        <v>629394.98709410767</v>
      </c>
      <c r="AA61" s="117">
        <f>Inputs!$J$124*'Strategic Model'!AA31</f>
        <v>629394.98709410767</v>
      </c>
      <c r="AB61" s="117">
        <f>Inputs!$J$124*'Strategic Model'!AB31</f>
        <v>629394.98709410767</v>
      </c>
      <c r="AC61" s="117">
        <f>Inputs!$J$124*'Strategic Model'!AC31</f>
        <v>629394.98709410767</v>
      </c>
      <c r="AD61" s="117">
        <f>Inputs!$J$124*'Strategic Model'!AD31</f>
        <v>629394.98709410767</v>
      </c>
      <c r="AE61" s="117">
        <f>Inputs!$J$124*'Strategic Model'!AE31</f>
        <v>629394.98709410767</v>
      </c>
      <c r="AF61" s="117">
        <f>Inputs!$J$124*'Strategic Model'!AF31</f>
        <v>629394.98709410767</v>
      </c>
      <c r="AG61" s="117">
        <f>Inputs!$J$124*'Strategic Model'!AG31</f>
        <v>629394.98709410767</v>
      </c>
      <c r="AH61" s="117">
        <f>Inputs!$J$124*'Strategic Model'!AH31</f>
        <v>629394.98709410767</v>
      </c>
      <c r="AI61" s="117">
        <f>Inputs!$J$124*'Strategic Model'!AI31</f>
        <v>629394.98709410767</v>
      </c>
      <c r="AJ61" s="117">
        <f>Inputs!$J$124*'Strategic Model'!AJ31</f>
        <v>629394.98709410767</v>
      </c>
      <c r="AK61" s="117">
        <f>Inputs!$J$124*'Strategic Model'!AK31</f>
        <v>629394.98709410767</v>
      </c>
      <c r="AL61" s="117">
        <f>Inputs!$J$124*'Strategic Model'!AL31</f>
        <v>629394.98709410767</v>
      </c>
    </row>
    <row r="62" spans="4:38" ht="15">
      <c r="D62" s="4" t="s">
        <v>378</v>
      </c>
      <c r="E62" s="16" t="s">
        <v>145</v>
      </c>
      <c r="K62" s="65">
        <f>0.6*K61</f>
        <v>110010</v>
      </c>
      <c r="L62" s="65">
        <f t="shared" ref="L62:M62" si="53">0.6*L61</f>
        <v>103877.92518000001</v>
      </c>
      <c r="M62" s="65">
        <f t="shared" si="53"/>
        <v>108304.81339920001</v>
      </c>
      <c r="N62">
        <f>Inputs!H125</f>
        <v>260975</v>
      </c>
      <c r="O62">
        <f>Inputs!I125</f>
        <v>260975</v>
      </c>
      <c r="P62">
        <f>Inputs!J125</f>
        <v>260975</v>
      </c>
      <c r="Q62">
        <f>P62</f>
        <v>260975</v>
      </c>
      <c r="R62">
        <f t="shared" ref="R62:AL62" si="54">Q62</f>
        <v>260975</v>
      </c>
      <c r="S62">
        <f t="shared" si="54"/>
        <v>260975</v>
      </c>
      <c r="T62">
        <f t="shared" si="54"/>
        <v>260975</v>
      </c>
      <c r="U62" s="128">
        <f t="shared" si="54"/>
        <v>260975</v>
      </c>
      <c r="V62">
        <f t="shared" si="54"/>
        <v>260975</v>
      </c>
      <c r="W62" s="128">
        <f t="shared" si="54"/>
        <v>260975</v>
      </c>
      <c r="X62">
        <f t="shared" si="54"/>
        <v>260975</v>
      </c>
      <c r="Y62">
        <f t="shared" si="54"/>
        <v>260975</v>
      </c>
      <c r="Z62">
        <f t="shared" si="54"/>
        <v>260975</v>
      </c>
      <c r="AA62">
        <f t="shared" si="54"/>
        <v>260975</v>
      </c>
      <c r="AB62">
        <f t="shared" si="54"/>
        <v>260975</v>
      </c>
      <c r="AC62">
        <f t="shared" si="54"/>
        <v>260975</v>
      </c>
      <c r="AD62">
        <f t="shared" si="54"/>
        <v>260975</v>
      </c>
      <c r="AE62">
        <f t="shared" si="54"/>
        <v>260975</v>
      </c>
      <c r="AF62">
        <f t="shared" si="54"/>
        <v>260975</v>
      </c>
      <c r="AG62">
        <f t="shared" si="54"/>
        <v>260975</v>
      </c>
      <c r="AH62">
        <f t="shared" si="54"/>
        <v>260975</v>
      </c>
      <c r="AI62">
        <f t="shared" si="54"/>
        <v>260975</v>
      </c>
      <c r="AJ62">
        <f t="shared" si="54"/>
        <v>260975</v>
      </c>
      <c r="AK62">
        <f t="shared" si="54"/>
        <v>260975</v>
      </c>
      <c r="AL62">
        <f t="shared" si="54"/>
        <v>260975</v>
      </c>
    </row>
    <row r="63" spans="4:38" ht="15">
      <c r="D63" s="4" t="s">
        <v>154</v>
      </c>
      <c r="E63" s="16" t="s">
        <v>145</v>
      </c>
      <c r="K63" s="65"/>
      <c r="L63" s="65"/>
      <c r="M63" s="65"/>
      <c r="U63" s="185"/>
      <c r="V63" s="139"/>
      <c r="W63" s="185">
        <f>Inputs!$E$102*Inputs!$E$103*'Strategic Model'!W11</f>
        <v>205312.5</v>
      </c>
      <c r="X63" s="139">
        <f>Inputs!$E$102*Inputs!$E$103*'Strategic Model'!X11</f>
        <v>205875</v>
      </c>
      <c r="Y63" s="139">
        <f>Inputs!$E$102*Inputs!$E$103*'Strategic Model'!Y11</f>
        <v>205312.5</v>
      </c>
      <c r="Z63" s="139">
        <f>Inputs!$E$102*Inputs!$E$103*'Strategic Model'!Z11</f>
        <v>205312.5</v>
      </c>
      <c r="AA63" s="139">
        <f>Inputs!$E$102*Inputs!$E$103*'Strategic Model'!AA11</f>
        <v>205312.5</v>
      </c>
      <c r="AB63" s="139">
        <f>Inputs!$E$102*Inputs!$E$103*'Strategic Model'!AB11</f>
        <v>205875</v>
      </c>
      <c r="AC63" s="139">
        <f>Inputs!$E$102*Inputs!$E$103*'Strategic Model'!AC11</f>
        <v>205312.5</v>
      </c>
      <c r="AD63" s="139">
        <f>Inputs!$E$102*Inputs!$E$103*'Strategic Model'!AD11</f>
        <v>205312.5</v>
      </c>
      <c r="AE63" s="139">
        <f>Inputs!$E$102*Inputs!$E$103*'Strategic Model'!AE11</f>
        <v>205312.5</v>
      </c>
      <c r="AF63" s="139">
        <f>Inputs!$E$102*Inputs!$E$103*'Strategic Model'!AF11</f>
        <v>205875</v>
      </c>
      <c r="AG63" s="139">
        <f>Inputs!$E$102*Inputs!$E$103*'Strategic Model'!AG11</f>
        <v>205312.5</v>
      </c>
      <c r="AH63" s="139">
        <f>Inputs!$E$102*Inputs!$E$103*'Strategic Model'!AH11</f>
        <v>205312.5</v>
      </c>
      <c r="AI63" s="139">
        <f>Inputs!$E$102*Inputs!$E$103*'Strategic Model'!AI11</f>
        <v>205312.5</v>
      </c>
      <c r="AJ63" s="139">
        <f>Inputs!$E$102*Inputs!$E$103*'Strategic Model'!AJ11</f>
        <v>205875</v>
      </c>
      <c r="AK63" s="139">
        <f>Inputs!$E$102*Inputs!$E$103*'Strategic Model'!AK11</f>
        <v>205312.5</v>
      </c>
      <c r="AL63" s="139">
        <f>Inputs!$E$102*Inputs!$E$103*'Strategic Model'!AL11</f>
        <v>205312.5</v>
      </c>
    </row>
    <row r="64" spans="4:38" ht="15">
      <c r="D64" s="4" t="s">
        <v>432</v>
      </c>
      <c r="E64" s="16" t="s">
        <v>145</v>
      </c>
      <c r="K64" s="65"/>
      <c r="L64" s="65"/>
      <c r="M64" s="65"/>
      <c r="U64" s="185"/>
      <c r="V64" s="139"/>
      <c r="W64" s="185"/>
      <c r="X64" s="139"/>
      <c r="Y64" s="139"/>
      <c r="Z64" s="139"/>
      <c r="AA64" s="139"/>
      <c r="AB64" s="139"/>
      <c r="AC64" s="139"/>
      <c r="AD64" s="139"/>
      <c r="AE64" s="139"/>
      <c r="AF64" s="139"/>
      <c r="AG64" s="139"/>
      <c r="AH64" s="139"/>
      <c r="AI64" s="139"/>
      <c r="AJ64" s="139"/>
      <c r="AK64" s="139"/>
      <c r="AL64" s="139"/>
    </row>
    <row r="65" spans="4:41" ht="15">
      <c r="D65" s="67" t="s">
        <v>379</v>
      </c>
      <c r="E65" s="16" t="s">
        <v>145</v>
      </c>
      <c r="K65" s="116">
        <f>K61-K62-K63</f>
        <v>73340</v>
      </c>
      <c r="L65" s="116">
        <f t="shared" ref="L65:AA65" si="55">L61-L62-L63</f>
        <v>69251.950120000009</v>
      </c>
      <c r="M65" s="116">
        <f t="shared" si="55"/>
        <v>72203.208932800015</v>
      </c>
      <c r="N65" s="116">
        <f t="shared" si="55"/>
        <v>190805.41951615998</v>
      </c>
      <c r="O65" s="116">
        <f t="shared" si="55"/>
        <v>189704.41177765204</v>
      </c>
      <c r="P65" s="116">
        <f t="shared" si="55"/>
        <v>189704.41177765204</v>
      </c>
      <c r="Q65" s="116">
        <f t="shared" si="55"/>
        <v>268499.88177765207</v>
      </c>
      <c r="R65" s="116">
        <f t="shared" si="55"/>
        <v>268499.88177765207</v>
      </c>
      <c r="S65" s="116">
        <f t="shared" si="55"/>
        <v>368419.98709410767</v>
      </c>
      <c r="T65" s="116">
        <f t="shared" si="55"/>
        <v>368419.98709410767</v>
      </c>
      <c r="U65" s="130">
        <f t="shared" si="55"/>
        <v>368419.98709410767</v>
      </c>
      <c r="V65" s="116">
        <f t="shared" si="55"/>
        <v>368419.98709410767</v>
      </c>
      <c r="W65" s="130">
        <f t="shared" si="55"/>
        <v>163107.48709410767</v>
      </c>
      <c r="X65" s="116">
        <f t="shared" si="55"/>
        <v>162544.98709410767</v>
      </c>
      <c r="Y65" s="116">
        <f t="shared" si="55"/>
        <v>163107.48709410767</v>
      </c>
      <c r="Z65" s="116">
        <f t="shared" si="55"/>
        <v>163107.48709410767</v>
      </c>
      <c r="AA65" s="116">
        <f t="shared" si="55"/>
        <v>163107.48709410767</v>
      </c>
      <c r="AB65" s="116">
        <f>AB61-AB62-AB63+AB64</f>
        <v>162544.98709410767</v>
      </c>
      <c r="AC65" s="116">
        <f t="shared" ref="AC65:AL65" si="56">AC61-AC62-AC63+AC64</f>
        <v>163107.48709410767</v>
      </c>
      <c r="AD65" s="116">
        <f t="shared" si="56"/>
        <v>163107.48709410767</v>
      </c>
      <c r="AE65" s="116">
        <f t="shared" si="56"/>
        <v>163107.48709410767</v>
      </c>
      <c r="AF65" s="116">
        <f t="shared" si="56"/>
        <v>162544.98709410767</v>
      </c>
      <c r="AG65" s="116">
        <f t="shared" si="56"/>
        <v>163107.48709410767</v>
      </c>
      <c r="AH65" s="116">
        <f t="shared" si="56"/>
        <v>163107.48709410767</v>
      </c>
      <c r="AI65" s="116">
        <f t="shared" si="56"/>
        <v>163107.48709410767</v>
      </c>
      <c r="AJ65" s="116">
        <f t="shared" si="56"/>
        <v>162544.98709410767</v>
      </c>
      <c r="AK65" s="116">
        <f t="shared" si="56"/>
        <v>163107.48709410767</v>
      </c>
      <c r="AL65" s="116">
        <f t="shared" si="56"/>
        <v>163107.48709410767</v>
      </c>
      <c r="AM65" s="65">
        <f>SUM(M65:AL65)/1000</f>
        <v>5260.5669574417225</v>
      </c>
    </row>
    <row r="66" spans="4:41" ht="15">
      <c r="D66" s="67"/>
      <c r="E66" s="16" t="s">
        <v>156</v>
      </c>
      <c r="K66" s="65">
        <f>K65/K11</f>
        <v>200.93150684931507</v>
      </c>
      <c r="L66" s="65">
        <f t="shared" ref="L66:AL66" si="57">L65/L11</f>
        <v>189.21297846994537</v>
      </c>
      <c r="M66" s="65">
        <f t="shared" si="57"/>
        <v>197.81701077479457</v>
      </c>
      <c r="N66" s="65">
        <f t="shared" si="57"/>
        <v>522.75457401687663</v>
      </c>
      <c r="O66" s="65">
        <f t="shared" si="57"/>
        <v>519.73811445932063</v>
      </c>
      <c r="P66" s="65">
        <f t="shared" si="57"/>
        <v>518.31806496626245</v>
      </c>
      <c r="Q66" s="65">
        <f t="shared" si="57"/>
        <v>735.61611445932078</v>
      </c>
      <c r="R66" s="65">
        <f t="shared" si="57"/>
        <v>735.61611445932078</v>
      </c>
      <c r="S66" s="65">
        <f t="shared" si="57"/>
        <v>1009.3698276550895</v>
      </c>
      <c r="T66" s="65">
        <f t="shared" si="57"/>
        <v>1006.6119865959225</v>
      </c>
      <c r="U66" s="165">
        <f t="shared" si="57"/>
        <v>1009.3698276550895</v>
      </c>
      <c r="V66" s="65">
        <f t="shared" si="57"/>
        <v>1009.3698276550895</v>
      </c>
      <c r="W66" s="165">
        <f t="shared" si="57"/>
        <v>446.86982765508952</v>
      </c>
      <c r="X66" s="65">
        <f t="shared" si="57"/>
        <v>444.11198659592259</v>
      </c>
      <c r="Y66" s="65">
        <f t="shared" si="57"/>
        <v>446.86982765508952</v>
      </c>
      <c r="Z66" s="65">
        <f t="shared" si="57"/>
        <v>446.86982765508952</v>
      </c>
      <c r="AA66" s="65">
        <f t="shared" si="57"/>
        <v>446.86982765508952</v>
      </c>
      <c r="AB66" s="65">
        <f t="shared" si="57"/>
        <v>444.11198659592259</v>
      </c>
      <c r="AC66" s="65">
        <f t="shared" si="57"/>
        <v>446.86982765508952</v>
      </c>
      <c r="AD66" s="65">
        <f t="shared" si="57"/>
        <v>446.86982765508952</v>
      </c>
      <c r="AE66" s="65">
        <f t="shared" si="57"/>
        <v>446.86982765508952</v>
      </c>
      <c r="AF66" s="65">
        <f t="shared" si="57"/>
        <v>444.11198659592259</v>
      </c>
      <c r="AG66" s="65">
        <f t="shared" si="57"/>
        <v>446.86982765508952</v>
      </c>
      <c r="AH66" s="65">
        <f t="shared" si="57"/>
        <v>446.86982765508952</v>
      </c>
      <c r="AI66" s="65">
        <f t="shared" si="57"/>
        <v>446.86982765508952</v>
      </c>
      <c r="AJ66" s="65">
        <f t="shared" si="57"/>
        <v>444.11198659592259</v>
      </c>
      <c r="AK66" s="65">
        <f t="shared" si="57"/>
        <v>446.86982765508952</v>
      </c>
      <c r="AL66" s="65">
        <f t="shared" si="57"/>
        <v>446.86982765508952</v>
      </c>
    </row>
    <row r="70" spans="4:41" ht="24" thickBot="1">
      <c r="D70" s="57" t="s">
        <v>109</v>
      </c>
    </row>
    <row r="71" spans="4:41">
      <c r="D71" t="s">
        <v>173</v>
      </c>
      <c r="E71" s="16" t="s">
        <v>213</v>
      </c>
      <c r="K71" s="116">
        <f>'BaU Model'!K58</f>
        <v>3204114.6302</v>
      </c>
      <c r="L71" s="116">
        <f>'BaU Model'!L58</f>
        <v>3204114.6302</v>
      </c>
      <c r="M71" s="116">
        <f>'BaU Model'!M58</f>
        <v>3204114.6302</v>
      </c>
      <c r="N71" s="116">
        <f>'BaU Model'!N58</f>
        <v>2714114.6302</v>
      </c>
      <c r="O71" s="116">
        <f>'BaU Model'!O58</f>
        <v>3340570.3264025319</v>
      </c>
      <c r="P71" s="116">
        <f>'BaU Model'!P58</f>
        <v>3340570.3264025319</v>
      </c>
      <c r="Q71" s="116">
        <f>'BaU Model'!Q58</f>
        <v>3340570.3264025319</v>
      </c>
      <c r="R71" s="116">
        <f>'BaU Model'!R58</f>
        <v>3340570.3264025319</v>
      </c>
      <c r="S71" s="116">
        <f>'BaU Model'!S58</f>
        <v>5126899.4403265826</v>
      </c>
      <c r="T71" s="116">
        <f>'BaU Model'!T58</f>
        <v>5126899.4403265826</v>
      </c>
      <c r="U71" s="116">
        <f>'BaU Model'!U58</f>
        <v>5126899.4403265826</v>
      </c>
      <c r="V71" s="116">
        <f>'BaU Model'!V58</f>
        <v>5126899.4403265826</v>
      </c>
      <c r="W71" s="116">
        <f>'BaU Model'!W58</f>
        <v>5126899.4403265826</v>
      </c>
      <c r="X71" s="116">
        <f>'BaU Model'!X58</f>
        <v>5126899.4403265826</v>
      </c>
      <c r="Y71" s="116">
        <f>'BaU Model'!Y58</f>
        <v>5126899.4403265826</v>
      </c>
      <c r="Z71" s="116">
        <f>'BaU Model'!Z58</f>
        <v>5126899.4403265826</v>
      </c>
      <c r="AA71" s="116">
        <f>'BaU Model'!AA58</f>
        <v>5126899.4403265826</v>
      </c>
      <c r="AB71" s="116">
        <f>'BaU Model'!AB58</f>
        <v>5126899.4403265826</v>
      </c>
      <c r="AC71" s="116">
        <f>'BaU Model'!AC58</f>
        <v>5126899.4403265826</v>
      </c>
      <c r="AD71" s="116">
        <f>'BaU Model'!AD58</f>
        <v>5126899.4403265826</v>
      </c>
      <c r="AE71" s="116">
        <f>'BaU Model'!AE58</f>
        <v>5126899.4403265826</v>
      </c>
      <c r="AF71" s="116">
        <f>'BaU Model'!AF58</f>
        <v>5126899.4403265826</v>
      </c>
      <c r="AG71" s="116">
        <f>'BaU Model'!AG58</f>
        <v>5126899.4403265826</v>
      </c>
      <c r="AH71" s="116">
        <f>'BaU Model'!AH58</f>
        <v>5126899.4403265826</v>
      </c>
      <c r="AI71" s="116">
        <f>'BaU Model'!AI58</f>
        <v>5126899.4403265826</v>
      </c>
      <c r="AJ71" s="116">
        <f>'BaU Model'!AJ58</f>
        <v>5126899.4403265826</v>
      </c>
      <c r="AK71" s="116">
        <f>'BaU Model'!AK58</f>
        <v>5126899.4403265826</v>
      </c>
      <c r="AL71" s="116">
        <f>'BaU Model'!AL58</f>
        <v>5126899.4403265826</v>
      </c>
      <c r="AM71" s="116"/>
      <c r="AN71" s="116"/>
      <c r="AO71" s="116"/>
    </row>
    <row r="72" spans="4:41">
      <c r="D72" s="7" t="s">
        <v>375</v>
      </c>
      <c r="E72" s="16" t="s">
        <v>213</v>
      </c>
      <c r="K72" s="116">
        <f>K71-Inputs!F34</f>
        <v>188489.63020000001</v>
      </c>
      <c r="L72" s="116">
        <f>L71-Inputs!G34</f>
        <v>62011.630200000014</v>
      </c>
      <c r="M72" s="116">
        <f>M71-Inputs!H34</f>
        <v>450369.0568666663</v>
      </c>
      <c r="N72" s="116"/>
      <c r="O72" s="116"/>
      <c r="P72" s="116"/>
      <c r="Q72" s="116"/>
      <c r="R72" s="116"/>
      <c r="S72" s="116"/>
      <c r="T72" s="116"/>
      <c r="U72" s="130"/>
      <c r="V72" s="116"/>
      <c r="W72" s="130"/>
      <c r="X72" s="116"/>
      <c r="Y72" s="116"/>
      <c r="Z72" s="116"/>
      <c r="AA72" s="116"/>
    </row>
    <row r="73" spans="4:41">
      <c r="D73" s="23" t="s">
        <v>217</v>
      </c>
      <c r="E73" s="16" t="s">
        <v>213</v>
      </c>
      <c r="K73" s="117">
        <f>Inputs!F35*Inputs!F34</f>
        <v>2322031.25</v>
      </c>
      <c r="L73" s="117">
        <f>Inputs!G35*Inputs!G34</f>
        <v>2639366.52</v>
      </c>
      <c r="M73" s="117">
        <f>Inputs!H35*Inputs!H34</f>
        <v>2092846.6357333336</v>
      </c>
      <c r="N73" s="117">
        <f>Inputs!I35*N71</f>
        <v>1899880.2411399998</v>
      </c>
      <c r="O73" s="117">
        <f>Inputs!J35*O71</f>
        <v>2004342.1958415192</v>
      </c>
      <c r="P73" s="117">
        <f>Inputs!$K$35*P71</f>
        <v>1336228.1305610128</v>
      </c>
      <c r="Q73" s="117">
        <f>Inputs!$K$35*Q71</f>
        <v>1336228.1305610128</v>
      </c>
      <c r="R73" s="117">
        <f>Inputs!$K$35*R71</f>
        <v>1336228.1305610128</v>
      </c>
      <c r="S73" s="117">
        <f>Inputs!$K$35*S71</f>
        <v>2050759.7761306332</v>
      </c>
      <c r="T73" s="179">
        <f>Inputs!$K$35*T71</f>
        <v>2050759.7761306332</v>
      </c>
      <c r="U73" s="166">
        <f>Inputs!$K$35*U71</f>
        <v>2050759.7761306332</v>
      </c>
      <c r="V73" s="117">
        <f>Inputs!$K$35*V71</f>
        <v>2050759.7761306332</v>
      </c>
      <c r="W73" s="166">
        <f>Inputs!$K$35*W71</f>
        <v>2050759.7761306332</v>
      </c>
      <c r="X73" s="117">
        <f>Inputs!$K$35*X71</f>
        <v>2050759.7761306332</v>
      </c>
      <c r="Y73" s="117">
        <f>Inputs!$K$35*Y71</f>
        <v>2050759.7761306332</v>
      </c>
      <c r="Z73" s="117">
        <f>Inputs!$K$35*Z71</f>
        <v>2050759.7761306332</v>
      </c>
      <c r="AA73" s="117">
        <f>Inputs!$K$35*AA71</f>
        <v>2050759.7761306332</v>
      </c>
      <c r="AB73" s="117">
        <f>Inputs!$K$35*AB71</f>
        <v>2050759.7761306332</v>
      </c>
      <c r="AC73" s="117">
        <f>Inputs!$K$35*AC71</f>
        <v>2050759.7761306332</v>
      </c>
      <c r="AD73" s="117">
        <f>Inputs!$K$35*AD71</f>
        <v>2050759.7761306332</v>
      </c>
      <c r="AE73" s="117">
        <f>Inputs!$K$35*AE71</f>
        <v>2050759.7761306332</v>
      </c>
      <c r="AF73" s="117">
        <f>Inputs!$K$35*AF71</f>
        <v>2050759.7761306332</v>
      </c>
      <c r="AG73" s="117">
        <f>Inputs!$K$35*AG71</f>
        <v>2050759.7761306332</v>
      </c>
      <c r="AH73" s="117">
        <f>Inputs!$K$35*AH71</f>
        <v>2050759.7761306332</v>
      </c>
      <c r="AI73" s="117">
        <f>Inputs!$K$35*AI71</f>
        <v>2050759.7761306332</v>
      </c>
      <c r="AJ73" s="117">
        <f>Inputs!$K$35*AJ71</f>
        <v>2050759.7761306332</v>
      </c>
      <c r="AK73" s="117">
        <f>Inputs!$K$35*AK71</f>
        <v>2050759.7761306332</v>
      </c>
      <c r="AL73" s="117">
        <f>Inputs!$K$35*AL71</f>
        <v>2050759.7761306332</v>
      </c>
    </row>
    <row r="74" spans="4:41">
      <c r="D74" s="7" t="s">
        <v>218</v>
      </c>
      <c r="E74" s="16" t="s">
        <v>213</v>
      </c>
      <c r="K74" s="117">
        <f>Inputs!F36*Inputs!F34</f>
        <v>693593.75</v>
      </c>
      <c r="L74" s="117">
        <f>Inputs!G36*Inputs!G34</f>
        <v>502736.48</v>
      </c>
      <c r="M74" s="117">
        <f>Inputs!H36*Inputs!H34</f>
        <v>660898.93760000006</v>
      </c>
      <c r="N74" s="117">
        <f>Inputs!I36*N71</f>
        <v>814234.38905999996</v>
      </c>
      <c r="O74" s="117">
        <f>Inputs!J36*O71</f>
        <v>1336228.1305610128</v>
      </c>
      <c r="P74" s="117">
        <f>Inputs!$K$36*P71</f>
        <v>2004342.1958415192</v>
      </c>
      <c r="Q74" s="117">
        <f>Inputs!$K$36*Q71</f>
        <v>2004342.1958415192</v>
      </c>
      <c r="R74" s="117">
        <f>Inputs!$K$36*R71</f>
        <v>2004342.1958415192</v>
      </c>
      <c r="S74" s="117">
        <f>Inputs!$K$36*S71</f>
        <v>3076139.6641959497</v>
      </c>
      <c r="T74" s="179">
        <f>Inputs!$K$36*T71</f>
        <v>3076139.6641959497</v>
      </c>
      <c r="U74" s="166">
        <f>Inputs!$K$36*U71</f>
        <v>3076139.6641959497</v>
      </c>
      <c r="V74" s="117">
        <f>Inputs!$K$36*V71</f>
        <v>3076139.6641959497</v>
      </c>
      <c r="W74" s="166">
        <f>Inputs!$K$36*W71</f>
        <v>3076139.6641959497</v>
      </c>
      <c r="X74" s="117">
        <f>Inputs!$K$36*X71</f>
        <v>3076139.6641959497</v>
      </c>
      <c r="Y74" s="117">
        <f>Inputs!$K$36*Y71</f>
        <v>3076139.6641959497</v>
      </c>
      <c r="Z74" s="117">
        <f>Inputs!$K$36*Z71</f>
        <v>3076139.6641959497</v>
      </c>
      <c r="AA74" s="117">
        <f>Inputs!$K$36*AA71</f>
        <v>3076139.6641959497</v>
      </c>
      <c r="AB74" s="117">
        <f>Inputs!$K$36*AB71</f>
        <v>3076139.6641959497</v>
      </c>
      <c r="AC74" s="117">
        <f>Inputs!$K$36*AC71</f>
        <v>3076139.6641959497</v>
      </c>
      <c r="AD74" s="117">
        <f>Inputs!$K$36*AD71</f>
        <v>3076139.6641959497</v>
      </c>
      <c r="AE74" s="117">
        <f>Inputs!$K$36*AE71</f>
        <v>3076139.6641959497</v>
      </c>
      <c r="AF74" s="117">
        <f>Inputs!$K$36*AF71</f>
        <v>3076139.6641959497</v>
      </c>
      <c r="AG74" s="117">
        <f>Inputs!$K$36*AG71</f>
        <v>3076139.6641959497</v>
      </c>
      <c r="AH74" s="117">
        <f>Inputs!$K$36*AH71</f>
        <v>3076139.6641959497</v>
      </c>
      <c r="AI74" s="117">
        <f>Inputs!$K$36*AI71</f>
        <v>3076139.6641959497</v>
      </c>
      <c r="AJ74" s="117">
        <f>Inputs!$K$36*AJ71</f>
        <v>3076139.6641959497</v>
      </c>
      <c r="AK74" s="117">
        <f>Inputs!$K$36*AK71</f>
        <v>3076139.6641959497</v>
      </c>
      <c r="AL74" s="117">
        <f>Inputs!$K$36*AL71</f>
        <v>3076139.6641959497</v>
      </c>
    </row>
    <row r="76" spans="4:41" ht="24" thickBot="1">
      <c r="D76" s="57" t="s">
        <v>400</v>
      </c>
    </row>
    <row r="77" spans="4:41">
      <c r="D77" s="63" t="s">
        <v>116</v>
      </c>
      <c r="E77" s="16" t="s">
        <v>118</v>
      </c>
      <c r="K77" s="105">
        <f>Inputs!E42</f>
        <v>27.73</v>
      </c>
      <c r="L77" s="105">
        <f>Inputs!F42</f>
        <v>29.5</v>
      </c>
      <c r="M77" s="163">
        <f>Inputs!G42</f>
        <v>30.24</v>
      </c>
      <c r="N77" s="163">
        <f>Inputs!H42</f>
        <v>32.06</v>
      </c>
      <c r="O77" s="163">
        <f>Inputs!I42</f>
        <v>33.659999999999997</v>
      </c>
      <c r="P77" s="105">
        <f>(1+Inputs!$J$47)*'Strategic Model'!O77</f>
        <v>35.679600000000001</v>
      </c>
      <c r="Q77" s="105">
        <f>(1+Inputs!$J$47)*'Strategic Model'!P77</f>
        <v>37.820376000000003</v>
      </c>
      <c r="R77" s="105">
        <f>(1+Inputs!$J$47)*'Strategic Model'!Q77</f>
        <v>40.089598560000006</v>
      </c>
      <c r="S77" s="105">
        <f>(1+Inputs!$J$47)*'Strategic Model'!R77</f>
        <v>42.49497447360001</v>
      </c>
      <c r="T77" s="105">
        <f>(1+Inputs!$J$47)*'Strategic Model'!S77</f>
        <v>45.044672942016014</v>
      </c>
      <c r="U77" s="167">
        <f>(1+Inputs!$J$47)*'Strategic Model'!T77</f>
        <v>47.74735331853698</v>
      </c>
      <c r="V77" s="105">
        <f>(1+Inputs!$J$47)*'Strategic Model'!U77</f>
        <v>50.612194517649201</v>
      </c>
      <c r="W77" s="167">
        <f>(1+Inputs!$J$47)*'Strategic Model'!V77</f>
        <v>53.648926188708153</v>
      </c>
      <c r="X77" s="105">
        <f>(1+Inputs!$J$47)*'Strategic Model'!W77</f>
        <v>56.867861760030642</v>
      </c>
      <c r="Y77" s="105">
        <f>(1+Inputs!$J$47)*'Strategic Model'!X77</f>
        <v>60.279933465632482</v>
      </c>
      <c r="Z77" s="105">
        <f>(1+Inputs!$J$47)*'Strategic Model'!Y77</f>
        <v>63.896729473570431</v>
      </c>
      <c r="AA77" s="105">
        <f>(1+Inputs!$J$47)*'Strategic Model'!Z77</f>
        <v>67.730533241984659</v>
      </c>
      <c r="AB77" s="105">
        <f>(1+Inputs!$J$47)*'Strategic Model'!AA77</f>
        <v>71.794365236503737</v>
      </c>
      <c r="AC77" s="105">
        <f>(1+Inputs!$J$47)*'Strategic Model'!AB77</f>
        <v>76.102027150693971</v>
      </c>
      <c r="AD77" s="105">
        <f>(1+Inputs!$J$47)*'Strategic Model'!AC77</f>
        <v>80.668148779735617</v>
      </c>
      <c r="AE77" s="105">
        <f>(1+Inputs!$J$47)*'Strategic Model'!AD77</f>
        <v>85.508237706519765</v>
      </c>
      <c r="AF77" s="105">
        <f>(1+Inputs!$J$47)*'Strategic Model'!AE77</f>
        <v>90.63873196891096</v>
      </c>
      <c r="AG77" s="105">
        <f>(1+Inputs!$J$47)*'Strategic Model'!AF77</f>
        <v>96.077055887045617</v>
      </c>
      <c r="AH77" s="105">
        <f>(1+Inputs!$J$47)*'Strategic Model'!AG77</f>
        <v>101.84167924026836</v>
      </c>
      <c r="AI77" s="105">
        <f>(1+Inputs!$J$47)*'Strategic Model'!AH77</f>
        <v>107.95217999468447</v>
      </c>
      <c r="AJ77" s="105">
        <f>(1+Inputs!$J$47)*'Strategic Model'!AI77</f>
        <v>114.42931079436555</v>
      </c>
      <c r="AK77" s="105">
        <f>(1+Inputs!$J$47)*'Strategic Model'!AJ77</f>
        <v>121.29506944202748</v>
      </c>
      <c r="AL77" s="105">
        <f>(1+Inputs!$J$47)*'Strategic Model'!AK77</f>
        <v>128.57277360854914</v>
      </c>
    </row>
    <row r="78" spans="4:41">
      <c r="D78" s="7" t="s">
        <v>238</v>
      </c>
      <c r="E78" s="16" t="s">
        <v>118</v>
      </c>
      <c r="K78" s="105">
        <f>Inputs!E44</f>
        <v>20.47</v>
      </c>
      <c r="L78" s="105">
        <f>Inputs!F44</f>
        <v>21.78</v>
      </c>
      <c r="M78" s="105">
        <f>Inputs!G44</f>
        <v>23.09</v>
      </c>
      <c r="N78" s="105">
        <f>Inputs!H44</f>
        <v>24.475000000000001</v>
      </c>
      <c r="O78" s="105">
        <f>(1+Inputs!I47)*'Strategic Model'!N78</f>
        <v>25.943500000000004</v>
      </c>
      <c r="P78" s="105">
        <f>(1+Inputs!$J$47)*'Strategic Model'!O78</f>
        <v>27.500110000000006</v>
      </c>
      <c r="Q78" s="105">
        <f>(1+Inputs!$J$47)*'Strategic Model'!P78</f>
        <v>29.150116600000008</v>
      </c>
      <c r="R78" s="105">
        <f>(1+Inputs!$J$47)*'Strategic Model'!Q78</f>
        <v>30.89912359600001</v>
      </c>
      <c r="S78" s="105">
        <f>(1+Inputs!$J$47)*'Strategic Model'!R78</f>
        <v>32.753071011760014</v>
      </c>
      <c r="T78" s="105">
        <f>(1+Inputs!$J$47)*'Strategic Model'!S78</f>
        <v>34.718255272465619</v>
      </c>
      <c r="U78" s="167">
        <f>(1+Inputs!$J$47)*'Strategic Model'!T78</f>
        <v>36.801350588813555</v>
      </c>
      <c r="V78" s="105">
        <f>(1+Inputs!$J$47)*'Strategic Model'!U78</f>
        <v>39.009431624142373</v>
      </c>
      <c r="W78" s="167">
        <f>(1+Inputs!$J$47)*'Strategic Model'!V78</f>
        <v>41.349997521590915</v>
      </c>
      <c r="X78" s="105">
        <f>(1+Inputs!$J$47)*'Strategic Model'!W78</f>
        <v>43.830997372886372</v>
      </c>
      <c r="Y78" s="105">
        <f>(1+Inputs!$J$47)*'Strategic Model'!X78</f>
        <v>46.460857215259558</v>
      </c>
      <c r="Z78" s="105">
        <f>(1+Inputs!$J$47)*'Strategic Model'!Y78</f>
        <v>49.248508648175132</v>
      </c>
      <c r="AA78" s="105">
        <f>(1+Inputs!$J$47)*'Strategic Model'!Z78</f>
        <v>52.20341916706564</v>
      </c>
      <c r="AB78" s="105">
        <f>(1+Inputs!$J$47)*'Strategic Model'!AA78</f>
        <v>55.335624317089582</v>
      </c>
      <c r="AC78" s="105">
        <f>(1+Inputs!$J$47)*'Strategic Model'!AB78</f>
        <v>58.655761776114957</v>
      </c>
      <c r="AD78" s="105">
        <f>(1+Inputs!$J$47)*'Strategic Model'!AC78</f>
        <v>62.175107482681859</v>
      </c>
      <c r="AE78" s="105">
        <f>(1+Inputs!$J$47)*'Strategic Model'!AD78</f>
        <v>65.905613931642776</v>
      </c>
      <c r="AF78" s="105">
        <f>(1+Inputs!$J$47)*'Strategic Model'!AE78</f>
        <v>69.859950767541349</v>
      </c>
      <c r="AG78" s="105">
        <f>(1+Inputs!$J$47)*'Strategic Model'!AF78</f>
        <v>74.051547813593828</v>
      </c>
      <c r="AH78" s="105">
        <f>(1+Inputs!$J$47)*'Strategic Model'!AG78</f>
        <v>78.494640682409468</v>
      </c>
      <c r="AI78" s="105">
        <f>(1+Inputs!$J$47)*'Strategic Model'!AH78</f>
        <v>83.20431912335404</v>
      </c>
      <c r="AJ78" s="105">
        <f>(1+Inputs!$J$47)*'Strategic Model'!AI78</f>
        <v>88.196578270755282</v>
      </c>
      <c r="AK78" s="105">
        <f>(1+Inputs!$J$47)*'Strategic Model'!AJ78</f>
        <v>93.488372967000601</v>
      </c>
      <c r="AL78" s="105">
        <f>(1+Inputs!$J$47)*'Strategic Model'!AK78</f>
        <v>99.097675345020647</v>
      </c>
    </row>
    <row r="79" spans="4:41">
      <c r="D79" s="7" t="s">
        <v>239</v>
      </c>
      <c r="E79" s="16" t="s">
        <v>118</v>
      </c>
      <c r="K79" s="105">
        <f>Inputs!E45</f>
        <v>3.29</v>
      </c>
      <c r="L79" s="105">
        <f>Inputs!F45</f>
        <v>3.5</v>
      </c>
      <c r="M79" s="105">
        <f>Inputs!G45</f>
        <v>3.73</v>
      </c>
      <c r="N79" s="105">
        <f>Inputs!H45</f>
        <v>3.95</v>
      </c>
      <c r="O79" s="105">
        <f>(1+Inputs!I47)*'Strategic Model'!N79</f>
        <v>4.1870000000000003</v>
      </c>
      <c r="P79" s="105">
        <f>(1+Inputs!$J$47)*'Strategic Model'!O79</f>
        <v>4.4382200000000003</v>
      </c>
      <c r="Q79" s="105">
        <f>(1+Inputs!$J$47)*'Strategic Model'!P79</f>
        <v>4.7045132000000009</v>
      </c>
      <c r="R79" s="105">
        <f>(1+Inputs!$J$47)*'Strategic Model'!Q79</f>
        <v>4.9867839920000012</v>
      </c>
      <c r="S79" s="105">
        <f>(1+Inputs!$J$47)*'Strategic Model'!R79</f>
        <v>5.2859910315200018</v>
      </c>
      <c r="T79" s="105">
        <f>(1+Inputs!$J$47)*'Strategic Model'!S79</f>
        <v>5.603150493411202</v>
      </c>
      <c r="U79" s="167">
        <f>(1+Inputs!$J$47)*'Strategic Model'!T79</f>
        <v>5.9393395230158745</v>
      </c>
      <c r="V79" s="105">
        <f>(1+Inputs!$J$47)*'Strategic Model'!U79</f>
        <v>6.2956998943968276</v>
      </c>
      <c r="W79" s="167">
        <f>(1+Inputs!$J$47)*'Strategic Model'!V79</f>
        <v>6.6734418880606379</v>
      </c>
      <c r="X79" s="105">
        <f>(1+Inputs!$J$47)*'Strategic Model'!W79</f>
        <v>7.0738484013442768</v>
      </c>
      <c r="Y79" s="105">
        <f>(1+Inputs!$J$47)*'Strategic Model'!X79</f>
        <v>7.4982793054249335</v>
      </c>
      <c r="Z79" s="105">
        <f>(1+Inputs!$J$47)*'Strategic Model'!Y79</f>
        <v>7.94817606375043</v>
      </c>
      <c r="AA79" s="105">
        <f>(1+Inputs!$J$47)*'Strategic Model'!Z79</f>
        <v>8.4250666275754558</v>
      </c>
      <c r="AB79" s="105">
        <f>(1+Inputs!$J$47)*'Strategic Model'!AA79</f>
        <v>8.9305706252299828</v>
      </c>
      <c r="AC79" s="105">
        <f>(1+Inputs!$J$47)*'Strategic Model'!AB79</f>
        <v>9.4664048627437829</v>
      </c>
      <c r="AD79" s="105">
        <f>(1+Inputs!$J$47)*'Strategic Model'!AC79</f>
        <v>10.034389154508411</v>
      </c>
      <c r="AE79" s="105">
        <f>(1+Inputs!$J$47)*'Strategic Model'!AD79</f>
        <v>10.636452503778916</v>
      </c>
      <c r="AF79" s="105">
        <f>(1+Inputs!$J$47)*'Strategic Model'!AE79</f>
        <v>11.274639654005652</v>
      </c>
      <c r="AG79" s="105">
        <f>(1+Inputs!$J$47)*'Strategic Model'!AF79</f>
        <v>11.951118033245992</v>
      </c>
      <c r="AH79" s="105">
        <f>(1+Inputs!$J$47)*'Strategic Model'!AG79</f>
        <v>12.668185115240751</v>
      </c>
      <c r="AI79" s="105">
        <f>(1+Inputs!$J$47)*'Strategic Model'!AH79</f>
        <v>13.428276222155198</v>
      </c>
      <c r="AJ79" s="105">
        <f>(1+Inputs!$J$47)*'Strategic Model'!AI79</f>
        <v>14.23397279548451</v>
      </c>
      <c r="AK79" s="105">
        <f>(1+Inputs!$J$47)*'Strategic Model'!AJ79</f>
        <v>15.088011163213581</v>
      </c>
      <c r="AL79" s="105">
        <f>(1+Inputs!$J$47)*'Strategic Model'!AK79</f>
        <v>15.993291833006397</v>
      </c>
    </row>
    <row r="80" spans="4:41">
      <c r="D80" s="7" t="s">
        <v>120</v>
      </c>
      <c r="E80" s="16" t="s">
        <v>118</v>
      </c>
      <c r="K80" s="105">
        <f>Inputs!E52</f>
        <v>7.23</v>
      </c>
      <c r="L80" s="105">
        <f>Inputs!F52</f>
        <v>7.9067280000000002</v>
      </c>
      <c r="M80" s="105">
        <f>Inputs!G52</f>
        <v>8.6467977408000003</v>
      </c>
      <c r="N80" s="105">
        <f>Inputs!H52</f>
        <v>14.73</v>
      </c>
      <c r="O80" s="105">
        <f>Inputs!I52</f>
        <v>16.108727999999999</v>
      </c>
      <c r="P80" s="105">
        <f>Inputs!J52</f>
        <v>17.616504940799999</v>
      </c>
      <c r="Q80" s="105">
        <f>P80*(1+Inputs!$J$61)</f>
        <v>19.265409803258876</v>
      </c>
      <c r="R80" s="105">
        <f>Q80*(1+Inputs!$J$61)</f>
        <v>21.068652160843904</v>
      </c>
      <c r="S80" s="105">
        <f>R80*(1+Inputs!$J$61)</f>
        <v>23.04067800309889</v>
      </c>
      <c r="T80" s="105">
        <f>S80*(1+Inputs!$J$61)</f>
        <v>25.197285464188944</v>
      </c>
      <c r="U80" s="167">
        <f>T80*(1+Inputs!$J$61)</f>
        <v>27.555751383637027</v>
      </c>
      <c r="V80" s="105">
        <f>U80*(1+Inputs!$J$61)</f>
        <v>30.134969713145448</v>
      </c>
      <c r="W80" s="167">
        <f>V80*(1+Inputs!$J$61)</f>
        <v>32.955602878295856</v>
      </c>
      <c r="X80" s="105">
        <f>W80*(1+Inputs!$J$61)</f>
        <v>36.040247307704348</v>
      </c>
      <c r="Y80" s="105">
        <f>X80*(1+Inputs!$J$61)</f>
        <v>39.413614455705471</v>
      </c>
      <c r="Z80" s="105">
        <f>Y80*(1+Inputs!$J$61)</f>
        <v>43.102728768759498</v>
      </c>
      <c r="AA80" s="105">
        <f>Z80*(1+Inputs!$J$61)</f>
        <v>47.137144181515382</v>
      </c>
      <c r="AB80" s="105">
        <f>AA80*(1+Inputs!$J$61)</f>
        <v>51.549180876905218</v>
      </c>
      <c r="AC80" s="105">
        <f>AB80*(1+Inputs!$J$61)</f>
        <v>56.374184206983543</v>
      </c>
      <c r="AD80" s="105">
        <f>AC80*(1+Inputs!$J$61)</f>
        <v>61.650807848757196</v>
      </c>
      <c r="AE80" s="105">
        <f>AD80*(1+Inputs!$J$61)</f>
        <v>67.421323463400867</v>
      </c>
      <c r="AF80" s="105">
        <f>AE80*(1+Inputs!$J$61)</f>
        <v>73.731959339575184</v>
      </c>
      <c r="AG80" s="105">
        <f>AF80*(1+Inputs!$J$61)</f>
        <v>80.633270733759417</v>
      </c>
      <c r="AH80" s="105">
        <f>AG80*(1+Inputs!$J$61)</f>
        <v>88.180544874439292</v>
      </c>
      <c r="AI80" s="105">
        <f>AH80*(1+Inputs!$J$61)</f>
        <v>96.4342438746868</v>
      </c>
      <c r="AJ80" s="105">
        <f>AI80*(1+Inputs!$J$61)</f>
        <v>105.46048910135748</v>
      </c>
      <c r="AK80" s="105">
        <f>AJ80*(1+Inputs!$J$61)</f>
        <v>115.33159088124454</v>
      </c>
      <c r="AL80" s="105">
        <f>AK80*(1+Inputs!$J$61)</f>
        <v>126.12662778772902</v>
      </c>
    </row>
    <row r="81" spans="4:40">
      <c r="D81" s="7" t="s">
        <v>122</v>
      </c>
      <c r="E81" s="16" t="s">
        <v>118</v>
      </c>
      <c r="K81" s="105">
        <f>Inputs!E54</f>
        <v>13</v>
      </c>
      <c r="L81" s="105">
        <f>Inputs!F54</f>
        <v>14.216799999999999</v>
      </c>
      <c r="M81" s="105">
        <f>Inputs!G54</f>
        <v>15.547492479999997</v>
      </c>
      <c r="N81" s="105">
        <f>Inputs!H54</f>
        <v>17.002737776127997</v>
      </c>
      <c r="O81" s="105">
        <f>Inputs!I54</f>
        <v>18.594194031973576</v>
      </c>
      <c r="P81" s="105">
        <f>Inputs!J54</f>
        <v>20.3346105933663</v>
      </c>
      <c r="Q81" s="105">
        <f>P81*(1+Inputs!$J$61)</f>
        <v>22.237930144905384</v>
      </c>
      <c r="R81" s="105">
        <f>Q81*(1+Inputs!$J$61)</f>
        <v>24.319400406468525</v>
      </c>
      <c r="S81" s="105">
        <f>R81*(1+Inputs!$J$61)</f>
        <v>26.595696284513977</v>
      </c>
      <c r="T81" s="105">
        <f>S81*(1+Inputs!$J$61)</f>
        <v>29.085053456744483</v>
      </c>
      <c r="U81" s="167">
        <f>T81*(1+Inputs!$J$61)</f>
        <v>31.807414460295764</v>
      </c>
      <c r="V81" s="105">
        <f>U81*(1+Inputs!$J$61)</f>
        <v>34.784588453779442</v>
      </c>
      <c r="W81" s="167">
        <f>V81*(1+Inputs!$J$61)</f>
        <v>38.040425933053193</v>
      </c>
      <c r="X81" s="105">
        <f>W81*(1+Inputs!$J$61)</f>
        <v>41.601009800386969</v>
      </c>
      <c r="Y81" s="105">
        <f>X81*(1+Inputs!$J$61)</f>
        <v>45.494864317703183</v>
      </c>
      <c r="Z81" s="105">
        <f>Y81*(1+Inputs!$J$61)</f>
        <v>49.753183617840193</v>
      </c>
      <c r="AA81" s="105">
        <f>Z81*(1+Inputs!$J$61)</f>
        <v>54.41008160447003</v>
      </c>
      <c r="AB81" s="105">
        <f>AA81*(1+Inputs!$J$61)</f>
        <v>59.502865242648419</v>
      </c>
      <c r="AC81" s="105">
        <f>AB81*(1+Inputs!$J$61)</f>
        <v>65.072333429360299</v>
      </c>
      <c r="AD81" s="105">
        <f>AC81*(1+Inputs!$J$61)</f>
        <v>71.16310383834842</v>
      </c>
      <c r="AE81" s="105">
        <f>AD81*(1+Inputs!$J$61)</f>
        <v>77.823970357617824</v>
      </c>
      <c r="AF81" s="105">
        <f>AE81*(1+Inputs!$J$61)</f>
        <v>85.108293983090846</v>
      </c>
      <c r="AG81" s="105">
        <f>AF81*(1+Inputs!$J$61)</f>
        <v>93.074430299908144</v>
      </c>
      <c r="AH81" s="105">
        <f>AG81*(1+Inputs!$J$61)</f>
        <v>101.78619697597954</v>
      </c>
      <c r="AI81" s="105">
        <f>AH81*(1+Inputs!$J$61)</f>
        <v>111.31338501293121</v>
      </c>
      <c r="AJ81" s="105">
        <f>AI81*(1+Inputs!$J$61)</f>
        <v>121.73231785014156</v>
      </c>
      <c r="AK81" s="105">
        <f>AJ81*(1+Inputs!$J$61)</f>
        <v>133.12646280091479</v>
      </c>
      <c r="AL81" s="105">
        <f>AK81*(1+Inputs!$J$61)</f>
        <v>145.58709971908041</v>
      </c>
    </row>
    <row r="82" spans="4:40">
      <c r="D82" s="7" t="s">
        <v>123</v>
      </c>
      <c r="E82" s="16" t="s">
        <v>118</v>
      </c>
      <c r="K82" s="105">
        <f>Inputs!E55</f>
        <v>282</v>
      </c>
      <c r="L82" s="105">
        <f>Inputs!F55</f>
        <v>304.27799999999996</v>
      </c>
      <c r="M82" s="105">
        <f>Inputs!G55</f>
        <v>332.75842079999995</v>
      </c>
      <c r="N82" s="105">
        <f>Inputs!H55</f>
        <v>363.90460898687991</v>
      </c>
      <c r="O82" s="105">
        <f>Inputs!I55</f>
        <v>397.96608038805181</v>
      </c>
      <c r="P82" s="105">
        <f>Inputs!J55</f>
        <v>435.2157055123734</v>
      </c>
      <c r="Q82" s="105">
        <f>P82*(1+Inputs!$J$62)</f>
        <v>469.59774624785086</v>
      </c>
      <c r="R82" s="105">
        <f>Q82*(1+Inputs!$J$62)</f>
        <v>506.69596820143107</v>
      </c>
      <c r="S82" s="105">
        <f>R82*(1+Inputs!$J$62)</f>
        <v>546.72494968934416</v>
      </c>
      <c r="T82" s="105">
        <f>S82*(1+Inputs!$J$62)</f>
        <v>589.91622071480231</v>
      </c>
      <c r="U82" s="167">
        <f>T82*(1+Inputs!$J$62)</f>
        <v>636.51960215127167</v>
      </c>
      <c r="V82" s="105">
        <f>U82*(1+Inputs!$J$62)</f>
        <v>686.80465072122206</v>
      </c>
      <c r="W82" s="167">
        <f>V82*(1+Inputs!$J$62)</f>
        <v>741.06221812819854</v>
      </c>
      <c r="X82" s="105">
        <f>W82*(1+Inputs!$J$62)</f>
        <v>799.60613336032623</v>
      </c>
      <c r="Y82" s="105">
        <f>X82*(1+Inputs!$J$62)</f>
        <v>862.77501789579196</v>
      </c>
      <c r="Z82" s="105">
        <f>Y82*(1+Inputs!$J$62)</f>
        <v>930.93424430955952</v>
      </c>
      <c r="AA82" s="105">
        <f>Z82*(1+Inputs!$J$62)</f>
        <v>1004.4780496100146</v>
      </c>
      <c r="AB82" s="105">
        <f>AA82*(1+Inputs!$J$62)</f>
        <v>1083.8318155292056</v>
      </c>
      <c r="AC82" s="105">
        <f>AB82*(1+Inputs!$J$62)</f>
        <v>1169.4545289560128</v>
      </c>
      <c r="AD82" s="105">
        <f>AC82*(1+Inputs!$J$62)</f>
        <v>1261.8414367435378</v>
      </c>
      <c r="AE82" s="105">
        <f>AD82*(1+Inputs!$J$62)</f>
        <v>1361.5269102462771</v>
      </c>
      <c r="AF82" s="105">
        <f>AE82*(1+Inputs!$J$62)</f>
        <v>1469.087536155733</v>
      </c>
      <c r="AG82" s="105">
        <f>AF82*(1+Inputs!$J$62)</f>
        <v>1585.1454515120358</v>
      </c>
      <c r="AH82" s="105">
        <f>AG82*(1+Inputs!$J$62)</f>
        <v>1710.3719421814867</v>
      </c>
      <c r="AI82" s="105">
        <f>AH82*(1+Inputs!$J$62)</f>
        <v>1845.4913256138241</v>
      </c>
      <c r="AJ82" s="105">
        <f>AI82*(1+Inputs!$J$62)</f>
        <v>1991.2851403373161</v>
      </c>
      <c r="AK82" s="105">
        <f>AJ82*(1+Inputs!$J$62)</f>
        <v>2148.5966664239641</v>
      </c>
      <c r="AL82" s="105">
        <f>AK82*(1+Inputs!$J$62)</f>
        <v>2318.3358030714571</v>
      </c>
    </row>
    <row r="83" spans="4:40">
      <c r="D83" s="7" t="s">
        <v>124</v>
      </c>
      <c r="E83" s="16" t="s">
        <v>118</v>
      </c>
      <c r="K83" s="105">
        <f>Inputs!E56</f>
        <v>4.0999999999999996</v>
      </c>
      <c r="L83" s="105">
        <f>Inputs!F56</f>
        <v>4.4837599999999993</v>
      </c>
      <c r="M83" s="105">
        <f>Inputs!G56</f>
        <v>4.9034399359999989</v>
      </c>
      <c r="N83" s="105">
        <f>Inputs!H56</f>
        <v>5.362401914009598</v>
      </c>
      <c r="O83" s="105">
        <f>Inputs!I56</f>
        <v>5.864322733160896</v>
      </c>
      <c r="P83" s="105">
        <f>Inputs!J56</f>
        <v>6.4132233409847554</v>
      </c>
      <c r="Q83" s="105">
        <f>P83*(1+Inputs!$J$61)</f>
        <v>7.0135010457009281</v>
      </c>
      <c r="R83" s="105">
        <f>Q83*(1+Inputs!$J$61)</f>
        <v>7.6699647435785341</v>
      </c>
      <c r="S83" s="105">
        <f>R83*(1+Inputs!$J$61)</f>
        <v>8.3878734435774849</v>
      </c>
      <c r="T83" s="105">
        <f>S83*(1+Inputs!$J$61)</f>
        <v>9.1729783978963368</v>
      </c>
      <c r="U83" s="167">
        <f>T83*(1+Inputs!$J$61)</f>
        <v>10.031569175939433</v>
      </c>
      <c r="V83" s="105">
        <f>U83*(1+Inputs!$J$61)</f>
        <v>10.970524050807363</v>
      </c>
      <c r="W83" s="167">
        <f>V83*(1+Inputs!$J$61)</f>
        <v>11.997365101962931</v>
      </c>
      <c r="X83" s="105">
        <f>W83*(1+Inputs!$J$61)</f>
        <v>13.120318475506661</v>
      </c>
      <c r="Y83" s="105">
        <f>X83*(1+Inputs!$J$61)</f>
        <v>14.348380284814082</v>
      </c>
      <c r="Z83" s="105">
        <f>Y83*(1+Inputs!$J$61)</f>
        <v>15.691388679472679</v>
      </c>
      <c r="AA83" s="105">
        <f>Z83*(1+Inputs!$J$61)</f>
        <v>17.16010265987132</v>
      </c>
      <c r="AB83" s="105">
        <f>AA83*(1+Inputs!$J$61)</f>
        <v>18.766288268835275</v>
      </c>
      <c r="AC83" s="105">
        <f>AB83*(1+Inputs!$J$61)</f>
        <v>20.522812850798257</v>
      </c>
      <c r="AD83" s="105">
        <f>AC83*(1+Inputs!$J$61)</f>
        <v>22.443748133632972</v>
      </c>
      <c r="AE83" s="105">
        <f>AD83*(1+Inputs!$J$61)</f>
        <v>24.544482958941018</v>
      </c>
      <c r="AF83" s="105">
        <f>AE83*(1+Inputs!$J$61)</f>
        <v>26.841846563897896</v>
      </c>
      <c r="AG83" s="105">
        <f>AF83*(1+Inputs!$J$61)</f>
        <v>29.354243402278737</v>
      </c>
      <c r="AH83" s="105">
        <f>AG83*(1+Inputs!$J$61)</f>
        <v>32.101800584732025</v>
      </c>
      <c r="AI83" s="105">
        <f>AH83*(1+Inputs!$J$61)</f>
        <v>35.106529119462941</v>
      </c>
      <c r="AJ83" s="105">
        <f>AI83*(1+Inputs!$J$61)</f>
        <v>38.392500245044666</v>
      </c>
      <c r="AK83" s="105">
        <f>AJ83*(1+Inputs!$J$61)</f>
        <v>41.986038267980845</v>
      </c>
      <c r="AL83" s="105">
        <f>AK83*(1+Inputs!$J$61)</f>
        <v>45.915931449863848</v>
      </c>
    </row>
    <row r="84" spans="4:40">
      <c r="D84" s="7" t="s">
        <v>125</v>
      </c>
      <c r="E84" s="16" t="s">
        <v>118</v>
      </c>
      <c r="K84">
        <f>Inputs!E57</f>
        <v>0</v>
      </c>
      <c r="L84">
        <f>Inputs!F57</f>
        <v>0</v>
      </c>
      <c r="M84">
        <v>0</v>
      </c>
      <c r="N84">
        <v>0</v>
      </c>
      <c r="O84">
        <v>0</v>
      </c>
      <c r="P84">
        <v>0</v>
      </c>
      <c r="Q84">
        <v>0</v>
      </c>
      <c r="R84">
        <v>0</v>
      </c>
      <c r="S84" s="163">
        <f>Inputs!G57</f>
        <v>10.1</v>
      </c>
      <c r="T84" s="167">
        <f>S84*(1+Inputs!$J$61)</f>
        <v>11.045359999999999</v>
      </c>
      <c r="U84" s="167">
        <f>T84*(1+Inputs!$J$61)</f>
        <v>12.079205695999997</v>
      </c>
      <c r="V84" s="105">
        <f>U84*(1+Inputs!$J$61)</f>
        <v>13.209819349145596</v>
      </c>
      <c r="W84" s="167">
        <f>V84*(1+Inputs!$J$61)</f>
        <v>14.446258440225622</v>
      </c>
      <c r="X84" s="105">
        <f>W84*(1+Inputs!$J$61)</f>
        <v>15.798428230230739</v>
      </c>
      <c r="Y84" s="105">
        <f>X84*(1+Inputs!$J$61)</f>
        <v>17.277161112580334</v>
      </c>
      <c r="Z84" s="105">
        <f>Y84*(1+Inputs!$J$61)</f>
        <v>18.894303392717852</v>
      </c>
      <c r="AA84" s="105">
        <f>Z84*(1+Inputs!$J$61)</f>
        <v>20.66281019027624</v>
      </c>
      <c r="AB84" s="105">
        <f>AA84*(1+Inputs!$J$61)</f>
        <v>22.596849224086093</v>
      </c>
      <c r="AC84" s="105">
        <f>AB84*(1+Inputs!$J$61)</f>
        <v>24.71191431146055</v>
      </c>
      <c r="AD84" s="105">
        <f>AC84*(1+Inputs!$J$61)</f>
        <v>27.024949491013256</v>
      </c>
      <c r="AE84" s="105">
        <f>AD84*(1+Inputs!$J$61)</f>
        <v>29.554484763372095</v>
      </c>
      <c r="AF84" s="105">
        <f>AE84*(1+Inputs!$J$61)</f>
        <v>32.320784537223723</v>
      </c>
      <c r="AG84" s="105">
        <f>AF84*(1+Inputs!$J$61)</f>
        <v>35.346009969907861</v>
      </c>
      <c r="AH84" s="105">
        <f>AG84*(1+Inputs!$J$61)</f>
        <v>38.654396503091235</v>
      </c>
      <c r="AI84" s="105">
        <f>AH84*(1+Inputs!$J$61)</f>
        <v>42.272448015780569</v>
      </c>
      <c r="AJ84" s="105">
        <f>AI84*(1+Inputs!$J$61)</f>
        <v>46.229149150057623</v>
      </c>
      <c r="AK84" s="105">
        <f>AJ84*(1+Inputs!$J$61)</f>
        <v>50.556197510503011</v>
      </c>
      <c r="AL84" s="105">
        <f>AK84*(1+Inputs!$J$61)</f>
        <v>55.288257597486087</v>
      </c>
    </row>
    <row r="85" spans="4:40">
      <c r="D85" s="63" t="s">
        <v>154</v>
      </c>
      <c r="E85" s="16" t="s">
        <v>118</v>
      </c>
      <c r="K85">
        <f>Inputs!E58</f>
        <v>0</v>
      </c>
      <c r="L85">
        <f>Inputs!F58</f>
        <v>0</v>
      </c>
      <c r="M85">
        <f>Inputs!G58</f>
        <v>0</v>
      </c>
      <c r="N85">
        <f>Inputs!H58</f>
        <v>0</v>
      </c>
      <c r="O85">
        <f>Inputs!I58</f>
        <v>0</v>
      </c>
      <c r="P85">
        <v>0</v>
      </c>
      <c r="Q85" s="105">
        <f>P85*(1+Inputs!$J$61)</f>
        <v>0</v>
      </c>
      <c r="R85" s="105">
        <f>Q85*(1+Inputs!$J$61)</f>
        <v>0</v>
      </c>
      <c r="S85" s="105">
        <f>R85*(1+Inputs!$J$61)</f>
        <v>0</v>
      </c>
      <c r="T85" s="105">
        <v>0</v>
      </c>
      <c r="U85" s="167">
        <f>T85*(1+Inputs!$J$61)</f>
        <v>0</v>
      </c>
      <c r="V85" s="163">
        <f>Inputs!J58</f>
        <v>45</v>
      </c>
      <c r="W85" s="105">
        <f>V85*(1+Inputs!$J$61)</f>
        <v>49.211999999999996</v>
      </c>
      <c r="X85" s="105">
        <f>W85*(1+Inputs!$J$61)</f>
        <v>53.818243199999991</v>
      </c>
      <c r="Y85" s="105">
        <f>X85*(1+Inputs!$J$61)</f>
        <v>58.855630763519983</v>
      </c>
      <c r="Z85" s="105">
        <f>Y85*(1+Inputs!$J$61)</f>
        <v>64.364517802985446</v>
      </c>
      <c r="AA85" s="105">
        <f>Z85*(1+Inputs!$J$61)</f>
        <v>70.389036669344875</v>
      </c>
      <c r="AB85" s="105">
        <f>AA85*(1+Inputs!$J$61)</f>
        <v>76.977450501595555</v>
      </c>
      <c r="AC85" s="105">
        <f>AB85*(1+Inputs!$J$61)</f>
        <v>84.182539868544893</v>
      </c>
      <c r="AD85" s="105">
        <f>AC85*(1+Inputs!$J$61)</f>
        <v>92.062025600240688</v>
      </c>
      <c r="AE85" s="105">
        <f>AD85*(1+Inputs!$J$61)</f>
        <v>100.67903119642321</v>
      </c>
      <c r="AF85" s="105">
        <f>AE85*(1+Inputs!$J$61)</f>
        <v>110.10258851640842</v>
      </c>
      <c r="AG85" s="105">
        <f>AF85*(1+Inputs!$J$61)</f>
        <v>120.40819080154424</v>
      </c>
      <c r="AH85" s="105">
        <f>AG85*(1+Inputs!$J$61)</f>
        <v>131.67839746056876</v>
      </c>
      <c r="AI85" s="105">
        <f>AH85*(1+Inputs!$J$61)</f>
        <v>144.00349546287799</v>
      </c>
      <c r="AJ85" s="105">
        <f>AI85*(1+Inputs!$J$61)</f>
        <v>157.48222263820335</v>
      </c>
      <c r="AK85" s="105">
        <f>AJ85*(1+Inputs!$J$61)</f>
        <v>172.22255867713918</v>
      </c>
      <c r="AL85" s="105">
        <f>AK85*(1+Inputs!$J$61)</f>
        <v>188.34259016931938</v>
      </c>
    </row>
    <row r="86" spans="4:40">
      <c r="D86" s="7" t="s">
        <v>423</v>
      </c>
      <c r="E86" s="16" t="s">
        <v>118</v>
      </c>
      <c r="O86">
        <f>Inputs!I59</f>
        <v>0</v>
      </c>
      <c r="P86">
        <f>Inputs!J59</f>
        <v>0</v>
      </c>
      <c r="Q86" s="105">
        <f>P86*(1+Inputs!$J$61)</f>
        <v>0</v>
      </c>
      <c r="R86" s="105">
        <f>Q86*(1+Inputs!$J$61)</f>
        <v>0</v>
      </c>
      <c r="S86" s="105">
        <f>R86*(1+Inputs!$J$61)</f>
        <v>0</v>
      </c>
      <c r="T86" s="105">
        <f>S86*(1+Inputs!$J$61)</f>
        <v>0</v>
      </c>
      <c r="U86" s="167">
        <f>T86*(1+Inputs!$J$61)</f>
        <v>0</v>
      </c>
      <c r="V86" s="105">
        <f>U86*(1+Inputs!$J$61)</f>
        <v>0</v>
      </c>
      <c r="W86" s="167">
        <f>V86*(1+Inputs!$J$61)</f>
        <v>0</v>
      </c>
      <c r="X86" s="105">
        <f>W86*(1+Inputs!$J$61)</f>
        <v>0</v>
      </c>
      <c r="Y86" s="105">
        <f>X86*(1+Inputs!$J$61)</f>
        <v>0</v>
      </c>
      <c r="Z86" s="105">
        <f>Y86*(1+Inputs!$J$61)</f>
        <v>0</v>
      </c>
      <c r="AA86" s="105">
        <f>Z86*(1+Inputs!$J$61)</f>
        <v>0</v>
      </c>
      <c r="AB86" s="105">
        <v>0</v>
      </c>
      <c r="AC86" s="163">
        <f>Inputs!E190</f>
        <v>11.33</v>
      </c>
      <c r="AD86" s="105">
        <f>AC86*(1+Inputs!$J$61)</f>
        <v>12.390488</v>
      </c>
      <c r="AE86" s="105">
        <f>AD86*(1+Inputs!$J$61)</f>
        <v>13.550237676799998</v>
      </c>
      <c r="AF86" s="105">
        <f>AE86*(1+Inputs!$J$61)</f>
        <v>14.818539923348476</v>
      </c>
      <c r="AG86" s="105">
        <f>AF86*(1+Inputs!$J$61)</f>
        <v>16.205555260173892</v>
      </c>
      <c r="AH86" s="105">
        <f>AG86*(1+Inputs!$J$61)</f>
        <v>17.722395232526168</v>
      </c>
      <c r="AI86" s="105">
        <f>AH86*(1+Inputs!$J$61)</f>
        <v>19.381211426290616</v>
      </c>
      <c r="AJ86" s="105">
        <f>AI86*(1+Inputs!$J$61)</f>
        <v>21.195292815791415</v>
      </c>
      <c r="AK86" s="105">
        <f>AJ86*(1+Inputs!$J$61)</f>
        <v>23.179172223349489</v>
      </c>
      <c r="AL86" s="105">
        <f>AK86*(1+Inputs!$J$61)</f>
        <v>25.348742743454999</v>
      </c>
    </row>
    <row r="87" spans="4:40">
      <c r="D87" s="7" t="s">
        <v>401</v>
      </c>
      <c r="E87" s="16" t="s">
        <v>246</v>
      </c>
      <c r="K87">
        <f>(1-Inputs!E24)*'Strategic Model'!L87</f>
        <v>1767200000</v>
      </c>
      <c r="L87">
        <f>(1-Inputs!F24)*'Strategic Model'!M87</f>
        <v>1880000000</v>
      </c>
      <c r="M87">
        <f>Inputs!G27</f>
        <v>2000000000</v>
      </c>
      <c r="N87">
        <f>M87*(1+Inputs!H24)</f>
        <v>2120000000</v>
      </c>
      <c r="O87">
        <f>N87*(1+Inputs!I24)</f>
        <v>2247200000</v>
      </c>
      <c r="P87">
        <f>O87*(1+Inputs!$J$24)</f>
        <v>2382032000</v>
      </c>
      <c r="Q87">
        <f>P87*(1+Inputs!$J$24)</f>
        <v>2524953920</v>
      </c>
      <c r="R87">
        <f>Q87*(1+Inputs!$J$24)</f>
        <v>2676451155.2000003</v>
      </c>
      <c r="S87">
        <f>R87*(1+Inputs!$J$24)</f>
        <v>2837038224.5120006</v>
      </c>
      <c r="T87">
        <f>S87*(1+Inputs!$J$24)</f>
        <v>3007260517.9827209</v>
      </c>
      <c r="U87" s="128">
        <f>T87*(1+Inputs!$J$24)</f>
        <v>3187696149.0616841</v>
      </c>
      <c r="V87">
        <f>U87*(1+Inputs!$J$24)</f>
        <v>3378957918.0053854</v>
      </c>
      <c r="W87" s="128">
        <f>V87*(1+Inputs!$J$24)</f>
        <v>3581695393.0857086</v>
      </c>
      <c r="X87">
        <f>W87*(1+Inputs!$J$24)</f>
        <v>3796597116.6708512</v>
      </c>
      <c r="Y87">
        <f>X87*(1+Inputs!$J$24)</f>
        <v>4024392943.6711025</v>
      </c>
      <c r="Z87">
        <f>Y87*(1+Inputs!$J$24)</f>
        <v>4265856520.291369</v>
      </c>
      <c r="AA87">
        <f>Z87*(1+Inputs!$J$24)</f>
        <v>4521807911.5088511</v>
      </c>
      <c r="AB87">
        <f>AA87*(1+Inputs!$J$24)</f>
        <v>4793116386.1993828</v>
      </c>
      <c r="AC87">
        <f>AB87*(1+Inputs!$J$24)</f>
        <v>5080703369.3713465</v>
      </c>
      <c r="AD87">
        <f>AC87*(1+Inputs!$J$24)</f>
        <v>5385545571.5336275</v>
      </c>
      <c r="AE87">
        <f>AD87*(1+Inputs!$J$24)</f>
        <v>5708678305.8256454</v>
      </c>
      <c r="AF87">
        <f>AE87*(1+Inputs!$J$24)</f>
        <v>6051199004.1751842</v>
      </c>
      <c r="AG87">
        <f>AF87*(1+Inputs!$J$24)</f>
        <v>6414270944.4256954</v>
      </c>
      <c r="AH87">
        <f>AG87*(1+Inputs!$J$24)</f>
        <v>6799127201.0912371</v>
      </c>
      <c r="AI87">
        <f>AH87*(1+Inputs!$J$24)</f>
        <v>7207074833.1567116</v>
      </c>
      <c r="AJ87">
        <f>AI87*(1+Inputs!$J$24)</f>
        <v>7639499323.1461143</v>
      </c>
      <c r="AK87">
        <f>AJ87*(1+Inputs!$J$24)</f>
        <v>8097869282.5348816</v>
      </c>
      <c r="AL87">
        <f>AK87*(1+Inputs!$J$24)</f>
        <v>8583741439.4869747</v>
      </c>
    </row>
    <row r="89" spans="4:40" ht="24" thickBot="1">
      <c r="D89" s="57" t="s">
        <v>197</v>
      </c>
    </row>
    <row r="90" spans="4:40" ht="18">
      <c r="D90" s="15" t="s">
        <v>143</v>
      </c>
    </row>
    <row r="91" spans="4:40">
      <c r="D91" t="s">
        <v>190</v>
      </c>
      <c r="E91" s="16" t="s">
        <v>211</v>
      </c>
      <c r="K91" s="69">
        <f>SUM(K92:K96)</f>
        <v>4164940</v>
      </c>
      <c r="L91" s="69">
        <f t="shared" ref="L91:AK91" si="58">SUM(L92:L96)</f>
        <v>4195578.0786803216</v>
      </c>
      <c r="M91" s="69">
        <f t="shared" si="58"/>
        <v>4514988.1311923796</v>
      </c>
      <c r="N91" s="69">
        <f t="shared" si="58"/>
        <v>11125687.278505856</v>
      </c>
      <c r="O91" s="69">
        <f t="shared" si="58"/>
        <v>7641970.5889749406</v>
      </c>
      <c r="P91" s="69">
        <f t="shared" si="58"/>
        <v>8357259.0361029953</v>
      </c>
      <c r="Q91" s="69">
        <f t="shared" si="58"/>
        <v>10737421.661030015</v>
      </c>
      <c r="R91" s="69">
        <f t="shared" si="58"/>
        <v>11742444.328502422</v>
      </c>
      <c r="S91" s="69">
        <f>SUM(S92:S96)</f>
        <v>15145424.605785549</v>
      </c>
      <c r="T91" s="182">
        <f t="shared" si="58"/>
        <v>16555661.54528532</v>
      </c>
      <c r="U91" s="168">
        <f t="shared" si="58"/>
        <v>18097454.174106166</v>
      </c>
      <c r="V91" s="69">
        <f t="shared" si="58"/>
        <v>23136230.624670267</v>
      </c>
      <c r="W91" s="168">
        <f t="shared" si="58"/>
        <v>25301781.811139405</v>
      </c>
      <c r="X91" s="69">
        <f t="shared" si="58"/>
        <v>27681362.061043389</v>
      </c>
      <c r="Y91" s="69">
        <f t="shared" si="58"/>
        <v>30259943.264560811</v>
      </c>
      <c r="Z91" s="69">
        <f t="shared" si="58"/>
        <v>33092273.954123706</v>
      </c>
      <c r="AA91" s="69">
        <f t="shared" si="58"/>
        <v>36189710.796229675</v>
      </c>
      <c r="AB91" s="69">
        <f t="shared" si="58"/>
        <v>39593278.248642519</v>
      </c>
      <c r="AC91" s="69">
        <f t="shared" si="58"/>
        <v>43281481.265981205</v>
      </c>
      <c r="AD91" s="69">
        <f t="shared" si="58"/>
        <v>47332627.912477039</v>
      </c>
      <c r="AE91" s="69">
        <f t="shared" si="58"/>
        <v>51762961.885084882</v>
      </c>
      <c r="AF91" s="69">
        <f t="shared" si="58"/>
        <v>56631161.393629059</v>
      </c>
      <c r="AG91" s="69">
        <f t="shared" si="58"/>
        <v>61906481.588529527</v>
      </c>
      <c r="AH91" s="69">
        <f t="shared" si="58"/>
        <v>67700928.265215874</v>
      </c>
      <c r="AI91" s="69">
        <f t="shared" si="58"/>
        <v>74037735.150840089</v>
      </c>
      <c r="AJ91" s="69">
        <f t="shared" si="58"/>
        <v>81000831.016088456</v>
      </c>
      <c r="AK91" s="69">
        <f t="shared" si="58"/>
        <v>88546240.807224438</v>
      </c>
      <c r="AL91" s="69">
        <f>SUM(AL92:AL96)</f>
        <v>96834168.946780637</v>
      </c>
    </row>
    <row r="92" spans="4:40">
      <c r="D92" t="s">
        <v>189</v>
      </c>
      <c r="E92" s="16" t="s">
        <v>211</v>
      </c>
      <c r="K92" s="65">
        <f>K32*K77</f>
        <v>3746323</v>
      </c>
      <c r="L92" s="65">
        <f t="shared" ref="L92:AK92" si="59">L32*L77</f>
        <v>3763296.7631000001</v>
      </c>
      <c r="M92" s="65">
        <f t="shared" si="59"/>
        <v>4022098.7544460809</v>
      </c>
      <c r="N92" s="65">
        <f t="shared" si="59"/>
        <v>7623200.1314147841</v>
      </c>
      <c r="O92" s="65">
        <f t="shared" si="59"/>
        <v>0</v>
      </c>
      <c r="P92" s="65">
        <f t="shared" si="59"/>
        <v>0</v>
      </c>
      <c r="Q92" s="65">
        <f t="shared" si="59"/>
        <v>0</v>
      </c>
      <c r="R92" s="65">
        <f t="shared" si="59"/>
        <v>0</v>
      </c>
      <c r="S92" s="65">
        <f t="shared" si="59"/>
        <v>219488.20243315678</v>
      </c>
      <c r="T92" s="65">
        <f t="shared" si="59"/>
        <v>232657.49457914621</v>
      </c>
      <c r="U92" s="165">
        <f t="shared" si="59"/>
        <v>246616.94425389502</v>
      </c>
      <c r="V92" s="65">
        <f t="shared" si="59"/>
        <v>0</v>
      </c>
      <c r="W92" s="165">
        <f t="shared" si="59"/>
        <v>0</v>
      </c>
      <c r="X92" s="65">
        <f t="shared" si="59"/>
        <v>0</v>
      </c>
      <c r="Y92" s="65">
        <f t="shared" si="59"/>
        <v>0</v>
      </c>
      <c r="Z92" s="65">
        <f t="shared" si="59"/>
        <v>0</v>
      </c>
      <c r="AA92" s="65">
        <f t="shared" si="59"/>
        <v>0</v>
      </c>
      <c r="AB92" s="65">
        <f t="shared" si="59"/>
        <v>0</v>
      </c>
      <c r="AC92" s="65">
        <f t="shared" si="59"/>
        <v>0</v>
      </c>
      <c r="AD92" s="65">
        <f t="shared" si="59"/>
        <v>0</v>
      </c>
      <c r="AE92" s="65">
        <f t="shared" si="59"/>
        <v>0</v>
      </c>
      <c r="AF92" s="65">
        <f t="shared" si="59"/>
        <v>0</v>
      </c>
      <c r="AG92" s="65">
        <f t="shared" si="59"/>
        <v>0</v>
      </c>
      <c r="AH92" s="65">
        <f t="shared" si="59"/>
        <v>0</v>
      </c>
      <c r="AI92" s="65">
        <f t="shared" si="59"/>
        <v>0</v>
      </c>
      <c r="AJ92" s="65">
        <f t="shared" si="59"/>
        <v>0</v>
      </c>
      <c r="AK92" s="65">
        <f t="shared" si="59"/>
        <v>0</v>
      </c>
      <c r="AL92" s="65">
        <f>AL32*AL77</f>
        <v>0</v>
      </c>
    </row>
    <row r="93" spans="4:40">
      <c r="D93" t="s">
        <v>144</v>
      </c>
      <c r="E93" s="16" t="s">
        <v>211</v>
      </c>
      <c r="K93" s="65">
        <f>K33*K80</f>
        <v>418617</v>
      </c>
      <c r="L93" s="65">
        <f t="shared" ref="L93:AK93" si="60">L33*L80</f>
        <v>432281.31558032165</v>
      </c>
      <c r="M93" s="65">
        <f t="shared" si="60"/>
        <v>492889.37674629915</v>
      </c>
      <c r="N93" s="65">
        <f t="shared" si="60"/>
        <v>3502487.1470910721</v>
      </c>
      <c r="O93" s="65">
        <f t="shared" si="60"/>
        <v>7641970.5889749406</v>
      </c>
      <c r="P93" s="65">
        <f t="shared" si="60"/>
        <v>8357259.0361029953</v>
      </c>
      <c r="Q93" s="65">
        <f t="shared" si="60"/>
        <v>10737421.661030015</v>
      </c>
      <c r="R93" s="65">
        <f t="shared" si="60"/>
        <v>11742444.328502422</v>
      </c>
      <c r="S93" s="65">
        <f t="shared" si="60"/>
        <v>14754236.403352393</v>
      </c>
      <c r="T93" s="65">
        <f t="shared" si="60"/>
        <v>16135232.930706175</v>
      </c>
      <c r="U93" s="165">
        <f t="shared" si="60"/>
        <v>17645490.733020272</v>
      </c>
      <c r="V93" s="65">
        <f t="shared" si="60"/>
        <v>12440726.195734793</v>
      </c>
      <c r="W93" s="165">
        <f t="shared" si="60"/>
        <v>13605178.167655567</v>
      </c>
      <c r="X93" s="65">
        <f t="shared" si="60"/>
        <v>14855647.186489467</v>
      </c>
      <c r="Y93" s="65">
        <f t="shared" si="60"/>
        <v>16271261.942360392</v>
      </c>
      <c r="Z93" s="65">
        <f t="shared" si="60"/>
        <v>17794252.060165323</v>
      </c>
      <c r="AA93" s="65">
        <f t="shared" si="60"/>
        <v>19459794.052996796</v>
      </c>
      <c r="AB93" s="65">
        <f t="shared" si="60"/>
        <v>21248368.173548266</v>
      </c>
      <c r="AC93" s="65">
        <f t="shared" si="60"/>
        <v>23273153.977024335</v>
      </c>
      <c r="AD93" s="65">
        <f t="shared" si="60"/>
        <v>25451521.189273808</v>
      </c>
      <c r="AE93" s="65">
        <f t="shared" si="60"/>
        <v>27833783.572589837</v>
      </c>
      <c r="AF93" s="65">
        <f t="shared" si="60"/>
        <v>30392021.590905264</v>
      </c>
      <c r="AG93" s="65">
        <f t="shared" si="60"/>
        <v>33288118.521906767</v>
      </c>
      <c r="AH93" s="65">
        <f t="shared" si="60"/>
        <v>36403886.415557235</v>
      </c>
      <c r="AI93" s="65">
        <f t="shared" si="60"/>
        <v>39811290.184053391</v>
      </c>
      <c r="AJ93" s="65">
        <f t="shared" si="60"/>
        <v>43470395.883478671</v>
      </c>
      <c r="AK93" s="65">
        <f t="shared" si="60"/>
        <v>47612748.827359065</v>
      </c>
      <c r="AL93" s="65">
        <f>AL33*AL80</f>
        <v>52069302.117599875</v>
      </c>
      <c r="AM93" s="65">
        <f>SUM(M93:AL93)</f>
        <v>566290882.26422536</v>
      </c>
    </row>
    <row r="94" spans="4:40">
      <c r="D94" t="s">
        <v>125</v>
      </c>
      <c r="E94" s="16" t="s">
        <v>211</v>
      </c>
      <c r="K94" s="65">
        <f>K84*K34</f>
        <v>0</v>
      </c>
      <c r="L94" s="65">
        <f t="shared" ref="L94:AK94" si="61">L84*L34</f>
        <v>0</v>
      </c>
      <c r="M94" s="65">
        <f t="shared" si="61"/>
        <v>0</v>
      </c>
      <c r="N94" s="65">
        <f t="shared" si="61"/>
        <v>0</v>
      </c>
      <c r="O94" s="65">
        <f t="shared" si="61"/>
        <v>0</v>
      </c>
      <c r="P94" s="65">
        <f t="shared" si="61"/>
        <v>0</v>
      </c>
      <c r="Q94" s="65">
        <f t="shared" si="61"/>
        <v>0</v>
      </c>
      <c r="R94" s="65">
        <f t="shared" si="61"/>
        <v>0</v>
      </c>
      <c r="S94" s="65">
        <f t="shared" si="61"/>
        <v>171700</v>
      </c>
      <c r="T94" s="65">
        <f>T84*T34</f>
        <v>187771.11999999997</v>
      </c>
      <c r="U94" s="165">
        <f t="shared" si="61"/>
        <v>205346.49683199995</v>
      </c>
      <c r="V94" s="65">
        <f t="shared" si="61"/>
        <v>224566.92893547512</v>
      </c>
      <c r="W94" s="165">
        <f t="shared" si="61"/>
        <v>245586.39348383556</v>
      </c>
      <c r="X94" s="65">
        <f t="shared" si="61"/>
        <v>268573.27991392254</v>
      </c>
      <c r="Y94" s="65">
        <f t="shared" si="61"/>
        <v>293711.7389138657</v>
      </c>
      <c r="Z94" s="65">
        <f t="shared" si="61"/>
        <v>321203.15767620347</v>
      </c>
      <c r="AA94" s="65">
        <f t="shared" si="61"/>
        <v>351267.77323469607</v>
      </c>
      <c r="AB94" s="65">
        <f t="shared" si="61"/>
        <v>384146.4368094636</v>
      </c>
      <c r="AC94" s="65">
        <f t="shared" si="61"/>
        <v>420102.54329482937</v>
      </c>
      <c r="AD94" s="65">
        <f t="shared" si="61"/>
        <v>459424.14134722535</v>
      </c>
      <c r="AE94" s="65">
        <f t="shared" si="61"/>
        <v>502426.24097732559</v>
      </c>
      <c r="AF94" s="65">
        <f t="shared" si="61"/>
        <v>549453.33713280328</v>
      </c>
      <c r="AG94" s="65">
        <f t="shared" si="61"/>
        <v>600882.16948843363</v>
      </c>
      <c r="AH94" s="65">
        <f t="shared" si="61"/>
        <v>657124.740552551</v>
      </c>
      <c r="AI94" s="65">
        <f t="shared" si="61"/>
        <v>718631.61626826972</v>
      </c>
      <c r="AJ94" s="65">
        <f t="shared" si="61"/>
        <v>785895.53555097955</v>
      </c>
      <c r="AK94" s="65">
        <f t="shared" si="61"/>
        <v>859455.35767855123</v>
      </c>
      <c r="AL94" s="65">
        <f>AL84*AL34</f>
        <v>939900.37915726344</v>
      </c>
      <c r="AM94" s="65">
        <f t="shared" ref="AM94:AM96" si="62">SUM(M94:AL94)</f>
        <v>9147169.3872476947</v>
      </c>
    </row>
    <row r="95" spans="4:40">
      <c r="D95" t="s">
        <v>154</v>
      </c>
      <c r="E95" s="16" t="s">
        <v>211</v>
      </c>
      <c r="K95" s="65">
        <f>K35*K85</f>
        <v>0</v>
      </c>
      <c r="L95" s="65">
        <f t="shared" ref="L95:AK95" si="63">L35*L85</f>
        <v>0</v>
      </c>
      <c r="M95" s="65">
        <f t="shared" si="63"/>
        <v>0</v>
      </c>
      <c r="N95" s="65">
        <f t="shared" si="63"/>
        <v>0</v>
      </c>
      <c r="O95" s="65">
        <f t="shared" si="63"/>
        <v>0</v>
      </c>
      <c r="P95" s="65">
        <f t="shared" si="63"/>
        <v>0</v>
      </c>
      <c r="Q95" s="65">
        <f t="shared" si="63"/>
        <v>0</v>
      </c>
      <c r="R95" s="65">
        <f t="shared" si="63"/>
        <v>0</v>
      </c>
      <c r="S95" s="65">
        <f t="shared" si="63"/>
        <v>0</v>
      </c>
      <c r="T95" s="65">
        <f t="shared" si="63"/>
        <v>0</v>
      </c>
      <c r="U95" s="165">
        <f t="shared" si="63"/>
        <v>0</v>
      </c>
      <c r="V95" s="65">
        <f>V35*V85</f>
        <v>10470937.5</v>
      </c>
      <c r="W95" s="165">
        <f>W35*W85</f>
        <v>11451017.25</v>
      </c>
      <c r="X95" s="65">
        <f t="shared" si="63"/>
        <v>12557141.594639998</v>
      </c>
      <c r="Y95" s="65">
        <f t="shared" si="63"/>
        <v>13694969.583286555</v>
      </c>
      <c r="Z95" s="65">
        <f t="shared" si="63"/>
        <v>14976818.736282175</v>
      </c>
      <c r="AA95" s="65">
        <f t="shared" si="63"/>
        <v>16378648.969998186</v>
      </c>
      <c r="AB95" s="65">
        <f t="shared" si="63"/>
        <v>17960763.638284784</v>
      </c>
      <c r="AC95" s="65">
        <f t="shared" si="63"/>
        <v>19588224.745662041</v>
      </c>
      <c r="AD95" s="65">
        <f t="shared" si="63"/>
        <v>21421682.581856005</v>
      </c>
      <c r="AE95" s="65">
        <f t="shared" si="63"/>
        <v>23426752.071517725</v>
      </c>
      <c r="AF95" s="65">
        <f t="shared" si="63"/>
        <v>25689686.465590995</v>
      </c>
      <c r="AG95" s="65">
        <f t="shared" si="63"/>
        <v>28017480.897134326</v>
      </c>
      <c r="AH95" s="65">
        <f t="shared" si="63"/>
        <v>30639917.109106094</v>
      </c>
      <c r="AI95" s="65">
        <f t="shared" si="63"/>
        <v>33507813.350518424</v>
      </c>
      <c r="AJ95" s="65">
        <f t="shared" si="63"/>
        <v>36744539.597058795</v>
      </c>
      <c r="AK95" s="65">
        <f t="shared" si="63"/>
        <v>40074036.622186825</v>
      </c>
      <c r="AL95" s="65">
        <f>AL35*AL85</f>
        <v>43824966.450023502</v>
      </c>
      <c r="AM95" s="65">
        <f t="shared" si="62"/>
        <v>400425397.1631465</v>
      </c>
    </row>
    <row r="96" spans="4:40">
      <c r="D96" t="s">
        <v>423</v>
      </c>
      <c r="E96" s="16" t="s">
        <v>211</v>
      </c>
      <c r="K96" s="65">
        <f>K86*K36</f>
        <v>0</v>
      </c>
      <c r="L96" s="65">
        <f t="shared" ref="L96:AK96" si="64">L86*L36</f>
        <v>0</v>
      </c>
      <c r="M96" s="65">
        <f t="shared" si="64"/>
        <v>0</v>
      </c>
      <c r="N96" s="65">
        <f t="shared" si="64"/>
        <v>0</v>
      </c>
      <c r="O96" s="65">
        <f t="shared" si="64"/>
        <v>0</v>
      </c>
      <c r="P96" s="65">
        <f t="shared" si="64"/>
        <v>0</v>
      </c>
      <c r="Q96" s="65">
        <f t="shared" si="64"/>
        <v>0</v>
      </c>
      <c r="R96" s="65">
        <f t="shared" si="64"/>
        <v>0</v>
      </c>
      <c r="S96" s="65">
        <f t="shared" si="64"/>
        <v>0</v>
      </c>
      <c r="T96" s="65">
        <f t="shared" si="64"/>
        <v>0</v>
      </c>
      <c r="U96" s="165">
        <f t="shared" si="64"/>
        <v>0</v>
      </c>
      <c r="V96" s="65">
        <f t="shared" si="64"/>
        <v>0</v>
      </c>
      <c r="W96" s="165">
        <f t="shared" si="64"/>
        <v>0</v>
      </c>
      <c r="X96" s="65">
        <f t="shared" si="64"/>
        <v>0</v>
      </c>
      <c r="Y96" s="65">
        <f t="shared" si="64"/>
        <v>0</v>
      </c>
      <c r="Z96" s="65">
        <f t="shared" si="64"/>
        <v>0</v>
      </c>
      <c r="AA96" s="65">
        <f t="shared" si="64"/>
        <v>0</v>
      </c>
      <c r="AB96" s="65">
        <f t="shared" si="64"/>
        <v>0</v>
      </c>
      <c r="AC96" s="65">
        <f t="shared" si="64"/>
        <v>0</v>
      </c>
      <c r="AD96" s="65">
        <f t="shared" si="64"/>
        <v>0</v>
      </c>
      <c r="AE96" s="65">
        <f t="shared" si="64"/>
        <v>0</v>
      </c>
      <c r="AF96" s="65">
        <f t="shared" si="64"/>
        <v>0</v>
      </c>
      <c r="AG96" s="65">
        <f t="shared" si="64"/>
        <v>0</v>
      </c>
      <c r="AH96" s="65">
        <f t="shared" si="64"/>
        <v>0</v>
      </c>
      <c r="AI96" s="65">
        <f t="shared" si="64"/>
        <v>0</v>
      </c>
      <c r="AJ96" s="65">
        <f t="shared" si="64"/>
        <v>0</v>
      </c>
      <c r="AK96" s="65">
        <f t="shared" si="64"/>
        <v>0</v>
      </c>
      <c r="AL96" s="65">
        <f>AL86*AL36</f>
        <v>0</v>
      </c>
      <c r="AM96" s="65">
        <f t="shared" si="62"/>
        <v>0</v>
      </c>
      <c r="AN96" s="65">
        <f>SUM(AM93:AM96)</f>
        <v>975863448.81461954</v>
      </c>
    </row>
    <row r="97" spans="4:40">
      <c r="D97" t="s">
        <v>528</v>
      </c>
      <c r="E97" s="16" t="s">
        <v>211</v>
      </c>
      <c r="K97" s="65">
        <f>SUM(K93:K96)</f>
        <v>418617</v>
      </c>
      <c r="L97" s="65">
        <f t="shared" ref="L97:AL97" si="65">SUM(L93:L96)</f>
        <v>432281.31558032165</v>
      </c>
      <c r="M97" s="65">
        <f t="shared" si="65"/>
        <v>492889.37674629915</v>
      </c>
      <c r="N97" s="65">
        <f t="shared" si="65"/>
        <v>3502487.1470910721</v>
      </c>
      <c r="O97" s="65">
        <f t="shared" si="65"/>
        <v>7641970.5889749406</v>
      </c>
      <c r="P97" s="65">
        <f t="shared" si="65"/>
        <v>8357259.0361029953</v>
      </c>
      <c r="Q97" s="65">
        <f t="shared" si="65"/>
        <v>10737421.661030015</v>
      </c>
      <c r="R97" s="65">
        <f t="shared" si="65"/>
        <v>11742444.328502422</v>
      </c>
      <c r="S97" s="65">
        <f t="shared" si="65"/>
        <v>14925936.403352393</v>
      </c>
      <c r="T97" s="65">
        <f t="shared" si="65"/>
        <v>16323004.050706174</v>
      </c>
      <c r="U97" s="165">
        <f t="shared" si="65"/>
        <v>17850837.22985227</v>
      </c>
      <c r="V97" s="65">
        <f t="shared" si="65"/>
        <v>23136230.624670267</v>
      </c>
      <c r="W97" s="165">
        <f t="shared" si="65"/>
        <v>25301781.811139405</v>
      </c>
      <c r="X97" s="65">
        <f t="shared" si="65"/>
        <v>27681362.061043389</v>
      </c>
      <c r="Y97" s="65">
        <f t="shared" si="65"/>
        <v>30259943.264560811</v>
      </c>
      <c r="Z97" s="65">
        <f t="shared" si="65"/>
        <v>33092273.954123706</v>
      </c>
      <c r="AA97" s="65">
        <f t="shared" si="65"/>
        <v>36189710.796229675</v>
      </c>
      <c r="AB97" s="65">
        <f t="shared" si="65"/>
        <v>39593278.248642519</v>
      </c>
      <c r="AC97" s="65">
        <f t="shared" si="65"/>
        <v>43281481.265981205</v>
      </c>
      <c r="AD97" s="65">
        <f t="shared" si="65"/>
        <v>47332627.912477039</v>
      </c>
      <c r="AE97" s="65">
        <f t="shared" si="65"/>
        <v>51762961.885084882</v>
      </c>
      <c r="AF97" s="65">
        <f t="shared" si="65"/>
        <v>56631161.393629059</v>
      </c>
      <c r="AG97" s="65">
        <f t="shared" si="65"/>
        <v>61906481.588529527</v>
      </c>
      <c r="AH97" s="65">
        <f t="shared" si="65"/>
        <v>67700928.265215874</v>
      </c>
      <c r="AI97" s="65">
        <f t="shared" si="65"/>
        <v>74037735.150840089</v>
      </c>
      <c r="AJ97" s="65">
        <f t="shared" si="65"/>
        <v>81000831.016088456</v>
      </c>
      <c r="AK97" s="65">
        <f t="shared" si="65"/>
        <v>88546240.807224438</v>
      </c>
      <c r="AL97" s="65">
        <f t="shared" si="65"/>
        <v>96834168.946780637</v>
      </c>
      <c r="AM97" s="70">
        <f>SUM(M97:AL97)</f>
        <v>975863448.81461954</v>
      </c>
      <c r="AN97" s="65"/>
    </row>
    <row r="98" spans="4:40" ht="18">
      <c r="D98" s="15" t="s">
        <v>212</v>
      </c>
      <c r="E98" s="16"/>
      <c r="K98" s="70">
        <f>SUM(K99:K102)</f>
        <v>3539306.375</v>
      </c>
      <c r="L98" s="70">
        <f t="shared" ref="L98:AK98" si="66">SUM(L99:L102)</f>
        <v>3615442.7379177581</v>
      </c>
      <c r="M98" s="70">
        <f t="shared" si="66"/>
        <v>4122346.3830767944</v>
      </c>
      <c r="N98" s="70">
        <f t="shared" si="66"/>
        <v>11283241.373082571</v>
      </c>
      <c r="O98" s="70">
        <f t="shared" si="66"/>
        <v>12309281.247900631</v>
      </c>
      <c r="P98" s="70">
        <f t="shared" si="66"/>
        <v>13461429.972704127</v>
      </c>
      <c r="Q98" s="70">
        <f t="shared" si="66"/>
        <v>17074441.421168253</v>
      </c>
      <c r="R98" s="70">
        <f t="shared" si="66"/>
        <v>18471995.746749964</v>
      </c>
      <c r="S98" s="70">
        <f t="shared" si="66"/>
        <v>23710843.34258512</v>
      </c>
      <c r="T98" s="70">
        <f t="shared" si="66"/>
        <v>25652539.116246771</v>
      </c>
      <c r="U98" s="169">
        <f t="shared" si="66"/>
        <v>27754044.120430008</v>
      </c>
      <c r="V98" s="70">
        <f t="shared" si="66"/>
        <v>30028583.753094099</v>
      </c>
      <c r="W98" s="169">
        <f t="shared" si="66"/>
        <v>32490484.422511902</v>
      </c>
      <c r="X98" s="70">
        <f t="shared" si="66"/>
        <v>35155265.787767336</v>
      </c>
      <c r="Y98" s="70">
        <f t="shared" si="66"/>
        <v>38039740.77865205</v>
      </c>
      <c r="Z98" s="70">
        <f t="shared" si="66"/>
        <v>41162124.055622384</v>
      </c>
      <c r="AA98" s="70">
        <f t="shared" si="66"/>
        <v>44542149.626984142</v>
      </c>
      <c r="AB98" s="70">
        <f t="shared" si="66"/>
        <v>48201198.401846044</v>
      </c>
      <c r="AC98" s="70">
        <f t="shared" si="66"/>
        <v>52162436.52404733</v>
      </c>
      <c r="AD98" s="70">
        <f t="shared" si="66"/>
        <v>56450965.404677957</v>
      </c>
      <c r="AE98" s="70">
        <f t="shared" si="66"/>
        <v>61093984.449472003</v>
      </c>
      <c r="AF98" s="70">
        <f t="shared" si="66"/>
        <v>66120967.562809169</v>
      </c>
      <c r="AG98" s="70">
        <f t="shared" si="66"/>
        <v>71563854.602895141</v>
      </c>
      <c r="AH98" s="70">
        <f t="shared" si="66"/>
        <v>77457259.063553527</v>
      </c>
      <c r="AI98" s="70">
        <f t="shared" si="66"/>
        <v>83838693.367645904</v>
      </c>
      <c r="AJ98" s="70">
        <f t="shared" si="66"/>
        <v>90748813.276205078</v>
      </c>
      <c r="AK98" s="70">
        <f t="shared" si="66"/>
        <v>98231683.04674384</v>
      </c>
      <c r="AL98" s="70">
        <f>SUM(AL99:AL102)</f>
        <v>106335063.11478803</v>
      </c>
      <c r="AN98">
        <v>1303244170.6500001</v>
      </c>
    </row>
    <row r="99" spans="4:40">
      <c r="D99" s="7" t="s">
        <v>122</v>
      </c>
      <c r="E99" s="16" t="s">
        <v>211</v>
      </c>
      <c r="K99" s="65">
        <f>K53*K81</f>
        <v>634463.375</v>
      </c>
      <c r="L99" s="65">
        <f t="shared" ref="L99:AL99" si="67">L53*L81</f>
        <v>655173.25486669422</v>
      </c>
      <c r="M99" s="65">
        <f t="shared" si="67"/>
        <v>747031.91096420691</v>
      </c>
      <c r="N99" s="65">
        <f t="shared" si="67"/>
        <v>2044695.0793380849</v>
      </c>
      <c r="O99" s="65">
        <f t="shared" si="67"/>
        <v>2230629.1220370228</v>
      </c>
      <c r="P99" s="65">
        <f t="shared" si="67"/>
        <v>2439416.0078596878</v>
      </c>
      <c r="Q99" s="65">
        <f t="shared" si="67"/>
        <v>3134166.1386709674</v>
      </c>
      <c r="R99" s="65">
        <f t="shared" si="67"/>
        <v>3427524.0892505697</v>
      </c>
      <c r="S99" s="65">
        <f t="shared" si="67"/>
        <v>4455710.1831125291</v>
      </c>
      <c r="T99" s="65">
        <f t="shared" si="67"/>
        <v>4872764.6562518617</v>
      </c>
      <c r="U99" s="165">
        <f t="shared" si="67"/>
        <v>5328855.4280770356</v>
      </c>
      <c r="V99" s="65">
        <f t="shared" si="67"/>
        <v>5827636.2961450452</v>
      </c>
      <c r="W99" s="165">
        <f t="shared" si="67"/>
        <v>6373103.0534642208</v>
      </c>
      <c r="X99" s="65">
        <f t="shared" si="67"/>
        <v>6969625.4992684713</v>
      </c>
      <c r="Y99" s="65">
        <f t="shared" si="67"/>
        <v>7621982.4459999986</v>
      </c>
      <c r="Z99" s="65">
        <f t="shared" si="67"/>
        <v>8335400.0029455973</v>
      </c>
      <c r="AA99" s="65">
        <f t="shared" si="67"/>
        <v>9115593.4432213046</v>
      </c>
      <c r="AB99" s="65">
        <f t="shared" si="67"/>
        <v>9968812.9895068184</v>
      </c>
      <c r="AC99" s="65">
        <f t="shared" si="67"/>
        <v>10901893.885324653</v>
      </c>
      <c r="AD99" s="65">
        <f t="shared" si="67"/>
        <v>11922311.152991042</v>
      </c>
      <c r="AE99" s="65">
        <f t="shared" si="67"/>
        <v>13038239.476911001</v>
      </c>
      <c r="AF99" s="65">
        <f t="shared" si="67"/>
        <v>14258618.69194987</v>
      </c>
      <c r="AG99" s="65">
        <f t="shared" si="67"/>
        <v>15593225.401516376</v>
      </c>
      <c r="AH99" s="65">
        <f t="shared" si="67"/>
        <v>17052751.299098309</v>
      </c>
      <c r="AI99" s="65">
        <f t="shared" si="67"/>
        <v>18648888.820693906</v>
      </c>
      <c r="AJ99" s="65">
        <f t="shared" si="67"/>
        <v>20394424.814310856</v>
      </c>
      <c r="AK99" s="65">
        <f t="shared" si="67"/>
        <v>22303342.97693035</v>
      </c>
      <c r="AL99" s="65">
        <f t="shared" si="67"/>
        <v>24390935.879571028</v>
      </c>
    </row>
    <row r="100" spans="4:40">
      <c r="D100" s="7" t="s">
        <v>123</v>
      </c>
      <c r="E100" s="16" t="s">
        <v>211</v>
      </c>
      <c r="K100" s="65">
        <f>K54*K82</f>
        <v>2857365</v>
      </c>
      <c r="L100" s="65">
        <f t="shared" ref="L100:AL100" si="68">L54*L82</f>
        <v>2911241.7266505295</v>
      </c>
      <c r="M100" s="65">
        <f t="shared" si="68"/>
        <v>3319412.7723986227</v>
      </c>
      <c r="N100" s="65">
        <f t="shared" si="68"/>
        <v>9085538.1977660321</v>
      </c>
      <c r="O100" s="65">
        <f t="shared" si="68"/>
        <v>9911730.261451697</v>
      </c>
      <c r="P100" s="65">
        <f t="shared" si="68"/>
        <v>10839468.213923573</v>
      </c>
      <c r="Q100" s="65">
        <f t="shared" si="68"/>
        <v>13740643.249290228</v>
      </c>
      <c r="R100" s="65">
        <f t="shared" si="68"/>
        <v>14826154.065984154</v>
      </c>
      <c r="S100" s="65">
        <f t="shared" si="68"/>
        <v>19016381.041391525</v>
      </c>
      <c r="T100" s="65">
        <f t="shared" si="68"/>
        <v>20518675.143661454</v>
      </c>
      <c r="U100" s="165">
        <f t="shared" si="68"/>
        <v>22139650.480010707</v>
      </c>
      <c r="V100" s="65">
        <f t="shared" si="68"/>
        <v>23888682.867931552</v>
      </c>
      <c r="W100" s="165">
        <f t="shared" si="68"/>
        <v>25775888.814498141</v>
      </c>
      <c r="X100" s="65">
        <f t="shared" si="68"/>
        <v>27812184.030843493</v>
      </c>
      <c r="Y100" s="65">
        <f t="shared" si="68"/>
        <v>30009346.569280129</v>
      </c>
      <c r="Z100" s="65">
        <f t="shared" si="68"/>
        <v>32380084.948253259</v>
      </c>
      <c r="AA100" s="65">
        <f t="shared" si="68"/>
        <v>34938111.659165263</v>
      </c>
      <c r="AB100" s="65">
        <f t="shared" si="68"/>
        <v>37698222.480239317</v>
      </c>
      <c r="AC100" s="65">
        <f t="shared" si="68"/>
        <v>40676382.05617822</v>
      </c>
      <c r="AD100" s="65">
        <f t="shared" si="68"/>
        <v>43889816.238616295</v>
      </c>
      <c r="AE100" s="65">
        <f t="shared" si="68"/>
        <v>47357111.721466973</v>
      </c>
      <c r="AF100" s="65">
        <f t="shared" si="68"/>
        <v>51098323.547462866</v>
      </c>
      <c r="AG100" s="65">
        <f t="shared" si="68"/>
        <v>55135091.107712433</v>
      </c>
      <c r="AH100" s="65">
        <f t="shared" si="68"/>
        <v>59490763.305221714</v>
      </c>
      <c r="AI100" s="65">
        <f t="shared" si="68"/>
        <v>64190533.606334232</v>
      </c>
      <c r="AJ100" s="65">
        <f t="shared" si="68"/>
        <v>69261585.761234626</v>
      </c>
      <c r="AK100" s="65">
        <f t="shared" si="68"/>
        <v>74733251.03637217</v>
      </c>
      <c r="AL100" s="65">
        <f t="shared" si="68"/>
        <v>80637177.868245557</v>
      </c>
    </row>
    <row r="101" spans="4:40">
      <c r="D101" s="63" t="s">
        <v>124</v>
      </c>
      <c r="E101" s="16" t="s">
        <v>211</v>
      </c>
      <c r="K101" s="65">
        <f>K83*K56</f>
        <v>47477.999999999993</v>
      </c>
      <c r="L101" s="65">
        <f t="shared" ref="L101:AL101" si="69">L83*L56</f>
        <v>49027.756400534403</v>
      </c>
      <c r="M101" s="65">
        <f t="shared" si="69"/>
        <v>55901.699713964757</v>
      </c>
      <c r="N101" s="65">
        <f t="shared" si="69"/>
        <v>153008.09597845364</v>
      </c>
      <c r="O101" s="65">
        <f t="shared" si="69"/>
        <v>166921.86441191152</v>
      </c>
      <c r="P101" s="65">
        <f t="shared" si="69"/>
        <v>182545.75092086644</v>
      </c>
      <c r="Q101" s="65">
        <f t="shared" si="69"/>
        <v>199632.03320705952</v>
      </c>
      <c r="R101" s="65">
        <f t="shared" si="69"/>
        <v>218317.59151524026</v>
      </c>
      <c r="S101" s="65">
        <f t="shared" si="69"/>
        <v>238752.11808106676</v>
      </c>
      <c r="T101" s="65">
        <f t="shared" si="69"/>
        <v>261099.3163334546</v>
      </c>
      <c r="U101" s="165">
        <f t="shared" si="69"/>
        <v>285538.21234226594</v>
      </c>
      <c r="V101" s="65">
        <f t="shared" si="69"/>
        <v>312264.58901750197</v>
      </c>
      <c r="W101" s="165">
        <f t="shared" si="69"/>
        <v>341492.5545495401</v>
      </c>
      <c r="X101" s="65">
        <f t="shared" si="69"/>
        <v>373456.25765537709</v>
      </c>
      <c r="Y101" s="65">
        <f t="shared" si="69"/>
        <v>408411.76337192033</v>
      </c>
      <c r="Z101" s="65">
        <f t="shared" si="69"/>
        <v>446639.10442353203</v>
      </c>
      <c r="AA101" s="65">
        <f t="shared" si="69"/>
        <v>488444.52459757455</v>
      </c>
      <c r="AB101" s="65">
        <f t="shared" si="69"/>
        <v>534162.93209990754</v>
      </c>
      <c r="AC101" s="65">
        <f t="shared" si="69"/>
        <v>584160.58254445891</v>
      </c>
      <c r="AD101" s="65">
        <f t="shared" si="69"/>
        <v>638838.01307062013</v>
      </c>
      <c r="AE101" s="65">
        <f t="shared" si="69"/>
        <v>698633.25109403022</v>
      </c>
      <c r="AF101" s="65">
        <f t="shared" si="69"/>
        <v>764025.3233964314</v>
      </c>
      <c r="AG101" s="65">
        <f t="shared" si="69"/>
        <v>835538.09366633731</v>
      </c>
      <c r="AH101" s="65">
        <f t="shared" si="69"/>
        <v>913744.45923350647</v>
      </c>
      <c r="AI101" s="65">
        <f t="shared" si="69"/>
        <v>999270.94061776262</v>
      </c>
      <c r="AJ101" s="65">
        <f t="shared" si="69"/>
        <v>1092802.700659585</v>
      </c>
      <c r="AK101" s="65">
        <f t="shared" si="69"/>
        <v>1195089.0334413222</v>
      </c>
      <c r="AL101" s="65">
        <f t="shared" si="69"/>
        <v>1306949.3669714297</v>
      </c>
    </row>
    <row r="102" spans="4:40">
      <c r="D102" s="7" t="s">
        <v>233</v>
      </c>
      <c r="E102" s="16" t="s">
        <v>211</v>
      </c>
      <c r="AB102"/>
    </row>
    <row r="103" spans="4:40" ht="18">
      <c r="D103" s="15" t="s">
        <v>234</v>
      </c>
      <c r="K103" s="69">
        <f>SUM(K104:K105)</f>
        <v>1742558.4</v>
      </c>
      <c r="L103" s="69">
        <f t="shared" ref="L103:AK103" si="70">SUM(L104:L105)</f>
        <v>1750689.2990336004</v>
      </c>
      <c r="M103" s="69">
        <f t="shared" si="70"/>
        <v>1936490.0635776964</v>
      </c>
      <c r="N103" s="69">
        <f t="shared" si="70"/>
        <v>5423644.0497468477</v>
      </c>
      <c r="O103" s="69">
        <f t="shared" si="70"/>
        <v>5715888.7790665459</v>
      </c>
      <c r="P103" s="69">
        <f t="shared" si="70"/>
        <v>6058842.1058105398</v>
      </c>
      <c r="Q103" s="69">
        <f t="shared" si="70"/>
        <v>9089964.0989261791</v>
      </c>
      <c r="R103" s="69">
        <f t="shared" si="70"/>
        <v>9635361.944861751</v>
      </c>
      <c r="S103" s="69">
        <f t="shared" si="70"/>
        <v>14014350.747057183</v>
      </c>
      <c r="T103" s="182">
        <f t="shared" si="70"/>
        <v>14855211.791880617</v>
      </c>
      <c r="U103" s="168">
        <f t="shared" si="70"/>
        <v>15746524.499393454</v>
      </c>
      <c r="V103" s="69">
        <f t="shared" si="70"/>
        <v>16691315.969357062</v>
      </c>
      <c r="W103" s="168">
        <f t="shared" si="70"/>
        <v>7832982.5237244023</v>
      </c>
      <c r="X103" s="69">
        <f t="shared" si="70"/>
        <v>8274327.4993998613</v>
      </c>
      <c r="Y103" s="69">
        <f t="shared" si="70"/>
        <v>8801139.1636567395</v>
      </c>
      <c r="Z103" s="69">
        <f t="shared" si="70"/>
        <v>9329207.5134761445</v>
      </c>
      <c r="AA103" s="69">
        <f t="shared" si="70"/>
        <v>9888959.9642847124</v>
      </c>
      <c r="AB103" s="69">
        <f t="shared" si="70"/>
        <v>10446147.827486742</v>
      </c>
      <c r="AC103" s="69">
        <f t="shared" si="70"/>
        <v>11111235.415870303</v>
      </c>
      <c r="AD103" s="69">
        <f t="shared" si="70"/>
        <v>11777909.540822523</v>
      </c>
      <c r="AE103" s="69">
        <f t="shared" si="70"/>
        <v>12484584.113271875</v>
      </c>
      <c r="AF103" s="69">
        <f t="shared" si="70"/>
        <v>13188020.952956069</v>
      </c>
      <c r="AG103" s="69">
        <f t="shared" si="70"/>
        <v>14027678.70967228</v>
      </c>
      <c r="AH103" s="69">
        <f t="shared" si="70"/>
        <v>14869339.432252619</v>
      </c>
      <c r="AI103" s="69">
        <f t="shared" si="70"/>
        <v>15761499.798187777</v>
      </c>
      <c r="AJ103" s="69">
        <f t="shared" si="70"/>
        <v>16649572.601104284</v>
      </c>
      <c r="AK103" s="69">
        <f t="shared" si="70"/>
        <v>17709621.173243787</v>
      </c>
      <c r="AL103" s="69">
        <f>SUM(AL104:AL105)</f>
        <v>18772198.443638414</v>
      </c>
    </row>
    <row r="104" spans="4:40">
      <c r="D104" s="7" t="s">
        <v>236</v>
      </c>
      <c r="E104" s="16" t="s">
        <v>211</v>
      </c>
      <c r="K104" s="65">
        <f t="shared" ref="K104:AK104" si="71">K65*K78</f>
        <v>1501269.7999999998</v>
      </c>
      <c r="L104" s="65">
        <f t="shared" si="71"/>
        <v>1508307.4736136002</v>
      </c>
      <c r="M104" s="65">
        <f t="shared" si="71"/>
        <v>1667172.0942583524</v>
      </c>
      <c r="N104" s="65">
        <f t="shared" si="71"/>
        <v>4669962.6426580157</v>
      </c>
      <c r="O104" s="65">
        <f t="shared" si="71"/>
        <v>4921596.4069535164</v>
      </c>
      <c r="P104" s="65">
        <f t="shared" si="71"/>
        <v>5216892.1913707284</v>
      </c>
      <c r="Q104" s="65">
        <f t="shared" si="71"/>
        <v>7826802.8609047756</v>
      </c>
      <c r="R104" s="65">
        <f t="shared" si="71"/>
        <v>8296411.0325590624</v>
      </c>
      <c r="S104" s="65">
        <f t="shared" si="71"/>
        <v>12066885.999445016</v>
      </c>
      <c r="T104" s="65">
        <f t="shared" si="71"/>
        <v>12790899.159411719</v>
      </c>
      <c r="U104" s="165">
        <f t="shared" si="71"/>
        <v>13558353.108976422</v>
      </c>
      <c r="V104" s="65">
        <f t="shared" si="71"/>
        <v>14371854.295515008</v>
      </c>
      <c r="W104" s="165">
        <f t="shared" si="71"/>
        <v>6744494.187094274</v>
      </c>
      <c r="X104" s="65">
        <f t="shared" si="71"/>
        <v>7124508.9022976821</v>
      </c>
      <c r="Y104" s="65">
        <f t="shared" si="71"/>
        <v>7578113.668619127</v>
      </c>
      <c r="Z104" s="65">
        <f t="shared" si="71"/>
        <v>8032800.4887362756</v>
      </c>
      <c r="AA104" s="65">
        <f t="shared" si="71"/>
        <v>8514768.5180604514</v>
      </c>
      <c r="AB104" s="65">
        <f t="shared" si="71"/>
        <v>8994528.340465717</v>
      </c>
      <c r="AC104" s="65">
        <f t="shared" si="71"/>
        <v>9567193.9068927243</v>
      </c>
      <c r="AD104" s="65">
        <f t="shared" si="71"/>
        <v>10141225.541306289</v>
      </c>
      <c r="AE104" s="65">
        <f t="shared" si="71"/>
        <v>10749699.073784666</v>
      </c>
      <c r="AF104" s="65">
        <f t="shared" si="71"/>
        <v>11355384.795905005</v>
      </c>
      <c r="AG104" s="65">
        <f t="shared" si="71"/>
        <v>12078361.879304452</v>
      </c>
      <c r="AH104" s="65">
        <f t="shared" si="71"/>
        <v>12803063.592062721</v>
      </c>
      <c r="AI104" s="65">
        <f t="shared" si="71"/>
        <v>13571247.407586485</v>
      </c>
      <c r="AJ104" s="65">
        <f t="shared" si="71"/>
        <v>14335911.676764375</v>
      </c>
      <c r="AK104" s="65">
        <f t="shared" si="71"/>
        <v>15248653.587164175</v>
      </c>
      <c r="AL104" s="65">
        <f>AL65*AL78</f>
        <v>16163572.802394027</v>
      </c>
    </row>
    <row r="105" spans="4:40">
      <c r="D105" s="7" t="s">
        <v>237</v>
      </c>
      <c r="E105" s="16" t="s">
        <v>211</v>
      </c>
      <c r="K105" s="106">
        <f t="shared" ref="K105:AL105" si="72">K65*K79</f>
        <v>241288.6</v>
      </c>
      <c r="L105" s="106">
        <f t="shared" si="72"/>
        <v>242381.82542000004</v>
      </c>
      <c r="M105" s="106">
        <f t="shared" si="72"/>
        <v>269317.96931934403</v>
      </c>
      <c r="N105" s="106">
        <f t="shared" si="72"/>
        <v>753681.407088832</v>
      </c>
      <c r="O105" s="106">
        <f t="shared" si="72"/>
        <v>794292.37211302912</v>
      </c>
      <c r="P105" s="106">
        <f t="shared" si="72"/>
        <v>841949.91443981091</v>
      </c>
      <c r="Q105" s="106">
        <f t="shared" si="72"/>
        <v>1263161.238021404</v>
      </c>
      <c r="R105" s="106">
        <f t="shared" si="72"/>
        <v>1338950.9123026882</v>
      </c>
      <c r="S105" s="106">
        <f t="shared" si="72"/>
        <v>1947464.7476121678</v>
      </c>
      <c r="T105" s="106">
        <f t="shared" si="72"/>
        <v>2064312.6324688981</v>
      </c>
      <c r="U105" s="170">
        <f t="shared" si="72"/>
        <v>2188171.3904170319</v>
      </c>
      <c r="V105" s="106">
        <f t="shared" si="72"/>
        <v>2319461.6738420543</v>
      </c>
      <c r="W105" s="170">
        <f t="shared" si="72"/>
        <v>1088488.3366301281</v>
      </c>
      <c r="X105" s="106">
        <f t="shared" si="72"/>
        <v>1149818.5971021797</v>
      </c>
      <c r="Y105" s="106">
        <f t="shared" si="72"/>
        <v>1223025.495037612</v>
      </c>
      <c r="Z105" s="106">
        <f t="shared" si="72"/>
        <v>1296407.0247398687</v>
      </c>
      <c r="AA105" s="106">
        <f t="shared" si="72"/>
        <v>1374191.4462242608</v>
      </c>
      <c r="AB105" s="106">
        <f t="shared" si="72"/>
        <v>1451619.4870210246</v>
      </c>
      <c r="AC105" s="106">
        <f t="shared" si="72"/>
        <v>1544041.5089775797</v>
      </c>
      <c r="AD105" s="106">
        <f t="shared" si="72"/>
        <v>1636683.9995162345</v>
      </c>
      <c r="AE105" s="106">
        <f t="shared" si="72"/>
        <v>1734885.0394872087</v>
      </c>
      <c r="AF105" s="106">
        <f t="shared" si="72"/>
        <v>1832636.1570510631</v>
      </c>
      <c r="AG105" s="106">
        <f t="shared" si="72"/>
        <v>1949316.830367828</v>
      </c>
      <c r="AH105" s="106">
        <f t="shared" si="72"/>
        <v>2066275.8401898977</v>
      </c>
      <c r="AI105" s="106">
        <f t="shared" si="72"/>
        <v>2190252.3906012918</v>
      </c>
      <c r="AJ105" s="106">
        <f t="shared" si="72"/>
        <v>2313660.9243399091</v>
      </c>
      <c r="AK105" s="106">
        <f t="shared" si="72"/>
        <v>2460967.5860796114</v>
      </c>
      <c r="AL105" s="106">
        <f t="shared" si="72"/>
        <v>2608625.6412443887</v>
      </c>
    </row>
    <row r="106" spans="4:40" ht="18">
      <c r="D106" s="15" t="s">
        <v>428</v>
      </c>
      <c r="K106" s="69">
        <f>SUM(K107)</f>
        <v>0</v>
      </c>
      <c r="L106" s="69">
        <f t="shared" ref="L106:AK106" si="73">SUM(L107)</f>
        <v>0</v>
      </c>
      <c r="M106" s="69">
        <f t="shared" si="73"/>
        <v>0</v>
      </c>
      <c r="N106" s="69">
        <f t="shared" si="73"/>
        <v>0</v>
      </c>
      <c r="O106" s="69">
        <f t="shared" si="73"/>
        <v>0</v>
      </c>
      <c r="P106" s="69">
        <f t="shared" si="73"/>
        <v>0</v>
      </c>
      <c r="Q106" s="69">
        <f t="shared" si="73"/>
        <v>50000</v>
      </c>
      <c r="R106" s="69">
        <f t="shared" si="73"/>
        <v>50000</v>
      </c>
      <c r="S106" s="69">
        <f t="shared" si="73"/>
        <v>50000</v>
      </c>
      <c r="T106" s="182">
        <f t="shared" si="73"/>
        <v>50000</v>
      </c>
      <c r="U106" s="168">
        <f t="shared" si="73"/>
        <v>50000</v>
      </c>
      <c r="V106" s="69">
        <f t="shared" si="73"/>
        <v>50000</v>
      </c>
      <c r="W106" s="168">
        <f t="shared" si="73"/>
        <v>50000</v>
      </c>
      <c r="X106" s="69">
        <f t="shared" si="73"/>
        <v>50000</v>
      </c>
      <c r="Y106" s="69">
        <f t="shared" si="73"/>
        <v>50000</v>
      </c>
      <c r="Z106" s="69">
        <f t="shared" si="73"/>
        <v>50000</v>
      </c>
      <c r="AA106" s="69">
        <f t="shared" si="73"/>
        <v>50000</v>
      </c>
      <c r="AB106" s="69">
        <f t="shared" si="73"/>
        <v>50000</v>
      </c>
      <c r="AC106" s="69">
        <f t="shared" si="73"/>
        <v>50000</v>
      </c>
      <c r="AD106" s="69">
        <f t="shared" si="73"/>
        <v>50000</v>
      </c>
      <c r="AE106" s="69">
        <f t="shared" si="73"/>
        <v>50000</v>
      </c>
      <c r="AF106" s="69">
        <f t="shared" si="73"/>
        <v>50000</v>
      </c>
      <c r="AG106" s="69">
        <f t="shared" si="73"/>
        <v>50000</v>
      </c>
      <c r="AH106" s="69">
        <f t="shared" si="73"/>
        <v>50000</v>
      </c>
      <c r="AI106" s="69">
        <f t="shared" si="73"/>
        <v>50000</v>
      </c>
      <c r="AJ106" s="69">
        <f t="shared" si="73"/>
        <v>50000</v>
      </c>
      <c r="AK106" s="69">
        <f t="shared" si="73"/>
        <v>50000</v>
      </c>
      <c r="AL106" s="69">
        <f>SUM(AL107)</f>
        <v>50000</v>
      </c>
    </row>
    <row r="107" spans="4:40">
      <c r="D107" s="7" t="s">
        <v>429</v>
      </c>
      <c r="E107" s="16" t="s">
        <v>211</v>
      </c>
      <c r="K107" s="65">
        <f>K67*K80</f>
        <v>0</v>
      </c>
      <c r="L107" s="65">
        <f t="shared" ref="L107:P107" si="74">L67*L80</f>
        <v>0</v>
      </c>
      <c r="M107" s="65">
        <f t="shared" si="74"/>
        <v>0</v>
      </c>
      <c r="N107" s="65">
        <f t="shared" si="74"/>
        <v>0</v>
      </c>
      <c r="O107" s="65">
        <f t="shared" si="74"/>
        <v>0</v>
      </c>
      <c r="P107" s="65">
        <f t="shared" si="74"/>
        <v>0</v>
      </c>
      <c r="Q107" s="65">
        <f>Inputs!$E$200</f>
        <v>50000</v>
      </c>
      <c r="R107" s="65">
        <f>Inputs!$E$200</f>
        <v>50000</v>
      </c>
      <c r="S107" s="65">
        <f>Inputs!$E$200</f>
        <v>50000</v>
      </c>
      <c r="T107" s="65">
        <f>Inputs!$E$200</f>
        <v>50000</v>
      </c>
      <c r="U107" s="165">
        <f>Inputs!$E$200</f>
        <v>50000</v>
      </c>
      <c r="V107" s="65">
        <f>Inputs!$E$200</f>
        <v>50000</v>
      </c>
      <c r="W107" s="165">
        <f>Inputs!$E$200</f>
        <v>50000</v>
      </c>
      <c r="X107" s="65">
        <f>Inputs!$E$200</f>
        <v>50000</v>
      </c>
      <c r="Y107" s="65">
        <f>Inputs!$E$200</f>
        <v>50000</v>
      </c>
      <c r="Z107" s="65">
        <f>Inputs!$E$200</f>
        <v>50000</v>
      </c>
      <c r="AA107" s="65">
        <f>Inputs!$E$200</f>
        <v>50000</v>
      </c>
      <c r="AB107" s="65">
        <f>Inputs!$E$200</f>
        <v>50000</v>
      </c>
      <c r="AC107" s="65">
        <f>Inputs!$E$200</f>
        <v>50000</v>
      </c>
      <c r="AD107" s="65">
        <f>Inputs!$E$200</f>
        <v>50000</v>
      </c>
      <c r="AE107" s="65">
        <f>Inputs!$E$200</f>
        <v>50000</v>
      </c>
      <c r="AF107" s="65">
        <f>Inputs!$E$200</f>
        <v>50000</v>
      </c>
      <c r="AG107" s="65">
        <f>Inputs!$E$200</f>
        <v>50000</v>
      </c>
      <c r="AH107" s="65">
        <f>Inputs!$E$200</f>
        <v>50000</v>
      </c>
      <c r="AI107" s="65">
        <f>Inputs!$E$200</f>
        <v>50000</v>
      </c>
      <c r="AJ107" s="65">
        <f>Inputs!$E$200</f>
        <v>50000</v>
      </c>
      <c r="AK107" s="65">
        <f>Inputs!$E$200</f>
        <v>50000</v>
      </c>
      <c r="AL107" s="65">
        <f>Inputs!$E$200</f>
        <v>50000</v>
      </c>
    </row>
    <row r="108" spans="4:40">
      <c r="D108" s="23" t="s">
        <v>338</v>
      </c>
      <c r="E108" s="16" t="s">
        <v>211</v>
      </c>
      <c r="K108" s="70">
        <f>K103+K106+K98+K91</f>
        <v>9446804.7750000004</v>
      </c>
      <c r="L108" s="70">
        <f t="shared" ref="L108:AK108" si="75">L103+L106+L98+L91</f>
        <v>9561710.1156316809</v>
      </c>
      <c r="M108" s="70">
        <f t="shared" si="75"/>
        <v>10573824.57784687</v>
      </c>
      <c r="N108" s="70">
        <f t="shared" si="75"/>
        <v>27832572.701335274</v>
      </c>
      <c r="O108" s="70">
        <f t="shared" si="75"/>
        <v>25667140.615942117</v>
      </c>
      <c r="P108" s="70">
        <f t="shared" si="75"/>
        <v>27877531.114617661</v>
      </c>
      <c r="Q108" s="70">
        <f t="shared" si="75"/>
        <v>36951827.181124449</v>
      </c>
      <c r="R108" s="70">
        <f t="shared" si="75"/>
        <v>39899802.020114139</v>
      </c>
      <c r="S108" s="70">
        <f t="shared" si="75"/>
        <v>52920618.69542785</v>
      </c>
      <c r="T108" s="70">
        <f t="shared" si="75"/>
        <v>57113412.453412712</v>
      </c>
      <c r="U108" s="169">
        <f t="shared" si="75"/>
        <v>61648022.793929629</v>
      </c>
      <c r="V108" s="70">
        <f t="shared" si="75"/>
        <v>69906130.347121432</v>
      </c>
      <c r="W108" s="169">
        <f t="shared" si="75"/>
        <v>65675248.75737571</v>
      </c>
      <c r="X108" s="70">
        <f t="shared" si="75"/>
        <v>71160955.348210588</v>
      </c>
      <c r="Y108" s="70">
        <f t="shared" si="75"/>
        <v>77150823.206869602</v>
      </c>
      <c r="Z108" s="70">
        <f t="shared" si="75"/>
        <v>83633605.523222238</v>
      </c>
      <c r="AA108" s="70">
        <f t="shared" si="75"/>
        <v>90670820.387498528</v>
      </c>
      <c r="AB108" s="70">
        <f t="shared" si="75"/>
        <v>98290624.477975309</v>
      </c>
      <c r="AC108" s="70">
        <f t="shared" si="75"/>
        <v>106605153.20589884</v>
      </c>
      <c r="AD108" s="70">
        <f t="shared" si="75"/>
        <v>115611502.85797751</v>
      </c>
      <c r="AE108" s="70">
        <f t="shared" si="75"/>
        <v>125391530.44782875</v>
      </c>
      <c r="AF108" s="70">
        <f t="shared" si="75"/>
        <v>135990149.90939429</v>
      </c>
      <c r="AG108" s="70">
        <f t="shared" si="75"/>
        <v>147548014.90109694</v>
      </c>
      <c r="AH108" s="70">
        <f t="shared" si="75"/>
        <v>160077526.76102203</v>
      </c>
      <c r="AI108" s="70">
        <f t="shared" si="75"/>
        <v>173687928.31667376</v>
      </c>
      <c r="AJ108" s="70">
        <f t="shared" si="75"/>
        <v>188449216.89339781</v>
      </c>
      <c r="AK108" s="70">
        <f t="shared" si="75"/>
        <v>204537545.02721208</v>
      </c>
      <c r="AL108" s="70">
        <f>AL103+AL106+AL98+AL91</f>
        <v>221991430.50520706</v>
      </c>
    </row>
    <row r="109" spans="4:40" s="110" customFormat="1">
      <c r="D109" s="143" t="s">
        <v>468</v>
      </c>
      <c r="E109" s="112" t="s">
        <v>211</v>
      </c>
      <c r="K109" s="144">
        <f>K91+K103</f>
        <v>5907498.4000000004</v>
      </c>
      <c r="L109" s="144">
        <f t="shared" ref="L109:AK109" si="76">L91+L103</f>
        <v>5946267.3777139224</v>
      </c>
      <c r="M109" s="144">
        <f t="shared" si="76"/>
        <v>6451478.1947700763</v>
      </c>
      <c r="N109" s="144">
        <f t="shared" si="76"/>
        <v>16549331.328252703</v>
      </c>
      <c r="O109" s="144">
        <f t="shared" si="76"/>
        <v>13357859.368041486</v>
      </c>
      <c r="P109" s="144">
        <f t="shared" si="76"/>
        <v>14416101.141913535</v>
      </c>
      <c r="Q109" s="144">
        <f t="shared" si="76"/>
        <v>19827385.759956196</v>
      </c>
      <c r="R109" s="144">
        <f t="shared" si="76"/>
        <v>21377806.273364171</v>
      </c>
      <c r="S109" s="144">
        <f t="shared" si="76"/>
        <v>29159775.352842733</v>
      </c>
      <c r="T109" s="70">
        <f t="shared" si="76"/>
        <v>31410873.337165937</v>
      </c>
      <c r="U109" s="169">
        <f t="shared" si="76"/>
        <v>33843978.673499621</v>
      </c>
      <c r="V109" s="144">
        <f t="shared" si="76"/>
        <v>39827546.594027326</v>
      </c>
      <c r="W109" s="169">
        <f t="shared" si="76"/>
        <v>33134764.334863808</v>
      </c>
      <c r="X109" s="144">
        <f t="shared" si="76"/>
        <v>35955689.560443252</v>
      </c>
      <c r="Y109" s="144">
        <f t="shared" si="76"/>
        <v>39061082.428217553</v>
      </c>
      <c r="Z109" s="144">
        <f t="shared" si="76"/>
        <v>42421481.467599854</v>
      </c>
      <c r="AA109" s="144">
        <f t="shared" si="76"/>
        <v>46078670.760514386</v>
      </c>
      <c r="AB109" s="144">
        <f t="shared" si="76"/>
        <v>50039426.076129258</v>
      </c>
      <c r="AC109" s="144">
        <f t="shared" si="76"/>
        <v>54392716.681851506</v>
      </c>
      <c r="AD109" s="144">
        <f t="shared" si="76"/>
        <v>59110537.45329956</v>
      </c>
      <c r="AE109" s="144">
        <f t="shared" si="76"/>
        <v>64247545.99835676</v>
      </c>
      <c r="AF109" s="144">
        <f t="shared" si="76"/>
        <v>69819182.346585125</v>
      </c>
      <c r="AG109" s="144">
        <f t="shared" si="76"/>
        <v>75934160.298201799</v>
      </c>
      <c r="AH109" s="144">
        <f t="shared" si="76"/>
        <v>82570267.697468489</v>
      </c>
      <c r="AI109" s="144">
        <f t="shared" si="76"/>
        <v>89799234.949027866</v>
      </c>
      <c r="AJ109" s="144">
        <f t="shared" si="76"/>
        <v>97650403.617192745</v>
      </c>
      <c r="AK109" s="144">
        <f t="shared" si="76"/>
        <v>106255861.98046823</v>
      </c>
      <c r="AL109" s="144">
        <f>AL91+AL103</f>
        <v>115606367.39041905</v>
      </c>
      <c r="AM109" s="122">
        <f>SUM(M109:AL109)/10^6</f>
        <v>1288.2995290644731</v>
      </c>
    </row>
    <row r="111" spans="4:40">
      <c r="D111" s="110" t="s">
        <v>241</v>
      </c>
      <c r="E111" s="112" t="s">
        <v>337</v>
      </c>
      <c r="F111" s="110"/>
      <c r="G111" s="110"/>
      <c r="H111" s="110"/>
      <c r="I111" s="110"/>
      <c r="J111" s="110"/>
      <c r="K111" s="113">
        <f t="shared" ref="K111:AK111" si="77">K108/K31</f>
        <v>48.947175000000001</v>
      </c>
      <c r="L111" s="113">
        <f>L108/L31</f>
        <v>52.467112299999997</v>
      </c>
      <c r="M111" s="113">
        <f t="shared" si="77"/>
        <v>55.649234971279995</v>
      </c>
      <c r="N111" s="113">
        <f t="shared" si="77"/>
        <v>58.526095696191916</v>
      </c>
      <c r="O111" s="113">
        <f t="shared" si="77"/>
        <v>54.104498559111086</v>
      </c>
      <c r="P111" s="113">
        <f t="shared" si="77"/>
        <v>58.76384380290439</v>
      </c>
      <c r="Q111" s="113">
        <f t="shared" si="77"/>
        <v>66.300096624432342</v>
      </c>
      <c r="R111" s="113">
        <f t="shared" si="77"/>
        <v>71.589443094726803</v>
      </c>
      <c r="S111" s="113">
        <f t="shared" si="77"/>
        <v>79.877642484526731</v>
      </c>
      <c r="T111" s="105">
        <f t="shared" si="77"/>
        <v>86.206186803692177</v>
      </c>
      <c r="U111" s="167">
        <f t="shared" si="77"/>
        <v>93.050664296880328</v>
      </c>
      <c r="V111" s="113">
        <f t="shared" si="77"/>
        <v>105.51533646046587</v>
      </c>
      <c r="W111" s="167">
        <f t="shared" si="77"/>
        <v>99.129302900180377</v>
      </c>
      <c r="X111" s="113">
        <f t="shared" si="77"/>
        <v>107.40935178546633</v>
      </c>
      <c r="Y111" s="113">
        <f t="shared" si="77"/>
        <v>116.45037464457472</v>
      </c>
      <c r="Z111" s="113">
        <f t="shared" si="77"/>
        <v>126.23539569942808</v>
      </c>
      <c r="AA111" s="113">
        <f t="shared" si="77"/>
        <v>136.85726949592669</v>
      </c>
      <c r="AB111" s="113">
        <f t="shared" si="77"/>
        <v>148.35849533087378</v>
      </c>
      <c r="AC111" s="113">
        <f t="shared" si="77"/>
        <v>160.90832882731743</v>
      </c>
      <c r="AD111" s="113">
        <f t="shared" si="77"/>
        <v>174.50238716098417</v>
      </c>
      <c r="AE111" s="113">
        <f t="shared" si="77"/>
        <v>189.26422416457234</v>
      </c>
      <c r="AF111" s="113">
        <f t="shared" si="77"/>
        <v>205.26163230246362</v>
      </c>
      <c r="AG111" s="113">
        <f t="shared" si="77"/>
        <v>222.70691224155499</v>
      </c>
      <c r="AH111" s="113">
        <f t="shared" si="77"/>
        <v>241.61878238828859</v>
      </c>
      <c r="AI111" s="113">
        <f t="shared" si="77"/>
        <v>262.16213234022564</v>
      </c>
      <c r="AJ111" s="113">
        <f t="shared" si="77"/>
        <v>284.44261508228323</v>
      </c>
      <c r="AK111" s="113">
        <f t="shared" si="77"/>
        <v>308.72611279123191</v>
      </c>
      <c r="AL111" s="113">
        <f>AL108/AL31</f>
        <v>335.07076367675921</v>
      </c>
    </row>
    <row r="112" spans="4:40">
      <c r="D112" s="7" t="s">
        <v>241</v>
      </c>
      <c r="E112" s="16" t="s">
        <v>320</v>
      </c>
      <c r="K112" s="65">
        <f>(K103+K98+K91)/Inputs!F34</f>
        <v>3.1326192000000002</v>
      </c>
      <c r="L112" s="65">
        <f>(L103+L98+L91)/Inputs!G34</f>
        <v>3.0430925134000004</v>
      </c>
      <c r="M112" s="65">
        <f>(M103+M98+M91)/Inputs!H34</f>
        <v>3.8397972130183198</v>
      </c>
      <c r="N112" s="65">
        <f t="shared" ref="N112:AL112" si="78">(N103+N98+N91)/N71</f>
        <v>10.254752099134562</v>
      </c>
      <c r="O112" s="65">
        <f t="shared" si="78"/>
        <v>7.6834606393642728</v>
      </c>
      <c r="P112" s="65">
        <f t="shared" si="78"/>
        <v>8.3451412156435687</v>
      </c>
      <c r="Q112" s="65">
        <f t="shared" si="78"/>
        <v>11.046564980077553</v>
      </c>
      <c r="R112" s="65">
        <f t="shared" si="78"/>
        <v>11.92904148886112</v>
      </c>
      <c r="S112" s="65">
        <f t="shared" si="78"/>
        <v>10.312396275917594</v>
      </c>
      <c r="T112" s="65">
        <f t="shared" si="78"/>
        <v>11.130199278840895</v>
      </c>
      <c r="U112" s="165">
        <f t="shared" si="78"/>
        <v>12.014673490456806</v>
      </c>
      <c r="V112" s="65">
        <f t="shared" si="78"/>
        <v>13.625414572724994</v>
      </c>
      <c r="W112" s="165">
        <f t="shared" si="78"/>
        <v>12.800182551112295</v>
      </c>
      <c r="X112" s="65">
        <f t="shared" si="78"/>
        <v>13.870167764336106</v>
      </c>
      <c r="Y112" s="65">
        <f t="shared" si="78"/>
        <v>15.038489462153034</v>
      </c>
      <c r="Z112" s="65">
        <f t="shared" si="78"/>
        <v>16.302953958055003</v>
      </c>
      <c r="AA112" s="65">
        <f t="shared" si="78"/>
        <v>17.675560334712941</v>
      </c>
      <c r="AB112" s="65">
        <f t="shared" si="78"/>
        <v>19.161800542691626</v>
      </c>
      <c r="AC112" s="65">
        <f t="shared" si="78"/>
        <v>20.783546555988483</v>
      </c>
      <c r="AD112" s="65">
        <f t="shared" si="78"/>
        <v>22.540232006309111</v>
      </c>
      <c r="AE112" s="65">
        <f t="shared" si="78"/>
        <v>24.447823076444916</v>
      </c>
      <c r="AF112" s="65">
        <f t="shared" si="78"/>
        <v>26.515080214004534</v>
      </c>
      <c r="AG112" s="65">
        <f t="shared" si="78"/>
        <v>28.769437867441642</v>
      </c>
      <c r="AH112" s="65">
        <f t="shared" si="78"/>
        <v>31.213314913551006</v>
      </c>
      <c r="AI112" s="65">
        <f t="shared" si="78"/>
        <v>33.868019128850527</v>
      </c>
      <c r="AJ112" s="65">
        <f t="shared" si="78"/>
        <v>36.747203467949589</v>
      </c>
      <c r="AK112" s="65">
        <f t="shared" si="78"/>
        <v>39.885226423357793</v>
      </c>
      <c r="AL112" s="65">
        <f t="shared" si="78"/>
        <v>43.289600876405999</v>
      </c>
      <c r="AN112" s="65">
        <f>'BaU Model'!AM92-'Strategic Model'!AM109</f>
        <v>315.50371634325938</v>
      </c>
    </row>
    <row r="113" spans="4:38">
      <c r="D113" s="7"/>
      <c r="E113" s="7"/>
      <c r="K113" s="65"/>
    </row>
    <row r="114" spans="4:38">
      <c r="D114" s="7" t="s">
        <v>469</v>
      </c>
      <c r="E114" s="7" t="s">
        <v>337</v>
      </c>
      <c r="K114" s="65">
        <f>K109/K31</f>
        <v>30.608800000000002</v>
      </c>
      <c r="L114" s="65">
        <f t="shared" ref="L114:AK114" si="79">L109/L31</f>
        <v>32.628418400000001</v>
      </c>
      <c r="M114" s="65">
        <f t="shared" si="79"/>
        <v>33.953639322240001</v>
      </c>
      <c r="N114" s="65">
        <f t="shared" si="79"/>
        <v>34.799792294401783</v>
      </c>
      <c r="O114" s="65">
        <f t="shared" si="79"/>
        <v>28.1574131589134</v>
      </c>
      <c r="P114" s="65">
        <f t="shared" si="79"/>
        <v>30.388111209248208</v>
      </c>
      <c r="Q114" s="65">
        <f t="shared" si="79"/>
        <v>35.574900944722039</v>
      </c>
      <c r="R114" s="65">
        <f t="shared" si="79"/>
        <v>38.35671277079485</v>
      </c>
      <c r="S114" s="65">
        <f t="shared" si="79"/>
        <v>44.013357515125236</v>
      </c>
      <c r="T114" s="65">
        <f t="shared" si="79"/>
        <v>47.411133361705474</v>
      </c>
      <c r="U114" s="165">
        <f t="shared" si="79"/>
        <v>51.083628562515507</v>
      </c>
      <c r="V114" s="65">
        <f t="shared" si="79"/>
        <v>60.115142383027369</v>
      </c>
      <c r="W114" s="165">
        <f t="shared" si="79"/>
        <v>50.013150348485368</v>
      </c>
      <c r="X114" s="65">
        <f t="shared" si="79"/>
        <v>54.271015471741862</v>
      </c>
      <c r="Y114" s="65">
        <f t="shared" si="79"/>
        <v>58.958252079720246</v>
      </c>
      <c r="Z114" s="65">
        <f t="shared" si="79"/>
        <v>64.030391440334284</v>
      </c>
      <c r="AA114" s="65">
        <f t="shared" si="79"/>
        <v>69.550501863058884</v>
      </c>
      <c r="AB114" s="65">
        <f t="shared" si="79"/>
        <v>75.528810599209535</v>
      </c>
      <c r="AC114" s="65">
        <f t="shared" si="79"/>
        <v>82.099606617986495</v>
      </c>
      <c r="AD114" s="65">
        <f t="shared" si="79"/>
        <v>89.220619375918588</v>
      </c>
      <c r="AE114" s="65">
        <f t="shared" si="79"/>
        <v>96.974348302702452</v>
      </c>
      <c r="AF114" s="65">
        <f t="shared" si="79"/>
        <v>105.3840983632404</v>
      </c>
      <c r="AG114" s="65">
        <f t="shared" si="79"/>
        <v>114.61396064869777</v>
      </c>
      <c r="AH114" s="65">
        <f t="shared" si="79"/>
        <v>124.63040844153781</v>
      </c>
      <c r="AI114" s="65">
        <f t="shared" si="79"/>
        <v>135.54171061235502</v>
      </c>
      <c r="AJ114" s="65">
        <f t="shared" si="79"/>
        <v>147.39215490838086</v>
      </c>
      <c r="AK114" s="65">
        <f t="shared" si="79"/>
        <v>160.38111353173474</v>
      </c>
      <c r="AL114" s="65">
        <f>AL109/AL31</f>
        <v>174.49463575800104</v>
      </c>
    </row>
    <row r="116" spans="4:38" ht="24" thickBot="1">
      <c r="D116" s="57" t="s">
        <v>198</v>
      </c>
    </row>
    <row r="118" spans="4:38" ht="18">
      <c r="D118" s="15" t="s">
        <v>248</v>
      </c>
    </row>
    <row r="119" spans="4:38" ht="15">
      <c r="D119" s="4" t="s">
        <v>250</v>
      </c>
      <c r="E119" s="7"/>
      <c r="M119" s="7"/>
    </row>
    <row r="120" spans="4:38">
      <c r="D120" s="3" t="s">
        <v>134</v>
      </c>
      <c r="E120" s="7"/>
      <c r="M120" s="7"/>
    </row>
    <row r="121" spans="4:38">
      <c r="D121" s="7" t="s">
        <v>299</v>
      </c>
      <c r="E121" s="16" t="s">
        <v>169</v>
      </c>
      <c r="K121" t="str">
        <f>Inputs!E73</f>
        <v>Good</v>
      </c>
      <c r="L121" t="str">
        <f>Inputs!F73</f>
        <v>Good</v>
      </c>
      <c r="M121" t="str">
        <f>Inputs!G73</f>
        <v>Good</v>
      </c>
      <c r="N121" t="str">
        <f>Inputs!H73</f>
        <v>Good</v>
      </c>
      <c r="O121" t="str">
        <f>Inputs!I73</f>
        <v>Good</v>
      </c>
      <c r="P121" t="str">
        <f>Inputs!J73</f>
        <v>Good</v>
      </c>
      <c r="Q121" t="str">
        <f>P121</f>
        <v>Good</v>
      </c>
      <c r="R121" t="str">
        <f t="shared" ref="R121:AL121" si="80">Q121</f>
        <v>Good</v>
      </c>
      <c r="S121" t="str">
        <f t="shared" si="80"/>
        <v>Good</v>
      </c>
      <c r="T121" t="str">
        <f t="shared" si="80"/>
        <v>Good</v>
      </c>
      <c r="U121" s="128" t="str">
        <f t="shared" si="80"/>
        <v>Good</v>
      </c>
      <c r="V121" t="str">
        <f t="shared" si="80"/>
        <v>Good</v>
      </c>
      <c r="W121" s="128" t="str">
        <f t="shared" si="80"/>
        <v>Good</v>
      </c>
      <c r="X121" t="str">
        <f t="shared" si="80"/>
        <v>Good</v>
      </c>
      <c r="Y121" t="str">
        <f t="shared" si="80"/>
        <v>Good</v>
      </c>
      <c r="Z121" t="str">
        <f t="shared" si="80"/>
        <v>Good</v>
      </c>
      <c r="AA121" t="str">
        <f t="shared" si="80"/>
        <v>Good</v>
      </c>
      <c r="AB121" t="str">
        <f t="shared" si="80"/>
        <v>Good</v>
      </c>
      <c r="AC121" t="str">
        <f t="shared" si="80"/>
        <v>Good</v>
      </c>
      <c r="AD121" t="str">
        <f t="shared" si="80"/>
        <v>Good</v>
      </c>
      <c r="AE121" t="str">
        <f t="shared" si="80"/>
        <v>Good</v>
      </c>
      <c r="AF121" t="str">
        <f t="shared" si="80"/>
        <v>Good</v>
      </c>
      <c r="AG121" t="str">
        <f t="shared" si="80"/>
        <v>Good</v>
      </c>
      <c r="AH121" t="str">
        <f t="shared" si="80"/>
        <v>Good</v>
      </c>
      <c r="AI121" t="str">
        <f t="shared" si="80"/>
        <v>Good</v>
      </c>
      <c r="AJ121" t="str">
        <f t="shared" si="80"/>
        <v>Good</v>
      </c>
      <c r="AK121" t="str">
        <f t="shared" si="80"/>
        <v>Good</v>
      </c>
      <c r="AL121" t="str">
        <f t="shared" si="80"/>
        <v>Good</v>
      </c>
    </row>
    <row r="122" spans="4:38">
      <c r="D122" s="7" t="s">
        <v>300</v>
      </c>
      <c r="E122" s="16" t="s">
        <v>303</v>
      </c>
      <c r="K122">
        <f>INDEX('Availability Model'!$C$4:$T$8, MATCH($K$121,'Availability Model'!$B$4:$B$8, 0), MATCH($K$10, 'Availability Model'!$C$1:$T$1, 0))</f>
        <v>1</v>
      </c>
      <c r="L122">
        <f>INDEX('Availability Model'!$C$4:$T$8, MATCH($K$121,'Availability Model'!$B$4:$B$8, 0), MATCH($K$10, 'Availability Model'!$C$1:$T$1, 0))</f>
        <v>1</v>
      </c>
      <c r="M122">
        <f>INDEX('Availability Model'!$C$4:$T$8, MATCH($K$121,'Availability Model'!$B$4:$B$8, 0), MATCH($K$10, 'Availability Model'!$C$1:$T$1, 0))</f>
        <v>1</v>
      </c>
      <c r="N122">
        <f>INDEX('Availability Model'!$C$4:$T$8, MATCH($K$121,'Availability Model'!$B$4:$B$8, 0), MATCH($K$10, 'Availability Model'!$C$1:$T$1, 0))</f>
        <v>1</v>
      </c>
      <c r="O122">
        <f>INDEX('Availability Model'!$C$4:$T$8, MATCH($K$121,'Availability Model'!$B$4:$B$8, 0), MATCH($K$10, 'Availability Model'!$C$1:$T$1, 0))</f>
        <v>1</v>
      </c>
      <c r="P122">
        <f>INDEX('Availability Model'!$C$4:$T$8, MATCH($K$121,'Availability Model'!$B$4:$B$8, 0), MATCH($K$10, 'Availability Model'!$C$1:$T$1, 0))</f>
        <v>1</v>
      </c>
      <c r="Q122">
        <f>INDEX('Availability Model'!$C$4:$T$8, MATCH($K$121,'Availability Model'!$B$4:$B$8, 0), MATCH($K$10, 'Availability Model'!$C$1:$T$1, 0))</f>
        <v>1</v>
      </c>
      <c r="R122">
        <f>INDEX('Availability Model'!$C$4:$T$8, MATCH($K$121,'Availability Model'!$B$4:$B$8, 0), MATCH($K$10, 'Availability Model'!$C$1:$T$1, 0))</f>
        <v>1</v>
      </c>
      <c r="S122">
        <f>INDEX('Availability Model'!$C$4:$T$8, MATCH($K$121,'Availability Model'!$B$4:$B$8, 0), MATCH($K$10, 'Availability Model'!$C$1:$T$1, 0))</f>
        <v>1</v>
      </c>
      <c r="T122">
        <f>INDEX('Availability Model'!$C$4:$T$8, MATCH($K$121,'Availability Model'!$B$4:$B$8, 0), MATCH($K$10, 'Availability Model'!$C$1:$T$1, 0))</f>
        <v>1</v>
      </c>
      <c r="U122" s="128">
        <f>INDEX('Availability Model'!$C$4:$T$8, MATCH($K$121,'Availability Model'!$B$4:$B$8, 0), MATCH($K$10, 'Availability Model'!$C$1:$T$1, 0))</f>
        <v>1</v>
      </c>
      <c r="V122">
        <f>INDEX('Availability Model'!$C$4:$T$8, MATCH($K$121,'Availability Model'!$B$4:$B$8, 0), MATCH($K$10, 'Availability Model'!$C$1:$T$1, 0))</f>
        <v>1</v>
      </c>
      <c r="W122" s="128">
        <f>INDEX('Availability Model'!$C$4:$T$8, MATCH($K$121,'Availability Model'!$B$4:$B$8, 0), MATCH($K$10, 'Availability Model'!$C$1:$T$1, 0))</f>
        <v>1</v>
      </c>
      <c r="X122">
        <f>INDEX('Availability Model'!$C$4:$T$8, MATCH($K$121,'Availability Model'!$B$4:$B$8, 0), MATCH($K$10, 'Availability Model'!$C$1:$T$1, 0))</f>
        <v>1</v>
      </c>
      <c r="Y122">
        <f>INDEX('Availability Model'!$C$4:$T$8, MATCH($K$121,'Availability Model'!$B$4:$B$8, 0), MATCH($K$10, 'Availability Model'!$C$1:$T$1, 0))</f>
        <v>1</v>
      </c>
      <c r="Z122">
        <f>INDEX('Availability Model'!$C$4:$T$8, MATCH($K$121,'Availability Model'!$B$4:$B$8, 0), MATCH($K$10, 'Availability Model'!$C$1:$T$1, 0))</f>
        <v>1</v>
      </c>
      <c r="AA122">
        <f>INDEX('Availability Model'!$C$4:$T$8, MATCH($K$121,'Availability Model'!$B$4:$B$8, 0), MATCH($K$10, 'Availability Model'!$C$1:$T$1, 0))</f>
        <v>1</v>
      </c>
      <c r="AB122">
        <f>INDEX('Availability Model'!$C$4:$T$8, MATCH($K$121,'Availability Model'!$B$4:$B$8, 0), MATCH($K$10, 'Availability Model'!$C$1:$T$1, 0))</f>
        <v>1</v>
      </c>
      <c r="AC122">
        <f>INDEX('Availability Model'!$C$4:$T$8, MATCH($K$121,'Availability Model'!$B$4:$B$8, 0), MATCH($K$10, 'Availability Model'!$C$1:$T$1, 0))</f>
        <v>1</v>
      </c>
      <c r="AD122">
        <f>INDEX('Availability Model'!$C$4:$T$8, MATCH($K$121,'Availability Model'!$B$4:$B$8, 0), MATCH($K$10, 'Availability Model'!$C$1:$T$1, 0))</f>
        <v>1</v>
      </c>
      <c r="AE122">
        <f>INDEX('Availability Model'!$C$4:$T$8, MATCH($K$121,'Availability Model'!$B$4:$B$8, 0), MATCH($K$10, 'Availability Model'!$C$1:$T$1, 0))</f>
        <v>1</v>
      </c>
      <c r="AF122">
        <f>INDEX('Availability Model'!$C$4:$T$8, MATCH($K$121,'Availability Model'!$B$4:$B$8, 0), MATCH($K$10, 'Availability Model'!$C$1:$T$1, 0))</f>
        <v>1</v>
      </c>
      <c r="AG122">
        <f>INDEX('Availability Model'!$C$4:$T$8, MATCH($K$121,'Availability Model'!$B$4:$B$8, 0), MATCH($K$10, 'Availability Model'!$C$1:$T$1, 0))</f>
        <v>1</v>
      </c>
      <c r="AH122">
        <f>INDEX('Availability Model'!$C$4:$T$8, MATCH($K$121,'Availability Model'!$B$4:$B$8, 0), MATCH($K$10, 'Availability Model'!$C$1:$T$1, 0))</f>
        <v>1</v>
      </c>
      <c r="AI122">
        <f>INDEX('Availability Model'!$C$4:$T$8, MATCH($K$121,'Availability Model'!$B$4:$B$8, 0), MATCH($K$10, 'Availability Model'!$C$1:$T$1, 0))</f>
        <v>1</v>
      </c>
      <c r="AJ122">
        <f>INDEX('Availability Model'!$C$4:$T$8, MATCH($K$121,'Availability Model'!$B$4:$B$8, 0), MATCH($K$10, 'Availability Model'!$C$1:$T$1, 0))</f>
        <v>1</v>
      </c>
      <c r="AK122">
        <f>INDEX('Availability Model'!$C$4:$T$8, MATCH($K$121,'Availability Model'!$B$4:$B$8, 0), MATCH($K$10, 'Availability Model'!$C$1:$T$1, 0))</f>
        <v>1</v>
      </c>
      <c r="AL122">
        <f>INDEX('Availability Model'!$C$4:$T$8, MATCH($K$121,'Availability Model'!$B$4:$B$8, 0), MATCH($K$10, 'Availability Model'!$C$1:$T$1, 0))</f>
        <v>1</v>
      </c>
    </row>
    <row r="123" spans="4:38">
      <c r="D123" s="7" t="s">
        <v>301</v>
      </c>
      <c r="E123" s="16" t="s">
        <v>106</v>
      </c>
      <c r="K123">
        <f>K122*INDEX('Availability Model'!$C$11:$T$15, MATCH($K$121,'Availability Model'!$B$11:$B$15, 0), MATCH($K$10, 'Availability Model'!$C$1:$T$1, 0))</f>
        <v>0.5</v>
      </c>
      <c r="L123">
        <f>L122*INDEX('Availability Model'!$C$11:$T$15, MATCH($K$121,'Availability Model'!$B$11:$B$15, 0), MATCH($K$10, 'Availability Model'!$C$1:$T$1, 0))</f>
        <v>0.5</v>
      </c>
      <c r="M123">
        <f>M122*INDEX('Availability Model'!$C$11:$T$15, MATCH($K$121,'Availability Model'!$B$11:$B$15, 0), MATCH($K$10, 'Availability Model'!$C$1:$T$1, 0))</f>
        <v>0.5</v>
      </c>
      <c r="N123">
        <f>N122*INDEX('Availability Model'!$C$11:$T$15, MATCH($K$121,'Availability Model'!$B$11:$B$15, 0), MATCH($K$10, 'Availability Model'!$C$1:$T$1, 0))</f>
        <v>0.5</v>
      </c>
      <c r="O123">
        <f>O122*INDEX('Availability Model'!$C$11:$T$15, MATCH($K$121,'Availability Model'!$B$11:$B$15, 0), MATCH($K$10, 'Availability Model'!$C$1:$T$1, 0))</f>
        <v>0.5</v>
      </c>
      <c r="P123">
        <f>P122*INDEX('Availability Model'!$C$11:$T$15, MATCH($K$121,'Availability Model'!$B$11:$B$15, 0), MATCH($K$10, 'Availability Model'!$C$1:$T$1, 0))</f>
        <v>0.5</v>
      </c>
      <c r="Q123">
        <f>Q122*INDEX('Availability Model'!$C$11:$T$15, MATCH($K$121,'Availability Model'!$B$11:$B$15, 0), MATCH($K$10, 'Availability Model'!$C$1:$T$1, 0))</f>
        <v>0.5</v>
      </c>
      <c r="R123">
        <f>R122*INDEX('Availability Model'!$C$11:$T$15, MATCH($K$121,'Availability Model'!$B$11:$B$15, 0), MATCH($K$10, 'Availability Model'!$C$1:$T$1, 0))</f>
        <v>0.5</v>
      </c>
      <c r="S123">
        <f>S122*INDEX('Availability Model'!$C$11:$T$15, MATCH($K$121,'Availability Model'!$B$11:$B$15, 0), MATCH($K$10, 'Availability Model'!$C$1:$T$1, 0))</f>
        <v>0.5</v>
      </c>
      <c r="T123">
        <f>T122*INDEX('Availability Model'!$C$11:$T$15, MATCH($K$121,'Availability Model'!$B$11:$B$15, 0), MATCH($K$10, 'Availability Model'!$C$1:$T$1, 0))</f>
        <v>0.5</v>
      </c>
      <c r="U123" s="128">
        <f>U122*INDEX('Availability Model'!$C$11:$T$15, MATCH($K$121,'Availability Model'!$B$11:$B$15, 0), MATCH($K$10, 'Availability Model'!$C$1:$T$1, 0))</f>
        <v>0.5</v>
      </c>
      <c r="V123">
        <f>V122*INDEX('Availability Model'!$C$11:$T$15, MATCH($K$121,'Availability Model'!$B$11:$B$15, 0), MATCH($K$10, 'Availability Model'!$C$1:$T$1, 0))</f>
        <v>0.5</v>
      </c>
      <c r="W123" s="128">
        <f>W122*INDEX('Availability Model'!$C$11:$T$15, MATCH($K$121,'Availability Model'!$B$11:$B$15, 0), MATCH($K$10, 'Availability Model'!$C$1:$T$1, 0))</f>
        <v>0.5</v>
      </c>
      <c r="X123">
        <f>X122*INDEX('Availability Model'!$C$11:$T$15, MATCH($K$121,'Availability Model'!$B$11:$B$15, 0), MATCH($K$10, 'Availability Model'!$C$1:$T$1, 0))</f>
        <v>0.5</v>
      </c>
      <c r="Y123">
        <f>Y122*INDEX('Availability Model'!$C$11:$T$15, MATCH($K$121,'Availability Model'!$B$11:$B$15, 0), MATCH($K$10, 'Availability Model'!$C$1:$T$1, 0))</f>
        <v>0.5</v>
      </c>
      <c r="Z123">
        <f>Z122*INDEX('Availability Model'!$C$11:$T$15, MATCH($K$121,'Availability Model'!$B$11:$B$15, 0), MATCH($K$10, 'Availability Model'!$C$1:$T$1, 0))</f>
        <v>0.5</v>
      </c>
      <c r="AA123">
        <f>AA122*INDEX('Availability Model'!$C$11:$T$15, MATCH($K$121,'Availability Model'!$B$11:$B$15, 0), MATCH($K$10, 'Availability Model'!$C$1:$T$1, 0))</f>
        <v>0.5</v>
      </c>
      <c r="AB123">
        <f>AB122*INDEX('Availability Model'!$C$11:$T$15, MATCH($K$121,'Availability Model'!$B$11:$B$15, 0), MATCH($K$10, 'Availability Model'!$C$1:$T$1, 0))</f>
        <v>0.5</v>
      </c>
      <c r="AC123">
        <f>AC122*INDEX('Availability Model'!$C$11:$T$15, MATCH($K$121,'Availability Model'!$B$11:$B$15, 0), MATCH($K$10, 'Availability Model'!$C$1:$T$1, 0))</f>
        <v>0.5</v>
      </c>
      <c r="AD123">
        <f>AD122*INDEX('Availability Model'!$C$11:$T$15, MATCH($K$121,'Availability Model'!$B$11:$B$15, 0), MATCH($K$10, 'Availability Model'!$C$1:$T$1, 0))</f>
        <v>0.5</v>
      </c>
      <c r="AE123">
        <f>AE122*INDEX('Availability Model'!$C$11:$T$15, MATCH($K$121,'Availability Model'!$B$11:$B$15, 0), MATCH($K$10, 'Availability Model'!$C$1:$T$1, 0))</f>
        <v>0.5</v>
      </c>
      <c r="AF123">
        <f>AF122*INDEX('Availability Model'!$C$11:$T$15, MATCH($K$121,'Availability Model'!$B$11:$B$15, 0), MATCH($K$10, 'Availability Model'!$C$1:$T$1, 0))</f>
        <v>0.5</v>
      </c>
      <c r="AG123">
        <f>AG122*INDEX('Availability Model'!$C$11:$T$15, MATCH($K$121,'Availability Model'!$B$11:$B$15, 0), MATCH($K$10, 'Availability Model'!$C$1:$T$1, 0))</f>
        <v>0.5</v>
      </c>
      <c r="AH123">
        <f>AH122*INDEX('Availability Model'!$C$11:$T$15, MATCH($K$121,'Availability Model'!$B$11:$B$15, 0), MATCH($K$10, 'Availability Model'!$C$1:$T$1, 0))</f>
        <v>0.5</v>
      </c>
      <c r="AI123">
        <f>AI122*INDEX('Availability Model'!$C$11:$T$15, MATCH($K$121,'Availability Model'!$B$11:$B$15, 0), MATCH($K$10, 'Availability Model'!$C$1:$T$1, 0))</f>
        <v>0.5</v>
      </c>
      <c r="AJ123">
        <f>AJ122*INDEX('Availability Model'!$C$11:$T$15, MATCH($K$121,'Availability Model'!$B$11:$B$15, 0), MATCH($K$10, 'Availability Model'!$C$1:$T$1, 0))</f>
        <v>0.5</v>
      </c>
      <c r="AK123">
        <f>AK122*INDEX('Availability Model'!$C$11:$T$15, MATCH($K$121,'Availability Model'!$B$11:$B$15, 0), MATCH($K$10, 'Availability Model'!$C$1:$T$1, 0))</f>
        <v>0.5</v>
      </c>
      <c r="AL123">
        <f>AL122*INDEX('Availability Model'!$C$11:$T$15, MATCH($K$121,'Availability Model'!$B$11:$B$15, 0), MATCH($K$10, 'Availability Model'!$C$1:$T$1, 0))</f>
        <v>0.5</v>
      </c>
    </row>
    <row r="124" spans="4:38">
      <c r="D124" s="7" t="s">
        <v>302</v>
      </c>
      <c r="E124" s="16" t="s">
        <v>106</v>
      </c>
      <c r="K124" s="65">
        <f t="shared" ref="K124:AL124" si="81">K27</f>
        <v>1.8129533678756478</v>
      </c>
      <c r="L124" s="65">
        <f t="shared" si="81"/>
        <v>1.9066551166747128</v>
      </c>
      <c r="M124" s="65">
        <f t="shared" si="81"/>
        <v>1.8367738032705883</v>
      </c>
      <c r="N124" s="65">
        <f t="shared" si="81"/>
        <v>1.8815339776532183</v>
      </c>
      <c r="O124" s="65">
        <f t="shared" si="81"/>
        <v>2.3849090588321165</v>
      </c>
      <c r="P124" s="65">
        <f t="shared" si="81"/>
        <v>2.3887033302261771</v>
      </c>
      <c r="Q124" s="65">
        <f t="shared" si="81"/>
        <v>2.6044906552465226</v>
      </c>
      <c r="R124" s="65">
        <f t="shared" si="81"/>
        <v>2.6044906552465226</v>
      </c>
      <c r="S124" s="65">
        <f t="shared" si="81"/>
        <v>2.3419724183148003</v>
      </c>
      <c r="T124" s="65">
        <f t="shared" si="81"/>
        <v>2.3456704140849065</v>
      </c>
      <c r="U124" s="165">
        <f t="shared" si="81"/>
        <v>2.3419724183148003</v>
      </c>
      <c r="V124" s="65">
        <f t="shared" si="81"/>
        <v>2.34976845608873</v>
      </c>
      <c r="W124" s="165">
        <f t="shared" si="81"/>
        <v>2.34976845608873</v>
      </c>
      <c r="X124" s="65">
        <f t="shared" si="81"/>
        <v>2.3534664518588362</v>
      </c>
      <c r="Y124" s="65">
        <f t="shared" si="81"/>
        <v>2.34976845608873</v>
      </c>
      <c r="Z124" s="65">
        <f t="shared" si="81"/>
        <v>2.34976845608873</v>
      </c>
      <c r="AA124" s="65">
        <f t="shared" si="81"/>
        <v>2.34976845608873</v>
      </c>
      <c r="AB124" s="65">
        <f t="shared" si="81"/>
        <v>2.3534664518588362</v>
      </c>
      <c r="AC124" s="65">
        <f t="shared" si="81"/>
        <v>2.34976845608873</v>
      </c>
      <c r="AD124" s="65">
        <f t="shared" si="81"/>
        <v>2.34976845608873</v>
      </c>
      <c r="AE124" s="65">
        <f t="shared" si="81"/>
        <v>2.34976845608873</v>
      </c>
      <c r="AF124" s="65">
        <f t="shared" si="81"/>
        <v>2.3534664518588362</v>
      </c>
      <c r="AG124" s="65">
        <f t="shared" si="81"/>
        <v>2.34976845608873</v>
      </c>
      <c r="AH124" s="65">
        <f t="shared" si="81"/>
        <v>2.34976845608873</v>
      </c>
      <c r="AI124" s="65">
        <f t="shared" si="81"/>
        <v>2.34976845608873</v>
      </c>
      <c r="AJ124" s="65">
        <f t="shared" si="81"/>
        <v>2.3534664518588362</v>
      </c>
      <c r="AK124" s="65">
        <f t="shared" si="81"/>
        <v>2.34976845608873</v>
      </c>
      <c r="AL124" s="65">
        <f t="shared" si="81"/>
        <v>2.34976845608873</v>
      </c>
    </row>
    <row r="125" spans="4:38">
      <c r="D125" s="7" t="s">
        <v>304</v>
      </c>
      <c r="E125" s="16" t="s">
        <v>106</v>
      </c>
      <c r="K125">
        <f>IF((K123-K124)&gt;0, K123-K124,0)</f>
        <v>0</v>
      </c>
      <c r="L125">
        <f t="shared" ref="L125:AL125" si="82">IF((L123-L124)&gt;0, L123-L124,0)</f>
        <v>0</v>
      </c>
      <c r="M125">
        <f t="shared" si="82"/>
        <v>0</v>
      </c>
      <c r="N125">
        <f t="shared" si="82"/>
        <v>0</v>
      </c>
      <c r="O125">
        <f t="shared" si="82"/>
        <v>0</v>
      </c>
      <c r="P125">
        <f t="shared" si="82"/>
        <v>0</v>
      </c>
      <c r="Q125">
        <f t="shared" si="82"/>
        <v>0</v>
      </c>
      <c r="R125">
        <f t="shared" si="82"/>
        <v>0</v>
      </c>
      <c r="S125">
        <f t="shared" si="82"/>
        <v>0</v>
      </c>
      <c r="T125">
        <f t="shared" si="82"/>
        <v>0</v>
      </c>
      <c r="U125" s="128">
        <f t="shared" si="82"/>
        <v>0</v>
      </c>
      <c r="V125">
        <f t="shared" si="82"/>
        <v>0</v>
      </c>
      <c r="W125" s="128">
        <f t="shared" si="82"/>
        <v>0</v>
      </c>
      <c r="X125">
        <f t="shared" si="82"/>
        <v>0</v>
      </c>
      <c r="Y125">
        <f t="shared" si="82"/>
        <v>0</v>
      </c>
      <c r="Z125">
        <f t="shared" si="82"/>
        <v>0</v>
      </c>
      <c r="AA125">
        <f t="shared" si="82"/>
        <v>0</v>
      </c>
      <c r="AB125">
        <f t="shared" si="82"/>
        <v>0</v>
      </c>
      <c r="AC125">
        <f t="shared" si="82"/>
        <v>0</v>
      </c>
      <c r="AD125">
        <f t="shared" si="82"/>
        <v>0</v>
      </c>
      <c r="AE125">
        <f t="shared" si="82"/>
        <v>0</v>
      </c>
      <c r="AF125">
        <f t="shared" si="82"/>
        <v>0</v>
      </c>
      <c r="AG125">
        <f t="shared" si="82"/>
        <v>0</v>
      </c>
      <c r="AH125">
        <f t="shared" si="82"/>
        <v>0</v>
      </c>
      <c r="AI125">
        <f t="shared" si="82"/>
        <v>0</v>
      </c>
      <c r="AJ125">
        <f t="shared" si="82"/>
        <v>0</v>
      </c>
      <c r="AK125">
        <f t="shared" si="82"/>
        <v>0</v>
      </c>
      <c r="AL125">
        <f t="shared" si="82"/>
        <v>0</v>
      </c>
    </row>
    <row r="126" spans="4:38">
      <c r="D126" s="7"/>
      <c r="E126" s="7"/>
      <c r="M126" s="7"/>
    </row>
    <row r="127" spans="4:38">
      <c r="D127" s="3" t="s">
        <v>297</v>
      </c>
      <c r="M127" s="7"/>
    </row>
    <row r="128" spans="4:38">
      <c r="D128" s="7" t="s">
        <v>299</v>
      </c>
      <c r="E128" s="16" t="s">
        <v>169</v>
      </c>
      <c r="K128" t="str">
        <f>Inputs!E74</f>
        <v>Very Poor</v>
      </c>
      <c r="L128" t="str">
        <f>Inputs!F74</f>
        <v>Very Poor</v>
      </c>
      <c r="M128" t="str">
        <f>Inputs!G74</f>
        <v>Very Poor</v>
      </c>
      <c r="N128" t="str">
        <f>Inputs!H74</f>
        <v>Very Poor</v>
      </c>
      <c r="O128" t="str">
        <f>Inputs!I74</f>
        <v>Very Poor</v>
      </c>
      <c r="P128" t="str">
        <f>Inputs!J74</f>
        <v>Very Poor</v>
      </c>
      <c r="Q128" t="str">
        <f>P128</f>
        <v>Very Poor</v>
      </c>
      <c r="R128" t="str">
        <f t="shared" ref="R128:AL128" si="83">Q128</f>
        <v>Very Poor</v>
      </c>
      <c r="S128" t="str">
        <f t="shared" si="83"/>
        <v>Very Poor</v>
      </c>
      <c r="T128" t="str">
        <f t="shared" si="83"/>
        <v>Very Poor</v>
      </c>
      <c r="U128" s="128" t="str">
        <f t="shared" si="83"/>
        <v>Very Poor</v>
      </c>
      <c r="V128" t="str">
        <f t="shared" si="83"/>
        <v>Very Poor</v>
      </c>
      <c r="W128" s="128" t="str">
        <f t="shared" si="83"/>
        <v>Very Poor</v>
      </c>
      <c r="X128" t="str">
        <f t="shared" si="83"/>
        <v>Very Poor</v>
      </c>
      <c r="Y128" t="str">
        <f t="shared" si="83"/>
        <v>Very Poor</v>
      </c>
      <c r="Z128" t="str">
        <f t="shared" si="83"/>
        <v>Very Poor</v>
      </c>
      <c r="AA128" t="str">
        <f t="shared" si="83"/>
        <v>Very Poor</v>
      </c>
      <c r="AB128" t="str">
        <f t="shared" si="83"/>
        <v>Very Poor</v>
      </c>
      <c r="AC128" t="str">
        <f t="shared" si="83"/>
        <v>Very Poor</v>
      </c>
      <c r="AD128" t="str">
        <f t="shared" si="83"/>
        <v>Very Poor</v>
      </c>
      <c r="AE128" t="str">
        <f t="shared" si="83"/>
        <v>Very Poor</v>
      </c>
      <c r="AF128" t="str">
        <f t="shared" si="83"/>
        <v>Very Poor</v>
      </c>
      <c r="AG128" t="str">
        <f t="shared" si="83"/>
        <v>Very Poor</v>
      </c>
      <c r="AH128" t="str">
        <f t="shared" si="83"/>
        <v>Very Poor</v>
      </c>
      <c r="AI128" t="str">
        <f t="shared" si="83"/>
        <v>Very Poor</v>
      </c>
      <c r="AJ128" t="str">
        <f t="shared" si="83"/>
        <v>Very Poor</v>
      </c>
      <c r="AK128" t="str">
        <f t="shared" si="83"/>
        <v>Very Poor</v>
      </c>
      <c r="AL128" t="str">
        <f t="shared" si="83"/>
        <v>Very Poor</v>
      </c>
    </row>
    <row r="129" spans="4:38">
      <c r="D129" s="7" t="s">
        <v>300</v>
      </c>
      <c r="E129" s="16" t="s">
        <v>303</v>
      </c>
      <c r="K129">
        <f>INDEX('Availability Model'!$C$18:$T$22, MATCH($K$128,'Availability Model'!$B$18:$B$22, 0), MATCH($K$10, 'Availability Model'!$C$1:$T$1, 0))</f>
        <v>3</v>
      </c>
      <c r="L129">
        <f>INDEX('Availability Model'!$C$18:$T$22, MATCH($K$128,'Availability Model'!$B$18:$B$22, 0), MATCH($K$10, 'Availability Model'!$C$1:$T$1, 0))</f>
        <v>3</v>
      </c>
      <c r="M129">
        <f>INDEX('Availability Model'!$C$18:$T$22, MATCH($K$128,'Availability Model'!$B$18:$B$22, 0), MATCH($K$10, 'Availability Model'!$C$1:$T$1, 0))</f>
        <v>3</v>
      </c>
      <c r="N129">
        <f>INDEX('Availability Model'!$C$18:$T$22, MATCH($K$128,'Availability Model'!$B$18:$B$22, 0), MATCH($K$10, 'Availability Model'!$C$1:$T$1, 0))</f>
        <v>3</v>
      </c>
      <c r="O129">
        <f>INDEX('Availability Model'!$C$18:$T$22, MATCH($K$128,'Availability Model'!$B$18:$B$22, 0), MATCH($K$10, 'Availability Model'!$C$1:$T$1, 0))</f>
        <v>3</v>
      </c>
      <c r="P129">
        <f>INDEX('Availability Model'!$C$18:$T$22, MATCH($K$128,'Availability Model'!$B$18:$B$22, 0), MATCH($K$10, 'Availability Model'!$C$1:$T$1, 0))</f>
        <v>3</v>
      </c>
      <c r="Q129">
        <f>INDEX('Availability Model'!$C$18:$T$22, MATCH($K$128,'Availability Model'!$B$18:$B$22, 0), MATCH($K$10, 'Availability Model'!$C$1:$T$1, 0))</f>
        <v>3</v>
      </c>
      <c r="R129">
        <f>INDEX('Availability Model'!$C$18:$T$22, MATCH($K$128,'Availability Model'!$B$18:$B$22, 0), MATCH($K$10, 'Availability Model'!$C$1:$T$1, 0))</f>
        <v>3</v>
      </c>
      <c r="S129">
        <f>INDEX('Availability Model'!$C$18:$T$22, MATCH($K$128,'Availability Model'!$B$18:$B$22, 0), MATCH($K$10, 'Availability Model'!$C$1:$T$1, 0))</f>
        <v>3</v>
      </c>
      <c r="T129">
        <f>INDEX('Availability Model'!$C$18:$T$22, MATCH($K$128,'Availability Model'!$B$18:$B$22, 0), MATCH($K$10, 'Availability Model'!$C$1:$T$1, 0))</f>
        <v>3</v>
      </c>
      <c r="U129" s="128">
        <f>INDEX('Availability Model'!$C$18:$T$22, MATCH($K$128,'Availability Model'!$B$18:$B$22, 0), MATCH($K$10, 'Availability Model'!$C$1:$T$1, 0))</f>
        <v>3</v>
      </c>
      <c r="V129">
        <f>INDEX('Availability Model'!$C$18:$T$22, MATCH($K$128,'Availability Model'!$B$18:$B$22, 0), MATCH($K$10, 'Availability Model'!$C$1:$T$1, 0))</f>
        <v>3</v>
      </c>
      <c r="W129" s="128">
        <f>INDEX('Availability Model'!$C$18:$T$22, MATCH($K$128,'Availability Model'!$B$18:$B$22, 0), MATCH($K$10, 'Availability Model'!$C$1:$T$1, 0))</f>
        <v>3</v>
      </c>
      <c r="X129">
        <f>INDEX('Availability Model'!$C$18:$T$22, MATCH($K$128,'Availability Model'!$B$18:$B$22, 0), MATCH($K$10, 'Availability Model'!$C$1:$T$1, 0))</f>
        <v>3</v>
      </c>
      <c r="Y129">
        <f>INDEX('Availability Model'!$C$18:$T$22, MATCH($K$128,'Availability Model'!$B$18:$B$22, 0), MATCH($K$10, 'Availability Model'!$C$1:$T$1, 0))</f>
        <v>3</v>
      </c>
      <c r="Z129">
        <f>INDEX('Availability Model'!$C$18:$T$22, MATCH($K$128,'Availability Model'!$B$18:$B$22, 0), MATCH($K$10, 'Availability Model'!$C$1:$T$1, 0))</f>
        <v>3</v>
      </c>
      <c r="AA129">
        <f>INDEX('Availability Model'!$C$18:$T$22, MATCH($K$128,'Availability Model'!$B$18:$B$22, 0), MATCH($K$10, 'Availability Model'!$C$1:$T$1, 0))</f>
        <v>3</v>
      </c>
      <c r="AB129">
        <f>INDEX('Availability Model'!$C$18:$T$22, MATCH($K$128,'Availability Model'!$B$18:$B$22, 0), MATCH($K$10, 'Availability Model'!$C$1:$T$1, 0))</f>
        <v>3</v>
      </c>
      <c r="AC129">
        <f>INDEX('Availability Model'!$C$18:$T$22, MATCH($K$128,'Availability Model'!$B$18:$B$22, 0), MATCH($K$10, 'Availability Model'!$C$1:$T$1, 0))</f>
        <v>3</v>
      </c>
      <c r="AD129">
        <f>INDEX('Availability Model'!$C$18:$T$22, MATCH($K$128,'Availability Model'!$B$18:$B$22, 0), MATCH($K$10, 'Availability Model'!$C$1:$T$1, 0))</f>
        <v>3</v>
      </c>
      <c r="AE129">
        <f>INDEX('Availability Model'!$C$18:$T$22, MATCH($K$128,'Availability Model'!$B$18:$B$22, 0), MATCH($K$10, 'Availability Model'!$C$1:$T$1, 0))</f>
        <v>3</v>
      </c>
      <c r="AF129">
        <f>INDEX('Availability Model'!$C$18:$T$22, MATCH($K$128,'Availability Model'!$B$18:$B$22, 0), MATCH($K$10, 'Availability Model'!$C$1:$T$1, 0))</f>
        <v>3</v>
      </c>
      <c r="AG129">
        <f>INDEX('Availability Model'!$C$18:$T$22, MATCH($K$128,'Availability Model'!$B$18:$B$22, 0), MATCH($K$10, 'Availability Model'!$C$1:$T$1, 0))</f>
        <v>3</v>
      </c>
      <c r="AH129">
        <f>INDEX('Availability Model'!$C$18:$T$22, MATCH($K$128,'Availability Model'!$B$18:$B$22, 0), MATCH($K$10, 'Availability Model'!$C$1:$T$1, 0))</f>
        <v>3</v>
      </c>
      <c r="AI129">
        <f>INDEX('Availability Model'!$C$18:$T$22, MATCH($K$128,'Availability Model'!$B$18:$B$22, 0), MATCH($K$10, 'Availability Model'!$C$1:$T$1, 0))</f>
        <v>3</v>
      </c>
      <c r="AJ129">
        <f>INDEX('Availability Model'!$C$18:$T$22, MATCH($K$128,'Availability Model'!$B$18:$B$22, 0), MATCH($K$10, 'Availability Model'!$C$1:$T$1, 0))</f>
        <v>3</v>
      </c>
      <c r="AK129">
        <f>INDEX('Availability Model'!$C$18:$T$22, MATCH($K$128,'Availability Model'!$B$18:$B$22, 0), MATCH($K$10, 'Availability Model'!$C$1:$T$1, 0))</f>
        <v>3</v>
      </c>
      <c r="AL129">
        <f>INDEX('Availability Model'!$C$18:$T$22, MATCH($K$128,'Availability Model'!$B$18:$B$22, 0), MATCH($K$10, 'Availability Model'!$C$1:$T$1, 0))</f>
        <v>3</v>
      </c>
    </row>
    <row r="130" spans="4:38">
      <c r="D130" s="7" t="s">
        <v>301</v>
      </c>
      <c r="E130" s="16" t="s">
        <v>106</v>
      </c>
      <c r="K130">
        <f>K129*INDEX('Availability Model'!$C$25:$T$30, MATCH($K$128,'Availability Model'!$B$25:$B$30, 0), MATCH($K$10, 'Availability Model'!$C$1:$T$1, 0))</f>
        <v>9</v>
      </c>
      <c r="L130">
        <f>L129*INDEX('Availability Model'!$C$25:$T$30, MATCH($K$128,'Availability Model'!$B$25:$B$30, 0), MATCH($K$10, 'Availability Model'!$C$1:$T$1, 0))</f>
        <v>9</v>
      </c>
      <c r="M130">
        <f>M129*INDEX('Availability Model'!$C$25:$T$30, MATCH($K$128,'Availability Model'!$B$25:$B$30, 0), MATCH($K$10, 'Availability Model'!$C$1:$T$1, 0))</f>
        <v>9</v>
      </c>
      <c r="N130">
        <f>N129*INDEX('Availability Model'!$C$25:$T$30, MATCH($K$128,'Availability Model'!$B$25:$B$30, 0), MATCH($K$10, 'Availability Model'!$C$1:$T$1, 0))</f>
        <v>9</v>
      </c>
      <c r="O130">
        <f>O129*INDEX('Availability Model'!$C$25:$T$30, MATCH($K$128,'Availability Model'!$B$25:$B$30, 0), MATCH($K$10, 'Availability Model'!$C$1:$T$1, 0))</f>
        <v>9</v>
      </c>
      <c r="P130">
        <f>P129*INDEX('Availability Model'!$C$25:$T$30, MATCH($K$128,'Availability Model'!$B$25:$B$30, 0), MATCH($K$10, 'Availability Model'!$C$1:$T$1, 0))</f>
        <v>9</v>
      </c>
      <c r="Q130">
        <f>Q129*INDEX('Availability Model'!$C$25:$T$30, MATCH($K$128,'Availability Model'!$B$25:$B$30, 0), MATCH($K$10, 'Availability Model'!$C$1:$T$1, 0))</f>
        <v>9</v>
      </c>
      <c r="R130">
        <f>R129*INDEX('Availability Model'!$C$25:$T$30, MATCH($K$128,'Availability Model'!$B$25:$B$30, 0), MATCH($K$10, 'Availability Model'!$C$1:$T$1, 0))</f>
        <v>9</v>
      </c>
      <c r="S130">
        <f>S129*INDEX('Availability Model'!$C$25:$T$30, MATCH($K$128,'Availability Model'!$B$25:$B$30, 0), MATCH($K$10, 'Availability Model'!$C$1:$T$1, 0))</f>
        <v>9</v>
      </c>
      <c r="T130">
        <f>T129*INDEX('Availability Model'!$C$25:$T$30, MATCH($K$128,'Availability Model'!$B$25:$B$30, 0), MATCH($K$10, 'Availability Model'!$C$1:$T$1, 0))</f>
        <v>9</v>
      </c>
      <c r="U130" s="128">
        <f>U129*INDEX('Availability Model'!$C$25:$T$30, MATCH($K$128,'Availability Model'!$B$25:$B$30, 0), MATCH($K$10, 'Availability Model'!$C$1:$T$1, 0))</f>
        <v>9</v>
      </c>
      <c r="V130">
        <f>V129*INDEX('Availability Model'!$C$25:$T$30, MATCH($K$128,'Availability Model'!$B$25:$B$30, 0), MATCH($K$10, 'Availability Model'!$C$1:$T$1, 0))</f>
        <v>9</v>
      </c>
      <c r="W130" s="128">
        <f>W129*INDEX('Availability Model'!$C$25:$T$30, MATCH($K$128,'Availability Model'!$B$25:$B$30, 0), MATCH($K$10, 'Availability Model'!$C$1:$T$1, 0))</f>
        <v>9</v>
      </c>
      <c r="X130">
        <f>X129*INDEX('Availability Model'!$C$25:$T$30, MATCH($K$128,'Availability Model'!$B$25:$B$30, 0), MATCH($K$10, 'Availability Model'!$C$1:$T$1, 0))</f>
        <v>9</v>
      </c>
      <c r="Y130">
        <f>Y129*INDEX('Availability Model'!$C$25:$T$30, MATCH($K$128,'Availability Model'!$B$25:$B$30, 0), MATCH($K$10, 'Availability Model'!$C$1:$T$1, 0))</f>
        <v>9</v>
      </c>
      <c r="Z130">
        <f>Z129*INDEX('Availability Model'!$C$25:$T$30, MATCH($K$128,'Availability Model'!$B$25:$B$30, 0), MATCH($K$10, 'Availability Model'!$C$1:$T$1, 0))</f>
        <v>9</v>
      </c>
      <c r="AA130">
        <f>AA129*INDEX('Availability Model'!$C$25:$T$30, MATCH($K$128,'Availability Model'!$B$25:$B$30, 0), MATCH($K$10, 'Availability Model'!$C$1:$T$1, 0))</f>
        <v>9</v>
      </c>
      <c r="AB130">
        <f>AB129*INDEX('Availability Model'!$C$25:$T$30, MATCH($K$128,'Availability Model'!$B$25:$B$30, 0), MATCH($K$10, 'Availability Model'!$C$1:$T$1, 0))</f>
        <v>9</v>
      </c>
      <c r="AC130">
        <f>AC129*INDEX('Availability Model'!$C$25:$T$30, MATCH($K$128,'Availability Model'!$B$25:$B$30, 0), MATCH($K$10, 'Availability Model'!$C$1:$T$1, 0))</f>
        <v>9</v>
      </c>
      <c r="AD130">
        <f>AD129*INDEX('Availability Model'!$C$25:$T$30, MATCH($K$128,'Availability Model'!$B$25:$B$30, 0), MATCH($K$10, 'Availability Model'!$C$1:$T$1, 0))</f>
        <v>9</v>
      </c>
      <c r="AE130">
        <f>AE129*INDEX('Availability Model'!$C$25:$T$30, MATCH($K$128,'Availability Model'!$B$25:$B$30, 0), MATCH($K$10, 'Availability Model'!$C$1:$T$1, 0))</f>
        <v>9</v>
      </c>
      <c r="AF130">
        <f>AF129*INDEX('Availability Model'!$C$25:$T$30, MATCH($K$128,'Availability Model'!$B$25:$B$30, 0), MATCH($K$10, 'Availability Model'!$C$1:$T$1, 0))</f>
        <v>9</v>
      </c>
      <c r="AG130">
        <f>AG129*INDEX('Availability Model'!$C$25:$T$30, MATCH($K$128,'Availability Model'!$B$25:$B$30, 0), MATCH($K$10, 'Availability Model'!$C$1:$T$1, 0))</f>
        <v>9</v>
      </c>
      <c r="AH130">
        <f>AH129*INDEX('Availability Model'!$C$25:$T$30, MATCH($K$128,'Availability Model'!$B$25:$B$30, 0), MATCH($K$10, 'Availability Model'!$C$1:$T$1, 0))</f>
        <v>9</v>
      </c>
      <c r="AI130">
        <f>AI129*INDEX('Availability Model'!$C$25:$T$30, MATCH($K$128,'Availability Model'!$B$25:$B$30, 0), MATCH($K$10, 'Availability Model'!$C$1:$T$1, 0))</f>
        <v>9</v>
      </c>
      <c r="AJ130">
        <f>AJ129*INDEX('Availability Model'!$C$25:$T$30, MATCH($K$128,'Availability Model'!$B$25:$B$30, 0), MATCH($K$10, 'Availability Model'!$C$1:$T$1, 0))</f>
        <v>9</v>
      </c>
      <c r="AK130">
        <f>AK129*INDEX('Availability Model'!$C$25:$T$30, MATCH($K$128,'Availability Model'!$B$25:$B$30, 0), MATCH($K$10, 'Availability Model'!$C$1:$T$1, 0))</f>
        <v>9</v>
      </c>
      <c r="AL130">
        <f>AL129*INDEX('Availability Model'!$C$25:$T$30, MATCH($K$128,'Availability Model'!$B$25:$B$30, 0), MATCH($K$10, 'Availability Model'!$C$1:$T$1, 0))</f>
        <v>9</v>
      </c>
    </row>
    <row r="131" spans="4:38">
      <c r="D131" s="7" t="s">
        <v>302</v>
      </c>
      <c r="E131" s="16" t="s">
        <v>106</v>
      </c>
      <c r="K131" s="65">
        <f>K124</f>
        <v>1.8129533678756478</v>
      </c>
      <c r="L131" s="65">
        <f t="shared" ref="L131:AL131" si="84">L124</f>
        <v>1.9066551166747128</v>
      </c>
      <c r="M131" s="65">
        <f t="shared" si="84"/>
        <v>1.8367738032705883</v>
      </c>
      <c r="N131" s="65">
        <f t="shared" si="84"/>
        <v>1.8815339776532183</v>
      </c>
      <c r="O131" s="65">
        <f t="shared" si="84"/>
        <v>2.3849090588321165</v>
      </c>
      <c r="P131" s="65">
        <f t="shared" si="84"/>
        <v>2.3887033302261771</v>
      </c>
      <c r="Q131" s="65">
        <f t="shared" si="84"/>
        <v>2.6044906552465226</v>
      </c>
      <c r="R131" s="65">
        <f t="shared" si="84"/>
        <v>2.6044906552465226</v>
      </c>
      <c r="S131" s="65">
        <f t="shared" si="84"/>
        <v>2.3419724183148003</v>
      </c>
      <c r="T131" s="65">
        <f t="shared" si="84"/>
        <v>2.3456704140849065</v>
      </c>
      <c r="U131" s="165">
        <f t="shared" si="84"/>
        <v>2.3419724183148003</v>
      </c>
      <c r="V131" s="65">
        <f t="shared" si="84"/>
        <v>2.34976845608873</v>
      </c>
      <c r="W131" s="165">
        <f t="shared" si="84"/>
        <v>2.34976845608873</v>
      </c>
      <c r="X131" s="65">
        <f t="shared" si="84"/>
        <v>2.3534664518588362</v>
      </c>
      <c r="Y131" s="65">
        <f t="shared" si="84"/>
        <v>2.34976845608873</v>
      </c>
      <c r="Z131" s="65">
        <f t="shared" si="84"/>
        <v>2.34976845608873</v>
      </c>
      <c r="AA131" s="65">
        <f t="shared" si="84"/>
        <v>2.34976845608873</v>
      </c>
      <c r="AB131" s="65">
        <f t="shared" si="84"/>
        <v>2.3534664518588362</v>
      </c>
      <c r="AC131" s="65">
        <f t="shared" si="84"/>
        <v>2.34976845608873</v>
      </c>
      <c r="AD131" s="65">
        <f t="shared" si="84"/>
        <v>2.34976845608873</v>
      </c>
      <c r="AE131" s="65">
        <f t="shared" si="84"/>
        <v>2.34976845608873</v>
      </c>
      <c r="AF131" s="65">
        <f t="shared" si="84"/>
        <v>2.3534664518588362</v>
      </c>
      <c r="AG131" s="65">
        <f t="shared" si="84"/>
        <v>2.34976845608873</v>
      </c>
      <c r="AH131" s="65">
        <f t="shared" si="84"/>
        <v>2.34976845608873</v>
      </c>
      <c r="AI131" s="65">
        <f t="shared" si="84"/>
        <v>2.34976845608873</v>
      </c>
      <c r="AJ131" s="65">
        <f t="shared" si="84"/>
        <v>2.3534664518588362</v>
      </c>
      <c r="AK131" s="65">
        <f t="shared" si="84"/>
        <v>2.34976845608873</v>
      </c>
      <c r="AL131" s="65">
        <f t="shared" si="84"/>
        <v>2.34976845608873</v>
      </c>
    </row>
    <row r="132" spans="4:38">
      <c r="D132" s="7" t="s">
        <v>304</v>
      </c>
      <c r="E132" s="16" t="s">
        <v>106</v>
      </c>
      <c r="K132" s="140">
        <f>ROUND(K130-K131,0)</f>
        <v>7</v>
      </c>
      <c r="L132" s="140">
        <f t="shared" ref="L132:AL132" si="85">ROUND(L130-L131,0)</f>
        <v>7</v>
      </c>
      <c r="M132" s="140">
        <f t="shared" si="85"/>
        <v>7</v>
      </c>
      <c r="N132" s="140">
        <f t="shared" si="85"/>
        <v>7</v>
      </c>
      <c r="O132" s="140">
        <f t="shared" si="85"/>
        <v>7</v>
      </c>
      <c r="P132" s="140">
        <f t="shared" si="85"/>
        <v>7</v>
      </c>
      <c r="Q132" s="140">
        <f t="shared" si="85"/>
        <v>6</v>
      </c>
      <c r="R132" s="140">
        <f t="shared" si="85"/>
        <v>6</v>
      </c>
      <c r="S132" s="140">
        <f t="shared" si="85"/>
        <v>7</v>
      </c>
      <c r="T132" s="116">
        <f t="shared" si="85"/>
        <v>7</v>
      </c>
      <c r="U132" s="130">
        <f t="shared" si="85"/>
        <v>7</v>
      </c>
      <c r="V132" s="140">
        <f t="shared" si="85"/>
        <v>7</v>
      </c>
      <c r="W132" s="130">
        <f t="shared" si="85"/>
        <v>7</v>
      </c>
      <c r="X132" s="140">
        <f t="shared" si="85"/>
        <v>7</v>
      </c>
      <c r="Y132" s="140">
        <f t="shared" si="85"/>
        <v>7</v>
      </c>
      <c r="Z132" s="140">
        <f t="shared" si="85"/>
        <v>7</v>
      </c>
      <c r="AA132" s="140">
        <f t="shared" si="85"/>
        <v>7</v>
      </c>
      <c r="AB132" s="140">
        <f t="shared" si="85"/>
        <v>7</v>
      </c>
      <c r="AC132" s="140">
        <f t="shared" si="85"/>
        <v>7</v>
      </c>
      <c r="AD132" s="140">
        <f t="shared" si="85"/>
        <v>7</v>
      </c>
      <c r="AE132" s="140">
        <f t="shared" si="85"/>
        <v>7</v>
      </c>
      <c r="AF132" s="140">
        <f t="shared" si="85"/>
        <v>7</v>
      </c>
      <c r="AG132" s="140">
        <f t="shared" si="85"/>
        <v>7</v>
      </c>
      <c r="AH132" s="140">
        <f t="shared" si="85"/>
        <v>7</v>
      </c>
      <c r="AI132" s="140">
        <f t="shared" si="85"/>
        <v>7</v>
      </c>
      <c r="AJ132" s="140">
        <f t="shared" si="85"/>
        <v>7</v>
      </c>
      <c r="AK132" s="140">
        <f t="shared" si="85"/>
        <v>7</v>
      </c>
      <c r="AL132" s="140">
        <f t="shared" si="85"/>
        <v>7</v>
      </c>
    </row>
    <row r="133" spans="4:38">
      <c r="D133" s="7"/>
      <c r="E133" s="16"/>
    </row>
    <row r="134" spans="4:38">
      <c r="D134" s="3" t="s">
        <v>298</v>
      </c>
    </row>
    <row r="135" spans="4:38">
      <c r="D135" s="7" t="s">
        <v>299</v>
      </c>
      <c r="E135" s="16" t="s">
        <v>169</v>
      </c>
      <c r="K135" t="str">
        <f>Inputs!E75</f>
        <v>Average</v>
      </c>
      <c r="L135" t="str">
        <f>Inputs!F75</f>
        <v>Average</v>
      </c>
      <c r="M135" t="str">
        <f>Inputs!G75</f>
        <v>Average</v>
      </c>
      <c r="N135" t="str">
        <f>Inputs!H75</f>
        <v>Average</v>
      </c>
      <c r="O135" t="str">
        <f>Inputs!I75</f>
        <v>Average</v>
      </c>
      <c r="P135" t="str">
        <f>Inputs!J75</f>
        <v>Average</v>
      </c>
      <c r="Q135" t="str">
        <f>P135</f>
        <v>Average</v>
      </c>
      <c r="R135" t="str">
        <f t="shared" ref="R135:AL135" si="86">Q135</f>
        <v>Average</v>
      </c>
      <c r="S135" t="str">
        <f t="shared" si="86"/>
        <v>Average</v>
      </c>
      <c r="T135" t="str">
        <f t="shared" si="86"/>
        <v>Average</v>
      </c>
      <c r="U135" s="128" t="str">
        <f t="shared" si="86"/>
        <v>Average</v>
      </c>
      <c r="V135" t="str">
        <f t="shared" si="86"/>
        <v>Average</v>
      </c>
      <c r="W135" s="128" t="str">
        <f t="shared" si="86"/>
        <v>Average</v>
      </c>
      <c r="X135" t="str">
        <f t="shared" si="86"/>
        <v>Average</v>
      </c>
      <c r="Y135" t="str">
        <f t="shared" si="86"/>
        <v>Average</v>
      </c>
      <c r="Z135" t="str">
        <f t="shared" si="86"/>
        <v>Average</v>
      </c>
      <c r="AA135" t="str">
        <f t="shared" si="86"/>
        <v>Average</v>
      </c>
      <c r="AB135" t="str">
        <f t="shared" si="86"/>
        <v>Average</v>
      </c>
      <c r="AC135" t="str">
        <f t="shared" si="86"/>
        <v>Average</v>
      </c>
      <c r="AD135" t="str">
        <f t="shared" si="86"/>
        <v>Average</v>
      </c>
      <c r="AE135" t="str">
        <f t="shared" si="86"/>
        <v>Average</v>
      </c>
      <c r="AF135" t="str">
        <f t="shared" si="86"/>
        <v>Average</v>
      </c>
      <c r="AG135" t="str">
        <f t="shared" si="86"/>
        <v>Average</v>
      </c>
      <c r="AH135" t="str">
        <f t="shared" si="86"/>
        <v>Average</v>
      </c>
      <c r="AI135" t="str">
        <f t="shared" si="86"/>
        <v>Average</v>
      </c>
      <c r="AJ135" t="str">
        <f t="shared" si="86"/>
        <v>Average</v>
      </c>
      <c r="AK135" t="str">
        <f t="shared" si="86"/>
        <v>Average</v>
      </c>
      <c r="AL135" t="str">
        <f t="shared" si="86"/>
        <v>Average</v>
      </c>
    </row>
    <row r="136" spans="4:38">
      <c r="D136" s="7" t="s">
        <v>300</v>
      </c>
      <c r="E136" s="16" t="s">
        <v>303</v>
      </c>
      <c r="K136">
        <f>INDEX('Availability Model'!$C$32:$T$36, MATCH($K$135,'Availability Model'!$B$32:$B$36, 0), MATCH($K$10, 'Availability Model'!$C$1:$T$1, 0))</f>
        <v>2</v>
      </c>
      <c r="L136">
        <f>INDEX('Availability Model'!$C$32:$T$36, MATCH($K$135,'Availability Model'!$B$32:$B$36, 0), MATCH($K$10, 'Availability Model'!$C$1:$T$1, 0))</f>
        <v>2</v>
      </c>
      <c r="M136">
        <f>INDEX('Availability Model'!$C$32:$T$36, MATCH($K$135,'Availability Model'!$B$32:$B$36, 0), MATCH($K$10, 'Availability Model'!$C$1:$T$1, 0))</f>
        <v>2</v>
      </c>
      <c r="N136">
        <f>INDEX('Availability Model'!$C$32:$T$36, MATCH($K$135,'Availability Model'!$B$32:$B$36, 0), MATCH($K$10, 'Availability Model'!$C$1:$T$1, 0))</f>
        <v>2</v>
      </c>
      <c r="O136">
        <f>INDEX('Availability Model'!$C$32:$T$36, MATCH($K$135,'Availability Model'!$B$32:$B$36, 0), MATCH($K$10, 'Availability Model'!$C$1:$T$1, 0))</f>
        <v>2</v>
      </c>
      <c r="P136">
        <f>INDEX('Availability Model'!$C$32:$T$36, MATCH($K$135,'Availability Model'!$B$32:$B$36, 0), MATCH($K$10, 'Availability Model'!$C$1:$T$1, 0))</f>
        <v>2</v>
      </c>
      <c r="Q136">
        <f>INDEX('Availability Model'!$C$32:$T$36, MATCH($K$135,'Availability Model'!$B$32:$B$36, 0), MATCH($K$10, 'Availability Model'!$C$1:$T$1, 0))</f>
        <v>2</v>
      </c>
      <c r="R136">
        <f>INDEX('Availability Model'!$C$32:$T$36, MATCH($K$135,'Availability Model'!$B$32:$B$36, 0), MATCH($K$10, 'Availability Model'!$C$1:$T$1, 0))</f>
        <v>2</v>
      </c>
      <c r="S136">
        <f>INDEX('Availability Model'!$C$32:$T$36, MATCH($K$135,'Availability Model'!$B$32:$B$36, 0), MATCH($K$10, 'Availability Model'!$C$1:$T$1, 0))</f>
        <v>2</v>
      </c>
      <c r="T136">
        <f>INDEX('Availability Model'!$C$32:$T$36, MATCH($K$135,'Availability Model'!$B$32:$B$36, 0), MATCH($K$10, 'Availability Model'!$C$1:$T$1, 0))</f>
        <v>2</v>
      </c>
      <c r="U136" s="128">
        <f>INDEX('Availability Model'!$C$32:$T$36, MATCH($K$135,'Availability Model'!$B$32:$B$36, 0), MATCH($K$10, 'Availability Model'!$C$1:$T$1, 0))</f>
        <v>2</v>
      </c>
      <c r="V136">
        <f>INDEX('Availability Model'!$C$32:$T$36, MATCH($K$135,'Availability Model'!$B$32:$B$36, 0), MATCH($K$10, 'Availability Model'!$C$1:$T$1, 0))</f>
        <v>2</v>
      </c>
      <c r="W136" s="128">
        <f>INDEX('Availability Model'!$C$32:$T$36, MATCH($K$135,'Availability Model'!$B$32:$B$36, 0), MATCH($K$10, 'Availability Model'!$C$1:$T$1, 0))</f>
        <v>2</v>
      </c>
      <c r="X136">
        <f>INDEX('Availability Model'!$C$32:$T$36, MATCH($K$135,'Availability Model'!$B$32:$B$36, 0), MATCH($K$10, 'Availability Model'!$C$1:$T$1, 0))</f>
        <v>2</v>
      </c>
      <c r="Y136">
        <f>INDEX('Availability Model'!$C$32:$T$36, MATCH($K$135,'Availability Model'!$B$32:$B$36, 0), MATCH($K$10, 'Availability Model'!$C$1:$T$1, 0))</f>
        <v>2</v>
      </c>
      <c r="Z136">
        <f>INDEX('Availability Model'!$C$32:$T$36, MATCH($K$135,'Availability Model'!$B$32:$B$36, 0), MATCH($K$10, 'Availability Model'!$C$1:$T$1, 0))</f>
        <v>2</v>
      </c>
      <c r="AA136">
        <f>INDEX('Availability Model'!$C$32:$T$36, MATCH($K$135,'Availability Model'!$B$32:$B$36, 0), MATCH($K$10, 'Availability Model'!$C$1:$T$1, 0))</f>
        <v>2</v>
      </c>
      <c r="AB136">
        <f>INDEX('Availability Model'!$C$32:$T$36, MATCH($K$135,'Availability Model'!$B$32:$B$36, 0), MATCH($K$10, 'Availability Model'!$C$1:$T$1, 0))</f>
        <v>2</v>
      </c>
      <c r="AC136">
        <f>INDEX('Availability Model'!$C$32:$T$36, MATCH($K$135,'Availability Model'!$B$32:$B$36, 0), MATCH($K$10, 'Availability Model'!$C$1:$T$1, 0))</f>
        <v>2</v>
      </c>
      <c r="AD136">
        <f>INDEX('Availability Model'!$C$32:$T$36, MATCH($K$135,'Availability Model'!$B$32:$B$36, 0), MATCH($K$10, 'Availability Model'!$C$1:$T$1, 0))</f>
        <v>2</v>
      </c>
      <c r="AE136">
        <f>INDEX('Availability Model'!$C$32:$T$36, MATCH($K$135,'Availability Model'!$B$32:$B$36, 0), MATCH($K$10, 'Availability Model'!$C$1:$T$1, 0))</f>
        <v>2</v>
      </c>
      <c r="AF136">
        <f>INDEX('Availability Model'!$C$32:$T$36, MATCH($K$135,'Availability Model'!$B$32:$B$36, 0), MATCH($K$10, 'Availability Model'!$C$1:$T$1, 0))</f>
        <v>2</v>
      </c>
      <c r="AG136">
        <f>INDEX('Availability Model'!$C$32:$T$36, MATCH($K$135,'Availability Model'!$B$32:$B$36, 0), MATCH($K$10, 'Availability Model'!$C$1:$T$1, 0))</f>
        <v>2</v>
      </c>
      <c r="AH136">
        <f>INDEX('Availability Model'!$C$32:$T$36, MATCH($K$135,'Availability Model'!$B$32:$B$36, 0), MATCH($K$10, 'Availability Model'!$C$1:$T$1, 0))</f>
        <v>2</v>
      </c>
      <c r="AI136">
        <f>INDEX('Availability Model'!$C$32:$T$36, MATCH($K$135,'Availability Model'!$B$32:$B$36, 0), MATCH($K$10, 'Availability Model'!$C$1:$T$1, 0))</f>
        <v>2</v>
      </c>
      <c r="AJ136">
        <f>INDEX('Availability Model'!$C$32:$T$36, MATCH($K$135,'Availability Model'!$B$32:$B$36, 0), MATCH($K$10, 'Availability Model'!$C$1:$T$1, 0))</f>
        <v>2</v>
      </c>
      <c r="AK136">
        <f>INDEX('Availability Model'!$C$32:$T$36, MATCH($K$135,'Availability Model'!$B$32:$B$36, 0), MATCH($K$10, 'Availability Model'!$C$1:$T$1, 0))</f>
        <v>2</v>
      </c>
      <c r="AL136">
        <f>INDEX('Availability Model'!$C$32:$T$36, MATCH($K$135,'Availability Model'!$B$32:$B$36, 0), MATCH($K$10, 'Availability Model'!$C$1:$T$1, 0))</f>
        <v>2</v>
      </c>
    </row>
    <row r="137" spans="4:38">
      <c r="D137" s="7" t="s">
        <v>301</v>
      </c>
      <c r="E137" s="16" t="s">
        <v>106</v>
      </c>
      <c r="K137">
        <f>K136*INDEX('Availability Model'!$C$39:$T$43, MATCH($K$135,'Availability Model'!$B$39:$B$43, 0), MATCH($K$10, 'Availability Model'!$C$1:$T$1, 0))</f>
        <v>6</v>
      </c>
      <c r="L137">
        <f>L136*INDEX('Availability Model'!$C$39:$T$43, MATCH($K$135,'Availability Model'!$B$39:$B$43, 0), MATCH($K$10, 'Availability Model'!$C$1:$T$1, 0))</f>
        <v>6</v>
      </c>
      <c r="M137">
        <f>M136*INDEX('Availability Model'!$C$39:$T$43, MATCH($K$135,'Availability Model'!$B$39:$B$43, 0), MATCH($K$10, 'Availability Model'!$C$1:$T$1, 0))</f>
        <v>6</v>
      </c>
      <c r="N137">
        <f>N136*INDEX('Availability Model'!$C$39:$T$43, MATCH($K$135,'Availability Model'!$B$39:$B$43, 0), MATCH($K$10, 'Availability Model'!$C$1:$T$1, 0))</f>
        <v>6</v>
      </c>
      <c r="O137">
        <f>O136*INDEX('Availability Model'!$C$39:$T$43, MATCH($K$135,'Availability Model'!$B$39:$B$43, 0), MATCH($K$10, 'Availability Model'!$C$1:$T$1, 0))</f>
        <v>6</v>
      </c>
      <c r="P137">
        <f>P136*INDEX('Availability Model'!$C$39:$T$43, MATCH($K$135,'Availability Model'!$B$39:$B$43, 0), MATCH($K$10, 'Availability Model'!$C$1:$T$1, 0))</f>
        <v>6</v>
      </c>
      <c r="Q137">
        <f>Q136*INDEX('Availability Model'!$C$39:$T$43, MATCH($K$135,'Availability Model'!$B$39:$B$43, 0), MATCH($K$10, 'Availability Model'!$C$1:$T$1, 0))</f>
        <v>6</v>
      </c>
      <c r="R137">
        <f>R136*INDEX('Availability Model'!$C$39:$T$43, MATCH($K$135,'Availability Model'!$B$39:$B$43, 0), MATCH($K$10, 'Availability Model'!$C$1:$T$1, 0))</f>
        <v>6</v>
      </c>
      <c r="S137">
        <f>S136*INDEX('Availability Model'!$C$39:$T$43, MATCH($K$135,'Availability Model'!$B$39:$B$43, 0), MATCH($K$10, 'Availability Model'!$C$1:$T$1, 0))</f>
        <v>6</v>
      </c>
      <c r="T137">
        <f>T136*INDEX('Availability Model'!$C$39:$T$43, MATCH($K$135,'Availability Model'!$B$39:$B$43, 0), MATCH($K$10, 'Availability Model'!$C$1:$T$1, 0))</f>
        <v>6</v>
      </c>
      <c r="U137" s="128">
        <f>U136*INDEX('Availability Model'!$C$39:$T$43, MATCH($K$135,'Availability Model'!$B$39:$B$43, 0), MATCH($K$10, 'Availability Model'!$C$1:$T$1, 0))</f>
        <v>6</v>
      </c>
      <c r="V137">
        <f>V136*INDEX('Availability Model'!$C$39:$T$43, MATCH($K$135,'Availability Model'!$B$39:$B$43, 0), MATCH($K$10, 'Availability Model'!$C$1:$T$1, 0))</f>
        <v>6</v>
      </c>
      <c r="W137" s="128">
        <f>W136*INDEX('Availability Model'!$C$39:$T$43, MATCH($K$135,'Availability Model'!$B$39:$B$43, 0), MATCH($K$10, 'Availability Model'!$C$1:$T$1, 0))</f>
        <v>6</v>
      </c>
      <c r="X137">
        <f>X136*INDEX('Availability Model'!$C$39:$T$43, MATCH($K$135,'Availability Model'!$B$39:$B$43, 0), MATCH($K$10, 'Availability Model'!$C$1:$T$1, 0))</f>
        <v>6</v>
      </c>
      <c r="Y137">
        <f>Y136*INDEX('Availability Model'!$C$39:$T$43, MATCH($K$135,'Availability Model'!$B$39:$B$43, 0), MATCH($K$10, 'Availability Model'!$C$1:$T$1, 0))</f>
        <v>6</v>
      </c>
      <c r="Z137">
        <f>Z136*INDEX('Availability Model'!$C$39:$T$43, MATCH($K$135,'Availability Model'!$B$39:$B$43, 0), MATCH($K$10, 'Availability Model'!$C$1:$T$1, 0))</f>
        <v>6</v>
      </c>
      <c r="AA137">
        <f>AA136*INDEX('Availability Model'!$C$39:$T$43, MATCH($K$135,'Availability Model'!$B$39:$B$43, 0), MATCH($K$10, 'Availability Model'!$C$1:$T$1, 0))</f>
        <v>6</v>
      </c>
      <c r="AB137">
        <f>AB136*INDEX('Availability Model'!$C$39:$T$43, MATCH($K$135,'Availability Model'!$B$39:$B$43, 0), MATCH($K$10, 'Availability Model'!$C$1:$T$1, 0))</f>
        <v>6</v>
      </c>
      <c r="AC137">
        <f>AC136*INDEX('Availability Model'!$C$39:$T$43, MATCH($K$135,'Availability Model'!$B$39:$B$43, 0), MATCH($K$10, 'Availability Model'!$C$1:$T$1, 0))</f>
        <v>6</v>
      </c>
      <c r="AD137">
        <f>AD136*INDEX('Availability Model'!$C$39:$T$43, MATCH($K$135,'Availability Model'!$B$39:$B$43, 0), MATCH($K$10, 'Availability Model'!$C$1:$T$1, 0))</f>
        <v>6</v>
      </c>
      <c r="AE137">
        <f>AE136*INDEX('Availability Model'!$C$39:$T$43, MATCH($K$135,'Availability Model'!$B$39:$B$43, 0), MATCH($K$10, 'Availability Model'!$C$1:$T$1, 0))</f>
        <v>6</v>
      </c>
      <c r="AF137">
        <f>AF136*INDEX('Availability Model'!$C$39:$T$43, MATCH($K$135,'Availability Model'!$B$39:$B$43, 0), MATCH($K$10, 'Availability Model'!$C$1:$T$1, 0))</f>
        <v>6</v>
      </c>
      <c r="AG137">
        <f>AG136*INDEX('Availability Model'!$C$39:$T$43, MATCH($K$135,'Availability Model'!$B$39:$B$43, 0), MATCH($K$10, 'Availability Model'!$C$1:$T$1, 0))</f>
        <v>6</v>
      </c>
      <c r="AH137">
        <f>AH136*INDEX('Availability Model'!$C$39:$T$43, MATCH($K$135,'Availability Model'!$B$39:$B$43, 0), MATCH($K$10, 'Availability Model'!$C$1:$T$1, 0))</f>
        <v>6</v>
      </c>
      <c r="AI137">
        <f>AI136*INDEX('Availability Model'!$C$39:$T$43, MATCH($K$135,'Availability Model'!$B$39:$B$43, 0), MATCH($K$10, 'Availability Model'!$C$1:$T$1, 0))</f>
        <v>6</v>
      </c>
      <c r="AJ137">
        <f>AJ136*INDEX('Availability Model'!$C$39:$T$43, MATCH($K$135,'Availability Model'!$B$39:$B$43, 0), MATCH($K$10, 'Availability Model'!$C$1:$T$1, 0))</f>
        <v>6</v>
      </c>
      <c r="AK137">
        <f>AK136*INDEX('Availability Model'!$C$39:$T$43, MATCH($K$135,'Availability Model'!$B$39:$B$43, 0), MATCH($K$10, 'Availability Model'!$C$1:$T$1, 0))</f>
        <v>6</v>
      </c>
      <c r="AL137">
        <f>AL136*INDEX('Availability Model'!$C$39:$T$43, MATCH($K$135,'Availability Model'!$B$39:$B$43, 0), MATCH($K$10, 'Availability Model'!$C$1:$T$1, 0))</f>
        <v>6</v>
      </c>
    </row>
    <row r="138" spans="4:38">
      <c r="D138" s="7" t="s">
        <v>302</v>
      </c>
      <c r="E138" s="16" t="s">
        <v>106</v>
      </c>
      <c r="K138" s="65">
        <f>K131</f>
        <v>1.8129533678756478</v>
      </c>
      <c r="L138" s="65">
        <f t="shared" ref="L138:AL138" si="87">L131</f>
        <v>1.9066551166747128</v>
      </c>
      <c r="M138" s="65">
        <f t="shared" si="87"/>
        <v>1.8367738032705883</v>
      </c>
      <c r="N138" s="65">
        <f t="shared" si="87"/>
        <v>1.8815339776532183</v>
      </c>
      <c r="O138" s="65">
        <f t="shared" si="87"/>
        <v>2.3849090588321165</v>
      </c>
      <c r="P138" s="65">
        <f t="shared" si="87"/>
        <v>2.3887033302261771</v>
      </c>
      <c r="Q138" s="65">
        <f t="shared" si="87"/>
        <v>2.6044906552465226</v>
      </c>
      <c r="R138" s="65">
        <f t="shared" si="87"/>
        <v>2.6044906552465226</v>
      </c>
      <c r="S138" s="65">
        <f t="shared" si="87"/>
        <v>2.3419724183148003</v>
      </c>
      <c r="T138" s="65">
        <f t="shared" si="87"/>
        <v>2.3456704140849065</v>
      </c>
      <c r="U138" s="165">
        <f t="shared" si="87"/>
        <v>2.3419724183148003</v>
      </c>
      <c r="V138" s="65">
        <f t="shared" si="87"/>
        <v>2.34976845608873</v>
      </c>
      <c r="W138" s="165">
        <f t="shared" si="87"/>
        <v>2.34976845608873</v>
      </c>
      <c r="X138" s="65">
        <f t="shared" si="87"/>
        <v>2.3534664518588362</v>
      </c>
      <c r="Y138" s="65">
        <f t="shared" si="87"/>
        <v>2.34976845608873</v>
      </c>
      <c r="Z138" s="65">
        <f t="shared" si="87"/>
        <v>2.34976845608873</v>
      </c>
      <c r="AA138" s="65">
        <f t="shared" si="87"/>
        <v>2.34976845608873</v>
      </c>
      <c r="AB138" s="65">
        <f t="shared" si="87"/>
        <v>2.3534664518588362</v>
      </c>
      <c r="AC138" s="65">
        <f t="shared" si="87"/>
        <v>2.34976845608873</v>
      </c>
      <c r="AD138" s="65">
        <f t="shared" si="87"/>
        <v>2.34976845608873</v>
      </c>
      <c r="AE138" s="65">
        <f t="shared" si="87"/>
        <v>2.34976845608873</v>
      </c>
      <c r="AF138" s="65">
        <f t="shared" si="87"/>
        <v>2.3534664518588362</v>
      </c>
      <c r="AG138" s="65">
        <f t="shared" si="87"/>
        <v>2.34976845608873</v>
      </c>
      <c r="AH138" s="65">
        <f t="shared" si="87"/>
        <v>2.34976845608873</v>
      </c>
      <c r="AI138" s="65">
        <f t="shared" si="87"/>
        <v>2.34976845608873</v>
      </c>
      <c r="AJ138" s="65">
        <f t="shared" si="87"/>
        <v>2.3534664518588362</v>
      </c>
      <c r="AK138" s="65">
        <f t="shared" si="87"/>
        <v>2.34976845608873</v>
      </c>
      <c r="AL138" s="65">
        <f t="shared" si="87"/>
        <v>2.34976845608873</v>
      </c>
    </row>
    <row r="139" spans="4:38">
      <c r="D139" s="7" t="s">
        <v>304</v>
      </c>
      <c r="E139" s="16" t="s">
        <v>106</v>
      </c>
      <c r="K139" s="140">
        <f>ROUND(K137-K138,0)</f>
        <v>4</v>
      </c>
      <c r="L139" s="140">
        <f t="shared" ref="L139:AL139" si="88">ROUND(L137-L138,0)</f>
        <v>4</v>
      </c>
      <c r="M139" s="140">
        <f t="shared" si="88"/>
        <v>4</v>
      </c>
      <c r="N139" s="140">
        <f t="shared" si="88"/>
        <v>4</v>
      </c>
      <c r="O139" s="140">
        <f t="shared" si="88"/>
        <v>4</v>
      </c>
      <c r="P139" s="140">
        <f t="shared" si="88"/>
        <v>4</v>
      </c>
      <c r="Q139" s="140">
        <f t="shared" si="88"/>
        <v>3</v>
      </c>
      <c r="R139" s="140">
        <f t="shared" si="88"/>
        <v>3</v>
      </c>
      <c r="S139" s="140">
        <f t="shared" si="88"/>
        <v>4</v>
      </c>
      <c r="T139" s="116">
        <f t="shared" si="88"/>
        <v>4</v>
      </c>
      <c r="U139" s="130">
        <f t="shared" si="88"/>
        <v>4</v>
      </c>
      <c r="V139" s="140">
        <f t="shared" si="88"/>
        <v>4</v>
      </c>
      <c r="W139" s="130">
        <f t="shared" si="88"/>
        <v>4</v>
      </c>
      <c r="X139" s="140">
        <f t="shared" si="88"/>
        <v>4</v>
      </c>
      <c r="Y139" s="140">
        <f t="shared" si="88"/>
        <v>4</v>
      </c>
      <c r="Z139" s="140">
        <f t="shared" si="88"/>
        <v>4</v>
      </c>
      <c r="AA139" s="140">
        <f t="shared" si="88"/>
        <v>4</v>
      </c>
      <c r="AB139" s="140">
        <f t="shared" si="88"/>
        <v>4</v>
      </c>
      <c r="AC139" s="140">
        <f t="shared" si="88"/>
        <v>4</v>
      </c>
      <c r="AD139" s="140">
        <f t="shared" si="88"/>
        <v>4</v>
      </c>
      <c r="AE139" s="140">
        <f t="shared" si="88"/>
        <v>4</v>
      </c>
      <c r="AF139" s="140">
        <f t="shared" si="88"/>
        <v>4</v>
      </c>
      <c r="AG139" s="140">
        <f t="shared" si="88"/>
        <v>4</v>
      </c>
      <c r="AH139" s="140">
        <f t="shared" si="88"/>
        <v>4</v>
      </c>
      <c r="AI139" s="140">
        <f t="shared" si="88"/>
        <v>4</v>
      </c>
      <c r="AJ139" s="140">
        <f t="shared" si="88"/>
        <v>4</v>
      </c>
      <c r="AK139" s="140">
        <f t="shared" si="88"/>
        <v>4</v>
      </c>
      <c r="AL139" s="140">
        <f t="shared" si="88"/>
        <v>4</v>
      </c>
    </row>
    <row r="140" spans="4:38">
      <c r="D140" s="7"/>
      <c r="AB140"/>
    </row>
    <row r="141" spans="4:38">
      <c r="D141" s="3" t="s">
        <v>309</v>
      </c>
      <c r="E141" s="16" t="s">
        <v>106</v>
      </c>
      <c r="K141">
        <f>K125+K132+K139</f>
        <v>11</v>
      </c>
      <c r="L141">
        <f t="shared" ref="L141:AL141" si="89">L125+L132+L139</f>
        <v>11</v>
      </c>
      <c r="M141">
        <f t="shared" si="89"/>
        <v>11</v>
      </c>
      <c r="N141">
        <f t="shared" si="89"/>
        <v>11</v>
      </c>
      <c r="O141">
        <f t="shared" si="89"/>
        <v>11</v>
      </c>
      <c r="P141">
        <f t="shared" si="89"/>
        <v>11</v>
      </c>
      <c r="Q141">
        <f t="shared" si="89"/>
        <v>9</v>
      </c>
      <c r="R141">
        <f t="shared" si="89"/>
        <v>9</v>
      </c>
      <c r="S141">
        <f t="shared" si="89"/>
        <v>11</v>
      </c>
      <c r="T141">
        <f t="shared" si="89"/>
        <v>11</v>
      </c>
      <c r="U141" s="128">
        <f t="shared" si="89"/>
        <v>11</v>
      </c>
      <c r="V141">
        <f t="shared" si="89"/>
        <v>11</v>
      </c>
      <c r="W141" s="128">
        <f t="shared" si="89"/>
        <v>11</v>
      </c>
      <c r="X141">
        <f t="shared" si="89"/>
        <v>11</v>
      </c>
      <c r="Y141">
        <f t="shared" si="89"/>
        <v>11</v>
      </c>
      <c r="Z141">
        <f t="shared" si="89"/>
        <v>11</v>
      </c>
      <c r="AA141">
        <f t="shared" si="89"/>
        <v>11</v>
      </c>
      <c r="AB141">
        <f t="shared" si="89"/>
        <v>11</v>
      </c>
      <c r="AC141">
        <f t="shared" si="89"/>
        <v>11</v>
      </c>
      <c r="AD141">
        <f t="shared" si="89"/>
        <v>11</v>
      </c>
      <c r="AE141">
        <f t="shared" si="89"/>
        <v>11</v>
      </c>
      <c r="AF141">
        <f t="shared" si="89"/>
        <v>11</v>
      </c>
      <c r="AG141">
        <f t="shared" si="89"/>
        <v>11</v>
      </c>
      <c r="AH141">
        <f t="shared" si="89"/>
        <v>11</v>
      </c>
      <c r="AI141">
        <f t="shared" si="89"/>
        <v>11</v>
      </c>
      <c r="AJ141">
        <f t="shared" si="89"/>
        <v>11</v>
      </c>
      <c r="AK141">
        <f t="shared" si="89"/>
        <v>11</v>
      </c>
      <c r="AL141">
        <f t="shared" si="89"/>
        <v>11</v>
      </c>
    </row>
    <row r="142" spans="4:38" ht="15">
      <c r="D142" s="4"/>
    </row>
    <row r="143" spans="4:38" ht="15">
      <c r="D143" s="4" t="s">
        <v>137</v>
      </c>
    </row>
    <row r="144" spans="4:38">
      <c r="D144" s="7" t="s">
        <v>299</v>
      </c>
      <c r="E144" s="16" t="s">
        <v>169</v>
      </c>
      <c r="K144" t="str">
        <f>Inputs!E76</f>
        <v>Average</v>
      </c>
      <c r="L144" t="str">
        <f>Inputs!F76</f>
        <v>Average</v>
      </c>
      <c r="M144" t="str">
        <f>Inputs!G76</f>
        <v>Average</v>
      </c>
      <c r="N144" t="str">
        <f>Inputs!H76</f>
        <v>Average</v>
      </c>
      <c r="O144" t="str">
        <f>Inputs!I76</f>
        <v>Average</v>
      </c>
      <c r="P144" t="str">
        <f>Inputs!J76</f>
        <v>Average</v>
      </c>
      <c r="Q144" t="str">
        <f>P144</f>
        <v>Average</v>
      </c>
      <c r="R144" t="str">
        <f t="shared" ref="R144:AL144" si="90">Q144</f>
        <v>Average</v>
      </c>
      <c r="S144" t="str">
        <f t="shared" si="90"/>
        <v>Average</v>
      </c>
      <c r="T144" t="str">
        <f t="shared" si="90"/>
        <v>Average</v>
      </c>
      <c r="U144" s="128" t="str">
        <f t="shared" si="90"/>
        <v>Average</v>
      </c>
      <c r="V144" t="str">
        <f t="shared" si="90"/>
        <v>Average</v>
      </c>
      <c r="W144" s="128" t="str">
        <f t="shared" si="90"/>
        <v>Average</v>
      </c>
      <c r="X144" t="str">
        <f t="shared" si="90"/>
        <v>Average</v>
      </c>
      <c r="Y144" t="str">
        <f t="shared" si="90"/>
        <v>Average</v>
      </c>
      <c r="Z144" t="str">
        <f t="shared" si="90"/>
        <v>Average</v>
      </c>
      <c r="AA144" t="str">
        <f t="shared" si="90"/>
        <v>Average</v>
      </c>
      <c r="AB144" t="str">
        <f t="shared" si="90"/>
        <v>Average</v>
      </c>
      <c r="AC144" t="str">
        <f t="shared" si="90"/>
        <v>Average</v>
      </c>
      <c r="AD144" t="str">
        <f t="shared" si="90"/>
        <v>Average</v>
      </c>
      <c r="AE144" t="str">
        <f t="shared" si="90"/>
        <v>Average</v>
      </c>
      <c r="AF144" t="str">
        <f t="shared" si="90"/>
        <v>Average</v>
      </c>
      <c r="AG144" t="str">
        <f t="shared" si="90"/>
        <v>Average</v>
      </c>
      <c r="AH144" t="str">
        <f t="shared" si="90"/>
        <v>Average</v>
      </c>
      <c r="AI144" t="str">
        <f t="shared" si="90"/>
        <v>Average</v>
      </c>
      <c r="AJ144" t="str">
        <f t="shared" si="90"/>
        <v>Average</v>
      </c>
      <c r="AK144" t="str">
        <f t="shared" si="90"/>
        <v>Average</v>
      </c>
      <c r="AL144" t="str">
        <f t="shared" si="90"/>
        <v>Average</v>
      </c>
    </row>
    <row r="145" spans="4:38">
      <c r="D145" s="7" t="s">
        <v>300</v>
      </c>
      <c r="E145" s="16" t="s">
        <v>303</v>
      </c>
      <c r="K145">
        <f>INDEX('Availability Model'!$C$46:$T$50, MATCH($K$144,'Availability Model'!$B$46:$B$50, 0), MATCH($K$10, 'Availability Model'!$C$1:$T$1, 0))</f>
        <v>2</v>
      </c>
      <c r="L145">
        <f>INDEX('Availability Model'!$C$46:$T$50, MATCH($K$144,'Availability Model'!$B$46:$B$50, 0), MATCH($K$10, 'Availability Model'!$C$1:$T$1, 0))</f>
        <v>2</v>
      </c>
      <c r="M145">
        <f>INDEX('Availability Model'!$C$46:$T$50, MATCH($K$144,'Availability Model'!$B$46:$B$50, 0), MATCH($K$10, 'Availability Model'!$C$1:$T$1, 0))</f>
        <v>2</v>
      </c>
      <c r="N145">
        <f>INDEX('Availability Model'!$C$46:$T$50, MATCH($K$144,'Availability Model'!$B$46:$B$50, 0), MATCH($K$10, 'Availability Model'!$C$1:$T$1, 0))</f>
        <v>2</v>
      </c>
      <c r="O145">
        <f>INDEX('Availability Model'!$C$46:$T$50, MATCH($K$144,'Availability Model'!$B$46:$B$50, 0), MATCH($K$10, 'Availability Model'!$C$1:$T$1, 0))</f>
        <v>2</v>
      </c>
      <c r="P145">
        <f>INDEX('Availability Model'!$C$46:$T$50, MATCH($K$144,'Availability Model'!$B$46:$B$50, 0), MATCH($K$10, 'Availability Model'!$C$1:$T$1, 0))</f>
        <v>2</v>
      </c>
      <c r="Q145">
        <f>INDEX('Availability Model'!$C$46:$T$50, MATCH($K$144,'Availability Model'!$B$46:$B$50, 0), MATCH($K$10, 'Availability Model'!$C$1:$T$1, 0))</f>
        <v>2</v>
      </c>
      <c r="R145">
        <f>INDEX('Availability Model'!$C$46:$T$50, MATCH($K$144,'Availability Model'!$B$46:$B$50, 0), MATCH($K$10, 'Availability Model'!$C$1:$T$1, 0))</f>
        <v>2</v>
      </c>
      <c r="S145">
        <f>INDEX('Availability Model'!$C$46:$T$50, MATCH($K$144,'Availability Model'!$B$46:$B$50, 0), MATCH($K$10, 'Availability Model'!$C$1:$T$1, 0))</f>
        <v>2</v>
      </c>
      <c r="T145">
        <f>INDEX('Availability Model'!$C$46:$T$50, MATCH($K$144,'Availability Model'!$B$46:$B$50, 0), MATCH($K$10, 'Availability Model'!$C$1:$T$1, 0))</f>
        <v>2</v>
      </c>
      <c r="U145" s="128">
        <f>INDEX('Availability Model'!$C$46:$T$50, MATCH($K$144,'Availability Model'!$B$46:$B$50, 0), MATCH($K$10, 'Availability Model'!$C$1:$T$1, 0))</f>
        <v>2</v>
      </c>
      <c r="V145">
        <f>INDEX('Availability Model'!$C$46:$T$50, MATCH($K$144,'Availability Model'!$B$46:$B$50, 0), MATCH($K$10, 'Availability Model'!$C$1:$T$1, 0))</f>
        <v>2</v>
      </c>
      <c r="W145" s="128">
        <f>INDEX('Availability Model'!$C$46:$T$50, MATCH($K$144,'Availability Model'!$B$46:$B$50, 0), MATCH($K$10, 'Availability Model'!$C$1:$T$1, 0))</f>
        <v>2</v>
      </c>
      <c r="X145">
        <f>INDEX('Availability Model'!$C$46:$T$50, MATCH($K$144,'Availability Model'!$B$46:$B$50, 0), MATCH($K$10, 'Availability Model'!$C$1:$T$1, 0))</f>
        <v>2</v>
      </c>
      <c r="Y145">
        <f>INDEX('Availability Model'!$C$46:$T$50, MATCH($K$144,'Availability Model'!$B$46:$B$50, 0), MATCH($K$10, 'Availability Model'!$C$1:$T$1, 0))</f>
        <v>2</v>
      </c>
      <c r="Z145">
        <f>INDEX('Availability Model'!$C$46:$T$50, MATCH($K$144,'Availability Model'!$B$46:$B$50, 0), MATCH($K$10, 'Availability Model'!$C$1:$T$1, 0))</f>
        <v>2</v>
      </c>
      <c r="AA145">
        <f>INDEX('Availability Model'!$C$46:$T$50, MATCH($K$144,'Availability Model'!$B$46:$B$50, 0), MATCH($K$10, 'Availability Model'!$C$1:$T$1, 0))</f>
        <v>2</v>
      </c>
      <c r="AB145">
        <f>INDEX('Availability Model'!$C$46:$T$50, MATCH($K$144,'Availability Model'!$B$46:$B$50, 0), MATCH($K$10, 'Availability Model'!$C$1:$T$1, 0))</f>
        <v>2</v>
      </c>
      <c r="AC145">
        <f>INDEX('Availability Model'!$C$46:$T$50, MATCH($K$144,'Availability Model'!$B$46:$B$50, 0), MATCH($K$10, 'Availability Model'!$C$1:$T$1, 0))</f>
        <v>2</v>
      </c>
      <c r="AD145">
        <f>INDEX('Availability Model'!$C$46:$T$50, MATCH($K$144,'Availability Model'!$B$46:$B$50, 0), MATCH($K$10, 'Availability Model'!$C$1:$T$1, 0))</f>
        <v>2</v>
      </c>
      <c r="AE145">
        <f>INDEX('Availability Model'!$C$46:$T$50, MATCH($K$144,'Availability Model'!$B$46:$B$50, 0), MATCH($K$10, 'Availability Model'!$C$1:$T$1, 0))</f>
        <v>2</v>
      </c>
      <c r="AF145">
        <f>INDEX('Availability Model'!$C$46:$T$50, MATCH($K$144,'Availability Model'!$B$46:$B$50, 0), MATCH($K$10, 'Availability Model'!$C$1:$T$1, 0))</f>
        <v>2</v>
      </c>
      <c r="AG145">
        <f>INDEX('Availability Model'!$C$46:$T$50, MATCH($K$144,'Availability Model'!$B$46:$B$50, 0), MATCH($K$10, 'Availability Model'!$C$1:$T$1, 0))</f>
        <v>2</v>
      </c>
      <c r="AH145">
        <f>INDEX('Availability Model'!$C$46:$T$50, MATCH($K$144,'Availability Model'!$B$46:$B$50, 0), MATCH($K$10, 'Availability Model'!$C$1:$T$1, 0))</f>
        <v>2</v>
      </c>
      <c r="AI145">
        <f>INDEX('Availability Model'!$C$46:$T$50, MATCH($K$144,'Availability Model'!$B$46:$B$50, 0), MATCH($K$10, 'Availability Model'!$C$1:$T$1, 0))</f>
        <v>2</v>
      </c>
      <c r="AJ145">
        <f>INDEX('Availability Model'!$C$46:$T$50, MATCH($K$144,'Availability Model'!$B$46:$B$50, 0), MATCH($K$10, 'Availability Model'!$C$1:$T$1, 0))</f>
        <v>2</v>
      </c>
      <c r="AK145">
        <f>INDEX('Availability Model'!$C$46:$T$50, MATCH($K$144,'Availability Model'!$B$46:$B$50, 0), MATCH($K$10, 'Availability Model'!$C$1:$T$1, 0))</f>
        <v>2</v>
      </c>
      <c r="AL145">
        <f>INDEX('Availability Model'!$C$46:$T$50, MATCH($K$144,'Availability Model'!$B$46:$B$50, 0), MATCH($K$10, 'Availability Model'!$C$1:$T$1, 0))</f>
        <v>2</v>
      </c>
    </row>
    <row r="146" spans="4:38">
      <c r="D146" s="7" t="s">
        <v>312</v>
      </c>
      <c r="E146" s="16" t="s">
        <v>106</v>
      </c>
      <c r="K146">
        <f>K145*INDEX('Availability Model'!$C$53:$T$57, MATCH($K$144,'Availability Model'!$B$53:$B$57, 0), MATCH($K$10, 'Availability Model'!$C$1:$T$1, 0))</f>
        <v>4</v>
      </c>
      <c r="L146">
        <f>L145*INDEX('Availability Model'!$C$53:$T$57, MATCH($K$144,'Availability Model'!$B$53:$B$57, 0), MATCH($K$10, 'Availability Model'!$C$1:$T$1, 0))</f>
        <v>4</v>
      </c>
      <c r="M146">
        <f>M145*INDEX('Availability Model'!$C$53:$T$57, MATCH($K$144,'Availability Model'!$B$53:$B$57, 0), MATCH($K$10, 'Availability Model'!$C$1:$T$1, 0))</f>
        <v>4</v>
      </c>
      <c r="N146">
        <f>N145*INDEX('Availability Model'!$C$53:$T$57, MATCH($K$144,'Availability Model'!$B$53:$B$57, 0), MATCH($K$10, 'Availability Model'!$C$1:$T$1, 0))</f>
        <v>4</v>
      </c>
      <c r="O146">
        <f>O145*INDEX('Availability Model'!$C$53:$T$57, MATCH($K$144,'Availability Model'!$B$53:$B$57, 0), MATCH($K$10, 'Availability Model'!$C$1:$T$1, 0))</f>
        <v>4</v>
      </c>
      <c r="P146">
        <f>P145*INDEX('Availability Model'!$C$53:$T$57, MATCH($K$144,'Availability Model'!$B$53:$B$57, 0), MATCH($K$10, 'Availability Model'!$C$1:$T$1, 0))</f>
        <v>4</v>
      </c>
      <c r="Q146">
        <f>Q145*INDEX('Availability Model'!$C$53:$T$57, MATCH($K$144,'Availability Model'!$B$53:$B$57, 0), MATCH($K$10, 'Availability Model'!$C$1:$T$1, 0))</f>
        <v>4</v>
      </c>
      <c r="R146">
        <f>R145*INDEX('Availability Model'!$C$53:$T$57, MATCH($K$144,'Availability Model'!$B$53:$B$57, 0), MATCH($K$10, 'Availability Model'!$C$1:$T$1, 0))</f>
        <v>4</v>
      </c>
      <c r="S146">
        <f>S145*INDEX('Availability Model'!$C$53:$T$57, MATCH($K$144,'Availability Model'!$B$53:$B$57, 0), MATCH($K$10, 'Availability Model'!$C$1:$T$1, 0))</f>
        <v>4</v>
      </c>
      <c r="T146">
        <f>T145*INDEX('Availability Model'!$C$53:$T$57, MATCH($K$144,'Availability Model'!$B$53:$B$57, 0), MATCH($K$10, 'Availability Model'!$C$1:$T$1, 0))</f>
        <v>4</v>
      </c>
      <c r="U146" s="128">
        <f>U145*INDEX('Availability Model'!$C$53:$T$57, MATCH($K$144,'Availability Model'!$B$53:$B$57, 0), MATCH($K$10, 'Availability Model'!$C$1:$T$1, 0))</f>
        <v>4</v>
      </c>
      <c r="V146">
        <f>V145*INDEX('Availability Model'!$C$53:$T$57, MATCH($K$144,'Availability Model'!$B$53:$B$57, 0), MATCH($K$10, 'Availability Model'!$C$1:$T$1, 0))</f>
        <v>4</v>
      </c>
      <c r="W146" s="128">
        <f>W145*INDEX('Availability Model'!$C$53:$T$57, MATCH($K$144,'Availability Model'!$B$53:$B$57, 0), MATCH($K$10, 'Availability Model'!$C$1:$T$1, 0))</f>
        <v>4</v>
      </c>
      <c r="X146">
        <f>X145*INDEX('Availability Model'!$C$53:$T$57, MATCH($K$144,'Availability Model'!$B$53:$B$57, 0), MATCH($K$10, 'Availability Model'!$C$1:$T$1, 0))</f>
        <v>4</v>
      </c>
      <c r="Y146">
        <f>Y145*INDEX('Availability Model'!$C$53:$T$57, MATCH($K$144,'Availability Model'!$B$53:$B$57, 0), MATCH($K$10, 'Availability Model'!$C$1:$T$1, 0))</f>
        <v>4</v>
      </c>
      <c r="Z146">
        <f>Z145*INDEX('Availability Model'!$C$53:$T$57, MATCH($K$144,'Availability Model'!$B$53:$B$57, 0), MATCH($K$10, 'Availability Model'!$C$1:$T$1, 0))</f>
        <v>4</v>
      </c>
      <c r="AA146">
        <f>AA145*INDEX('Availability Model'!$C$53:$T$57, MATCH($K$144,'Availability Model'!$B$53:$B$57, 0), MATCH($K$10, 'Availability Model'!$C$1:$T$1, 0))</f>
        <v>4</v>
      </c>
      <c r="AB146">
        <f>AB145*INDEX('Availability Model'!$C$53:$T$57, MATCH($K$144,'Availability Model'!$B$53:$B$57, 0), MATCH($K$10, 'Availability Model'!$C$1:$T$1, 0))</f>
        <v>4</v>
      </c>
      <c r="AC146">
        <f>AC145*INDEX('Availability Model'!$C$53:$T$57, MATCH($K$144,'Availability Model'!$B$53:$B$57, 0), MATCH($K$10, 'Availability Model'!$C$1:$T$1, 0))</f>
        <v>4</v>
      </c>
      <c r="AD146">
        <f>AD145*INDEX('Availability Model'!$C$53:$T$57, MATCH($K$144,'Availability Model'!$B$53:$B$57, 0), MATCH($K$10, 'Availability Model'!$C$1:$T$1, 0))</f>
        <v>4</v>
      </c>
      <c r="AE146">
        <f>AE145*INDEX('Availability Model'!$C$53:$T$57, MATCH($K$144,'Availability Model'!$B$53:$B$57, 0), MATCH($K$10, 'Availability Model'!$C$1:$T$1, 0))</f>
        <v>4</v>
      </c>
      <c r="AF146">
        <f>AF145*INDEX('Availability Model'!$C$53:$T$57, MATCH($K$144,'Availability Model'!$B$53:$B$57, 0), MATCH($K$10, 'Availability Model'!$C$1:$T$1, 0))</f>
        <v>4</v>
      </c>
      <c r="AG146">
        <f>AG145*INDEX('Availability Model'!$C$53:$T$57, MATCH($K$144,'Availability Model'!$B$53:$B$57, 0), MATCH($K$10, 'Availability Model'!$C$1:$T$1, 0))</f>
        <v>4</v>
      </c>
      <c r="AH146">
        <f>AH145*INDEX('Availability Model'!$C$53:$T$57, MATCH($K$144,'Availability Model'!$B$53:$B$57, 0), MATCH($K$10, 'Availability Model'!$C$1:$T$1, 0))</f>
        <v>4</v>
      </c>
      <c r="AI146">
        <f>AI145*INDEX('Availability Model'!$C$53:$T$57, MATCH($K$144,'Availability Model'!$B$53:$B$57, 0), MATCH($K$10, 'Availability Model'!$C$1:$T$1, 0))</f>
        <v>4</v>
      </c>
      <c r="AJ146">
        <f>AJ145*INDEX('Availability Model'!$C$53:$T$57, MATCH($K$144,'Availability Model'!$B$53:$B$57, 0), MATCH($K$10, 'Availability Model'!$C$1:$T$1, 0))</f>
        <v>4</v>
      </c>
      <c r="AK146">
        <f>AK145*INDEX('Availability Model'!$C$53:$T$57, MATCH($K$144,'Availability Model'!$B$53:$B$57, 0), MATCH($K$10, 'Availability Model'!$C$1:$T$1, 0))</f>
        <v>4</v>
      </c>
      <c r="AL146">
        <f>AL145*INDEX('Availability Model'!$C$53:$T$57, MATCH($K$144,'Availability Model'!$B$53:$B$57, 0), MATCH($K$10, 'Availability Model'!$C$1:$T$1, 0))</f>
        <v>4</v>
      </c>
    </row>
    <row r="147" spans="4:38">
      <c r="D147" s="7" t="s">
        <v>302</v>
      </c>
      <c r="E147" s="16" t="s">
        <v>106</v>
      </c>
      <c r="K147" s="65">
        <f>K138</f>
        <v>1.8129533678756478</v>
      </c>
      <c r="L147" s="65">
        <f t="shared" ref="L147:AL147" si="91">L138</f>
        <v>1.9066551166747128</v>
      </c>
      <c r="M147" s="65">
        <f t="shared" si="91"/>
        <v>1.8367738032705883</v>
      </c>
      <c r="N147" s="65">
        <f t="shared" si="91"/>
        <v>1.8815339776532183</v>
      </c>
      <c r="O147" s="65">
        <f t="shared" si="91"/>
        <v>2.3849090588321165</v>
      </c>
      <c r="P147" s="65">
        <f t="shared" si="91"/>
        <v>2.3887033302261771</v>
      </c>
      <c r="Q147" s="65">
        <f t="shared" si="91"/>
        <v>2.6044906552465226</v>
      </c>
      <c r="R147" s="65">
        <f t="shared" si="91"/>
        <v>2.6044906552465226</v>
      </c>
      <c r="S147" s="65">
        <f t="shared" si="91"/>
        <v>2.3419724183148003</v>
      </c>
      <c r="T147" s="65">
        <f t="shared" si="91"/>
        <v>2.3456704140849065</v>
      </c>
      <c r="U147" s="165">
        <f t="shared" si="91"/>
        <v>2.3419724183148003</v>
      </c>
      <c r="V147" s="65">
        <f t="shared" si="91"/>
        <v>2.34976845608873</v>
      </c>
      <c r="W147" s="165">
        <f t="shared" si="91"/>
        <v>2.34976845608873</v>
      </c>
      <c r="X147" s="65">
        <f t="shared" si="91"/>
        <v>2.3534664518588362</v>
      </c>
      <c r="Y147" s="65">
        <f t="shared" si="91"/>
        <v>2.34976845608873</v>
      </c>
      <c r="Z147" s="65">
        <f t="shared" si="91"/>
        <v>2.34976845608873</v>
      </c>
      <c r="AA147" s="65">
        <f t="shared" si="91"/>
        <v>2.34976845608873</v>
      </c>
      <c r="AB147" s="65">
        <f t="shared" si="91"/>
        <v>2.3534664518588362</v>
      </c>
      <c r="AC147" s="65">
        <f t="shared" si="91"/>
        <v>2.34976845608873</v>
      </c>
      <c r="AD147" s="65">
        <f t="shared" si="91"/>
        <v>2.34976845608873</v>
      </c>
      <c r="AE147" s="65">
        <f t="shared" si="91"/>
        <v>2.34976845608873</v>
      </c>
      <c r="AF147" s="65">
        <f t="shared" si="91"/>
        <v>2.3534664518588362</v>
      </c>
      <c r="AG147" s="65">
        <f t="shared" si="91"/>
        <v>2.34976845608873</v>
      </c>
      <c r="AH147" s="65">
        <f t="shared" si="91"/>
        <v>2.34976845608873</v>
      </c>
      <c r="AI147" s="65">
        <f t="shared" si="91"/>
        <v>2.34976845608873</v>
      </c>
      <c r="AJ147" s="65">
        <f t="shared" si="91"/>
        <v>2.3534664518588362</v>
      </c>
      <c r="AK147" s="65">
        <f t="shared" si="91"/>
        <v>2.34976845608873</v>
      </c>
      <c r="AL147" s="65">
        <f t="shared" si="91"/>
        <v>2.34976845608873</v>
      </c>
    </row>
    <row r="148" spans="4:38">
      <c r="D148" s="7" t="s">
        <v>313</v>
      </c>
      <c r="E148" s="16" t="s">
        <v>106</v>
      </c>
      <c r="K148" s="140">
        <f>ROUND(K146-K147,0)</f>
        <v>2</v>
      </c>
      <c r="L148" s="140">
        <f t="shared" ref="L148:AL148" si="92">ROUND(L146-L147,0)</f>
        <v>2</v>
      </c>
      <c r="M148" s="140">
        <f t="shared" si="92"/>
        <v>2</v>
      </c>
      <c r="N148" s="140">
        <f t="shared" si="92"/>
        <v>2</v>
      </c>
      <c r="O148" s="140">
        <f t="shared" si="92"/>
        <v>2</v>
      </c>
      <c r="P148" s="140">
        <f t="shared" si="92"/>
        <v>2</v>
      </c>
      <c r="Q148" s="140">
        <f t="shared" si="92"/>
        <v>1</v>
      </c>
      <c r="R148" s="140">
        <f t="shared" si="92"/>
        <v>1</v>
      </c>
      <c r="S148" s="140">
        <f t="shared" si="92"/>
        <v>2</v>
      </c>
      <c r="T148" s="116">
        <f t="shared" si="92"/>
        <v>2</v>
      </c>
      <c r="U148" s="130">
        <f t="shared" si="92"/>
        <v>2</v>
      </c>
      <c r="V148" s="140">
        <f t="shared" si="92"/>
        <v>2</v>
      </c>
      <c r="W148" s="130">
        <f t="shared" si="92"/>
        <v>2</v>
      </c>
      <c r="X148" s="140">
        <f t="shared" si="92"/>
        <v>2</v>
      </c>
      <c r="Y148" s="140">
        <f t="shared" si="92"/>
        <v>2</v>
      </c>
      <c r="Z148" s="140">
        <f t="shared" si="92"/>
        <v>2</v>
      </c>
      <c r="AA148" s="140">
        <f t="shared" si="92"/>
        <v>2</v>
      </c>
      <c r="AB148" s="140">
        <f t="shared" si="92"/>
        <v>2</v>
      </c>
      <c r="AC148" s="140">
        <f t="shared" si="92"/>
        <v>2</v>
      </c>
      <c r="AD148" s="140">
        <f t="shared" si="92"/>
        <v>2</v>
      </c>
      <c r="AE148" s="140">
        <f t="shared" si="92"/>
        <v>2</v>
      </c>
      <c r="AF148" s="140">
        <f t="shared" si="92"/>
        <v>2</v>
      </c>
      <c r="AG148" s="140">
        <f t="shared" si="92"/>
        <v>2</v>
      </c>
      <c r="AH148" s="140">
        <f t="shared" si="92"/>
        <v>2</v>
      </c>
      <c r="AI148" s="140">
        <f t="shared" si="92"/>
        <v>2</v>
      </c>
      <c r="AJ148" s="140">
        <f t="shared" si="92"/>
        <v>2</v>
      </c>
      <c r="AK148" s="140">
        <f t="shared" si="92"/>
        <v>2</v>
      </c>
      <c r="AL148" s="140">
        <f t="shared" si="92"/>
        <v>2</v>
      </c>
    </row>
    <row r="149" spans="4:38">
      <c r="D149" s="7" t="s">
        <v>314</v>
      </c>
      <c r="E149" s="16" t="s">
        <v>145</v>
      </c>
      <c r="K149" s="90">
        <f>K148*K40</f>
        <v>740.27397260273972</v>
      </c>
      <c r="L149" s="90">
        <f t="shared" ref="L149:AL149" si="93">L148*L40</f>
        <v>697.10044699453556</v>
      </c>
      <c r="M149" s="90">
        <f t="shared" si="93"/>
        <v>728.79951338082208</v>
      </c>
      <c r="N149" s="90">
        <f t="shared" si="93"/>
        <v>1302.8995515967122</v>
      </c>
      <c r="O149" s="90">
        <f t="shared" si="93"/>
        <v>0</v>
      </c>
      <c r="P149" s="90">
        <f t="shared" si="93"/>
        <v>0</v>
      </c>
      <c r="Q149" s="90">
        <f t="shared" si="93"/>
        <v>0</v>
      </c>
      <c r="R149" s="90">
        <f t="shared" si="93"/>
        <v>0</v>
      </c>
      <c r="S149" s="90">
        <f t="shared" si="93"/>
        <v>28.301583816050488</v>
      </c>
      <c r="T149" s="65">
        <f t="shared" si="93"/>
        <v>28.224257084312644</v>
      </c>
      <c r="U149" s="165">
        <f t="shared" si="93"/>
        <v>28.301583816050488</v>
      </c>
      <c r="V149" s="90">
        <f t="shared" si="93"/>
        <v>0</v>
      </c>
      <c r="W149" s="165">
        <f t="shared" si="93"/>
        <v>0</v>
      </c>
      <c r="X149" s="90">
        <f t="shared" si="93"/>
        <v>0</v>
      </c>
      <c r="Y149" s="90">
        <f t="shared" si="93"/>
        <v>0</v>
      </c>
      <c r="Z149" s="90">
        <f t="shared" si="93"/>
        <v>0</v>
      </c>
      <c r="AA149" s="90">
        <f t="shared" si="93"/>
        <v>0</v>
      </c>
      <c r="AB149" s="90">
        <f t="shared" si="93"/>
        <v>0</v>
      </c>
      <c r="AC149" s="90">
        <f t="shared" si="93"/>
        <v>0</v>
      </c>
      <c r="AD149" s="90">
        <f t="shared" si="93"/>
        <v>0</v>
      </c>
      <c r="AE149" s="90">
        <f t="shared" si="93"/>
        <v>0</v>
      </c>
      <c r="AF149" s="90">
        <f t="shared" si="93"/>
        <v>0</v>
      </c>
      <c r="AG149" s="90">
        <f t="shared" si="93"/>
        <v>0</v>
      </c>
      <c r="AH149" s="90">
        <f t="shared" si="93"/>
        <v>0</v>
      </c>
      <c r="AI149" s="90">
        <f t="shared" si="93"/>
        <v>0</v>
      </c>
      <c r="AJ149" s="90">
        <f t="shared" si="93"/>
        <v>0</v>
      </c>
      <c r="AK149" s="90">
        <f t="shared" si="93"/>
        <v>0</v>
      </c>
      <c r="AL149" s="90">
        <f t="shared" si="93"/>
        <v>0</v>
      </c>
    </row>
    <row r="150" spans="4:38">
      <c r="D150" s="7"/>
    </row>
    <row r="151" spans="4:38">
      <c r="D151" s="3" t="s">
        <v>315</v>
      </c>
      <c r="E151" s="16" t="s">
        <v>145</v>
      </c>
      <c r="K151" s="65">
        <f>K149*INDEX('Availability Model'!$C$60:$T$64, MATCH($K$144,'Availability Model'!$B$60:$B$64, 0), MATCH($K$10, 'Availability Model'!$C$1:$T$1, 0))</f>
        <v>222.08219178082192</v>
      </c>
      <c r="L151" s="65">
        <f>L149*INDEX('Availability Model'!$C$60:$T$64, MATCH($K$144,'Availability Model'!$B$60:$B$64, 0), MATCH($K$10, 'Availability Model'!$C$1:$T$1, 0))</f>
        <v>209.13013409836066</v>
      </c>
      <c r="M151" s="65">
        <f>M149*INDEX('Availability Model'!$C$60:$T$64, MATCH($K$144,'Availability Model'!$B$60:$B$64, 0), MATCH($K$10, 'Availability Model'!$C$1:$T$1, 0))</f>
        <v>218.63985401424662</v>
      </c>
      <c r="N151" s="65">
        <f>N149*INDEX('Availability Model'!$C$60:$T$64, MATCH($N$144,'Availability Model'!$B$60:$B$64, 0), MATCH($K$10, 'Availability Model'!$C$1:$T$1, 0))</f>
        <v>390.86986547901364</v>
      </c>
      <c r="O151" s="65">
        <f>O149*INDEX('Availability Model'!$C$60:$T$64, MATCH($K$144,'Availability Model'!$B$60:$B$64, 0), MATCH($K$10, 'Availability Model'!$C$1:$T$1, 0))</f>
        <v>0</v>
      </c>
      <c r="P151" s="65">
        <f>P149*INDEX('Availability Model'!$C$60:$T$64, MATCH($K$144,'Availability Model'!$B$60:$B$64, 0), MATCH($K$10, 'Availability Model'!$C$1:$T$1, 0))</f>
        <v>0</v>
      </c>
      <c r="Q151" s="65">
        <f>Q149*INDEX('Availability Model'!$C$60:$T$64, MATCH($K$144,'Availability Model'!$B$60:$B$64, 0), MATCH($K$10, 'Availability Model'!$C$1:$T$1, 0))</f>
        <v>0</v>
      </c>
      <c r="R151" s="65">
        <f>R149*INDEX('Availability Model'!$C$60:$T$64, MATCH($K$144,'Availability Model'!$B$60:$B$64, 0), MATCH($K$10, 'Availability Model'!$C$1:$T$1, 0))</f>
        <v>0</v>
      </c>
      <c r="S151" s="65">
        <f>S149*INDEX('Availability Model'!$C$60:$T$64, MATCH($K$144,'Availability Model'!$B$60:$B$64, 0), MATCH($K$10, 'Availability Model'!$C$1:$T$1, 0))</f>
        <v>8.4904751448151465</v>
      </c>
      <c r="T151" s="65">
        <f>T149*INDEX('Availability Model'!$C$60:$T$64, MATCH($K$144,'Availability Model'!$B$60:$B$64, 0), MATCH($K$10, 'Availability Model'!$C$1:$T$1, 0))</f>
        <v>8.4672771252937924</v>
      </c>
      <c r="U151" s="165">
        <f>U149*INDEX('Availability Model'!$C$60:$T$64, MATCH($K$144,'Availability Model'!$B$60:$B$64, 0), MATCH($K$10, 'Availability Model'!$C$1:$T$1, 0))</f>
        <v>8.4904751448151465</v>
      </c>
      <c r="V151" s="65">
        <f>V149*INDEX('Availability Model'!$C$60:$T$64, MATCH($K$144,'Availability Model'!$B$60:$B$64, 0), MATCH($K$10, 'Availability Model'!$C$1:$T$1, 0))</f>
        <v>0</v>
      </c>
      <c r="W151" s="165">
        <f>W149*INDEX('Availability Model'!$C$60:$T$64, MATCH($K$144,'Availability Model'!$B$60:$B$64, 0), MATCH($K$10, 'Availability Model'!$C$1:$T$1, 0))</f>
        <v>0</v>
      </c>
      <c r="X151" s="65">
        <f>X149*INDEX('Availability Model'!$C$60:$T$64, MATCH($K$144,'Availability Model'!$B$60:$B$64, 0), MATCH($K$10, 'Availability Model'!$C$1:$T$1, 0))</f>
        <v>0</v>
      </c>
      <c r="Y151" s="65">
        <f>Y149*INDEX('Availability Model'!$C$60:$T$64, MATCH($K$144,'Availability Model'!$B$60:$B$64, 0), MATCH($K$10, 'Availability Model'!$C$1:$T$1, 0))</f>
        <v>0</v>
      </c>
      <c r="Z151" s="65">
        <f>Z149*INDEX('Availability Model'!$C$60:$T$64, MATCH($K$144,'Availability Model'!$B$60:$B$64, 0), MATCH($K$10, 'Availability Model'!$C$1:$T$1, 0))</f>
        <v>0</v>
      </c>
      <c r="AA151" s="65">
        <f>AA149*INDEX('Availability Model'!$C$60:$T$64, MATCH($K$144,'Availability Model'!$B$60:$B$64, 0), MATCH($K$10, 'Availability Model'!$C$1:$T$1, 0))</f>
        <v>0</v>
      </c>
      <c r="AB151" s="65">
        <f>AB149*INDEX('Availability Model'!$C$60:$T$64, MATCH($K$144,'Availability Model'!$B$60:$B$64, 0), MATCH($K$10, 'Availability Model'!$C$1:$T$1, 0))</f>
        <v>0</v>
      </c>
      <c r="AC151" s="65">
        <f>AC149*INDEX('Availability Model'!$C$60:$T$64, MATCH($K$144,'Availability Model'!$B$60:$B$64, 0), MATCH($K$10, 'Availability Model'!$C$1:$T$1, 0))</f>
        <v>0</v>
      </c>
      <c r="AD151" s="65">
        <f>AD149*INDEX('Availability Model'!$C$60:$T$64, MATCH($K$144,'Availability Model'!$B$60:$B$64, 0), MATCH($K$10, 'Availability Model'!$C$1:$T$1, 0))</f>
        <v>0</v>
      </c>
      <c r="AE151" s="65">
        <f>AE149*INDEX('Availability Model'!$C$60:$T$64, MATCH($K$144,'Availability Model'!$B$60:$B$64, 0), MATCH($K$10, 'Availability Model'!$C$1:$T$1, 0))</f>
        <v>0</v>
      </c>
      <c r="AF151" s="65">
        <f>AF149*INDEX('Availability Model'!$C$60:$T$64, MATCH($K$144,'Availability Model'!$B$60:$B$64, 0), MATCH($K$10, 'Availability Model'!$C$1:$T$1, 0))</f>
        <v>0</v>
      </c>
      <c r="AG151" s="65">
        <f>AG149*INDEX('Availability Model'!$C$60:$T$64, MATCH($K$144,'Availability Model'!$B$60:$B$64, 0), MATCH($K$10, 'Availability Model'!$C$1:$T$1, 0))</f>
        <v>0</v>
      </c>
      <c r="AH151" s="65">
        <f>AH149*INDEX('Availability Model'!$C$60:$T$64, MATCH($K$144,'Availability Model'!$B$60:$B$64, 0), MATCH($K$10, 'Availability Model'!$C$1:$T$1, 0))</f>
        <v>0</v>
      </c>
      <c r="AI151" s="65">
        <f>AI149*INDEX('Availability Model'!$C$60:$T$64, MATCH($K$144,'Availability Model'!$B$60:$B$64, 0), MATCH($K$10, 'Availability Model'!$C$1:$T$1, 0))</f>
        <v>0</v>
      </c>
      <c r="AJ151" s="65">
        <f>AJ149*INDEX('Availability Model'!$C$60:$T$64, MATCH($K$144,'Availability Model'!$B$60:$B$64, 0), MATCH($K$10, 'Availability Model'!$C$1:$T$1, 0))</f>
        <v>0</v>
      </c>
      <c r="AK151" s="65">
        <f>AK149*INDEX('Availability Model'!$C$60:$T$64, MATCH($K$144,'Availability Model'!$B$60:$B$64, 0), MATCH($K$10, 'Availability Model'!$C$1:$T$1, 0))</f>
        <v>0</v>
      </c>
      <c r="AL151" s="65">
        <f>AL149*INDEX('Availability Model'!$C$60:$T$64, MATCH($K$144,'Availability Model'!$B$60:$B$64, 0), MATCH($K$10, 'Availability Model'!$C$1:$T$1, 0))</f>
        <v>0</v>
      </c>
    </row>
    <row r="152" spans="4:38">
      <c r="D152" t="s">
        <v>317</v>
      </c>
      <c r="E152" s="16" t="s">
        <v>211</v>
      </c>
      <c r="K152" s="65">
        <f>K151*K77</f>
        <v>6158.3391780821921</v>
      </c>
      <c r="L152" s="65">
        <f t="shared" ref="L152:AL152" si="94">L151*L77</f>
        <v>6169.3389559016396</v>
      </c>
      <c r="M152" s="65">
        <f t="shared" si="94"/>
        <v>6611.6691853908178</v>
      </c>
      <c r="N152" s="65">
        <f t="shared" si="94"/>
        <v>12531.287887257178</v>
      </c>
      <c r="O152" s="65">
        <f t="shared" si="94"/>
        <v>0</v>
      </c>
      <c r="P152" s="65">
        <f t="shared" si="94"/>
        <v>0</v>
      </c>
      <c r="Q152" s="65">
        <f t="shared" si="94"/>
        <v>0</v>
      </c>
      <c r="R152" s="65">
        <f t="shared" si="94"/>
        <v>0</v>
      </c>
      <c r="S152" s="65">
        <f t="shared" si="94"/>
        <v>360.80252454765503</v>
      </c>
      <c r="T152" s="65">
        <f t="shared" si="94"/>
        <v>381.40572881827245</v>
      </c>
      <c r="U152" s="165">
        <f t="shared" si="94"/>
        <v>405.39771658174521</v>
      </c>
      <c r="V152" s="65">
        <f t="shared" si="94"/>
        <v>0</v>
      </c>
      <c r="W152" s="165">
        <f t="shared" si="94"/>
        <v>0</v>
      </c>
      <c r="X152" s="65">
        <f t="shared" si="94"/>
        <v>0</v>
      </c>
      <c r="Y152" s="65">
        <f t="shared" si="94"/>
        <v>0</v>
      </c>
      <c r="Z152" s="65">
        <f t="shared" si="94"/>
        <v>0</v>
      </c>
      <c r="AA152" s="65">
        <f t="shared" si="94"/>
        <v>0</v>
      </c>
      <c r="AB152" s="65">
        <f t="shared" si="94"/>
        <v>0</v>
      </c>
      <c r="AC152" s="65">
        <f t="shared" si="94"/>
        <v>0</v>
      </c>
      <c r="AD152" s="65">
        <f t="shared" si="94"/>
        <v>0</v>
      </c>
      <c r="AE152" s="65">
        <f t="shared" si="94"/>
        <v>0</v>
      </c>
      <c r="AF152" s="65">
        <f t="shared" si="94"/>
        <v>0</v>
      </c>
      <c r="AG152" s="65">
        <f t="shared" si="94"/>
        <v>0</v>
      </c>
      <c r="AH152" s="65">
        <f t="shared" si="94"/>
        <v>0</v>
      </c>
      <c r="AI152" s="65">
        <f t="shared" si="94"/>
        <v>0</v>
      </c>
      <c r="AJ152" s="65">
        <f t="shared" si="94"/>
        <v>0</v>
      </c>
      <c r="AK152" s="65">
        <f t="shared" si="94"/>
        <v>0</v>
      </c>
      <c r="AL152" s="65">
        <f t="shared" si="94"/>
        <v>0</v>
      </c>
    </row>
    <row r="153" spans="4:38">
      <c r="D153" t="s">
        <v>318</v>
      </c>
      <c r="E153" s="16" t="s">
        <v>211</v>
      </c>
      <c r="K153" s="65">
        <f>(Inputs!$E$117*Inputs!$E$118*'Strategic Model'!K151*K81)+(Inputs!$E$114*0.25*'Strategic Model'!K151*K83)</f>
        <v>995.4834246575341</v>
      </c>
      <c r="L153" s="65">
        <f>(Inputs!$E$117*Inputs!$E$118*'Strategic Model'!L151*L81)+(Inputs!$E$114*0.25*'Strategic Model'!L151*L83)</f>
        <v>1025.1688834184779</v>
      </c>
      <c r="M153" s="65">
        <f>(Inputs!$E$117*Inputs!$E$118*'Strategic Model'!M151*M81)+(Inputs!$E$114*0.25*'Strategic Model'!M151*M83)</f>
        <v>1172.1053008853519</v>
      </c>
      <c r="N153" s="65">
        <f>(Inputs!$E$117*Inputs!$E$118*'Strategic Model'!N151*N81)+(Inputs!$E$114*0.25*'Strategic Model'!N151*N83)</f>
        <v>2291.5429008467036</v>
      </c>
      <c r="O153" s="65">
        <f>(Inputs!$E$117*Inputs!$E$118*'Strategic Model'!O151*O81)+(Inputs!$E$114*0.25*'Strategic Model'!O151*O83)</f>
        <v>0</v>
      </c>
      <c r="P153" s="65">
        <f>(Inputs!$E$117*Inputs!$E$118*'Strategic Model'!P151*P81)+(Inputs!$E$114*0.25*'Strategic Model'!P151*P83)</f>
        <v>0</v>
      </c>
      <c r="Q153" s="65">
        <f>(Inputs!$E$117*Inputs!$E$118*'Strategic Model'!Q151*Q81)+(Inputs!$E$114*0.25*'Strategic Model'!Q151*Q83)</f>
        <v>0</v>
      </c>
      <c r="R153" s="65">
        <f>(Inputs!$E$117*Inputs!$E$118*'Strategic Model'!R151*R81)+(Inputs!$E$114*0.25*'Strategic Model'!R151*R83)</f>
        <v>0</v>
      </c>
      <c r="S153" s="65">
        <f>(Inputs!$E$117*Inputs!$E$118*'Strategic Model'!S151*S81)+(Inputs!$E$114*0.25*'Strategic Model'!S151*S83)</f>
        <v>77.861058881741201</v>
      </c>
      <c r="T153" s="65">
        <f>(Inputs!$E$117*Inputs!$E$118*'Strategic Model'!T151*T81)+(Inputs!$E$114*0.25*'Strategic Model'!T151*T83)</f>
        <v>84.916206851014564</v>
      </c>
      <c r="U153" s="165">
        <f>(Inputs!$E$117*Inputs!$E$118*'Strategic Model'!U151*U81)+(Inputs!$E$114*0.25*'Strategic Model'!U151*U83)</f>
        <v>93.118786726823714</v>
      </c>
      <c r="V153" s="65">
        <f>(Inputs!$E$117*Inputs!$E$118*'Strategic Model'!V151*V81)+(Inputs!$E$114*0.25*'Strategic Model'!V151*V83)</f>
        <v>0</v>
      </c>
      <c r="W153" s="165">
        <f>(Inputs!$E$117*Inputs!$E$118*'Strategic Model'!W151*W81)+(Inputs!$E$114*0.25*'Strategic Model'!W151*W83)</f>
        <v>0</v>
      </c>
      <c r="X153" s="65">
        <f>(Inputs!$E$117*Inputs!$E$118*'Strategic Model'!X151*X81)+(Inputs!$E$114*0.25*'Strategic Model'!X151*X83)</f>
        <v>0</v>
      </c>
      <c r="Y153" s="65">
        <f>(Inputs!$E$117*Inputs!$E$118*'Strategic Model'!Y151*Y81)+(Inputs!$E$114*0.25*'Strategic Model'!Y151*Y83)</f>
        <v>0</v>
      </c>
      <c r="Z153" s="65">
        <f>(Inputs!$E$117*Inputs!$E$118*'Strategic Model'!Z151*Z81)+(Inputs!$E$114*0.25*'Strategic Model'!Z151*Z83)</f>
        <v>0</v>
      </c>
      <c r="AA153" s="65">
        <f>(Inputs!$E$117*Inputs!$E$118*'Strategic Model'!AA151*AA81)+(Inputs!$E$114*0.25*'Strategic Model'!AA151*AA83)</f>
        <v>0</v>
      </c>
      <c r="AB153" s="65">
        <f>(Inputs!$E$117*Inputs!$E$118*'Strategic Model'!AB151*AB81)+(Inputs!$E$114*0.25*'Strategic Model'!AB151*AB83)</f>
        <v>0</v>
      </c>
      <c r="AC153" s="65">
        <f>(Inputs!$E$117*Inputs!$E$118*'Strategic Model'!AC151*AC81)+(Inputs!$E$114*0.25*'Strategic Model'!AC151*AC83)</f>
        <v>0</v>
      </c>
      <c r="AD153" s="65">
        <f>(Inputs!$E$117*Inputs!$E$118*'Strategic Model'!AD151*AD81)+(Inputs!$E$114*0.25*'Strategic Model'!AD151*AD83)</f>
        <v>0</v>
      </c>
      <c r="AE153" s="65">
        <f>(Inputs!$E$117*Inputs!$E$118*'Strategic Model'!AE151*AE81)+(Inputs!$E$114*0.25*'Strategic Model'!AE151*AE83)</f>
        <v>0</v>
      </c>
      <c r="AF153" s="65">
        <f>(Inputs!$E$117*Inputs!$E$118*'Strategic Model'!AF151*AF81)+(Inputs!$E$114*0.25*'Strategic Model'!AF151*AF83)</f>
        <v>0</v>
      </c>
      <c r="AG153" s="65">
        <f>(Inputs!$E$117*Inputs!$E$118*'Strategic Model'!AG151*AG81)+(Inputs!$E$114*0.25*'Strategic Model'!AG151*AG83)</f>
        <v>0</v>
      </c>
      <c r="AH153" s="65">
        <f>(Inputs!$E$117*Inputs!$E$118*'Strategic Model'!AH151*AH81)+(Inputs!$E$114*0.25*'Strategic Model'!AH151*AH83)</f>
        <v>0</v>
      </c>
      <c r="AI153" s="65">
        <f>(Inputs!$E$117*Inputs!$E$118*'Strategic Model'!AI151*AI81)+(Inputs!$E$114*0.25*'Strategic Model'!AI151*AI83)</f>
        <v>0</v>
      </c>
      <c r="AJ153" s="65">
        <f>(Inputs!$E$117*Inputs!$E$118*'Strategic Model'!AJ151*AJ81)+(Inputs!$E$114*0.25*'Strategic Model'!AJ151*AJ83)</f>
        <v>0</v>
      </c>
      <c r="AK153" s="65">
        <f>(Inputs!$E$117*Inputs!$E$118*'Strategic Model'!AK151*AK81)+(Inputs!$E$114*0.25*'Strategic Model'!AK151*AK83)</f>
        <v>0</v>
      </c>
      <c r="AL153" s="65">
        <f>(Inputs!$E$117*Inputs!$E$118*'Strategic Model'!AL151*AL81)+(Inputs!$E$114*0.25*'Strategic Model'!AL151*AL83)</f>
        <v>0</v>
      </c>
    </row>
    <row r="154" spans="4:38">
      <c r="D154" s="3" t="s">
        <v>319</v>
      </c>
      <c r="E154" s="16" t="s">
        <v>211</v>
      </c>
      <c r="K154" s="65">
        <f>IF(K32&gt;0,K152+K153,0)</f>
        <v>7153.8226027397259</v>
      </c>
      <c r="L154" s="65">
        <f t="shared" ref="L154:AL154" si="95">IF(L32&gt;0,L152+L153,0)</f>
        <v>7194.5078393201175</v>
      </c>
      <c r="M154" s="65">
        <f t="shared" si="95"/>
        <v>7783.7744862761701</v>
      </c>
      <c r="N154" s="65">
        <f t="shared" si="95"/>
        <v>14822.830788103882</v>
      </c>
      <c r="O154" s="65">
        <f t="shared" si="95"/>
        <v>0</v>
      </c>
      <c r="P154" s="65">
        <f t="shared" si="95"/>
        <v>0</v>
      </c>
      <c r="Q154" s="65">
        <f t="shared" si="95"/>
        <v>0</v>
      </c>
      <c r="R154" s="65">
        <f t="shared" si="95"/>
        <v>0</v>
      </c>
      <c r="S154" s="65">
        <f t="shared" si="95"/>
        <v>438.66358342939623</v>
      </c>
      <c r="T154" s="65">
        <f t="shared" si="95"/>
        <v>466.32193566928703</v>
      </c>
      <c r="U154" s="165">
        <f t="shared" si="95"/>
        <v>498.51650330856893</v>
      </c>
      <c r="V154" s="65">
        <f t="shared" si="95"/>
        <v>0</v>
      </c>
      <c r="W154" s="165">
        <f t="shared" si="95"/>
        <v>0</v>
      </c>
      <c r="X154" s="65">
        <f t="shared" si="95"/>
        <v>0</v>
      </c>
      <c r="Y154" s="65">
        <f t="shared" si="95"/>
        <v>0</v>
      </c>
      <c r="Z154" s="65">
        <f t="shared" si="95"/>
        <v>0</v>
      </c>
      <c r="AA154" s="65">
        <f t="shared" si="95"/>
        <v>0</v>
      </c>
      <c r="AB154" s="65">
        <f t="shared" si="95"/>
        <v>0</v>
      </c>
      <c r="AC154" s="65">
        <f t="shared" si="95"/>
        <v>0</v>
      </c>
      <c r="AD154" s="65">
        <f t="shared" si="95"/>
        <v>0</v>
      </c>
      <c r="AE154" s="65">
        <f t="shared" si="95"/>
        <v>0</v>
      </c>
      <c r="AF154" s="65">
        <f t="shared" si="95"/>
        <v>0</v>
      </c>
      <c r="AG154" s="65">
        <f t="shared" si="95"/>
        <v>0</v>
      </c>
      <c r="AH154" s="65">
        <f t="shared" si="95"/>
        <v>0</v>
      </c>
      <c r="AI154" s="65">
        <f t="shared" si="95"/>
        <v>0</v>
      </c>
      <c r="AJ154" s="65">
        <f t="shared" si="95"/>
        <v>0</v>
      </c>
      <c r="AK154" s="65">
        <f t="shared" si="95"/>
        <v>0</v>
      </c>
      <c r="AL154" s="65">
        <f t="shared" si="95"/>
        <v>0</v>
      </c>
    </row>
    <row r="155" spans="4:38">
      <c r="D155" s="3"/>
      <c r="E155" s="16"/>
      <c r="K155" s="65"/>
      <c r="L155" s="65"/>
      <c r="M155" s="65"/>
      <c r="N155" s="65"/>
      <c r="O155" s="65"/>
      <c r="P155" s="65"/>
    </row>
    <row r="156" spans="4:38">
      <c r="D156" s="3" t="s">
        <v>323</v>
      </c>
      <c r="E156" s="16" t="s">
        <v>211</v>
      </c>
      <c r="K156" s="65">
        <f>K99*INDEX('Availability Model'!$C$67:$T$71, MATCH($K$144,'Availability Model'!$B$67:$B$71, 0), MATCH($K$10, 'Availability Model'!$C$1:$T$1, 0))</f>
        <v>190339.01249999998</v>
      </c>
      <c r="L156" s="65">
        <f>L99*INDEX('Availability Model'!$C$67:$T$71, MATCH($K$144,'Availability Model'!$B$67:$B$71, 0), MATCH($K$10, 'Availability Model'!$C$1:$T$1, 0))</f>
        <v>196551.97646000827</v>
      </c>
      <c r="M156" s="65">
        <f>M99*INDEX('Availability Model'!$C$67:$T$71, MATCH($K$144,'Availability Model'!$B$67:$B$71, 0), MATCH($K$10, 'Availability Model'!$C$1:$T$1, 0))</f>
        <v>224109.57328926207</v>
      </c>
      <c r="N156" s="65">
        <f>N99*INDEX('Availability Model'!$C$67:$T$71, MATCH($K$144,'Availability Model'!$B$67:$B$71, 0), MATCH($K$10, 'Availability Model'!$C$1:$T$1, 0))</f>
        <v>613408.52380142547</v>
      </c>
      <c r="O156" s="65">
        <f>O99*INDEX('Availability Model'!$C$67:$T$71, MATCH($K$144,'Availability Model'!$B$67:$B$71, 0), MATCH($K$10, 'Availability Model'!$C$1:$T$1, 0))</f>
        <v>669188.73661110678</v>
      </c>
      <c r="P156" s="65">
        <f>P99*INDEX('Availability Model'!$C$67:$T$71, MATCH($K$144,'Availability Model'!$B$67:$B$71, 0), MATCH($K$10, 'Availability Model'!$C$1:$T$1, 0))</f>
        <v>731824.80235790636</v>
      </c>
      <c r="Q156" s="65">
        <f>Q99*INDEX('Availability Model'!$C$67:$T$71, MATCH($K$144,'Availability Model'!$B$67:$B$71, 0), MATCH($K$10, 'Availability Model'!$C$1:$T$1, 0))</f>
        <v>940249.84160129016</v>
      </c>
      <c r="R156" s="65">
        <f>R99*INDEX('Availability Model'!$C$67:$T$71, MATCH($K$144,'Availability Model'!$B$67:$B$71, 0), MATCH($K$10, 'Availability Model'!$C$1:$T$1, 0))</f>
        <v>1028257.2267751709</v>
      </c>
      <c r="S156" s="65">
        <f>S99*INDEX('Availability Model'!$C$67:$T$71, MATCH($K$144,'Availability Model'!$B$67:$B$71, 0), MATCH($K$10, 'Availability Model'!$C$1:$T$1, 0))</f>
        <v>1336713.0549337587</v>
      </c>
      <c r="T156" s="65">
        <f>T99*INDEX('Availability Model'!$C$67:$T$71, MATCH($K$144,'Availability Model'!$B$67:$B$71, 0), MATCH($K$10, 'Availability Model'!$C$1:$T$1, 0))</f>
        <v>1461829.3968755584</v>
      </c>
      <c r="U156" s="165">
        <f>U99*INDEX('Availability Model'!$C$67:$T$71, MATCH($K$144,'Availability Model'!$B$67:$B$71, 0), MATCH($K$10, 'Availability Model'!$C$1:$T$1, 0))</f>
        <v>1598656.6284231106</v>
      </c>
      <c r="V156" s="65">
        <f>V99*INDEX('Availability Model'!$C$67:$T$71, MATCH($K$144,'Availability Model'!$B$67:$B$71, 0), MATCH($K$10, 'Availability Model'!$C$1:$T$1, 0))</f>
        <v>1748290.8888435136</v>
      </c>
      <c r="W156" s="165">
        <f>W99*INDEX('Availability Model'!$C$67:$T$71, MATCH($K$144,'Availability Model'!$B$67:$B$71, 0), MATCH($K$10, 'Availability Model'!$C$1:$T$1, 0))</f>
        <v>1911930.9160392662</v>
      </c>
      <c r="X156" s="65">
        <f>X99*INDEX('Availability Model'!$C$67:$T$71, MATCH($K$144,'Availability Model'!$B$67:$B$71, 0), MATCH($K$10, 'Availability Model'!$C$1:$T$1, 0))</f>
        <v>2090887.6497805412</v>
      </c>
      <c r="Y156" s="65">
        <f>Y99*INDEX('Availability Model'!$C$67:$T$71, MATCH($K$144,'Availability Model'!$B$67:$B$71, 0), MATCH($K$10, 'Availability Model'!$C$1:$T$1, 0))</f>
        <v>2286594.7337999996</v>
      </c>
      <c r="Z156" s="65">
        <f>Z99*INDEX('Availability Model'!$C$67:$T$71, MATCH($K$144,'Availability Model'!$B$67:$B$71, 0), MATCH($K$10, 'Availability Model'!$C$1:$T$1, 0))</f>
        <v>2500620.0008836789</v>
      </c>
      <c r="AA156" s="65">
        <f>AA99*INDEX('Availability Model'!$C$67:$T$71, MATCH($K$144,'Availability Model'!$B$67:$B$71, 0), MATCH($K$10, 'Availability Model'!$C$1:$T$1, 0))</f>
        <v>2734678.0329663912</v>
      </c>
      <c r="AB156" s="65">
        <f>AB99*INDEX('Availability Model'!$C$67:$T$71, MATCH($K$144,'Availability Model'!$B$67:$B$71, 0), MATCH($K$10, 'Availability Model'!$C$1:$T$1, 0))</f>
        <v>2990643.8968520453</v>
      </c>
      <c r="AC156" s="65">
        <f>AC99*INDEX('Availability Model'!$C$67:$T$71, MATCH($K$144,'Availability Model'!$B$67:$B$71, 0), MATCH($K$10, 'Availability Model'!$C$1:$T$1, 0))</f>
        <v>3270568.165597396</v>
      </c>
      <c r="AD156" s="65">
        <f>AD99*INDEX('Availability Model'!$C$67:$T$71, MATCH($K$144,'Availability Model'!$B$67:$B$71, 0), MATCH($K$10, 'Availability Model'!$C$1:$T$1, 0))</f>
        <v>3576693.3458973123</v>
      </c>
      <c r="AE156" s="65">
        <f>AE99*INDEX('Availability Model'!$C$67:$T$71, MATCH($K$144,'Availability Model'!$B$67:$B$71, 0), MATCH($K$10, 'Availability Model'!$C$1:$T$1, 0))</f>
        <v>3911471.8430733001</v>
      </c>
      <c r="AF156" s="65">
        <f>AF99*INDEX('Availability Model'!$C$67:$T$71, MATCH($K$144,'Availability Model'!$B$67:$B$71, 0), MATCH($K$10, 'Availability Model'!$C$1:$T$1, 0))</f>
        <v>4277585.6075849608</v>
      </c>
      <c r="AG156" s="65">
        <f>AG99*INDEX('Availability Model'!$C$67:$T$71, MATCH($K$144,'Availability Model'!$B$67:$B$71, 0), MATCH($K$10, 'Availability Model'!$C$1:$T$1, 0))</f>
        <v>4677967.620454913</v>
      </c>
      <c r="AH156" s="65">
        <f>AH99*INDEX('Availability Model'!$C$67:$T$71, MATCH($K$144,'Availability Model'!$B$67:$B$71, 0), MATCH($K$10, 'Availability Model'!$C$1:$T$1, 0))</f>
        <v>5115825.3897294924</v>
      </c>
      <c r="AI156" s="65">
        <f>AI99*INDEX('Availability Model'!$C$67:$T$71, MATCH($K$144,'Availability Model'!$B$67:$B$71, 0), MATCH($K$10, 'Availability Model'!$C$1:$T$1, 0))</f>
        <v>5594666.6462081717</v>
      </c>
      <c r="AJ156" s="65">
        <f>AJ99*INDEX('Availability Model'!$C$67:$T$71, MATCH($K$144,'Availability Model'!$B$67:$B$71, 0), MATCH($K$10, 'Availability Model'!$C$1:$T$1, 0))</f>
        <v>6118327.4442932568</v>
      </c>
      <c r="AK156" s="65">
        <f>AK99*INDEX('Availability Model'!$C$67:$T$71, MATCH($K$144,'Availability Model'!$B$67:$B$71, 0), MATCH($K$10, 'Availability Model'!$C$1:$T$1, 0))</f>
        <v>6691002.8930791048</v>
      </c>
      <c r="AL156" s="65">
        <f>AL99*INDEX('Availability Model'!$C$67:$T$71, MATCH($K$144,'Availability Model'!$B$67:$B$71, 0), MATCH($K$10, 'Availability Model'!$C$1:$T$1, 0))</f>
        <v>7317280.7638713084</v>
      </c>
    </row>
    <row r="157" spans="4:38">
      <c r="D157" s="3" t="s">
        <v>324</v>
      </c>
      <c r="E157" s="16" t="s">
        <v>211</v>
      </c>
      <c r="K157" s="65">
        <f>K101*INDEX('Availability Model'!$C$67:$T$71, MATCH($K$144,'Availability Model'!$B$67:$B$71, 0), MATCH($K$10, 'Availability Model'!$C$1:$T$1, 0))</f>
        <v>14243.399999999998</v>
      </c>
      <c r="L157" s="65">
        <f>L101*INDEX('Availability Model'!$C$67:$T$71, MATCH($K$144,'Availability Model'!$B$67:$B$71, 0), MATCH($K$10, 'Availability Model'!$C$1:$T$1, 0))</f>
        <v>14708.32692016032</v>
      </c>
      <c r="M157" s="65">
        <f>M101*INDEX('Availability Model'!$C$67:$T$71, MATCH($K$144,'Availability Model'!$B$67:$B$71, 0), MATCH($K$10, 'Availability Model'!$C$1:$T$1, 0))</f>
        <v>16770.509914189428</v>
      </c>
      <c r="N157" s="65">
        <f>N101*INDEX('Availability Model'!$C$67:$T$71, MATCH($K$144,'Availability Model'!$B$67:$B$71, 0), MATCH($K$10, 'Availability Model'!$C$1:$T$1, 0))</f>
        <v>45902.428793536092</v>
      </c>
      <c r="O157" s="65">
        <f>O101*INDEX('Availability Model'!$C$67:$T$71, MATCH($K$144,'Availability Model'!$B$67:$B$71, 0), MATCH($K$10, 'Availability Model'!$C$1:$T$1, 0))</f>
        <v>50076.559323573456</v>
      </c>
      <c r="P157" s="65">
        <f>P101*INDEX('Availability Model'!$C$67:$T$71, MATCH($K$144,'Availability Model'!$B$67:$B$71, 0), MATCH($K$10, 'Availability Model'!$C$1:$T$1, 0))</f>
        <v>54763.725276259931</v>
      </c>
      <c r="Q157" s="65">
        <f>Q101*INDEX('Availability Model'!$C$67:$T$71, MATCH($K$144,'Availability Model'!$B$67:$B$71, 0), MATCH($K$10, 'Availability Model'!$C$1:$T$1, 0))</f>
        <v>59889.609962117851</v>
      </c>
      <c r="R157" s="65">
        <f>R101*INDEX('Availability Model'!$C$67:$T$71, MATCH($K$144,'Availability Model'!$B$67:$B$71, 0), MATCH($K$10, 'Availability Model'!$C$1:$T$1, 0))</f>
        <v>65495.277454572075</v>
      </c>
      <c r="S157" s="65">
        <f>S101*INDEX('Availability Model'!$C$67:$T$71, MATCH($K$144,'Availability Model'!$B$67:$B$71, 0), MATCH($K$10, 'Availability Model'!$C$1:$T$1, 0))</f>
        <v>71625.635424320019</v>
      </c>
      <c r="T157" s="65">
        <f>T101*INDEX('Availability Model'!$C$67:$T$71, MATCH($K$144,'Availability Model'!$B$67:$B$71, 0), MATCH($K$10, 'Availability Model'!$C$1:$T$1, 0))</f>
        <v>78329.794900036373</v>
      </c>
      <c r="U157" s="165">
        <f>U101*INDEX('Availability Model'!$C$67:$T$71, MATCH($K$144,'Availability Model'!$B$67:$B$71, 0), MATCH($K$10, 'Availability Model'!$C$1:$T$1, 0))</f>
        <v>85661.463702679772</v>
      </c>
      <c r="V157" s="65">
        <f>V101*INDEX('Availability Model'!$C$67:$T$71, MATCH($K$144,'Availability Model'!$B$67:$B$71, 0), MATCH($K$10, 'Availability Model'!$C$1:$T$1, 0))</f>
        <v>93679.376705250586</v>
      </c>
      <c r="W157" s="165">
        <f>W101*INDEX('Availability Model'!$C$67:$T$71, MATCH($K$144,'Availability Model'!$B$67:$B$71, 0), MATCH($K$10, 'Availability Model'!$C$1:$T$1, 0))</f>
        <v>102447.76636486202</v>
      </c>
      <c r="X157" s="65">
        <f>X101*INDEX('Availability Model'!$C$67:$T$71, MATCH($K$144,'Availability Model'!$B$67:$B$71, 0), MATCH($K$10, 'Availability Model'!$C$1:$T$1, 0))</f>
        <v>112036.87729661312</v>
      </c>
      <c r="Y157" s="65">
        <f>Y101*INDEX('Availability Model'!$C$67:$T$71, MATCH($K$144,'Availability Model'!$B$67:$B$71, 0), MATCH($K$10, 'Availability Model'!$C$1:$T$1, 0))</f>
        <v>122523.52901157609</v>
      </c>
      <c r="Z157" s="65">
        <f>Z101*INDEX('Availability Model'!$C$67:$T$71, MATCH($K$144,'Availability Model'!$B$67:$B$71, 0), MATCH($K$10, 'Availability Model'!$C$1:$T$1, 0))</f>
        <v>133991.73132705959</v>
      </c>
      <c r="AA157" s="65">
        <f>AA101*INDEX('Availability Model'!$C$67:$T$71, MATCH($K$144,'Availability Model'!$B$67:$B$71, 0), MATCH($K$10, 'Availability Model'!$C$1:$T$1, 0))</f>
        <v>146533.35737927235</v>
      </c>
      <c r="AB157" s="65">
        <f>AB101*INDEX('Availability Model'!$C$67:$T$71, MATCH($K$144,'Availability Model'!$B$67:$B$71, 0), MATCH($K$10, 'Availability Model'!$C$1:$T$1, 0))</f>
        <v>160248.87962997225</v>
      </c>
      <c r="AC157" s="65">
        <f>AC101*INDEX('Availability Model'!$C$67:$T$71, MATCH($K$144,'Availability Model'!$B$67:$B$71, 0), MATCH($K$10, 'Availability Model'!$C$1:$T$1, 0))</f>
        <v>175248.17476333768</v>
      </c>
      <c r="AD157" s="65">
        <f>AD101*INDEX('Availability Model'!$C$67:$T$71, MATCH($K$144,'Availability Model'!$B$67:$B$71, 0), MATCH($K$10, 'Availability Model'!$C$1:$T$1, 0))</f>
        <v>191651.40392118602</v>
      </c>
      <c r="AE157" s="65">
        <f>AE101*INDEX('Availability Model'!$C$67:$T$71, MATCH($K$144,'Availability Model'!$B$67:$B$71, 0), MATCH($K$10, 'Availability Model'!$C$1:$T$1, 0))</f>
        <v>209589.97532820905</v>
      </c>
      <c r="AF157" s="65">
        <f>AF101*INDEX('Availability Model'!$C$67:$T$71, MATCH($K$144,'Availability Model'!$B$67:$B$71, 0), MATCH($K$10, 'Availability Model'!$C$1:$T$1, 0))</f>
        <v>229207.5970189294</v>
      </c>
      <c r="AG157" s="65">
        <f>AG101*INDEX('Availability Model'!$C$67:$T$71, MATCH($K$144,'Availability Model'!$B$67:$B$71, 0), MATCH($K$10, 'Availability Model'!$C$1:$T$1, 0))</f>
        <v>250661.42809990118</v>
      </c>
      <c r="AH157" s="65">
        <f>AH101*INDEX('Availability Model'!$C$67:$T$71, MATCH($K$144,'Availability Model'!$B$67:$B$71, 0), MATCH($K$10, 'Availability Model'!$C$1:$T$1, 0))</f>
        <v>274123.3377700519</v>
      </c>
      <c r="AI157" s="65">
        <f>AI101*INDEX('Availability Model'!$C$67:$T$71, MATCH($K$144,'Availability Model'!$B$67:$B$71, 0), MATCH($K$10, 'Availability Model'!$C$1:$T$1, 0))</f>
        <v>299781.28218532878</v>
      </c>
      <c r="AJ157" s="65">
        <f>AJ101*INDEX('Availability Model'!$C$67:$T$71, MATCH($K$144,'Availability Model'!$B$67:$B$71, 0), MATCH($K$10, 'Availability Model'!$C$1:$T$1, 0))</f>
        <v>327840.81019787549</v>
      </c>
      <c r="AK157" s="65">
        <f>AK101*INDEX('Availability Model'!$C$67:$T$71, MATCH($K$144,'Availability Model'!$B$67:$B$71, 0), MATCH($K$10, 'Availability Model'!$C$1:$T$1, 0))</f>
        <v>358526.71003239666</v>
      </c>
      <c r="AL157" s="65">
        <f>AL101*INDEX('Availability Model'!$C$67:$T$71, MATCH($K$144,'Availability Model'!$B$67:$B$71, 0), MATCH($K$10, 'Availability Model'!$C$1:$T$1, 0))</f>
        <v>392084.81009142887</v>
      </c>
    </row>
    <row r="158" spans="4:38">
      <c r="D158" s="3" t="s">
        <v>321</v>
      </c>
      <c r="E158" s="3" t="s">
        <v>211</v>
      </c>
      <c r="K158" s="65">
        <f>IF(K32&gt;0,K156+K157,0)</f>
        <v>204582.41249999998</v>
      </c>
      <c r="L158" s="65">
        <f t="shared" ref="L158:AL158" si="96">IF(L32&gt;0,L156+L157,0)</f>
        <v>211260.3033801686</v>
      </c>
      <c r="M158" s="65">
        <f t="shared" si="96"/>
        <v>240880.0832034515</v>
      </c>
      <c r="N158" s="65">
        <f t="shared" si="96"/>
        <v>659310.95259496151</v>
      </c>
      <c r="O158" s="65">
        <f t="shared" si="96"/>
        <v>0</v>
      </c>
      <c r="P158" s="65">
        <f t="shared" si="96"/>
        <v>0</v>
      </c>
      <c r="Q158" s="65">
        <f t="shared" si="96"/>
        <v>0</v>
      </c>
      <c r="R158" s="65">
        <f t="shared" si="96"/>
        <v>0</v>
      </c>
      <c r="S158" s="65">
        <f t="shared" si="96"/>
        <v>1408338.6903580788</v>
      </c>
      <c r="T158" s="65">
        <f t="shared" si="96"/>
        <v>1540159.1917755948</v>
      </c>
      <c r="U158" s="165">
        <f t="shared" si="96"/>
        <v>1684318.0921257904</v>
      </c>
      <c r="V158" s="65">
        <f t="shared" si="96"/>
        <v>0</v>
      </c>
      <c r="W158" s="165">
        <f t="shared" si="96"/>
        <v>0</v>
      </c>
      <c r="X158" s="65">
        <f t="shared" si="96"/>
        <v>0</v>
      </c>
      <c r="Y158" s="65">
        <f t="shared" si="96"/>
        <v>0</v>
      </c>
      <c r="Z158" s="65">
        <f t="shared" si="96"/>
        <v>0</v>
      </c>
      <c r="AA158" s="65">
        <f t="shared" si="96"/>
        <v>0</v>
      </c>
      <c r="AB158" s="65">
        <f t="shared" si="96"/>
        <v>0</v>
      </c>
      <c r="AC158" s="65">
        <f t="shared" si="96"/>
        <v>0</v>
      </c>
      <c r="AD158" s="65">
        <f t="shared" si="96"/>
        <v>0</v>
      </c>
      <c r="AE158" s="65">
        <f t="shared" si="96"/>
        <v>0</v>
      </c>
      <c r="AF158" s="65">
        <f t="shared" si="96"/>
        <v>0</v>
      </c>
      <c r="AG158" s="65">
        <f t="shared" si="96"/>
        <v>0</v>
      </c>
      <c r="AH158" s="65">
        <f t="shared" si="96"/>
        <v>0</v>
      </c>
      <c r="AI158" s="65">
        <f t="shared" si="96"/>
        <v>0</v>
      </c>
      <c r="AJ158" s="65">
        <f t="shared" si="96"/>
        <v>0</v>
      </c>
      <c r="AK158" s="65">
        <f t="shared" si="96"/>
        <v>0</v>
      </c>
      <c r="AL158" s="65">
        <f t="shared" si="96"/>
        <v>0</v>
      </c>
    </row>
    <row r="159" spans="4:38">
      <c r="D159" s="7"/>
      <c r="E159" s="16"/>
    </row>
    <row r="160" spans="4:38" ht="18">
      <c r="D160" s="15" t="s">
        <v>249</v>
      </c>
    </row>
    <row r="161" spans="4:38" ht="15">
      <c r="D161" s="100" t="s">
        <v>250</v>
      </c>
      <c r="E161" s="101"/>
      <c r="F161" s="101"/>
      <c r="G161" s="101"/>
      <c r="H161" s="101"/>
      <c r="I161" s="101"/>
      <c r="J161" s="101"/>
      <c r="K161" s="101"/>
    </row>
    <row r="162" spans="4:38">
      <c r="D162" s="102" t="s">
        <v>299</v>
      </c>
      <c r="E162" s="103" t="s">
        <v>169</v>
      </c>
      <c r="F162" s="101"/>
      <c r="G162" s="101"/>
      <c r="H162" s="101"/>
      <c r="I162" s="101"/>
      <c r="J162" s="101"/>
      <c r="K162" s="101" t="str">
        <f>Inputs!E69</f>
        <v>Low</v>
      </c>
      <c r="M162" s="7"/>
    </row>
    <row r="163" spans="4:38">
      <c r="D163" s="102" t="s">
        <v>329</v>
      </c>
      <c r="E163" s="103" t="s">
        <v>303</v>
      </c>
      <c r="F163" s="101"/>
      <c r="G163" s="101"/>
      <c r="H163" s="101"/>
      <c r="I163" s="101"/>
      <c r="J163" s="101"/>
      <c r="K163" s="101">
        <f>INDEX('Availability Model'!$C$4:$T$8, MATCH($K$135,'Availability Model'!$B$4:$B$8, 0), MATCH($K$10, 'Availability Model'!$C$1:$T$1, 0))</f>
        <v>2</v>
      </c>
      <c r="M163" s="7"/>
    </row>
    <row r="164" spans="4:38">
      <c r="D164" s="102" t="s">
        <v>301</v>
      </c>
      <c r="E164" s="103" t="s">
        <v>106</v>
      </c>
      <c r="F164" s="101"/>
      <c r="G164" s="101"/>
      <c r="H164" s="101"/>
      <c r="I164" s="101"/>
      <c r="J164" s="101"/>
      <c r="K164" s="101"/>
      <c r="M164" s="7"/>
    </row>
    <row r="165" spans="4:38">
      <c r="D165" s="102" t="s">
        <v>302</v>
      </c>
      <c r="E165" s="103" t="s">
        <v>106</v>
      </c>
      <c r="F165" s="101"/>
      <c r="G165" s="101"/>
      <c r="H165" s="101"/>
      <c r="I165" s="101"/>
      <c r="J165" s="101"/>
      <c r="K165" s="101">
        <f>Inputs!E132</f>
        <v>376680</v>
      </c>
      <c r="M165" s="7"/>
    </row>
    <row r="166" spans="4:38">
      <c r="D166" s="102" t="s">
        <v>326</v>
      </c>
      <c r="E166" s="103" t="s">
        <v>106</v>
      </c>
      <c r="F166" s="101"/>
      <c r="G166" s="101"/>
      <c r="H166" s="101"/>
      <c r="I166" s="101"/>
      <c r="J166" s="101"/>
      <c r="K166" s="101">
        <f>K164-K165</f>
        <v>-376680</v>
      </c>
      <c r="M166" s="7"/>
    </row>
    <row r="167" spans="4:38">
      <c r="D167" s="7"/>
    </row>
    <row r="169" spans="4:38" ht="15">
      <c r="D169" s="4" t="s">
        <v>137</v>
      </c>
    </row>
    <row r="170" spans="4:38">
      <c r="D170" s="7" t="s">
        <v>299</v>
      </c>
      <c r="E170" s="16" t="s">
        <v>169</v>
      </c>
      <c r="K170" t="str">
        <f>Inputs!E70</f>
        <v>Good</v>
      </c>
      <c r="L170" t="str">
        <f>Inputs!F70</f>
        <v>Good</v>
      </c>
      <c r="M170" t="str">
        <f>Inputs!G70</f>
        <v>Good</v>
      </c>
      <c r="N170" t="str">
        <f>Inputs!H70</f>
        <v>Good</v>
      </c>
      <c r="O170" t="str">
        <f>Inputs!I70</f>
        <v>Good</v>
      </c>
      <c r="P170" t="str">
        <f>Inputs!J70</f>
        <v>Good</v>
      </c>
      <c r="Q170" t="str">
        <f>P170</f>
        <v>Good</v>
      </c>
      <c r="R170" t="str">
        <f t="shared" ref="R170:AL170" si="97">Q170</f>
        <v>Good</v>
      </c>
      <c r="S170" t="str">
        <f t="shared" si="97"/>
        <v>Good</v>
      </c>
      <c r="T170" t="str">
        <f t="shared" si="97"/>
        <v>Good</v>
      </c>
      <c r="U170" s="128" t="str">
        <f t="shared" si="97"/>
        <v>Good</v>
      </c>
      <c r="V170" t="str">
        <f t="shared" si="97"/>
        <v>Good</v>
      </c>
      <c r="W170" s="128" t="str">
        <f t="shared" si="97"/>
        <v>Good</v>
      </c>
      <c r="X170" t="str">
        <f t="shared" si="97"/>
        <v>Good</v>
      </c>
      <c r="Y170" t="str">
        <f t="shared" si="97"/>
        <v>Good</v>
      </c>
      <c r="Z170" t="str">
        <f t="shared" si="97"/>
        <v>Good</v>
      </c>
      <c r="AA170" t="str">
        <f t="shared" si="97"/>
        <v>Good</v>
      </c>
      <c r="AB170" t="str">
        <f t="shared" si="97"/>
        <v>Good</v>
      </c>
      <c r="AC170" t="str">
        <f t="shared" si="97"/>
        <v>Good</v>
      </c>
      <c r="AD170" t="str">
        <f t="shared" si="97"/>
        <v>Good</v>
      </c>
      <c r="AE170" t="str">
        <f t="shared" si="97"/>
        <v>Good</v>
      </c>
      <c r="AF170" t="str">
        <f t="shared" si="97"/>
        <v>Good</v>
      </c>
      <c r="AG170" t="str">
        <f t="shared" si="97"/>
        <v>Good</v>
      </c>
      <c r="AH170" t="str">
        <f t="shared" si="97"/>
        <v>Good</v>
      </c>
      <c r="AI170" t="str">
        <f t="shared" si="97"/>
        <v>Good</v>
      </c>
      <c r="AJ170" t="str">
        <f t="shared" si="97"/>
        <v>Good</v>
      </c>
      <c r="AK170" t="str">
        <f t="shared" si="97"/>
        <v>Good</v>
      </c>
      <c r="AL170" t="str">
        <f t="shared" si="97"/>
        <v>Good</v>
      </c>
    </row>
    <row r="171" spans="4:38">
      <c r="D171" s="7" t="s">
        <v>300</v>
      </c>
      <c r="E171" s="16" t="s">
        <v>303</v>
      </c>
      <c r="K171">
        <f>INDEX('Availability Model'!$C$81:$T$84, MATCH($K$170,'Availability Model'!$B$81:$B$84, 0), MATCH($K$10, 'Availability Model'!$C$1:$T$1, 0))</f>
        <v>0</v>
      </c>
      <c r="L171">
        <f>INDEX('Availability Model'!$C$81:$T$84, MATCH($K$170,'Availability Model'!$B$81:$B$84, 0), MATCH($K$10, 'Availability Model'!$C$1:$T$1, 0))</f>
        <v>0</v>
      </c>
      <c r="M171">
        <f>INDEX('Availability Model'!$C$81:$T$84, MATCH($K$170,'Availability Model'!$B$81:$B$84, 0), MATCH($K$10, 'Availability Model'!$C$1:$T$1, 0))</f>
        <v>0</v>
      </c>
      <c r="N171">
        <f>INDEX('Availability Model'!$C$81:$T$84, MATCH($K$170,'Availability Model'!$B$81:$B$84, 0), MATCH($K$10, 'Availability Model'!$C$1:$T$1, 0))</f>
        <v>0</v>
      </c>
      <c r="O171">
        <f>INDEX('Availability Model'!$C$81:$T$84, MATCH($K$170,'Availability Model'!$B$81:$B$84, 0), MATCH($K$10, 'Availability Model'!$C$1:$T$1, 0))</f>
        <v>0</v>
      </c>
      <c r="P171">
        <f>INDEX('Availability Model'!$C$81:$T$84, MATCH($K$170,'Availability Model'!$B$81:$B$84, 0), MATCH($K$10, 'Availability Model'!$C$1:$T$1, 0))</f>
        <v>0</v>
      </c>
      <c r="Q171">
        <f>INDEX('Availability Model'!$C$81:$T$84, MATCH($K$170,'Availability Model'!$B$81:$B$84, 0), MATCH($K$10, 'Availability Model'!$C$1:$T$1, 0))</f>
        <v>0</v>
      </c>
      <c r="R171">
        <f>INDEX('Availability Model'!$C$81:$T$84, MATCH($K$170,'Availability Model'!$B$81:$B$84, 0), MATCH($K$10, 'Availability Model'!$C$1:$T$1, 0))</f>
        <v>0</v>
      </c>
      <c r="S171">
        <f>INDEX('Availability Model'!$C$81:$T$84, MATCH($K$170,'Availability Model'!$B$81:$B$84, 0), MATCH($K$10, 'Availability Model'!$C$1:$T$1, 0))</f>
        <v>0</v>
      </c>
      <c r="T171">
        <f>INDEX('Availability Model'!$C$81:$T$84, MATCH($K$170,'Availability Model'!$B$81:$B$84, 0), MATCH($K$10, 'Availability Model'!$C$1:$T$1, 0))</f>
        <v>0</v>
      </c>
      <c r="U171" s="128">
        <f>INDEX('Availability Model'!$C$81:$T$84, MATCH($K$170,'Availability Model'!$B$81:$B$84, 0), MATCH($K$10, 'Availability Model'!$C$1:$T$1, 0))</f>
        <v>0</v>
      </c>
      <c r="V171">
        <f>INDEX('Availability Model'!$C$81:$T$84, MATCH($K$170,'Availability Model'!$B$81:$B$84, 0), MATCH($K$10, 'Availability Model'!$C$1:$T$1, 0))</f>
        <v>0</v>
      </c>
      <c r="W171" s="128">
        <f>INDEX('Availability Model'!$C$81:$T$84, MATCH($K$170,'Availability Model'!$B$81:$B$84, 0), MATCH($K$10, 'Availability Model'!$C$1:$T$1, 0))</f>
        <v>0</v>
      </c>
      <c r="X171">
        <f>INDEX('Availability Model'!$C$81:$T$84, MATCH($K$170,'Availability Model'!$B$81:$B$84, 0), MATCH($K$10, 'Availability Model'!$C$1:$T$1, 0))</f>
        <v>0</v>
      </c>
      <c r="Y171">
        <f>INDEX('Availability Model'!$C$81:$T$84, MATCH($K$170,'Availability Model'!$B$81:$B$84, 0), MATCH($K$10, 'Availability Model'!$C$1:$T$1, 0))</f>
        <v>0</v>
      </c>
      <c r="Z171">
        <f>INDEX('Availability Model'!$C$81:$T$84, MATCH($K$170,'Availability Model'!$B$81:$B$84, 0), MATCH($K$10, 'Availability Model'!$C$1:$T$1, 0))</f>
        <v>0</v>
      </c>
      <c r="AA171">
        <f>INDEX('Availability Model'!$C$81:$T$84, MATCH($K$170,'Availability Model'!$B$81:$B$84, 0), MATCH($K$10, 'Availability Model'!$C$1:$T$1, 0))</f>
        <v>0</v>
      </c>
      <c r="AB171">
        <f>INDEX('Availability Model'!$C$81:$T$84, MATCH($K$170,'Availability Model'!$B$81:$B$84, 0), MATCH($K$10, 'Availability Model'!$C$1:$T$1, 0))</f>
        <v>0</v>
      </c>
      <c r="AC171">
        <f>INDEX('Availability Model'!$C$81:$T$84, MATCH($K$170,'Availability Model'!$B$81:$B$84, 0), MATCH($K$10, 'Availability Model'!$C$1:$T$1, 0))</f>
        <v>0</v>
      </c>
      <c r="AD171">
        <f>INDEX('Availability Model'!$C$81:$T$84, MATCH($K$170,'Availability Model'!$B$81:$B$84, 0), MATCH($K$10, 'Availability Model'!$C$1:$T$1, 0))</f>
        <v>0</v>
      </c>
      <c r="AE171">
        <f>INDEX('Availability Model'!$C$81:$T$84, MATCH($K$170,'Availability Model'!$B$81:$B$84, 0), MATCH($K$10, 'Availability Model'!$C$1:$T$1, 0))</f>
        <v>0</v>
      </c>
      <c r="AF171">
        <f>INDEX('Availability Model'!$C$81:$T$84, MATCH($K$170,'Availability Model'!$B$81:$B$84, 0), MATCH($K$10, 'Availability Model'!$C$1:$T$1, 0))</f>
        <v>0</v>
      </c>
      <c r="AG171">
        <f>INDEX('Availability Model'!$C$81:$T$84, MATCH($K$170,'Availability Model'!$B$81:$B$84, 0), MATCH($K$10, 'Availability Model'!$C$1:$T$1, 0))</f>
        <v>0</v>
      </c>
      <c r="AH171">
        <f>INDEX('Availability Model'!$C$81:$T$84, MATCH($K$170,'Availability Model'!$B$81:$B$84, 0), MATCH($K$10, 'Availability Model'!$C$1:$T$1, 0))</f>
        <v>0</v>
      </c>
      <c r="AI171">
        <f>INDEX('Availability Model'!$C$81:$T$84, MATCH($K$170,'Availability Model'!$B$81:$B$84, 0), MATCH($K$10, 'Availability Model'!$C$1:$T$1, 0))</f>
        <v>0</v>
      </c>
      <c r="AJ171">
        <f>INDEX('Availability Model'!$C$81:$T$84, MATCH($K$170,'Availability Model'!$B$81:$B$84, 0), MATCH($K$10, 'Availability Model'!$C$1:$T$1, 0))</f>
        <v>0</v>
      </c>
      <c r="AK171">
        <f>INDEX('Availability Model'!$C$81:$T$84, MATCH($K$170,'Availability Model'!$B$81:$B$84, 0), MATCH($K$10, 'Availability Model'!$C$1:$T$1, 0))</f>
        <v>0</v>
      </c>
      <c r="AL171">
        <f>INDEX('Availability Model'!$C$81:$T$84, MATCH($K$170,'Availability Model'!$B$81:$B$84, 0), MATCH($K$10, 'Availability Model'!$C$1:$T$1, 0))</f>
        <v>0</v>
      </c>
    </row>
    <row r="172" spans="4:38">
      <c r="D172" s="7" t="s">
        <v>312</v>
      </c>
      <c r="E172" s="16" t="s">
        <v>106</v>
      </c>
      <c r="K172">
        <f>K171*INDEX('Availability Model'!$C$81:$T$84, MATCH($K$170,'Availability Model'!$B$81:$B$84, 0), MATCH($K$10, 'Availability Model'!$C$1:$T$1, 0))</f>
        <v>0</v>
      </c>
      <c r="L172">
        <f>L171*INDEX('Availability Model'!$C$81:$T$84, MATCH($K$170,'Availability Model'!$B$81:$B$84, 0), MATCH($K$10, 'Availability Model'!$C$1:$T$1, 0))</f>
        <v>0</v>
      </c>
      <c r="M172">
        <f>M171*INDEX('Availability Model'!$C$81:$T$84, MATCH($K$170,'Availability Model'!$B$81:$B$84, 0), MATCH($K$10, 'Availability Model'!$C$1:$T$1, 0))</f>
        <v>0</v>
      </c>
      <c r="N172">
        <f>N171*INDEX('Availability Model'!$C$81:$T$84, MATCH($K$170,'Availability Model'!$B$81:$B$84, 0), MATCH($K$10, 'Availability Model'!$C$1:$T$1, 0))</f>
        <v>0</v>
      </c>
      <c r="O172">
        <f>O171*INDEX('Availability Model'!$C$81:$T$84, MATCH($K$170,'Availability Model'!$B$81:$B$84, 0), MATCH($K$10, 'Availability Model'!$C$1:$T$1, 0))</f>
        <v>0</v>
      </c>
      <c r="P172">
        <f>P171*INDEX('Availability Model'!$C$81:$T$84, MATCH($K$170,'Availability Model'!$B$81:$B$84, 0), MATCH($K$10, 'Availability Model'!$C$1:$T$1, 0))</f>
        <v>0</v>
      </c>
      <c r="Q172">
        <f>Q171*INDEX('Availability Model'!$C$81:$T$84, MATCH($K$170,'Availability Model'!$B$81:$B$84, 0), MATCH($K$10, 'Availability Model'!$C$1:$T$1, 0))</f>
        <v>0</v>
      </c>
      <c r="R172">
        <f>R171*INDEX('Availability Model'!$C$81:$T$84, MATCH($K$170,'Availability Model'!$B$81:$B$84, 0), MATCH($K$10, 'Availability Model'!$C$1:$T$1, 0))</f>
        <v>0</v>
      </c>
      <c r="S172">
        <f>S171*INDEX('Availability Model'!$C$81:$T$84, MATCH($K$170,'Availability Model'!$B$81:$B$84, 0), MATCH($K$10, 'Availability Model'!$C$1:$T$1, 0))</f>
        <v>0</v>
      </c>
      <c r="T172">
        <f>T171*INDEX('Availability Model'!$C$81:$T$84, MATCH($K$170,'Availability Model'!$B$81:$B$84, 0), MATCH($K$10, 'Availability Model'!$C$1:$T$1, 0))</f>
        <v>0</v>
      </c>
      <c r="U172" s="128">
        <f>U171*INDEX('Availability Model'!$C$81:$T$84, MATCH($K$170,'Availability Model'!$B$81:$B$84, 0), MATCH($K$10, 'Availability Model'!$C$1:$T$1, 0))</f>
        <v>0</v>
      </c>
      <c r="V172">
        <f>V171*INDEX('Availability Model'!$C$81:$T$84, MATCH($K$170,'Availability Model'!$B$81:$B$84, 0), MATCH($K$10, 'Availability Model'!$C$1:$T$1, 0))</f>
        <v>0</v>
      </c>
      <c r="W172" s="128">
        <f>W171*INDEX('Availability Model'!$C$81:$T$84, MATCH($K$170,'Availability Model'!$B$81:$B$84, 0), MATCH($K$10, 'Availability Model'!$C$1:$T$1, 0))</f>
        <v>0</v>
      </c>
      <c r="X172">
        <f>X171*INDEX('Availability Model'!$C$81:$T$84, MATCH($K$170,'Availability Model'!$B$81:$B$84, 0), MATCH($K$10, 'Availability Model'!$C$1:$T$1, 0))</f>
        <v>0</v>
      </c>
      <c r="Y172">
        <f>Y171*INDEX('Availability Model'!$C$81:$T$84, MATCH($K$170,'Availability Model'!$B$81:$B$84, 0), MATCH($K$10, 'Availability Model'!$C$1:$T$1, 0))</f>
        <v>0</v>
      </c>
      <c r="Z172">
        <f>Z171*INDEX('Availability Model'!$C$81:$T$84, MATCH($K$170,'Availability Model'!$B$81:$B$84, 0), MATCH($K$10, 'Availability Model'!$C$1:$T$1, 0))</f>
        <v>0</v>
      </c>
      <c r="AA172">
        <f>AA171*INDEX('Availability Model'!$C$81:$T$84, MATCH($K$170,'Availability Model'!$B$81:$B$84, 0), MATCH($K$10, 'Availability Model'!$C$1:$T$1, 0))</f>
        <v>0</v>
      </c>
      <c r="AB172">
        <f>AB171*INDEX('Availability Model'!$C$81:$T$84, MATCH($K$170,'Availability Model'!$B$81:$B$84, 0), MATCH($K$10, 'Availability Model'!$C$1:$T$1, 0))</f>
        <v>0</v>
      </c>
      <c r="AC172">
        <f>AC171*INDEX('Availability Model'!$C$81:$T$84, MATCH($K$170,'Availability Model'!$B$81:$B$84, 0), MATCH($K$10, 'Availability Model'!$C$1:$T$1, 0))</f>
        <v>0</v>
      </c>
      <c r="AD172">
        <f>AD171*INDEX('Availability Model'!$C$81:$T$84, MATCH($K$170,'Availability Model'!$B$81:$B$84, 0), MATCH($K$10, 'Availability Model'!$C$1:$T$1, 0))</f>
        <v>0</v>
      </c>
      <c r="AE172">
        <f>AE171*INDEX('Availability Model'!$C$81:$T$84, MATCH($K$170,'Availability Model'!$B$81:$B$84, 0), MATCH($K$10, 'Availability Model'!$C$1:$T$1, 0))</f>
        <v>0</v>
      </c>
      <c r="AF172">
        <f>AF171*INDEX('Availability Model'!$C$81:$T$84, MATCH($K$170,'Availability Model'!$B$81:$B$84, 0), MATCH($K$10, 'Availability Model'!$C$1:$T$1, 0))</f>
        <v>0</v>
      </c>
      <c r="AG172">
        <f>AG171*INDEX('Availability Model'!$C$81:$T$84, MATCH($K$170,'Availability Model'!$B$81:$B$84, 0), MATCH($K$10, 'Availability Model'!$C$1:$T$1, 0))</f>
        <v>0</v>
      </c>
      <c r="AH172">
        <f>AH171*INDEX('Availability Model'!$C$81:$T$84, MATCH($K$170,'Availability Model'!$B$81:$B$84, 0), MATCH($K$10, 'Availability Model'!$C$1:$T$1, 0))</f>
        <v>0</v>
      </c>
      <c r="AI172">
        <f>AI171*INDEX('Availability Model'!$C$81:$T$84, MATCH($K$170,'Availability Model'!$B$81:$B$84, 0), MATCH($K$10, 'Availability Model'!$C$1:$T$1, 0))</f>
        <v>0</v>
      </c>
      <c r="AJ172">
        <f>AJ171*INDEX('Availability Model'!$C$81:$T$84, MATCH($K$170,'Availability Model'!$B$81:$B$84, 0), MATCH($K$10, 'Availability Model'!$C$1:$T$1, 0))</f>
        <v>0</v>
      </c>
      <c r="AK172">
        <f>AK171*INDEX('Availability Model'!$C$81:$T$84, MATCH($K$170,'Availability Model'!$B$81:$B$84, 0), MATCH($K$10, 'Availability Model'!$C$1:$T$1, 0))</f>
        <v>0</v>
      </c>
      <c r="AL172">
        <f>AL171*INDEX('Availability Model'!$C$81:$T$84, MATCH($K$170,'Availability Model'!$B$81:$B$84, 0), MATCH($K$10, 'Availability Model'!$C$1:$T$1, 0))</f>
        <v>0</v>
      </c>
    </row>
    <row r="173" spans="4:38">
      <c r="D173" s="7" t="s">
        <v>302</v>
      </c>
      <c r="E173" s="16" t="s">
        <v>106</v>
      </c>
      <c r="K173" s="65">
        <f>K147</f>
        <v>1.8129533678756478</v>
      </c>
      <c r="L173" s="65">
        <f t="shared" ref="L173:AL173" si="98">L147</f>
        <v>1.9066551166747128</v>
      </c>
      <c r="M173" s="65">
        <f t="shared" si="98"/>
        <v>1.8367738032705883</v>
      </c>
      <c r="N173" s="65">
        <f t="shared" si="98"/>
        <v>1.8815339776532183</v>
      </c>
      <c r="O173" s="65">
        <f t="shared" si="98"/>
        <v>2.3849090588321165</v>
      </c>
      <c r="P173" s="65">
        <f t="shared" si="98"/>
        <v>2.3887033302261771</v>
      </c>
      <c r="Q173" s="65">
        <f t="shared" si="98"/>
        <v>2.6044906552465226</v>
      </c>
      <c r="R173" s="65">
        <f t="shared" si="98"/>
        <v>2.6044906552465226</v>
      </c>
      <c r="S173" s="65">
        <f t="shared" si="98"/>
        <v>2.3419724183148003</v>
      </c>
      <c r="T173" s="65">
        <f t="shared" si="98"/>
        <v>2.3456704140849065</v>
      </c>
      <c r="U173" s="165">
        <f t="shared" si="98"/>
        <v>2.3419724183148003</v>
      </c>
      <c r="V173" s="65">
        <f t="shared" si="98"/>
        <v>2.34976845608873</v>
      </c>
      <c r="W173" s="165">
        <f t="shared" si="98"/>
        <v>2.34976845608873</v>
      </c>
      <c r="X173" s="65">
        <f t="shared" si="98"/>
        <v>2.3534664518588362</v>
      </c>
      <c r="Y173" s="65">
        <f t="shared" si="98"/>
        <v>2.34976845608873</v>
      </c>
      <c r="Z173" s="65">
        <f t="shared" si="98"/>
        <v>2.34976845608873</v>
      </c>
      <c r="AA173" s="65">
        <f t="shared" si="98"/>
        <v>2.34976845608873</v>
      </c>
      <c r="AB173" s="65">
        <f t="shared" si="98"/>
        <v>2.3534664518588362</v>
      </c>
      <c r="AC173" s="65">
        <f t="shared" si="98"/>
        <v>2.34976845608873</v>
      </c>
      <c r="AD173" s="65">
        <f t="shared" si="98"/>
        <v>2.34976845608873</v>
      </c>
      <c r="AE173" s="65">
        <f t="shared" si="98"/>
        <v>2.34976845608873</v>
      </c>
      <c r="AF173" s="65">
        <f t="shared" si="98"/>
        <v>2.3534664518588362</v>
      </c>
      <c r="AG173" s="65">
        <f t="shared" si="98"/>
        <v>2.34976845608873</v>
      </c>
      <c r="AH173" s="65">
        <f t="shared" si="98"/>
        <v>2.34976845608873</v>
      </c>
      <c r="AI173" s="65">
        <f t="shared" si="98"/>
        <v>2.34976845608873</v>
      </c>
      <c r="AJ173" s="65">
        <f t="shared" si="98"/>
        <v>2.3534664518588362</v>
      </c>
      <c r="AK173" s="65">
        <f t="shared" si="98"/>
        <v>2.34976845608873</v>
      </c>
      <c r="AL173" s="65">
        <f t="shared" si="98"/>
        <v>2.34976845608873</v>
      </c>
    </row>
    <row r="174" spans="4:38">
      <c r="D174" s="7" t="s">
        <v>313</v>
      </c>
      <c r="E174" s="16" t="s">
        <v>106</v>
      </c>
      <c r="K174" s="89">
        <f>IF((K172-K173)&gt;0, K172-K173,0)</f>
        <v>0</v>
      </c>
      <c r="L174" s="89">
        <f t="shared" ref="L174:AL174" si="99">IF((L172-L173)&gt;0, L172-L173,0)</f>
        <v>0</v>
      </c>
      <c r="M174" s="89">
        <f t="shared" si="99"/>
        <v>0</v>
      </c>
      <c r="N174" s="89">
        <f t="shared" si="99"/>
        <v>0</v>
      </c>
      <c r="O174" s="89">
        <f t="shared" si="99"/>
        <v>0</v>
      </c>
      <c r="P174" s="89">
        <f t="shared" si="99"/>
        <v>0</v>
      </c>
      <c r="Q174" s="89">
        <f t="shared" si="99"/>
        <v>0</v>
      </c>
      <c r="R174" s="89">
        <f t="shared" si="99"/>
        <v>0</v>
      </c>
      <c r="S174" s="89">
        <f t="shared" si="99"/>
        <v>0</v>
      </c>
      <c r="T174">
        <f t="shared" si="99"/>
        <v>0</v>
      </c>
      <c r="U174" s="128">
        <f t="shared" si="99"/>
        <v>0</v>
      </c>
      <c r="V174" s="89">
        <f t="shared" si="99"/>
        <v>0</v>
      </c>
      <c r="W174" s="128">
        <f t="shared" si="99"/>
        <v>0</v>
      </c>
      <c r="X174" s="89">
        <f t="shared" si="99"/>
        <v>0</v>
      </c>
      <c r="Y174" s="89">
        <f t="shared" si="99"/>
        <v>0</v>
      </c>
      <c r="Z174" s="89">
        <f t="shared" si="99"/>
        <v>0</v>
      </c>
      <c r="AA174" s="89">
        <f t="shared" si="99"/>
        <v>0</v>
      </c>
      <c r="AB174" s="89">
        <f t="shared" si="99"/>
        <v>0</v>
      </c>
      <c r="AC174" s="89">
        <f t="shared" si="99"/>
        <v>0</v>
      </c>
      <c r="AD174" s="89">
        <f t="shared" si="99"/>
        <v>0</v>
      </c>
      <c r="AE174" s="89">
        <f t="shared" si="99"/>
        <v>0</v>
      </c>
      <c r="AF174" s="89">
        <f t="shared" si="99"/>
        <v>0</v>
      </c>
      <c r="AG174" s="89">
        <f t="shared" si="99"/>
        <v>0</v>
      </c>
      <c r="AH174" s="89">
        <f t="shared" si="99"/>
        <v>0</v>
      </c>
      <c r="AI174" s="89">
        <f t="shared" si="99"/>
        <v>0</v>
      </c>
      <c r="AJ174" s="89">
        <f t="shared" si="99"/>
        <v>0</v>
      </c>
      <c r="AK174" s="89">
        <f t="shared" si="99"/>
        <v>0</v>
      </c>
      <c r="AL174" s="89">
        <f t="shared" si="99"/>
        <v>0</v>
      </c>
    </row>
    <row r="175" spans="4:38">
      <c r="D175" s="7" t="s">
        <v>314</v>
      </c>
      <c r="E175" s="16" t="s">
        <v>306</v>
      </c>
      <c r="K175" s="90">
        <f t="shared" ref="K175:AL175" si="100">IF(K174&gt;0,K174*K41,0)</f>
        <v>0</v>
      </c>
      <c r="L175" s="90">
        <f t="shared" si="100"/>
        <v>0</v>
      </c>
      <c r="M175" s="90">
        <f t="shared" si="100"/>
        <v>0</v>
      </c>
      <c r="N175" s="90">
        <f t="shared" si="100"/>
        <v>0</v>
      </c>
      <c r="O175" s="90">
        <f t="shared" si="100"/>
        <v>0</v>
      </c>
      <c r="P175" s="90">
        <f t="shared" si="100"/>
        <v>0</v>
      </c>
      <c r="Q175" s="90">
        <f t="shared" si="100"/>
        <v>0</v>
      </c>
      <c r="R175" s="90">
        <f t="shared" si="100"/>
        <v>0</v>
      </c>
      <c r="S175" s="90">
        <f t="shared" si="100"/>
        <v>0</v>
      </c>
      <c r="T175" s="65">
        <f t="shared" si="100"/>
        <v>0</v>
      </c>
      <c r="U175" s="165">
        <f t="shared" si="100"/>
        <v>0</v>
      </c>
      <c r="V175" s="90">
        <f t="shared" si="100"/>
        <v>0</v>
      </c>
      <c r="W175" s="165">
        <f t="shared" si="100"/>
        <v>0</v>
      </c>
      <c r="X175" s="90">
        <f t="shared" si="100"/>
        <v>0</v>
      </c>
      <c r="Y175" s="90">
        <f t="shared" si="100"/>
        <v>0</v>
      </c>
      <c r="Z175" s="90">
        <f t="shared" si="100"/>
        <v>0</v>
      </c>
      <c r="AA175" s="90">
        <f t="shared" si="100"/>
        <v>0</v>
      </c>
      <c r="AB175" s="90">
        <f t="shared" si="100"/>
        <v>0</v>
      </c>
      <c r="AC175" s="90">
        <f t="shared" si="100"/>
        <v>0</v>
      </c>
      <c r="AD175" s="90">
        <f t="shared" si="100"/>
        <v>0</v>
      </c>
      <c r="AE175" s="90">
        <f t="shared" si="100"/>
        <v>0</v>
      </c>
      <c r="AF175" s="90">
        <f t="shared" si="100"/>
        <v>0</v>
      </c>
      <c r="AG175" s="90">
        <f t="shared" si="100"/>
        <v>0</v>
      </c>
      <c r="AH175" s="90">
        <f t="shared" si="100"/>
        <v>0</v>
      </c>
      <c r="AI175" s="90">
        <f t="shared" si="100"/>
        <v>0</v>
      </c>
      <c r="AJ175" s="90">
        <f t="shared" si="100"/>
        <v>0</v>
      </c>
      <c r="AK175" s="90">
        <f t="shared" si="100"/>
        <v>0</v>
      </c>
      <c r="AL175" s="90">
        <f t="shared" si="100"/>
        <v>0</v>
      </c>
    </row>
    <row r="176" spans="4:38">
      <c r="D176" s="7"/>
    </row>
    <row r="177" spans="4:38">
      <c r="D177" s="3" t="s">
        <v>315</v>
      </c>
      <c r="E177" s="16" t="s">
        <v>306</v>
      </c>
      <c r="K177" s="65">
        <f>K175*INDEX('Availability Model'!$C$60:$T$64, MATCH($K$144,'Availability Model'!$B$60:$B$64, 0), MATCH($K$10, 'Availability Model'!$C$1:$T$1, 0))</f>
        <v>0</v>
      </c>
      <c r="L177" s="65">
        <f>L175*INDEX('Availability Model'!$C$60:$T$64, MATCH($K$144,'Availability Model'!$B$60:$B$64, 0), MATCH($K$10, 'Availability Model'!$C$1:$T$1, 0))</f>
        <v>0</v>
      </c>
      <c r="M177" s="65">
        <f>M175*INDEX('Availability Model'!$C$60:$T$64, MATCH($K$144,'Availability Model'!$B$60:$B$64, 0), MATCH($K$10, 'Availability Model'!$C$1:$T$1, 0))</f>
        <v>0</v>
      </c>
      <c r="N177" s="65">
        <f>N175*INDEX('Availability Model'!$C$60:$T$64, MATCH($K$144,'Availability Model'!$B$60:$B$64, 0), MATCH($K$10, 'Availability Model'!$C$1:$T$1, 0))</f>
        <v>0</v>
      </c>
      <c r="O177" s="65">
        <f>O175*INDEX('Availability Model'!$C$60:$T$64, MATCH($K$144,'Availability Model'!$B$60:$B$64, 0), MATCH($K$10, 'Availability Model'!$C$1:$T$1, 0))</f>
        <v>0</v>
      </c>
      <c r="P177" s="65">
        <f>P175*INDEX('Availability Model'!$C$60:$T$64, MATCH($K$144,'Availability Model'!$B$60:$B$64, 0), MATCH($K$10, 'Availability Model'!$C$1:$T$1, 0))</f>
        <v>0</v>
      </c>
    </row>
    <row r="178" spans="4:38">
      <c r="D178" s="3" t="s">
        <v>333</v>
      </c>
      <c r="E178" s="16" t="s">
        <v>246</v>
      </c>
      <c r="K178" s="65">
        <f>K177*Inputs!E52</f>
        <v>0</v>
      </c>
      <c r="L178" s="65">
        <f>L177*Inputs!F52</f>
        <v>0</v>
      </c>
      <c r="M178" s="65">
        <f>M177*Inputs!G52</f>
        <v>0</v>
      </c>
      <c r="N178" s="65">
        <f>N177*Inputs!H52</f>
        <v>0</v>
      </c>
      <c r="O178" s="65">
        <f>O177*Inputs!I52</f>
        <v>0</v>
      </c>
      <c r="P178" s="65">
        <f>P177*Inputs!J52</f>
        <v>0</v>
      </c>
    </row>
    <row r="179" spans="4:38">
      <c r="D179" s="89" t="s">
        <v>318</v>
      </c>
      <c r="E179" s="16" t="s">
        <v>211</v>
      </c>
      <c r="K179" s="65">
        <f>(K33*K80)*INDEX('Availability Model'!$C$93:$T$96, MATCH($K$170,'Availability Model'!$B$93:$B$96, 0), MATCH($K$10, 'Availability Model'!$C$1:$T$1, 0))</f>
        <v>104654.25</v>
      </c>
      <c r="L179" s="65">
        <f>(L33*L80)*INDEX('Availability Model'!$C$93:$T$96, MATCH($K$170,'Availability Model'!$B$93:$B$96, 0), MATCH($K$10, 'Availability Model'!$C$1:$T$1, 0))</f>
        <v>108070.32889508041</v>
      </c>
      <c r="M179" s="65">
        <f>(M33*M80)*INDEX('Availability Model'!$C$93:$T$96, MATCH($K$170,'Availability Model'!$B$93:$B$96, 0), MATCH($K$10, 'Availability Model'!$C$1:$T$1, 0))</f>
        <v>123222.34418657479</v>
      </c>
      <c r="N179" s="65">
        <f>(N33*N80)*INDEX('Availability Model'!$C$93:$T$96, MATCH($K$170,'Availability Model'!$B$93:$B$96, 0), MATCH($K$10, 'Availability Model'!$C$1:$T$1, 0))</f>
        <v>875621.78677276801</v>
      </c>
      <c r="O179" s="65">
        <f>(O33*O80)*INDEX('Availability Model'!$C$93:$T$96, MATCH($K$170,'Availability Model'!$B$93:$B$96, 0), MATCH($K$10, 'Availability Model'!$C$1:$T$1, 0))</f>
        <v>1910492.6472437351</v>
      </c>
      <c r="P179" s="65">
        <f>(P33*P80)*INDEX('Availability Model'!$C$93:$T$96, MATCH($K$170,'Availability Model'!$B$93:$B$96, 0), MATCH($K$10, 'Availability Model'!$C$1:$T$1, 0))</f>
        <v>2089314.7590257488</v>
      </c>
      <c r="Q179" s="65">
        <f>(Q33*Q80)*INDEX('Availability Model'!$C$93:$T$96, MATCH($K$170,'Availability Model'!$B$93:$B$96, 0), MATCH($K$10, 'Availability Model'!$C$1:$T$1, 0))</f>
        <v>2684355.4152575037</v>
      </c>
      <c r="R179" s="65">
        <f>(R33*R80)*INDEX('Availability Model'!$C$93:$T$96, MATCH($K$170,'Availability Model'!$B$93:$B$96, 0), MATCH($K$10, 'Availability Model'!$C$1:$T$1, 0))</f>
        <v>2935611.0821256055</v>
      </c>
      <c r="S179" s="65">
        <f>(S33*S80)*INDEX('Availability Model'!$C$93:$T$96, MATCH($K$170,'Availability Model'!$B$93:$B$96, 0), MATCH($K$10, 'Availability Model'!$C$1:$T$1, 0))</f>
        <v>3688559.1008380982</v>
      </c>
      <c r="T179" s="65">
        <f>(T33*T80)*INDEX('Availability Model'!$C$93:$T$96, MATCH($K$170,'Availability Model'!$B$93:$B$96, 0), MATCH($K$10, 'Availability Model'!$C$1:$T$1, 0))</f>
        <v>4033808.2326765438</v>
      </c>
      <c r="U179" s="165">
        <f>(U33*U80)*INDEX('Availability Model'!$C$93:$T$96, MATCH($K$170,'Availability Model'!$B$93:$B$96, 0), MATCH($K$10, 'Availability Model'!$C$1:$T$1, 0))</f>
        <v>4411372.683255068</v>
      </c>
      <c r="V179" s="65">
        <f>(V33*V80)*INDEX('Availability Model'!$C$93:$T$96, MATCH($K$170,'Availability Model'!$B$93:$B$96, 0), MATCH($K$10, 'Availability Model'!$C$1:$T$1, 0))</f>
        <v>3110181.5489336983</v>
      </c>
      <c r="W179" s="165">
        <f>(W33*W80)*INDEX('Availability Model'!$C$93:$T$96, MATCH($K$170,'Availability Model'!$B$93:$B$96, 0), MATCH($K$10, 'Availability Model'!$C$1:$T$1, 0))</f>
        <v>3401294.5419138917</v>
      </c>
      <c r="X179" s="65">
        <f>(X33*X80)*INDEX('Availability Model'!$C$93:$T$96, MATCH($K$170,'Availability Model'!$B$93:$B$96, 0), MATCH($K$10, 'Availability Model'!$C$1:$T$1, 0))</f>
        <v>3713911.7966223666</v>
      </c>
      <c r="Y179" s="65">
        <f>(Y33*Y80)*INDEX('Availability Model'!$C$93:$T$96, MATCH($K$170,'Availability Model'!$B$93:$B$96, 0), MATCH($K$10, 'Availability Model'!$C$1:$T$1, 0))</f>
        <v>4067815.485590098</v>
      </c>
      <c r="Z179" s="65">
        <f>(Z33*Z80)*INDEX('Availability Model'!$C$93:$T$96, MATCH($K$170,'Availability Model'!$B$93:$B$96, 0), MATCH($K$10, 'Availability Model'!$C$1:$T$1, 0))</f>
        <v>4448563.0150413308</v>
      </c>
      <c r="AA179" s="65">
        <f>(AA33*AA80)*INDEX('Availability Model'!$C$93:$T$96, MATCH($K$170,'Availability Model'!$B$93:$B$96, 0), MATCH($K$10, 'Availability Model'!$C$1:$T$1, 0))</f>
        <v>4864948.5132491989</v>
      </c>
      <c r="AB179" s="65">
        <f>(AB33*AB80)*INDEX('Availability Model'!$C$93:$T$96, MATCH($K$170,'Availability Model'!$B$93:$B$96, 0), MATCH($K$10, 'Availability Model'!$C$1:$T$1, 0))</f>
        <v>5312092.0433870666</v>
      </c>
      <c r="AC179" s="65">
        <f>(AC33*AC80)*INDEX('Availability Model'!$C$93:$T$96, MATCH($K$170,'Availability Model'!$B$93:$B$96, 0), MATCH($K$10, 'Availability Model'!$C$1:$T$1, 0))</f>
        <v>5818288.4942560839</v>
      </c>
      <c r="AD179" s="65">
        <f>(AD33*AD80)*INDEX('Availability Model'!$C$93:$T$96, MATCH($K$170,'Availability Model'!$B$93:$B$96, 0), MATCH($K$10, 'Availability Model'!$C$1:$T$1, 0))</f>
        <v>6362880.297318452</v>
      </c>
      <c r="AE179" s="65">
        <f>(AE33*AE80)*INDEX('Availability Model'!$C$93:$T$96, MATCH($K$170,'Availability Model'!$B$93:$B$96, 0), MATCH($K$10, 'Availability Model'!$C$1:$T$1, 0))</f>
        <v>6958445.8931474593</v>
      </c>
      <c r="AF179" s="65">
        <f>(AF33*AF80)*INDEX('Availability Model'!$C$93:$T$96, MATCH($K$170,'Availability Model'!$B$93:$B$96, 0), MATCH($K$10, 'Availability Model'!$C$1:$T$1, 0))</f>
        <v>7598005.397726316</v>
      </c>
      <c r="AG179" s="65">
        <f>(AG33*AG80)*INDEX('Availability Model'!$C$93:$T$96, MATCH($K$170,'Availability Model'!$B$93:$B$96, 0), MATCH($K$10, 'Availability Model'!$C$1:$T$1, 0))</f>
        <v>8322029.6304766918</v>
      </c>
      <c r="AH179" s="65">
        <f>(AH33*AH80)*INDEX('Availability Model'!$C$93:$T$96, MATCH($K$170,'Availability Model'!$B$93:$B$96, 0), MATCH($K$10, 'Availability Model'!$C$1:$T$1, 0))</f>
        <v>9100971.6038893089</v>
      </c>
      <c r="AI179" s="65">
        <f>(AI33*AI80)*INDEX('Availability Model'!$C$93:$T$96, MATCH($K$170,'Availability Model'!$B$93:$B$96, 0), MATCH($K$10, 'Availability Model'!$C$1:$T$1, 0))</f>
        <v>9952822.5460133478</v>
      </c>
      <c r="AJ179" s="65">
        <f>(AJ33*AJ80)*INDEX('Availability Model'!$C$93:$T$96, MATCH($K$170,'Availability Model'!$B$93:$B$96, 0), MATCH($K$10, 'Availability Model'!$C$1:$T$1, 0))</f>
        <v>10867598.970869668</v>
      </c>
      <c r="AK179" s="65">
        <f>(AK33*AK80)*INDEX('Availability Model'!$C$93:$T$96, MATCH($K$170,'Availability Model'!$B$93:$B$96, 0), MATCH($K$10, 'Availability Model'!$C$1:$T$1, 0))</f>
        <v>11903187.206839766</v>
      </c>
      <c r="AL179" s="65">
        <f>(AL33*AL80)*INDEX('Availability Model'!$C$93:$T$96, MATCH($K$170,'Availability Model'!$B$93:$B$96, 0), MATCH($K$10, 'Availability Model'!$C$1:$T$1, 0))</f>
        <v>13017325.529399969</v>
      </c>
    </row>
    <row r="180" spans="4:38">
      <c r="E180" s="16"/>
      <c r="K180" s="65"/>
    </row>
    <row r="181" spans="4:38">
      <c r="D181" s="3" t="s">
        <v>474</v>
      </c>
      <c r="E181" s="16" t="s">
        <v>211</v>
      </c>
      <c r="K181" s="65">
        <f>K178+K179</f>
        <v>104654.25</v>
      </c>
      <c r="L181" s="65">
        <f t="shared" ref="L181:AK181" si="101">L178+L179</f>
        <v>108070.32889508041</v>
      </c>
      <c r="M181" s="65">
        <f t="shared" si="101"/>
        <v>123222.34418657479</v>
      </c>
      <c r="N181" s="65">
        <f t="shared" si="101"/>
        <v>875621.78677276801</v>
      </c>
      <c r="O181" s="65">
        <f t="shared" si="101"/>
        <v>1910492.6472437351</v>
      </c>
      <c r="P181" s="65">
        <f t="shared" si="101"/>
        <v>2089314.7590257488</v>
      </c>
      <c r="Q181" s="65">
        <f t="shared" si="101"/>
        <v>2684355.4152575037</v>
      </c>
      <c r="R181" s="65">
        <f t="shared" si="101"/>
        <v>2935611.0821256055</v>
      </c>
      <c r="S181" s="65">
        <f t="shared" si="101"/>
        <v>3688559.1008380982</v>
      </c>
      <c r="T181" s="65">
        <f t="shared" si="101"/>
        <v>4033808.2326765438</v>
      </c>
      <c r="U181" s="165">
        <f t="shared" si="101"/>
        <v>4411372.683255068</v>
      </c>
      <c r="V181" s="65">
        <f t="shared" si="101"/>
        <v>3110181.5489336983</v>
      </c>
      <c r="W181" s="165">
        <f t="shared" si="101"/>
        <v>3401294.5419138917</v>
      </c>
      <c r="X181" s="65">
        <f t="shared" si="101"/>
        <v>3713911.7966223666</v>
      </c>
      <c r="Y181" s="65">
        <f t="shared" si="101"/>
        <v>4067815.485590098</v>
      </c>
      <c r="Z181" s="65">
        <f t="shared" si="101"/>
        <v>4448563.0150413308</v>
      </c>
      <c r="AA181" s="65">
        <f t="shared" si="101"/>
        <v>4864948.5132491989</v>
      </c>
      <c r="AB181" s="65">
        <f t="shared" si="101"/>
        <v>5312092.0433870666</v>
      </c>
      <c r="AC181" s="65">
        <f t="shared" si="101"/>
        <v>5818288.4942560839</v>
      </c>
      <c r="AD181" s="65">
        <f t="shared" si="101"/>
        <v>6362880.297318452</v>
      </c>
      <c r="AE181" s="65">
        <f t="shared" si="101"/>
        <v>6958445.8931474593</v>
      </c>
      <c r="AF181" s="65">
        <f t="shared" si="101"/>
        <v>7598005.397726316</v>
      </c>
      <c r="AG181" s="65">
        <f t="shared" si="101"/>
        <v>8322029.6304766918</v>
      </c>
      <c r="AH181" s="65">
        <f t="shared" si="101"/>
        <v>9100971.6038893089</v>
      </c>
      <c r="AI181" s="65">
        <f t="shared" si="101"/>
        <v>9952822.5460133478</v>
      </c>
      <c r="AJ181" s="65">
        <f t="shared" si="101"/>
        <v>10867598.970869668</v>
      </c>
      <c r="AK181" s="65">
        <f t="shared" si="101"/>
        <v>11903187.206839766</v>
      </c>
      <c r="AL181" s="65">
        <f>AL178+AL179</f>
        <v>13017325.529399969</v>
      </c>
    </row>
    <row r="182" spans="4:38">
      <c r="D182" s="7"/>
    </row>
    <row r="183" spans="4:38" ht="18">
      <c r="D183" s="15" t="s">
        <v>261</v>
      </c>
    </row>
    <row r="192" spans="4:38" ht="18">
      <c r="D192" s="71" t="s">
        <v>251</v>
      </c>
    </row>
    <row r="194" spans="4:40">
      <c r="D194" s="7" t="s">
        <v>242</v>
      </c>
      <c r="E194" s="7" t="s">
        <v>243</v>
      </c>
      <c r="K194" s="9">
        <f>Inputs!F34/'Strategic Model'!K11</f>
        <v>8261.9863013698632</v>
      </c>
      <c r="L194" s="9">
        <f>Inputs!G34/'Strategic Model'!L11</f>
        <v>8584.9808743169397</v>
      </c>
      <c r="M194" s="9">
        <f>Inputs!H34/'Strategic Model'!M11</f>
        <v>7544.5084200913252</v>
      </c>
      <c r="N194" s="65">
        <f t="shared" ref="N194:AL194" si="102">N71/N11</f>
        <v>7435.93049369863</v>
      </c>
      <c r="O194" s="65">
        <f t="shared" si="102"/>
        <v>9152.2474695959772</v>
      </c>
      <c r="P194" s="65">
        <f t="shared" si="102"/>
        <v>9127.2413289686665</v>
      </c>
      <c r="Q194" s="65">
        <f t="shared" si="102"/>
        <v>9152.2474695959772</v>
      </c>
      <c r="R194" s="65">
        <f t="shared" si="102"/>
        <v>9152.2474695959772</v>
      </c>
      <c r="S194" s="65">
        <f t="shared" si="102"/>
        <v>14046.299836511185</v>
      </c>
      <c r="T194" s="65">
        <f t="shared" si="102"/>
        <v>14007.921968105416</v>
      </c>
      <c r="U194" s="165">
        <f t="shared" si="102"/>
        <v>14046.299836511185</v>
      </c>
      <c r="V194" s="65">
        <f t="shared" si="102"/>
        <v>14046.299836511185</v>
      </c>
      <c r="W194" s="165">
        <f t="shared" si="102"/>
        <v>14046.299836511185</v>
      </c>
      <c r="X194" s="65">
        <f t="shared" si="102"/>
        <v>14007.921968105416</v>
      </c>
      <c r="Y194" s="65">
        <f t="shared" si="102"/>
        <v>14046.299836511185</v>
      </c>
      <c r="Z194" s="65">
        <f t="shared" si="102"/>
        <v>14046.299836511185</v>
      </c>
      <c r="AA194" s="65">
        <f t="shared" si="102"/>
        <v>14046.299836511185</v>
      </c>
      <c r="AB194" s="65">
        <f t="shared" si="102"/>
        <v>14007.921968105416</v>
      </c>
      <c r="AC194" s="65">
        <f t="shared" si="102"/>
        <v>14046.299836511185</v>
      </c>
      <c r="AD194" s="65">
        <f t="shared" si="102"/>
        <v>14046.299836511185</v>
      </c>
      <c r="AE194" s="65">
        <f t="shared" si="102"/>
        <v>14046.299836511185</v>
      </c>
      <c r="AF194" s="65">
        <f t="shared" si="102"/>
        <v>14007.921968105416</v>
      </c>
      <c r="AG194" s="65">
        <f t="shared" si="102"/>
        <v>14046.299836511185</v>
      </c>
      <c r="AH194" s="65">
        <f t="shared" si="102"/>
        <v>14046.299836511185</v>
      </c>
      <c r="AI194" s="65">
        <f t="shared" si="102"/>
        <v>14046.299836511185</v>
      </c>
      <c r="AJ194" s="65">
        <f t="shared" si="102"/>
        <v>14007.921968105416</v>
      </c>
      <c r="AK194" s="65">
        <f t="shared" si="102"/>
        <v>14046.299836511185</v>
      </c>
      <c r="AL194" s="65">
        <f t="shared" si="102"/>
        <v>14046.299836511185</v>
      </c>
    </row>
    <row r="195" spans="4:40">
      <c r="D195" s="7" t="s">
        <v>244</v>
      </c>
      <c r="E195" s="7" t="s">
        <v>106</v>
      </c>
      <c r="K195" s="9">
        <f>K141</f>
        <v>11</v>
      </c>
      <c r="L195" s="9">
        <f t="shared" ref="L195:AL195" si="103">L141</f>
        <v>11</v>
      </c>
      <c r="M195" s="9">
        <f t="shared" si="103"/>
        <v>11</v>
      </c>
      <c r="N195" s="9">
        <f t="shared" si="103"/>
        <v>11</v>
      </c>
      <c r="O195" s="9">
        <f t="shared" si="103"/>
        <v>11</v>
      </c>
      <c r="P195" s="9">
        <f t="shared" si="103"/>
        <v>11</v>
      </c>
      <c r="Q195" s="9">
        <f t="shared" si="103"/>
        <v>9</v>
      </c>
      <c r="R195" s="9">
        <f t="shared" si="103"/>
        <v>9</v>
      </c>
      <c r="S195" s="9">
        <f t="shared" si="103"/>
        <v>11</v>
      </c>
      <c r="T195" s="183">
        <f t="shared" si="103"/>
        <v>11</v>
      </c>
      <c r="U195" s="171">
        <f t="shared" si="103"/>
        <v>11</v>
      </c>
      <c r="V195" s="9">
        <f t="shared" si="103"/>
        <v>11</v>
      </c>
      <c r="W195" s="171">
        <f t="shared" si="103"/>
        <v>11</v>
      </c>
      <c r="X195" s="9">
        <f t="shared" si="103"/>
        <v>11</v>
      </c>
      <c r="Y195" s="9">
        <f t="shared" si="103"/>
        <v>11</v>
      </c>
      <c r="Z195" s="9">
        <f t="shared" si="103"/>
        <v>11</v>
      </c>
      <c r="AA195" s="9">
        <f t="shared" si="103"/>
        <v>11</v>
      </c>
      <c r="AB195" s="9">
        <f t="shared" si="103"/>
        <v>11</v>
      </c>
      <c r="AC195" s="9">
        <f t="shared" si="103"/>
        <v>11</v>
      </c>
      <c r="AD195" s="9">
        <f t="shared" si="103"/>
        <v>11</v>
      </c>
      <c r="AE195" s="9">
        <f t="shared" si="103"/>
        <v>11</v>
      </c>
      <c r="AF195" s="9">
        <f t="shared" si="103"/>
        <v>11</v>
      </c>
      <c r="AG195" s="9">
        <f t="shared" si="103"/>
        <v>11</v>
      </c>
      <c r="AH195" s="9">
        <f t="shared" si="103"/>
        <v>11</v>
      </c>
      <c r="AI195" s="9">
        <f t="shared" si="103"/>
        <v>11</v>
      </c>
      <c r="AJ195" s="9">
        <f t="shared" si="103"/>
        <v>11</v>
      </c>
      <c r="AK195" s="9">
        <f t="shared" si="103"/>
        <v>11</v>
      </c>
      <c r="AL195" s="9">
        <f t="shared" si="103"/>
        <v>11</v>
      </c>
    </row>
    <row r="196" spans="4:40">
      <c r="D196" s="7" t="s">
        <v>244</v>
      </c>
      <c r="E196" s="7" t="s">
        <v>113</v>
      </c>
      <c r="K196" s="9">
        <f>IF(K32&gt;0,K195*K194,0)</f>
        <v>90881.849315068495</v>
      </c>
      <c r="L196" s="9">
        <f t="shared" ref="L196:AL196" si="104">IF(L32&gt;0,L195*L194,0)</f>
        <v>94434.789617486342</v>
      </c>
      <c r="M196" s="9">
        <f t="shared" si="104"/>
        <v>82989.592621004573</v>
      </c>
      <c r="N196" s="9">
        <f t="shared" si="104"/>
        <v>81795.23543068493</v>
      </c>
      <c r="O196" s="9">
        <f t="shared" si="104"/>
        <v>0</v>
      </c>
      <c r="P196" s="9">
        <f t="shared" si="104"/>
        <v>0</v>
      </c>
      <c r="Q196" s="9">
        <f t="shared" si="104"/>
        <v>0</v>
      </c>
      <c r="R196" s="9">
        <f t="shared" si="104"/>
        <v>0</v>
      </c>
      <c r="S196" s="9">
        <f t="shared" si="104"/>
        <v>154509.29820162302</v>
      </c>
      <c r="T196" s="183">
        <f t="shared" si="104"/>
        <v>154087.14164915957</v>
      </c>
      <c r="U196" s="171">
        <f t="shared" si="104"/>
        <v>154509.29820162302</v>
      </c>
      <c r="V196" s="9">
        <f t="shared" si="104"/>
        <v>0</v>
      </c>
      <c r="W196" s="171">
        <f t="shared" si="104"/>
        <v>0</v>
      </c>
      <c r="X196" s="9">
        <f t="shared" si="104"/>
        <v>0</v>
      </c>
      <c r="Y196" s="9">
        <f t="shared" si="104"/>
        <v>0</v>
      </c>
      <c r="Z196" s="9">
        <f t="shared" si="104"/>
        <v>0</v>
      </c>
      <c r="AA196" s="9">
        <f t="shared" si="104"/>
        <v>0</v>
      </c>
      <c r="AB196" s="9">
        <f t="shared" si="104"/>
        <v>0</v>
      </c>
      <c r="AC196" s="9">
        <f t="shared" si="104"/>
        <v>0</v>
      </c>
      <c r="AD196" s="9">
        <f t="shared" si="104"/>
        <v>0</v>
      </c>
      <c r="AE196" s="9">
        <f t="shared" si="104"/>
        <v>0</v>
      </c>
      <c r="AF196" s="9">
        <f t="shared" si="104"/>
        <v>0</v>
      </c>
      <c r="AG196" s="9">
        <f t="shared" si="104"/>
        <v>0</v>
      </c>
      <c r="AH196" s="9">
        <f t="shared" si="104"/>
        <v>0</v>
      </c>
      <c r="AI196" s="9">
        <f t="shared" si="104"/>
        <v>0</v>
      </c>
      <c r="AJ196" s="9">
        <f t="shared" si="104"/>
        <v>0</v>
      </c>
      <c r="AK196" s="9">
        <f t="shared" si="104"/>
        <v>0</v>
      </c>
      <c r="AL196" s="9">
        <f t="shared" si="104"/>
        <v>0</v>
      </c>
      <c r="AM196" s="133">
        <f>SUM(M196:AL196)</f>
        <v>627890.56610409508</v>
      </c>
    </row>
    <row r="197" spans="4:40">
      <c r="D197" s="109" t="s">
        <v>374</v>
      </c>
      <c r="E197" s="109"/>
      <c r="F197" s="110"/>
      <c r="G197" s="110"/>
      <c r="H197" s="110"/>
      <c r="I197" s="110"/>
      <c r="J197" s="110"/>
      <c r="K197" s="111">
        <f t="shared" ref="K197:AL197" si="105">K196/K71</f>
        <v>2.8364106720300351E-2</v>
      </c>
      <c r="L197" s="111">
        <f t="shared" si="105"/>
        <v>2.9472974757957317E-2</v>
      </c>
      <c r="M197" s="111">
        <f t="shared" si="105"/>
        <v>2.5900943692462208E-2</v>
      </c>
      <c r="N197" s="111">
        <f t="shared" si="105"/>
        <v>3.0136986301369861E-2</v>
      </c>
      <c r="O197" s="111">
        <f t="shared" si="105"/>
        <v>0</v>
      </c>
      <c r="P197" s="111">
        <f t="shared" si="105"/>
        <v>0</v>
      </c>
      <c r="Q197" s="111">
        <f t="shared" si="105"/>
        <v>0</v>
      </c>
      <c r="R197" s="111">
        <f t="shared" si="105"/>
        <v>0</v>
      </c>
      <c r="S197" s="111">
        <f t="shared" si="105"/>
        <v>3.0136986301369861E-2</v>
      </c>
      <c r="T197" s="184">
        <f t="shared" si="105"/>
        <v>3.0054644808743168E-2</v>
      </c>
      <c r="U197" s="172">
        <f t="shared" si="105"/>
        <v>3.0136986301369861E-2</v>
      </c>
      <c r="V197" s="111">
        <f t="shared" si="105"/>
        <v>0</v>
      </c>
      <c r="W197" s="172">
        <f t="shared" si="105"/>
        <v>0</v>
      </c>
      <c r="X197" s="111">
        <f t="shared" si="105"/>
        <v>0</v>
      </c>
      <c r="Y197" s="111">
        <f t="shared" si="105"/>
        <v>0</v>
      </c>
      <c r="Z197" s="111">
        <f t="shared" si="105"/>
        <v>0</v>
      </c>
      <c r="AA197" s="111">
        <f t="shared" si="105"/>
        <v>0</v>
      </c>
      <c r="AB197" s="111">
        <f t="shared" si="105"/>
        <v>0</v>
      </c>
      <c r="AC197" s="111">
        <f t="shared" si="105"/>
        <v>0</v>
      </c>
      <c r="AD197" s="111">
        <f t="shared" si="105"/>
        <v>0</v>
      </c>
      <c r="AE197" s="111">
        <f t="shared" si="105"/>
        <v>0</v>
      </c>
      <c r="AF197" s="111">
        <f t="shared" si="105"/>
        <v>0</v>
      </c>
      <c r="AG197" s="111">
        <f t="shared" si="105"/>
        <v>0</v>
      </c>
      <c r="AH197" s="111">
        <f t="shared" si="105"/>
        <v>0</v>
      </c>
      <c r="AI197" s="111">
        <f t="shared" si="105"/>
        <v>0</v>
      </c>
      <c r="AJ197" s="111">
        <f t="shared" si="105"/>
        <v>0</v>
      </c>
      <c r="AK197" s="111">
        <f t="shared" si="105"/>
        <v>0</v>
      </c>
      <c r="AL197" s="111">
        <f t="shared" si="105"/>
        <v>0</v>
      </c>
    </row>
    <row r="198" spans="4:40">
      <c r="K198" s="9"/>
    </row>
    <row r="199" spans="4:40">
      <c r="D199" t="s">
        <v>399</v>
      </c>
      <c r="E199" t="s">
        <v>108</v>
      </c>
      <c r="K199" s="9">
        <f>K87/Inputs!E34</f>
        <v>551.54081671843676</v>
      </c>
      <c r="L199" s="9">
        <f>L87/Inputs!F34</f>
        <v>623.41968911917104</v>
      </c>
      <c r="M199" s="9">
        <f>M87/Inputs!G34</f>
        <v>636.51637136020042</v>
      </c>
      <c r="N199" s="65">
        <f t="shared" ref="N199:AL199" si="106">N87/N71</f>
        <v>781.10186519416811</v>
      </c>
      <c r="O199" s="65">
        <f t="shared" si="106"/>
        <v>672.69950350664078</v>
      </c>
      <c r="P199" s="65">
        <f t="shared" si="106"/>
        <v>713.06147371703912</v>
      </c>
      <c r="Q199" s="65">
        <f t="shared" si="106"/>
        <v>755.84516214006157</v>
      </c>
      <c r="R199" s="65">
        <f t="shared" si="106"/>
        <v>801.19587186846525</v>
      </c>
      <c r="S199" s="65">
        <f t="shared" si="106"/>
        <v>553.36334514321618</v>
      </c>
      <c r="T199" s="65">
        <f t="shared" si="106"/>
        <v>586.56514585180923</v>
      </c>
      <c r="U199" s="165">
        <f t="shared" si="106"/>
        <v>621.75905460291779</v>
      </c>
      <c r="V199" s="65">
        <f t="shared" si="106"/>
        <v>659.06459787909284</v>
      </c>
      <c r="W199" s="165">
        <f t="shared" si="106"/>
        <v>698.60847375183846</v>
      </c>
      <c r="X199" s="65">
        <f t="shared" si="106"/>
        <v>740.52498217694881</v>
      </c>
      <c r="Y199" s="65">
        <f t="shared" si="106"/>
        <v>784.95648110756576</v>
      </c>
      <c r="Z199" s="65">
        <f t="shared" si="106"/>
        <v>832.05386997401979</v>
      </c>
      <c r="AA199" s="65">
        <f t="shared" si="106"/>
        <v>881.97710217246095</v>
      </c>
      <c r="AB199" s="65">
        <f t="shared" si="106"/>
        <v>934.89572830280872</v>
      </c>
      <c r="AC199" s="65">
        <f t="shared" si="106"/>
        <v>990.98947200097734</v>
      </c>
      <c r="AD199" s="65">
        <f t="shared" si="106"/>
        <v>1050.448840321036</v>
      </c>
      <c r="AE199" s="65">
        <f t="shared" si="106"/>
        <v>1113.4757707402982</v>
      </c>
      <c r="AF199" s="65">
        <f t="shared" si="106"/>
        <v>1180.2843169847163</v>
      </c>
      <c r="AG199" s="65">
        <f t="shared" si="106"/>
        <v>1251.1013760037993</v>
      </c>
      <c r="AH199" s="65">
        <f t="shared" si="106"/>
        <v>1326.1674585640271</v>
      </c>
      <c r="AI199" s="65">
        <f t="shared" si="106"/>
        <v>1405.7375060778688</v>
      </c>
      <c r="AJ199" s="65">
        <f t="shared" si="106"/>
        <v>1490.0817564425408</v>
      </c>
      <c r="AK199" s="65">
        <f t="shared" si="106"/>
        <v>1579.4866618290935</v>
      </c>
      <c r="AL199" s="65">
        <f t="shared" si="106"/>
        <v>1674.2558615388391</v>
      </c>
    </row>
    <row r="200" spans="4:40">
      <c r="D200" s="7" t="s">
        <v>245</v>
      </c>
      <c r="E200" s="7" t="s">
        <v>211</v>
      </c>
      <c r="K200" s="9">
        <f t="shared" ref="K200:AL200" si="107">K196*K199</f>
        <v>50125049.396114781</v>
      </c>
      <c r="L200" s="9">
        <f t="shared" si="107"/>
        <v>58872507.185367659</v>
      </c>
      <c r="M200" s="9">
        <f t="shared" si="107"/>
        <v>52824234.355783097</v>
      </c>
      <c r="N200" s="9">
        <f t="shared" si="107"/>
        <v>63890410.958904102</v>
      </c>
      <c r="O200" s="9">
        <f t="shared" si="107"/>
        <v>0</v>
      </c>
      <c r="P200" s="9">
        <f t="shared" si="107"/>
        <v>0</v>
      </c>
      <c r="Q200" s="9">
        <f t="shared" si="107"/>
        <v>0</v>
      </c>
      <c r="R200" s="9">
        <f t="shared" si="107"/>
        <v>0</v>
      </c>
      <c r="S200" s="9">
        <f t="shared" si="107"/>
        <v>85499782.108580828</v>
      </c>
      <c r="T200" s="183">
        <f t="shared" si="107"/>
        <v>90382146.71532768</v>
      </c>
      <c r="U200" s="171">
        <f t="shared" si="107"/>
        <v>96067555.177201435</v>
      </c>
      <c r="V200" s="9">
        <f t="shared" si="107"/>
        <v>0</v>
      </c>
      <c r="W200" s="171">
        <f t="shared" si="107"/>
        <v>0</v>
      </c>
      <c r="X200" s="9">
        <f t="shared" si="107"/>
        <v>0</v>
      </c>
      <c r="Y200" s="9">
        <f t="shared" si="107"/>
        <v>0</v>
      </c>
      <c r="Z200" s="9">
        <f t="shared" si="107"/>
        <v>0</v>
      </c>
      <c r="AA200" s="9">
        <f t="shared" si="107"/>
        <v>0</v>
      </c>
      <c r="AB200" s="9">
        <f t="shared" si="107"/>
        <v>0</v>
      </c>
      <c r="AC200" s="9">
        <f t="shared" si="107"/>
        <v>0</v>
      </c>
      <c r="AD200" s="9">
        <f t="shared" si="107"/>
        <v>0</v>
      </c>
      <c r="AE200" s="9">
        <f t="shared" si="107"/>
        <v>0</v>
      </c>
      <c r="AF200" s="9">
        <f t="shared" si="107"/>
        <v>0</v>
      </c>
      <c r="AG200" s="9">
        <f t="shared" si="107"/>
        <v>0</v>
      </c>
      <c r="AH200" s="9">
        <f t="shared" si="107"/>
        <v>0</v>
      </c>
      <c r="AI200" s="9">
        <f t="shared" si="107"/>
        <v>0</v>
      </c>
      <c r="AJ200" s="9">
        <f t="shared" si="107"/>
        <v>0</v>
      </c>
      <c r="AK200" s="9">
        <f t="shared" si="107"/>
        <v>0</v>
      </c>
      <c r="AL200" s="9">
        <f t="shared" si="107"/>
        <v>0</v>
      </c>
    </row>
    <row r="201" spans="4:40">
      <c r="D201" t="s">
        <v>316</v>
      </c>
      <c r="E201" s="7" t="s">
        <v>211</v>
      </c>
      <c r="K201" s="65">
        <f>K158+K181+K154</f>
        <v>316390.48510273971</v>
      </c>
      <c r="L201" s="65">
        <f t="shared" ref="L201:AL201" si="108">L158+L181+L154</f>
        <v>326525.14011456911</v>
      </c>
      <c r="M201" s="65">
        <f t="shared" si="108"/>
        <v>371886.20187630242</v>
      </c>
      <c r="N201" s="65">
        <f t="shared" si="108"/>
        <v>1549755.5701558334</v>
      </c>
      <c r="O201" s="65">
        <f t="shared" si="108"/>
        <v>1910492.6472437351</v>
      </c>
      <c r="P201" s="65">
        <f t="shared" si="108"/>
        <v>2089314.7590257488</v>
      </c>
      <c r="Q201" s="65">
        <f t="shared" si="108"/>
        <v>2684355.4152575037</v>
      </c>
      <c r="R201" s="65">
        <f t="shared" si="108"/>
        <v>2935611.0821256055</v>
      </c>
      <c r="S201" s="65">
        <f t="shared" si="108"/>
        <v>5097336.4547796063</v>
      </c>
      <c r="T201" s="65">
        <f t="shared" si="108"/>
        <v>5574433.7463878086</v>
      </c>
      <c r="U201" s="165">
        <f t="shared" si="108"/>
        <v>6096189.2918841671</v>
      </c>
      <c r="V201" s="65">
        <f t="shared" si="108"/>
        <v>3110181.5489336983</v>
      </c>
      <c r="W201" s="165">
        <f t="shared" si="108"/>
        <v>3401294.5419138917</v>
      </c>
      <c r="X201" s="65">
        <f t="shared" si="108"/>
        <v>3713911.7966223666</v>
      </c>
      <c r="Y201" s="65">
        <f t="shared" si="108"/>
        <v>4067815.485590098</v>
      </c>
      <c r="Z201" s="65">
        <f t="shared" si="108"/>
        <v>4448563.0150413308</v>
      </c>
      <c r="AA201" s="65">
        <f t="shared" si="108"/>
        <v>4864948.5132491989</v>
      </c>
      <c r="AB201" s="65">
        <f t="shared" si="108"/>
        <v>5312092.0433870666</v>
      </c>
      <c r="AC201" s="65">
        <f t="shared" si="108"/>
        <v>5818288.4942560839</v>
      </c>
      <c r="AD201" s="65">
        <f t="shared" si="108"/>
        <v>6362880.297318452</v>
      </c>
      <c r="AE201" s="65">
        <f t="shared" si="108"/>
        <v>6958445.8931474593</v>
      </c>
      <c r="AF201" s="65">
        <f t="shared" si="108"/>
        <v>7598005.397726316</v>
      </c>
      <c r="AG201" s="65">
        <f t="shared" si="108"/>
        <v>8322029.6304766918</v>
      </c>
      <c r="AH201" s="65">
        <f t="shared" si="108"/>
        <v>9100971.6038893089</v>
      </c>
      <c r="AI201" s="65">
        <f t="shared" si="108"/>
        <v>9952822.5460133478</v>
      </c>
      <c r="AJ201" s="65">
        <f t="shared" si="108"/>
        <v>10867598.970869668</v>
      </c>
      <c r="AK201" s="65">
        <f t="shared" si="108"/>
        <v>11903187.206839766</v>
      </c>
      <c r="AL201" s="65">
        <f t="shared" si="108"/>
        <v>13017325.529399969</v>
      </c>
    </row>
    <row r="202" spans="4:40">
      <c r="D202" s="110" t="s">
        <v>335</v>
      </c>
      <c r="E202" s="109" t="s">
        <v>211</v>
      </c>
      <c r="F202" s="110"/>
      <c r="G202" s="110"/>
      <c r="H202" s="110"/>
      <c r="I202" s="110"/>
      <c r="J202" s="110"/>
      <c r="K202" s="122">
        <f>K200+K201</f>
        <v>50441439.881217524</v>
      </c>
      <c r="L202" s="122">
        <f t="shared" ref="L202:AL202" si="109">L200+L201</f>
        <v>59199032.325482227</v>
      </c>
      <c r="M202" s="122">
        <f>M200+M201</f>
        <v>53196120.557659402</v>
      </c>
      <c r="N202" s="122">
        <f t="shared" si="109"/>
        <v>65440166.529059939</v>
      </c>
      <c r="O202" s="122">
        <f t="shared" si="109"/>
        <v>1910492.6472437351</v>
      </c>
      <c r="P202" s="122">
        <f t="shared" si="109"/>
        <v>2089314.7590257488</v>
      </c>
      <c r="Q202" s="122">
        <f t="shared" si="109"/>
        <v>2684355.4152575037</v>
      </c>
      <c r="R202" s="122">
        <f t="shared" si="109"/>
        <v>2935611.0821256055</v>
      </c>
      <c r="S202" s="122">
        <f t="shared" si="109"/>
        <v>90597118.563360438</v>
      </c>
      <c r="T202" s="65">
        <f t="shared" si="109"/>
        <v>95956580.46171549</v>
      </c>
      <c r="U202" s="165">
        <f t="shared" si="109"/>
        <v>102163744.4690856</v>
      </c>
      <c r="V202" s="122">
        <f t="shared" si="109"/>
        <v>3110181.5489336983</v>
      </c>
      <c r="W202" s="165">
        <f t="shared" si="109"/>
        <v>3401294.5419138917</v>
      </c>
      <c r="X202" s="122">
        <f t="shared" si="109"/>
        <v>3713911.7966223666</v>
      </c>
      <c r="Y202" s="122">
        <f t="shared" si="109"/>
        <v>4067815.485590098</v>
      </c>
      <c r="Z202" s="122">
        <f t="shared" si="109"/>
        <v>4448563.0150413308</v>
      </c>
      <c r="AA202" s="122">
        <f t="shared" si="109"/>
        <v>4864948.5132491989</v>
      </c>
      <c r="AB202" s="122">
        <f t="shared" si="109"/>
        <v>5312092.0433870666</v>
      </c>
      <c r="AC202" s="122">
        <f t="shared" si="109"/>
        <v>5818288.4942560839</v>
      </c>
      <c r="AD202" s="122">
        <f t="shared" si="109"/>
        <v>6362880.297318452</v>
      </c>
      <c r="AE202" s="122">
        <f t="shared" si="109"/>
        <v>6958445.8931474593</v>
      </c>
      <c r="AF202" s="122">
        <f t="shared" si="109"/>
        <v>7598005.397726316</v>
      </c>
      <c r="AG202" s="122">
        <f t="shared" si="109"/>
        <v>8322029.6304766918</v>
      </c>
      <c r="AH202" s="122">
        <f t="shared" si="109"/>
        <v>9100971.6038893089</v>
      </c>
      <c r="AI202" s="122">
        <f t="shared" si="109"/>
        <v>9952822.5460133478</v>
      </c>
      <c r="AJ202" s="122">
        <f t="shared" si="109"/>
        <v>10867598.970869668</v>
      </c>
      <c r="AK202" s="122">
        <f t="shared" si="109"/>
        <v>11903187.206839766</v>
      </c>
      <c r="AL202" s="122">
        <f t="shared" si="109"/>
        <v>13017325.529399969</v>
      </c>
    </row>
    <row r="203" spans="4:40">
      <c r="E203" s="7"/>
      <c r="K203" s="65">
        <f>K202/K31</f>
        <v>261.35461078351051</v>
      </c>
      <c r="L203" s="65">
        <f t="shared" ref="L203:N203" si="110">L202/L31</f>
        <v>324.83752796423408</v>
      </c>
      <c r="M203" s="65">
        <f t="shared" si="110"/>
        <v>279.96713872820197</v>
      </c>
      <c r="N203" s="65">
        <f t="shared" si="110"/>
        <v>137.60702216618137</v>
      </c>
      <c r="O203" s="65">
        <f>O181/O31</f>
        <v>4.0271819999999998</v>
      </c>
      <c r="P203" s="65">
        <f t="shared" ref="P203:AL203" si="111">P181/P31</f>
        <v>4.4041262351999997</v>
      </c>
      <c r="Q203" s="65">
        <f t="shared" si="111"/>
        <v>4.8163524508147191</v>
      </c>
      <c r="R203" s="65">
        <f t="shared" si="111"/>
        <v>5.2671630402109759</v>
      </c>
      <c r="S203" s="65">
        <f t="shared" si="111"/>
        <v>5.5674595725247684</v>
      </c>
      <c r="T203" s="65">
        <f t="shared" si="111"/>
        <v>6.0885737885130862</v>
      </c>
      <c r="U203" s="165">
        <f t="shared" si="111"/>
        <v>6.6584642951179109</v>
      </c>
      <c r="V203" s="65">
        <f t="shared" si="111"/>
        <v>4.6944645764158714</v>
      </c>
      <c r="W203" s="165">
        <f t="shared" si="111"/>
        <v>5.1338664607683961</v>
      </c>
      <c r="X203" s="65">
        <f t="shared" si="111"/>
        <v>5.6057265773292633</v>
      </c>
      <c r="Y203" s="65">
        <f t="shared" si="111"/>
        <v>6.1399038609323728</v>
      </c>
      <c r="Z203" s="65">
        <f t="shared" si="111"/>
        <v>6.7145988623156425</v>
      </c>
      <c r="AA203" s="65">
        <f t="shared" si="111"/>
        <v>7.343085315828386</v>
      </c>
      <c r="AB203" s="65">
        <f t="shared" si="111"/>
        <v>8.0179975130039569</v>
      </c>
      <c r="AC203" s="65">
        <f t="shared" si="111"/>
        <v>8.7820433636800175</v>
      </c>
      <c r="AD203" s="65">
        <f t="shared" si="111"/>
        <v>9.6040426225204651</v>
      </c>
      <c r="AE203" s="65">
        <f t="shared" si="111"/>
        <v>10.502981011988382</v>
      </c>
      <c r="AF203" s="65">
        <f t="shared" si="111"/>
        <v>11.468323192667473</v>
      </c>
      <c r="AG203" s="65">
        <f t="shared" si="111"/>
        <v>12.561155253959395</v>
      </c>
      <c r="AH203" s="65">
        <f t="shared" si="111"/>
        <v>13.736879385729992</v>
      </c>
      <c r="AI203" s="65">
        <f t="shared" si="111"/>
        <v>15.022651296234319</v>
      </c>
      <c r="AJ203" s="65">
        <f t="shared" si="111"/>
        <v>16.403402051218588</v>
      </c>
      <c r="AK203" s="65">
        <f t="shared" si="111"/>
        <v>17.96650446598964</v>
      </c>
      <c r="AL203" s="65">
        <f t="shared" si="111"/>
        <v>19.648169284006268</v>
      </c>
    </row>
    <row r="204" spans="4:40">
      <c r="D204" s="63" t="s">
        <v>247</v>
      </c>
      <c r="E204" s="7" t="s">
        <v>101</v>
      </c>
      <c r="K204" s="10">
        <f>K200/20000000000</f>
        <v>2.5062524698057391E-3</v>
      </c>
    </row>
    <row r="205" spans="4:40">
      <c r="D205" s="7"/>
      <c r="E205" s="7"/>
      <c r="K205" s="10"/>
    </row>
    <row r="206" spans="4:40">
      <c r="D206" s="7"/>
      <c r="E206" s="7"/>
      <c r="K206" s="10"/>
    </row>
    <row r="207" spans="4:40">
      <c r="D207" s="110" t="s">
        <v>348</v>
      </c>
      <c r="E207" s="110" t="s">
        <v>211</v>
      </c>
      <c r="F207" s="110"/>
      <c r="G207" s="110"/>
      <c r="H207" s="110"/>
      <c r="I207" s="110"/>
      <c r="J207" s="110"/>
      <c r="K207" s="122">
        <f t="shared" ref="K207:AL207" si="112">K91+K98+K103</f>
        <v>9446804.7750000004</v>
      </c>
      <c r="L207" s="122">
        <f t="shared" si="112"/>
        <v>9561710.1156316809</v>
      </c>
      <c r="M207" s="122">
        <f t="shared" si="112"/>
        <v>10573824.57784687</v>
      </c>
      <c r="N207" s="122">
        <f t="shared" si="112"/>
        <v>27832572.701335274</v>
      </c>
      <c r="O207" s="122">
        <f t="shared" si="112"/>
        <v>25667140.615942121</v>
      </c>
      <c r="P207" s="122">
        <f t="shared" si="112"/>
        <v>27877531.114617661</v>
      </c>
      <c r="Q207" s="122">
        <f t="shared" si="112"/>
        <v>36901827.181124449</v>
      </c>
      <c r="R207" s="122">
        <f t="shared" si="112"/>
        <v>39849802.020114139</v>
      </c>
      <c r="S207" s="122">
        <f t="shared" si="112"/>
        <v>52870618.69542785</v>
      </c>
      <c r="T207" s="65">
        <f t="shared" si="112"/>
        <v>57063412.453412704</v>
      </c>
      <c r="U207" s="165">
        <f t="shared" si="112"/>
        <v>61598022.793929629</v>
      </c>
      <c r="V207" s="122">
        <f t="shared" si="112"/>
        <v>69856130.347121432</v>
      </c>
      <c r="W207" s="165">
        <f t="shared" si="112"/>
        <v>65625248.75737571</v>
      </c>
      <c r="X207" s="122">
        <f t="shared" si="112"/>
        <v>71110955.348210588</v>
      </c>
      <c r="Y207" s="122">
        <f t="shared" si="112"/>
        <v>77100823.206869602</v>
      </c>
      <c r="Z207" s="122">
        <f t="shared" si="112"/>
        <v>83583605.523222238</v>
      </c>
      <c r="AA207" s="122">
        <f t="shared" si="112"/>
        <v>90620820.387498528</v>
      </c>
      <c r="AB207" s="122">
        <f t="shared" si="112"/>
        <v>98240624.477975294</v>
      </c>
      <c r="AC207" s="122">
        <f t="shared" si="112"/>
        <v>106555153.20589885</v>
      </c>
      <c r="AD207" s="122">
        <f t="shared" si="112"/>
        <v>115561502.85797752</v>
      </c>
      <c r="AE207" s="122">
        <f t="shared" si="112"/>
        <v>125341530.44782875</v>
      </c>
      <c r="AF207" s="122">
        <f t="shared" si="112"/>
        <v>135940149.90939429</v>
      </c>
      <c r="AG207" s="122">
        <f t="shared" si="112"/>
        <v>147498014.90109694</v>
      </c>
      <c r="AH207" s="122">
        <f t="shared" si="112"/>
        <v>160027526.761022</v>
      </c>
      <c r="AI207" s="122">
        <f t="shared" si="112"/>
        <v>173637928.31667376</v>
      </c>
      <c r="AJ207" s="122">
        <f t="shared" si="112"/>
        <v>188399216.89339784</v>
      </c>
      <c r="AK207" s="122">
        <f t="shared" si="112"/>
        <v>204487545.02721205</v>
      </c>
      <c r="AL207" s="122">
        <f t="shared" si="112"/>
        <v>221941430.50520709</v>
      </c>
    </row>
    <row r="208" spans="4:40">
      <c r="D208" t="s">
        <v>336</v>
      </c>
      <c r="E208" t="s">
        <v>211</v>
      </c>
      <c r="K208" s="65">
        <f>K207+K202</f>
        <v>59888244.656217523</v>
      </c>
      <c r="L208" s="65">
        <f t="shared" ref="L208:AL208" si="113">L207+L202</f>
        <v>68760742.441113904</v>
      </c>
      <c r="M208" s="65">
        <f t="shared" si="113"/>
        <v>63769945.135506272</v>
      </c>
      <c r="N208" s="65">
        <f t="shared" si="113"/>
        <v>93272739.230395213</v>
      </c>
      <c r="O208" s="65">
        <f t="shared" si="113"/>
        <v>27577633.263185855</v>
      </c>
      <c r="P208" s="65">
        <f t="shared" si="113"/>
        <v>29966845.873643409</v>
      </c>
      <c r="Q208" s="65">
        <f t="shared" si="113"/>
        <v>39586182.596381955</v>
      </c>
      <c r="R208" s="65">
        <f t="shared" si="113"/>
        <v>42785413.102239743</v>
      </c>
      <c r="S208" s="65">
        <f t="shared" si="113"/>
        <v>143467737.25878829</v>
      </c>
      <c r="T208" s="65">
        <f t="shared" si="113"/>
        <v>153019992.9151282</v>
      </c>
      <c r="U208" s="165">
        <f t="shared" si="113"/>
        <v>163761767.26301524</v>
      </c>
      <c r="V208" s="65">
        <f t="shared" si="113"/>
        <v>72966311.896055132</v>
      </c>
      <c r="W208" s="165">
        <f t="shared" si="113"/>
        <v>69026543.299289599</v>
      </c>
      <c r="X208" s="65">
        <f t="shared" si="113"/>
        <v>74824867.144832954</v>
      </c>
      <c r="Y208" s="65">
        <f t="shared" si="113"/>
        <v>81168638.692459702</v>
      </c>
      <c r="Z208" s="65">
        <f t="shared" si="113"/>
        <v>88032168.538263574</v>
      </c>
      <c r="AA208" s="65">
        <f t="shared" si="113"/>
        <v>95485768.900747731</v>
      </c>
      <c r="AB208" s="65">
        <f t="shared" si="113"/>
        <v>103552716.52136236</v>
      </c>
      <c r="AC208" s="65">
        <f t="shared" si="113"/>
        <v>112373441.70015493</v>
      </c>
      <c r="AD208" s="65">
        <f t="shared" si="113"/>
        <v>121924383.15529598</v>
      </c>
      <c r="AE208" s="65">
        <f t="shared" si="113"/>
        <v>132299976.34097621</v>
      </c>
      <c r="AF208" s="65">
        <f t="shared" si="113"/>
        <v>143538155.30712062</v>
      </c>
      <c r="AG208" s="65">
        <f t="shared" si="113"/>
        <v>155820044.53157362</v>
      </c>
      <c r="AH208" s="65">
        <f t="shared" si="113"/>
        <v>169128498.36491132</v>
      </c>
      <c r="AI208" s="65">
        <f t="shared" si="113"/>
        <v>183590750.86268711</v>
      </c>
      <c r="AJ208" s="65">
        <f t="shared" si="113"/>
        <v>199266815.8642675</v>
      </c>
      <c r="AK208" s="65">
        <f t="shared" si="113"/>
        <v>216390732.23405182</v>
      </c>
      <c r="AL208" s="65">
        <f t="shared" si="113"/>
        <v>234958756.03460705</v>
      </c>
      <c r="AM208" s="65">
        <f>SUM(M208:AL208)/10^6</f>
        <v>3011.5568260269415</v>
      </c>
      <c r="AN208" s="65">
        <f>'BaU Model'!AM191-'Strategic Model'!AM208</f>
        <v>3432.1243650816409</v>
      </c>
    </row>
    <row r="209" spans="4:38">
      <c r="D209" s="109" t="s">
        <v>336</v>
      </c>
      <c r="E209" s="110" t="s">
        <v>337</v>
      </c>
      <c r="F209" s="110"/>
      <c r="G209" s="110"/>
      <c r="H209" s="110"/>
      <c r="I209" s="110"/>
      <c r="J209" s="110">
        <f>K209/K111</f>
        <v>6.3395239006849824</v>
      </c>
      <c r="K209" s="113">
        <f t="shared" ref="K209:AL209" si="114">K208/K31</f>
        <v>310.30178578351047</v>
      </c>
      <c r="L209" s="113">
        <f t="shared" si="114"/>
        <v>377.30464026423408</v>
      </c>
      <c r="M209" s="113">
        <f t="shared" si="114"/>
        <v>335.61637369948198</v>
      </c>
      <c r="N209" s="113">
        <f t="shared" si="114"/>
        <v>196.13311786237327</v>
      </c>
      <c r="O209" s="113">
        <f t="shared" si="114"/>
        <v>58.131680559111096</v>
      </c>
      <c r="P209" s="113">
        <f t="shared" si="114"/>
        <v>63.167970038104393</v>
      </c>
      <c r="Q209" s="113">
        <f t="shared" si="114"/>
        <v>71.026737548534925</v>
      </c>
      <c r="R209" s="113">
        <f t="shared" si="114"/>
        <v>76.766894608225655</v>
      </c>
      <c r="S209" s="113">
        <f t="shared" si="114"/>
        <v>216.54819817538524</v>
      </c>
      <c r="T209" s="105">
        <f t="shared" si="114"/>
        <v>230.96623940482081</v>
      </c>
      <c r="U209" s="167">
        <f t="shared" si="114"/>
        <v>247.1797235280537</v>
      </c>
      <c r="V209" s="113">
        <f t="shared" si="114"/>
        <v>110.13433173545101</v>
      </c>
      <c r="W209" s="167">
        <f t="shared" si="114"/>
        <v>104.18770005951802</v>
      </c>
      <c r="X209" s="113">
        <f t="shared" si="114"/>
        <v>112.93960906136485</v>
      </c>
      <c r="Y209" s="113">
        <f t="shared" si="114"/>
        <v>122.51480920407637</v>
      </c>
      <c r="Z209" s="113">
        <f t="shared" si="114"/>
        <v>132.87452526031299</v>
      </c>
      <c r="AA209" s="113">
        <f t="shared" si="114"/>
        <v>144.12488551032433</v>
      </c>
      <c r="AB209" s="113">
        <f t="shared" si="114"/>
        <v>156.30102354244698</v>
      </c>
      <c r="AC209" s="113">
        <f t="shared" si="114"/>
        <v>169.61490288956671</v>
      </c>
      <c r="AD209" s="113">
        <f t="shared" si="114"/>
        <v>184.03096048207394</v>
      </c>
      <c r="AE209" s="113">
        <f t="shared" si="114"/>
        <v>199.69173587512995</v>
      </c>
      <c r="AF209" s="113">
        <f t="shared" si="114"/>
        <v>216.65448619370036</v>
      </c>
      <c r="AG209" s="113">
        <f t="shared" si="114"/>
        <v>235.19259819408364</v>
      </c>
      <c r="AH209" s="113">
        <f t="shared" si="114"/>
        <v>255.28019247258783</v>
      </c>
      <c r="AI209" s="113">
        <f t="shared" si="114"/>
        <v>277.10931433502918</v>
      </c>
      <c r="AJ209" s="113">
        <f t="shared" si="114"/>
        <v>300.77054783207114</v>
      </c>
      <c r="AK209" s="113">
        <f t="shared" si="114"/>
        <v>326.61714795579081</v>
      </c>
      <c r="AL209" s="113">
        <f t="shared" si="114"/>
        <v>354.64346365933483</v>
      </c>
    </row>
    <row r="210" spans="4:38">
      <c r="E210" t="s">
        <v>108</v>
      </c>
      <c r="J210">
        <f>K210/K112</f>
        <v>5.9665863957588288</v>
      </c>
      <c r="K210" s="65">
        <f>K208/Inputs!E34</f>
        <v>18.691043101812905</v>
      </c>
      <c r="L210" s="65">
        <f>L208/Inputs!F34</f>
        <v>22.801489721405648</v>
      </c>
      <c r="M210" s="65">
        <f>M208/Inputs!G34</f>
        <v>20.295307039745762</v>
      </c>
      <c r="N210" s="65">
        <f>N208/Inputs!H34</f>
        <v>33.871226206817326</v>
      </c>
      <c r="O210" s="65">
        <f t="shared" ref="O210:AL210" si="115">O208/O71</f>
        <v>8.255366769327761</v>
      </c>
      <c r="P210" s="65">
        <f t="shared" si="115"/>
        <v>8.9705777593716398</v>
      </c>
      <c r="Q210" s="65">
        <f t="shared" si="115"/>
        <v>11.850126992839694</v>
      </c>
      <c r="R210" s="65">
        <f t="shared" si="115"/>
        <v>12.807816906017798</v>
      </c>
      <c r="S210" s="65">
        <f t="shared" si="115"/>
        <v>27.983333577857227</v>
      </c>
      <c r="T210" s="65">
        <f t="shared" si="115"/>
        <v>29.846497809479338</v>
      </c>
      <c r="U210" s="165">
        <f t="shared" si="115"/>
        <v>31.941677259147419</v>
      </c>
      <c r="V210" s="65">
        <f t="shared" si="115"/>
        <v>14.232054430817389</v>
      </c>
      <c r="W210" s="165">
        <f t="shared" si="115"/>
        <v>13.463603899922138</v>
      </c>
      <c r="X210" s="65">
        <f t="shared" si="115"/>
        <v>14.594565002832711</v>
      </c>
      <c r="Y210" s="65">
        <f t="shared" si="115"/>
        <v>15.83191549536015</v>
      </c>
      <c r="Z210" s="65">
        <f t="shared" si="115"/>
        <v>17.170644667970304</v>
      </c>
      <c r="AA210" s="65">
        <f t="shared" si="115"/>
        <v>18.624466895076317</v>
      </c>
      <c r="AB210" s="65">
        <f t="shared" si="115"/>
        <v>20.19792229721714</v>
      </c>
      <c r="AC210" s="65">
        <f t="shared" si="115"/>
        <v>21.918401756870963</v>
      </c>
      <c r="AD210" s="65">
        <f t="shared" si="115"/>
        <v>23.781309653994192</v>
      </c>
      <c r="AE210" s="65">
        <f t="shared" si="115"/>
        <v>25.805065591953316</v>
      </c>
      <c r="AF210" s="65">
        <f t="shared" si="115"/>
        <v>27.997068594342718</v>
      </c>
      <c r="AG210" s="65">
        <f t="shared" si="115"/>
        <v>30.392646929241881</v>
      </c>
      <c r="AH210" s="65">
        <f t="shared" si="115"/>
        <v>32.988456343535745</v>
      </c>
      <c r="AI210" s="65">
        <f t="shared" si="115"/>
        <v>35.809313796681842</v>
      </c>
      <c r="AJ210" s="65">
        <f t="shared" si="115"/>
        <v>38.866924967729467</v>
      </c>
      <c r="AK210" s="65">
        <f t="shared" si="115"/>
        <v>42.206939057940204</v>
      </c>
      <c r="AL210" s="65">
        <f t="shared" si="115"/>
        <v>45.82862581358534</v>
      </c>
    </row>
    <row r="212" spans="4:38">
      <c r="M212" s="65"/>
      <c r="N212" s="65"/>
      <c r="O212" s="65"/>
      <c r="P212" s="65"/>
      <c r="Q212" s="65"/>
      <c r="R212" s="65"/>
      <c r="S212" s="65"/>
      <c r="T212" s="65"/>
      <c r="U212" s="165"/>
      <c r="V212" s="65"/>
      <c r="W212" s="165"/>
      <c r="X212" s="65"/>
      <c r="Y212" s="65"/>
      <c r="Z212" s="65"/>
      <c r="AA212" s="65"/>
      <c r="AB212" s="65"/>
      <c r="AC212" s="65"/>
      <c r="AD212" s="65"/>
      <c r="AE212" s="65"/>
      <c r="AF212" s="65"/>
      <c r="AG212" s="65"/>
      <c r="AH212" s="65"/>
      <c r="AI212" s="65"/>
      <c r="AJ212" s="65"/>
      <c r="AK212" s="65"/>
      <c r="AL212" s="65"/>
    </row>
  </sheetData>
  <conditionalFormatting sqref="K6:AL6">
    <cfRule type="cellIs" dxfId="15" priority="2" operator="equal">
      <formula>1</formula>
    </cfRule>
  </conditionalFormatting>
  <conditionalFormatting sqref="K7:AL7">
    <cfRule type="cellIs" dxfId="14" priority="1" operator="equal">
      <formula>1</formula>
    </cfRule>
  </conditionalFormatting>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69E89-D8F3-4FF9-ACB4-540135ECF5BF}">
  <dimension ref="A1:AN172"/>
  <sheetViews>
    <sheetView topLeftCell="A4" zoomScale="87" workbookViewId="0">
      <selection activeCell="M116" sqref="M116"/>
    </sheetView>
  </sheetViews>
  <sheetFormatPr defaultColWidth="8.85546875" defaultRowHeight="15"/>
  <cols>
    <col min="1" max="1" width="8.85546875" style="75"/>
    <col min="2" max="2" width="19.85546875" style="74" bestFit="1" customWidth="1"/>
    <col min="3" max="3" width="16.140625" style="75" customWidth="1"/>
    <col min="4" max="4" width="9.7109375" style="75" customWidth="1"/>
    <col min="5" max="5" width="10" style="75" customWidth="1"/>
    <col min="6" max="6" width="7.85546875" style="75" customWidth="1"/>
    <col min="7" max="12" width="8.85546875" style="75"/>
    <col min="13" max="13" width="11.140625" style="75" customWidth="1"/>
    <col min="14" max="16384" width="8.85546875" style="75"/>
  </cols>
  <sheetData>
    <row r="1" spans="1:40">
      <c r="C1" s="75">
        <v>2023</v>
      </c>
      <c r="D1" s="75">
        <v>2024</v>
      </c>
      <c r="E1" s="75">
        <v>2025</v>
      </c>
      <c r="F1" s="75">
        <v>2026</v>
      </c>
      <c r="G1" s="75">
        <v>2027</v>
      </c>
      <c r="H1" s="75">
        <v>2028</v>
      </c>
      <c r="I1" s="75">
        <v>2029</v>
      </c>
      <c r="J1" s="75">
        <v>2030</v>
      </c>
      <c r="K1" s="75">
        <v>2031</v>
      </c>
      <c r="L1" s="75">
        <v>2032</v>
      </c>
      <c r="M1" s="75">
        <v>2033</v>
      </c>
      <c r="N1" s="75">
        <v>2034</v>
      </c>
      <c r="O1" s="75">
        <v>2035</v>
      </c>
      <c r="P1" s="75">
        <v>2036</v>
      </c>
      <c r="Q1" s="75">
        <v>2037</v>
      </c>
      <c r="R1" s="75">
        <v>2038</v>
      </c>
      <c r="S1" s="75">
        <v>2039</v>
      </c>
      <c r="T1" s="75">
        <v>2040</v>
      </c>
    </row>
    <row r="3" spans="1:40">
      <c r="A3" s="104" t="s">
        <v>101</v>
      </c>
      <c r="B3" s="108" t="s">
        <v>344</v>
      </c>
      <c r="C3" s="75" t="s">
        <v>274</v>
      </c>
    </row>
    <row r="4" spans="1:40">
      <c r="A4" s="107" t="s">
        <v>339</v>
      </c>
      <c r="B4" s="74" t="s">
        <v>206</v>
      </c>
      <c r="C4" s="75">
        <v>0</v>
      </c>
      <c r="D4" s="75">
        <v>0</v>
      </c>
      <c r="E4" s="75">
        <v>0</v>
      </c>
      <c r="F4" s="75">
        <v>0</v>
      </c>
      <c r="G4" s="75">
        <v>0</v>
      </c>
      <c r="H4" s="75">
        <v>0</v>
      </c>
      <c r="I4" s="75">
        <v>0</v>
      </c>
      <c r="J4" s="75">
        <v>0</v>
      </c>
      <c r="K4" s="75">
        <v>0</v>
      </c>
      <c r="L4" s="75">
        <v>0</v>
      </c>
      <c r="M4" s="75">
        <v>0</v>
      </c>
      <c r="N4" s="75">
        <v>0</v>
      </c>
      <c r="O4" s="75">
        <v>0</v>
      </c>
      <c r="P4" s="75">
        <v>0</v>
      </c>
      <c r="Q4" s="75">
        <v>0</v>
      </c>
      <c r="R4" s="75">
        <v>0</v>
      </c>
      <c r="S4" s="75">
        <v>0</v>
      </c>
      <c r="T4" s="75">
        <v>0</v>
      </c>
    </row>
    <row r="5" spans="1:40">
      <c r="A5" s="107" t="s">
        <v>340</v>
      </c>
      <c r="B5" s="74" t="s">
        <v>207</v>
      </c>
      <c r="C5" s="75">
        <v>1</v>
      </c>
      <c r="D5" s="75">
        <v>1</v>
      </c>
      <c r="E5" s="75">
        <v>1</v>
      </c>
      <c r="F5" s="75">
        <v>1</v>
      </c>
      <c r="G5" s="75">
        <v>1</v>
      </c>
      <c r="H5" s="75">
        <v>1</v>
      </c>
      <c r="I5" s="75">
        <v>1</v>
      </c>
      <c r="J5" s="75">
        <v>1</v>
      </c>
      <c r="K5" s="75">
        <v>1</v>
      </c>
      <c r="L5" s="75">
        <v>1</v>
      </c>
      <c r="M5" s="75">
        <v>1</v>
      </c>
      <c r="N5" s="75">
        <v>1</v>
      </c>
      <c r="O5" s="75">
        <v>1</v>
      </c>
      <c r="P5" s="75">
        <v>1</v>
      </c>
      <c r="Q5" s="75">
        <v>1</v>
      </c>
      <c r="R5" s="75">
        <v>1</v>
      </c>
      <c r="S5" s="75">
        <v>1</v>
      </c>
      <c r="T5" s="75">
        <v>1</v>
      </c>
    </row>
    <row r="6" spans="1:40">
      <c r="A6" s="107" t="s">
        <v>341</v>
      </c>
      <c r="B6" s="74" t="s">
        <v>208</v>
      </c>
      <c r="C6" s="75">
        <v>2</v>
      </c>
      <c r="D6" s="75">
        <v>2</v>
      </c>
      <c r="E6" s="75">
        <v>2</v>
      </c>
      <c r="F6" s="75">
        <v>2</v>
      </c>
      <c r="G6" s="75">
        <v>2</v>
      </c>
      <c r="H6" s="75">
        <v>2</v>
      </c>
      <c r="I6" s="75">
        <v>2</v>
      </c>
      <c r="J6" s="75">
        <v>2</v>
      </c>
      <c r="K6" s="75">
        <v>2</v>
      </c>
      <c r="L6" s="75">
        <v>2</v>
      </c>
      <c r="M6" s="75">
        <v>2</v>
      </c>
      <c r="N6" s="75">
        <v>2</v>
      </c>
      <c r="O6" s="75">
        <v>2</v>
      </c>
      <c r="P6" s="75">
        <v>2</v>
      </c>
      <c r="Q6" s="75">
        <v>2</v>
      </c>
      <c r="R6" s="75">
        <v>2</v>
      </c>
      <c r="S6" s="75">
        <v>2</v>
      </c>
      <c r="T6" s="75">
        <v>2</v>
      </c>
    </row>
    <row r="7" spans="1:40">
      <c r="A7" s="107" t="s">
        <v>342</v>
      </c>
      <c r="B7" s="74" t="s">
        <v>210</v>
      </c>
      <c r="C7" s="75">
        <v>3</v>
      </c>
      <c r="D7" s="75">
        <v>3</v>
      </c>
      <c r="E7" s="75">
        <v>3</v>
      </c>
      <c r="F7" s="75">
        <v>3</v>
      </c>
      <c r="G7" s="75">
        <v>3</v>
      </c>
      <c r="H7" s="75">
        <v>3</v>
      </c>
      <c r="I7" s="75">
        <v>3</v>
      </c>
      <c r="J7" s="75">
        <v>3</v>
      </c>
      <c r="K7" s="75">
        <v>3</v>
      </c>
      <c r="L7" s="75">
        <v>3</v>
      </c>
      <c r="M7" s="75">
        <v>3</v>
      </c>
      <c r="N7" s="75">
        <v>3</v>
      </c>
      <c r="O7" s="75">
        <v>3</v>
      </c>
      <c r="P7" s="75">
        <v>3</v>
      </c>
      <c r="Q7" s="75">
        <v>3</v>
      </c>
      <c r="R7" s="75">
        <v>3</v>
      </c>
      <c r="S7" s="75">
        <v>3</v>
      </c>
      <c r="T7" s="75">
        <v>3</v>
      </c>
    </row>
    <row r="8" spans="1:40">
      <c r="A8" s="107" t="s">
        <v>343</v>
      </c>
      <c r="B8" s="74" t="s">
        <v>209</v>
      </c>
      <c r="C8" s="75">
        <v>4</v>
      </c>
      <c r="D8" s="75">
        <v>4</v>
      </c>
      <c r="E8" s="75">
        <v>4</v>
      </c>
      <c r="F8" s="75">
        <v>4</v>
      </c>
      <c r="G8" s="75">
        <v>4</v>
      </c>
      <c r="H8" s="75">
        <v>4</v>
      </c>
      <c r="I8" s="75">
        <v>4</v>
      </c>
      <c r="J8" s="75">
        <v>4</v>
      </c>
      <c r="K8" s="75">
        <v>4</v>
      </c>
      <c r="L8" s="75">
        <v>4</v>
      </c>
      <c r="M8" s="75">
        <v>4</v>
      </c>
      <c r="N8" s="75">
        <v>4</v>
      </c>
      <c r="O8" s="75">
        <v>4</v>
      </c>
      <c r="P8" s="75">
        <v>4</v>
      </c>
      <c r="Q8" s="75">
        <v>4</v>
      </c>
      <c r="R8" s="75">
        <v>4</v>
      </c>
      <c r="S8" s="75">
        <v>4</v>
      </c>
      <c r="T8" s="75">
        <v>4</v>
      </c>
    </row>
    <row r="10" spans="1:40">
      <c r="B10" s="108" t="s">
        <v>344</v>
      </c>
      <c r="C10" s="75" t="s">
        <v>275</v>
      </c>
    </row>
    <row r="11" spans="1:40">
      <c r="B11" s="74" t="s">
        <v>206</v>
      </c>
      <c r="C11" s="75">
        <v>0</v>
      </c>
      <c r="D11" s="75">
        <v>0</v>
      </c>
      <c r="E11" s="75">
        <v>0</v>
      </c>
      <c r="F11" s="75">
        <v>0</v>
      </c>
      <c r="G11" s="75">
        <v>0</v>
      </c>
      <c r="H11" s="75">
        <v>0</v>
      </c>
      <c r="I11" s="75">
        <v>0</v>
      </c>
      <c r="J11" s="75">
        <v>0</v>
      </c>
      <c r="K11" s="75">
        <v>0</v>
      </c>
      <c r="L11" s="75">
        <v>0</v>
      </c>
      <c r="M11" s="75">
        <v>0</v>
      </c>
      <c r="N11" s="75">
        <v>0</v>
      </c>
      <c r="O11" s="75">
        <v>0</v>
      </c>
      <c r="P11" s="75">
        <v>0</v>
      </c>
      <c r="Q11" s="75">
        <v>0</v>
      </c>
      <c r="R11" s="75">
        <v>0</v>
      </c>
      <c r="S11" s="75">
        <v>0</v>
      </c>
      <c r="T11" s="75">
        <v>0</v>
      </c>
    </row>
    <row r="12" spans="1:40">
      <c r="B12" s="74" t="s">
        <v>207</v>
      </c>
      <c r="C12" s="75">
        <v>0.5</v>
      </c>
      <c r="D12" s="75">
        <v>0.5</v>
      </c>
      <c r="E12" s="75">
        <v>0.5</v>
      </c>
      <c r="F12" s="75">
        <v>0.5</v>
      </c>
      <c r="G12" s="75">
        <v>0.5</v>
      </c>
      <c r="H12" s="75">
        <v>0.5</v>
      </c>
      <c r="I12" s="75">
        <v>0.5</v>
      </c>
      <c r="J12" s="75">
        <v>0.5</v>
      </c>
      <c r="K12" s="75">
        <v>0.5</v>
      </c>
      <c r="L12" s="75">
        <v>0.5</v>
      </c>
      <c r="M12" s="75">
        <v>0.5</v>
      </c>
      <c r="N12" s="75">
        <v>0.5</v>
      </c>
      <c r="O12" s="75">
        <v>0.5</v>
      </c>
      <c r="P12" s="75">
        <v>0.5</v>
      </c>
      <c r="Q12" s="75">
        <v>0.5</v>
      </c>
      <c r="R12" s="75">
        <v>0.5</v>
      </c>
      <c r="S12" s="75">
        <v>0.5</v>
      </c>
      <c r="T12" s="75">
        <v>0.5</v>
      </c>
    </row>
    <row r="13" spans="1:40">
      <c r="B13" s="74" t="s">
        <v>208</v>
      </c>
      <c r="C13" s="75">
        <v>1</v>
      </c>
      <c r="D13" s="75">
        <v>1</v>
      </c>
      <c r="E13" s="75">
        <v>1</v>
      </c>
      <c r="F13" s="75">
        <v>1</v>
      </c>
      <c r="G13" s="75">
        <v>1</v>
      </c>
      <c r="H13" s="75">
        <v>1</v>
      </c>
      <c r="I13" s="75">
        <v>1</v>
      </c>
      <c r="J13" s="75">
        <v>1</v>
      </c>
      <c r="K13" s="75">
        <v>1</v>
      </c>
      <c r="L13" s="75">
        <v>1</v>
      </c>
      <c r="M13" s="75">
        <v>1</v>
      </c>
      <c r="N13" s="75">
        <v>1</v>
      </c>
      <c r="O13" s="75">
        <v>1</v>
      </c>
      <c r="P13" s="75">
        <v>1</v>
      </c>
      <c r="Q13" s="75">
        <v>1</v>
      </c>
      <c r="R13" s="75">
        <v>1</v>
      </c>
      <c r="S13" s="75">
        <v>1</v>
      </c>
      <c r="T13" s="75">
        <v>1</v>
      </c>
    </row>
    <row r="14" spans="1:40">
      <c r="B14" s="74" t="s">
        <v>210</v>
      </c>
      <c r="C14" s="75">
        <v>2</v>
      </c>
      <c r="D14" s="75">
        <v>2</v>
      </c>
      <c r="E14" s="75">
        <v>2</v>
      </c>
      <c r="F14" s="75">
        <v>2</v>
      </c>
      <c r="G14" s="75">
        <v>2</v>
      </c>
      <c r="H14" s="75">
        <v>2</v>
      </c>
      <c r="I14" s="75">
        <v>2</v>
      </c>
      <c r="J14" s="75">
        <v>2</v>
      </c>
      <c r="K14" s="75">
        <v>2</v>
      </c>
      <c r="L14" s="75">
        <v>2</v>
      </c>
      <c r="M14" s="75">
        <v>2</v>
      </c>
      <c r="N14" s="75">
        <v>2</v>
      </c>
      <c r="O14" s="75">
        <v>2</v>
      </c>
      <c r="P14" s="75">
        <v>2</v>
      </c>
      <c r="Q14" s="75">
        <v>2</v>
      </c>
      <c r="R14" s="75">
        <v>2</v>
      </c>
      <c r="S14" s="75">
        <v>2</v>
      </c>
      <c r="T14" s="75">
        <v>2</v>
      </c>
    </row>
    <row r="15" spans="1:40" ht="18">
      <c r="B15" s="74" t="s">
        <v>209</v>
      </c>
      <c r="C15" s="75">
        <v>3</v>
      </c>
      <c r="D15" s="75">
        <v>3</v>
      </c>
      <c r="E15" s="75">
        <v>3</v>
      </c>
      <c r="F15" s="75">
        <v>3</v>
      </c>
      <c r="G15" s="75">
        <v>3</v>
      </c>
      <c r="H15" s="75">
        <v>3</v>
      </c>
      <c r="I15" s="75">
        <v>3</v>
      </c>
      <c r="J15" s="75">
        <v>3</v>
      </c>
      <c r="K15" s="75">
        <v>3</v>
      </c>
      <c r="L15" s="75">
        <v>3</v>
      </c>
      <c r="M15" s="75">
        <v>3</v>
      </c>
      <c r="N15" s="75">
        <v>3</v>
      </c>
      <c r="O15" s="75">
        <v>3</v>
      </c>
      <c r="P15" s="75">
        <v>3</v>
      </c>
      <c r="Q15" s="75">
        <v>3</v>
      </c>
      <c r="R15" s="75">
        <v>3</v>
      </c>
      <c r="S15" s="75">
        <v>3</v>
      </c>
      <c r="T15" s="75">
        <v>3</v>
      </c>
      <c r="AD15" s="15" t="s">
        <v>248</v>
      </c>
      <c r="AE15"/>
      <c r="AF15"/>
      <c r="AG15"/>
      <c r="AH15"/>
      <c r="AI15"/>
      <c r="AJ15"/>
      <c r="AK15"/>
      <c r="AL15"/>
      <c r="AM15"/>
      <c r="AN15"/>
    </row>
    <row r="17" spans="1:40">
      <c r="A17" s="104" t="s">
        <v>101</v>
      </c>
      <c r="B17" s="108" t="s">
        <v>345</v>
      </c>
      <c r="C17" s="75" t="s">
        <v>274</v>
      </c>
    </row>
    <row r="18" spans="1:40">
      <c r="A18" s="107" t="s">
        <v>339</v>
      </c>
      <c r="B18" s="74" t="s">
        <v>206</v>
      </c>
      <c r="C18" s="75">
        <v>0</v>
      </c>
      <c r="D18" s="75">
        <v>0</v>
      </c>
      <c r="E18" s="75">
        <v>0</v>
      </c>
      <c r="F18" s="75">
        <v>0</v>
      </c>
      <c r="G18" s="75">
        <v>0</v>
      </c>
      <c r="H18" s="75">
        <v>0</v>
      </c>
      <c r="I18" s="75">
        <v>0</v>
      </c>
      <c r="J18" s="75">
        <v>0</v>
      </c>
      <c r="K18" s="75">
        <v>0</v>
      </c>
      <c r="L18" s="75">
        <v>0</v>
      </c>
      <c r="M18" s="75">
        <v>0</v>
      </c>
      <c r="N18" s="75">
        <v>0</v>
      </c>
      <c r="O18" s="75">
        <v>0</v>
      </c>
      <c r="P18" s="75">
        <v>0</v>
      </c>
      <c r="Q18" s="75">
        <v>0</v>
      </c>
      <c r="R18" s="75">
        <v>0</v>
      </c>
      <c r="S18" s="75">
        <v>0</v>
      </c>
      <c r="T18" s="75">
        <v>0</v>
      </c>
    </row>
    <row r="19" spans="1:40">
      <c r="A19" s="107" t="s">
        <v>340</v>
      </c>
      <c r="B19" s="74" t="s">
        <v>207</v>
      </c>
      <c r="C19" s="75">
        <v>1</v>
      </c>
      <c r="D19" s="75">
        <v>1</v>
      </c>
      <c r="E19" s="75">
        <v>1</v>
      </c>
      <c r="F19" s="75">
        <v>1</v>
      </c>
      <c r="G19" s="75">
        <v>1</v>
      </c>
      <c r="H19" s="75">
        <v>1</v>
      </c>
      <c r="I19" s="75">
        <v>1</v>
      </c>
      <c r="J19" s="75">
        <v>1</v>
      </c>
      <c r="K19" s="75">
        <v>1</v>
      </c>
      <c r="L19" s="75">
        <v>1</v>
      </c>
      <c r="M19" s="75">
        <v>1</v>
      </c>
      <c r="N19" s="75">
        <v>1</v>
      </c>
      <c r="O19" s="75">
        <v>1</v>
      </c>
      <c r="P19" s="75">
        <v>1</v>
      </c>
      <c r="Q19" s="75">
        <v>1</v>
      </c>
      <c r="R19" s="75">
        <v>1</v>
      </c>
      <c r="S19" s="75">
        <v>1</v>
      </c>
      <c r="T19" s="75">
        <v>1</v>
      </c>
    </row>
    <row r="20" spans="1:40">
      <c r="A20" s="107" t="s">
        <v>341</v>
      </c>
      <c r="B20" s="74" t="s">
        <v>208</v>
      </c>
      <c r="C20" s="75">
        <v>2</v>
      </c>
      <c r="D20" s="75">
        <v>2</v>
      </c>
      <c r="E20" s="75">
        <v>2</v>
      </c>
      <c r="F20" s="75">
        <v>2</v>
      </c>
      <c r="G20" s="75">
        <v>2</v>
      </c>
      <c r="H20" s="75">
        <v>2</v>
      </c>
      <c r="I20" s="75">
        <v>2</v>
      </c>
      <c r="J20" s="75">
        <v>2</v>
      </c>
      <c r="K20" s="75">
        <v>2</v>
      </c>
      <c r="L20" s="75">
        <v>2</v>
      </c>
      <c r="M20" s="75">
        <v>2</v>
      </c>
      <c r="N20" s="75">
        <v>2</v>
      </c>
      <c r="O20" s="75">
        <v>2</v>
      </c>
      <c r="P20" s="75">
        <v>2</v>
      </c>
      <c r="Q20" s="75">
        <v>2</v>
      </c>
      <c r="R20" s="75">
        <v>2</v>
      </c>
      <c r="S20" s="75">
        <v>2</v>
      </c>
      <c r="T20" s="75">
        <v>2</v>
      </c>
    </row>
    <row r="21" spans="1:40">
      <c r="A21" s="107" t="s">
        <v>342</v>
      </c>
      <c r="B21" s="74" t="s">
        <v>210</v>
      </c>
      <c r="C21" s="75">
        <v>3</v>
      </c>
      <c r="D21" s="75">
        <v>3</v>
      </c>
      <c r="E21" s="75">
        <v>3</v>
      </c>
      <c r="F21" s="75">
        <v>3</v>
      </c>
      <c r="G21" s="75">
        <v>3</v>
      </c>
      <c r="H21" s="75">
        <v>3</v>
      </c>
      <c r="I21" s="75">
        <v>3</v>
      </c>
      <c r="J21" s="75">
        <v>3</v>
      </c>
      <c r="K21" s="75">
        <v>3</v>
      </c>
      <c r="L21" s="75">
        <v>3</v>
      </c>
      <c r="M21" s="75">
        <v>3</v>
      </c>
      <c r="N21" s="75">
        <v>3</v>
      </c>
      <c r="O21" s="75">
        <v>3</v>
      </c>
      <c r="P21" s="75">
        <v>3</v>
      </c>
      <c r="Q21" s="75">
        <v>3</v>
      </c>
      <c r="R21" s="75">
        <v>3</v>
      </c>
      <c r="S21" s="75">
        <v>3</v>
      </c>
      <c r="T21" s="75">
        <v>3</v>
      </c>
    </row>
    <row r="22" spans="1:40">
      <c r="A22" s="107" t="s">
        <v>343</v>
      </c>
      <c r="B22" s="74" t="s">
        <v>209</v>
      </c>
      <c r="C22" s="75">
        <v>4</v>
      </c>
      <c r="D22" s="75">
        <v>4</v>
      </c>
      <c r="E22" s="75">
        <v>4</v>
      </c>
      <c r="F22" s="75">
        <v>4</v>
      </c>
      <c r="G22" s="75">
        <v>4</v>
      </c>
      <c r="H22" s="75">
        <v>4</v>
      </c>
      <c r="I22" s="75">
        <v>4</v>
      </c>
      <c r="J22" s="75">
        <v>4</v>
      </c>
      <c r="K22" s="75">
        <v>4</v>
      </c>
      <c r="L22" s="75">
        <v>4</v>
      </c>
      <c r="M22" s="75">
        <v>4</v>
      </c>
      <c r="N22" s="75">
        <v>4</v>
      </c>
      <c r="O22" s="75">
        <v>4</v>
      </c>
      <c r="P22" s="75">
        <v>4</v>
      </c>
      <c r="Q22" s="75">
        <v>4</v>
      </c>
      <c r="R22" s="75">
        <v>4</v>
      </c>
      <c r="S22" s="75">
        <v>4</v>
      </c>
      <c r="T22" s="75">
        <v>4</v>
      </c>
    </row>
    <row r="24" spans="1:40">
      <c r="B24" s="108" t="s">
        <v>345</v>
      </c>
      <c r="C24" s="75" t="s">
        <v>275</v>
      </c>
    </row>
    <row r="25" spans="1:40">
      <c r="B25" s="74" t="s">
        <v>206</v>
      </c>
      <c r="C25" s="75">
        <v>0</v>
      </c>
      <c r="D25" s="75">
        <v>0</v>
      </c>
      <c r="E25" s="75">
        <v>0</v>
      </c>
      <c r="F25" s="75">
        <v>0</v>
      </c>
      <c r="G25" s="75">
        <v>0</v>
      </c>
      <c r="H25" s="75">
        <v>0</v>
      </c>
      <c r="I25" s="75">
        <v>0</v>
      </c>
      <c r="J25" s="75">
        <v>0</v>
      </c>
      <c r="K25" s="75">
        <v>0</v>
      </c>
      <c r="L25" s="75">
        <v>0</v>
      </c>
      <c r="M25" s="75">
        <v>0</v>
      </c>
      <c r="N25" s="75">
        <v>0</v>
      </c>
      <c r="O25" s="75">
        <v>0</v>
      </c>
      <c r="P25" s="75">
        <v>0</v>
      </c>
      <c r="Q25" s="75">
        <v>0</v>
      </c>
      <c r="R25" s="75">
        <v>0</v>
      </c>
      <c r="S25" s="75">
        <v>0</v>
      </c>
      <c r="T25" s="75">
        <v>0</v>
      </c>
    </row>
    <row r="26" spans="1:40">
      <c r="B26" s="74" t="s">
        <v>207</v>
      </c>
      <c r="C26" s="75">
        <v>0.5</v>
      </c>
      <c r="D26" s="75">
        <v>0.5</v>
      </c>
      <c r="E26" s="75">
        <v>0.5</v>
      </c>
      <c r="F26" s="75">
        <v>0.5</v>
      </c>
      <c r="G26" s="75">
        <v>0.5</v>
      </c>
      <c r="H26" s="75">
        <v>0.5</v>
      </c>
      <c r="I26" s="75">
        <v>0.5</v>
      </c>
      <c r="J26" s="75">
        <v>0.5</v>
      </c>
      <c r="K26" s="75">
        <v>0.5</v>
      </c>
      <c r="L26" s="75">
        <v>0.5</v>
      </c>
      <c r="M26" s="75">
        <v>0.5</v>
      </c>
      <c r="N26" s="75">
        <v>0.5</v>
      </c>
      <c r="O26" s="75">
        <v>0.5</v>
      </c>
      <c r="P26" s="75">
        <v>0.5</v>
      </c>
      <c r="Q26" s="75">
        <v>0.5</v>
      </c>
      <c r="R26" s="75">
        <v>0.5</v>
      </c>
      <c r="S26" s="75">
        <v>0.5</v>
      </c>
      <c r="T26" s="75">
        <v>0.5</v>
      </c>
    </row>
    <row r="27" spans="1:40">
      <c r="B27" s="74" t="s">
        <v>208</v>
      </c>
      <c r="C27" s="75">
        <v>2</v>
      </c>
      <c r="D27" s="75">
        <v>2</v>
      </c>
      <c r="E27" s="75">
        <v>2</v>
      </c>
      <c r="F27" s="75">
        <v>2</v>
      </c>
      <c r="G27" s="75">
        <v>2</v>
      </c>
      <c r="H27" s="75">
        <v>2</v>
      </c>
      <c r="I27" s="75">
        <v>2</v>
      </c>
      <c r="J27" s="75">
        <v>2</v>
      </c>
      <c r="K27" s="75">
        <v>2</v>
      </c>
      <c r="L27" s="75">
        <v>2</v>
      </c>
      <c r="M27" s="75">
        <v>2</v>
      </c>
      <c r="N27" s="75">
        <v>2</v>
      </c>
      <c r="O27" s="75">
        <v>2</v>
      </c>
      <c r="P27" s="75">
        <v>2</v>
      </c>
      <c r="Q27" s="75">
        <v>2</v>
      </c>
      <c r="R27" s="75">
        <v>2</v>
      </c>
      <c r="S27" s="75">
        <v>2</v>
      </c>
      <c r="T27" s="75">
        <v>2</v>
      </c>
    </row>
    <row r="28" spans="1:40">
      <c r="B28" s="74" t="s">
        <v>210</v>
      </c>
      <c r="C28" s="75">
        <v>3</v>
      </c>
      <c r="D28" s="75">
        <v>3</v>
      </c>
      <c r="E28" s="75">
        <v>3</v>
      </c>
      <c r="F28" s="75">
        <v>3</v>
      </c>
      <c r="G28" s="75">
        <v>3</v>
      </c>
      <c r="H28" s="75">
        <v>3</v>
      </c>
      <c r="I28" s="75">
        <v>3</v>
      </c>
      <c r="J28" s="75">
        <v>3</v>
      </c>
      <c r="K28" s="75">
        <v>3</v>
      </c>
      <c r="L28" s="75">
        <v>3</v>
      </c>
      <c r="M28" s="75">
        <v>3</v>
      </c>
      <c r="N28" s="75">
        <v>3</v>
      </c>
      <c r="O28" s="75">
        <v>3</v>
      </c>
      <c r="P28" s="75">
        <v>3</v>
      </c>
      <c r="Q28" s="75">
        <v>3</v>
      </c>
      <c r="R28" s="75">
        <v>3</v>
      </c>
      <c r="S28" s="75">
        <v>3</v>
      </c>
      <c r="T28" s="75">
        <v>3</v>
      </c>
    </row>
    <row r="29" spans="1:40" ht="18">
      <c r="B29" s="74" t="s">
        <v>209</v>
      </c>
      <c r="C29" s="75">
        <v>4</v>
      </c>
      <c r="D29" s="75">
        <v>4</v>
      </c>
      <c r="E29" s="75">
        <v>4</v>
      </c>
      <c r="F29" s="75">
        <v>4</v>
      </c>
      <c r="G29" s="75">
        <v>4</v>
      </c>
      <c r="H29" s="75">
        <v>4</v>
      </c>
      <c r="I29" s="75">
        <v>4</v>
      </c>
      <c r="J29" s="75">
        <v>4</v>
      </c>
      <c r="K29" s="75">
        <v>4</v>
      </c>
      <c r="L29" s="75">
        <v>4</v>
      </c>
      <c r="M29" s="75">
        <v>4</v>
      </c>
      <c r="N29" s="75">
        <v>4</v>
      </c>
      <c r="O29" s="75">
        <v>4</v>
      </c>
      <c r="P29" s="75">
        <v>4</v>
      </c>
      <c r="Q29" s="75">
        <v>4</v>
      </c>
      <c r="R29" s="75">
        <v>4</v>
      </c>
      <c r="S29" s="75">
        <v>4</v>
      </c>
      <c r="T29" s="75">
        <v>4</v>
      </c>
      <c r="AD29" s="15" t="s">
        <v>248</v>
      </c>
      <c r="AE29"/>
      <c r="AF29"/>
      <c r="AG29"/>
      <c r="AH29"/>
      <c r="AI29"/>
      <c r="AJ29"/>
      <c r="AK29"/>
      <c r="AL29"/>
      <c r="AM29"/>
      <c r="AN29"/>
    </row>
    <row r="31" spans="1:40">
      <c r="A31" s="104" t="s">
        <v>101</v>
      </c>
      <c r="B31" s="108" t="s">
        <v>346</v>
      </c>
      <c r="C31" s="75" t="s">
        <v>274</v>
      </c>
    </row>
    <row r="32" spans="1:40">
      <c r="A32" s="107" t="s">
        <v>339</v>
      </c>
      <c r="B32" s="74" t="s">
        <v>206</v>
      </c>
      <c r="C32" s="75">
        <v>1</v>
      </c>
      <c r="D32" s="75">
        <v>1</v>
      </c>
      <c r="E32" s="75">
        <v>1</v>
      </c>
      <c r="F32" s="75">
        <v>1</v>
      </c>
      <c r="G32" s="75">
        <v>1</v>
      </c>
      <c r="H32" s="75">
        <v>1</v>
      </c>
      <c r="I32" s="75">
        <v>1</v>
      </c>
      <c r="J32" s="75">
        <v>1</v>
      </c>
      <c r="K32" s="75">
        <v>1</v>
      </c>
      <c r="L32" s="75">
        <v>1</v>
      </c>
      <c r="M32" s="75">
        <v>1</v>
      </c>
      <c r="N32" s="75">
        <v>1</v>
      </c>
      <c r="O32" s="75">
        <v>1</v>
      </c>
      <c r="P32" s="75">
        <v>1</v>
      </c>
      <c r="Q32" s="75">
        <v>1</v>
      </c>
      <c r="R32" s="75">
        <v>1</v>
      </c>
      <c r="S32" s="75">
        <v>1</v>
      </c>
      <c r="T32" s="75">
        <v>1</v>
      </c>
    </row>
    <row r="33" spans="1:40">
      <c r="A33" s="107" t="s">
        <v>340</v>
      </c>
      <c r="B33" s="74" t="s">
        <v>207</v>
      </c>
      <c r="C33" s="75">
        <v>1</v>
      </c>
      <c r="D33" s="75">
        <v>2</v>
      </c>
      <c r="E33" s="75">
        <v>2</v>
      </c>
      <c r="F33" s="75">
        <v>2</v>
      </c>
      <c r="G33" s="75">
        <v>2</v>
      </c>
      <c r="H33" s="75">
        <v>2</v>
      </c>
      <c r="I33" s="75">
        <v>2</v>
      </c>
      <c r="J33" s="75">
        <v>2</v>
      </c>
      <c r="K33" s="75">
        <v>2</v>
      </c>
      <c r="L33" s="75">
        <v>2</v>
      </c>
      <c r="M33" s="75">
        <v>2</v>
      </c>
      <c r="N33" s="75">
        <v>2</v>
      </c>
      <c r="O33" s="75">
        <v>2</v>
      </c>
      <c r="P33" s="75">
        <v>2</v>
      </c>
      <c r="Q33" s="75">
        <v>2</v>
      </c>
      <c r="R33" s="75">
        <v>2</v>
      </c>
      <c r="S33" s="75">
        <v>2</v>
      </c>
      <c r="T33" s="75">
        <v>2</v>
      </c>
    </row>
    <row r="34" spans="1:40">
      <c r="A34" s="107" t="s">
        <v>341</v>
      </c>
      <c r="B34" s="74" t="s">
        <v>208</v>
      </c>
      <c r="C34" s="75">
        <v>2</v>
      </c>
      <c r="D34" s="75">
        <v>3</v>
      </c>
      <c r="E34" s="75">
        <v>3</v>
      </c>
      <c r="F34" s="75">
        <v>3</v>
      </c>
      <c r="G34" s="75">
        <v>3</v>
      </c>
      <c r="H34" s="75">
        <v>3</v>
      </c>
      <c r="I34" s="75">
        <v>3</v>
      </c>
      <c r="J34" s="75">
        <v>3</v>
      </c>
      <c r="K34" s="75">
        <v>3</v>
      </c>
      <c r="L34" s="75">
        <v>3</v>
      </c>
      <c r="M34" s="75">
        <v>3</v>
      </c>
      <c r="N34" s="75">
        <v>3</v>
      </c>
      <c r="O34" s="75">
        <v>3</v>
      </c>
      <c r="P34" s="75">
        <v>3</v>
      </c>
      <c r="Q34" s="75">
        <v>3</v>
      </c>
      <c r="R34" s="75">
        <v>3</v>
      </c>
      <c r="S34" s="75">
        <v>3</v>
      </c>
      <c r="T34" s="75">
        <v>3</v>
      </c>
    </row>
    <row r="35" spans="1:40">
      <c r="A35" s="107" t="s">
        <v>342</v>
      </c>
      <c r="B35" s="74" t="s">
        <v>210</v>
      </c>
      <c r="C35" s="75">
        <v>3</v>
      </c>
      <c r="D35" s="75">
        <v>4</v>
      </c>
      <c r="E35" s="75">
        <v>4</v>
      </c>
      <c r="F35" s="75">
        <v>4</v>
      </c>
      <c r="G35" s="75">
        <v>4</v>
      </c>
      <c r="H35" s="75">
        <v>4</v>
      </c>
      <c r="I35" s="75">
        <v>4</v>
      </c>
      <c r="J35" s="75">
        <v>4</v>
      </c>
      <c r="K35" s="75">
        <v>4</v>
      </c>
      <c r="L35" s="75">
        <v>4</v>
      </c>
      <c r="M35" s="75">
        <v>4</v>
      </c>
      <c r="N35" s="75">
        <v>4</v>
      </c>
      <c r="O35" s="75">
        <v>4</v>
      </c>
      <c r="P35" s="75">
        <v>4</v>
      </c>
      <c r="Q35" s="75">
        <v>4</v>
      </c>
      <c r="R35" s="75">
        <v>4</v>
      </c>
      <c r="S35" s="75">
        <v>4</v>
      </c>
      <c r="T35" s="75">
        <v>4</v>
      </c>
    </row>
    <row r="36" spans="1:40">
      <c r="A36" s="107" t="s">
        <v>343</v>
      </c>
      <c r="B36" s="74" t="s">
        <v>209</v>
      </c>
      <c r="C36" s="75">
        <v>4</v>
      </c>
      <c r="D36" s="75">
        <v>5</v>
      </c>
      <c r="E36" s="75">
        <v>5</v>
      </c>
      <c r="F36" s="75">
        <v>5</v>
      </c>
      <c r="G36" s="75">
        <v>5</v>
      </c>
      <c r="H36" s="75">
        <v>5</v>
      </c>
      <c r="I36" s="75">
        <v>5</v>
      </c>
      <c r="J36" s="75">
        <v>5</v>
      </c>
      <c r="K36" s="75">
        <v>5</v>
      </c>
      <c r="L36" s="75">
        <v>5</v>
      </c>
      <c r="M36" s="75">
        <v>5</v>
      </c>
      <c r="N36" s="75">
        <v>5</v>
      </c>
      <c r="O36" s="75">
        <v>5</v>
      </c>
      <c r="P36" s="75">
        <v>5</v>
      </c>
      <c r="Q36" s="75">
        <v>5</v>
      </c>
      <c r="R36" s="75">
        <v>5</v>
      </c>
      <c r="S36" s="75">
        <v>5</v>
      </c>
      <c r="T36" s="75">
        <v>5</v>
      </c>
    </row>
    <row r="38" spans="1:40">
      <c r="B38" s="108" t="s">
        <v>346</v>
      </c>
      <c r="C38" s="75" t="s">
        <v>275</v>
      </c>
    </row>
    <row r="39" spans="1:40">
      <c r="B39" s="74" t="s">
        <v>206</v>
      </c>
      <c r="C39" s="75">
        <v>0.5</v>
      </c>
      <c r="D39" s="75">
        <v>0.5</v>
      </c>
      <c r="E39" s="75">
        <v>0.5</v>
      </c>
      <c r="F39" s="75">
        <v>0.5</v>
      </c>
      <c r="G39" s="75">
        <v>0.5</v>
      </c>
      <c r="H39" s="75">
        <v>0.5</v>
      </c>
      <c r="I39" s="75">
        <v>0.5</v>
      </c>
      <c r="J39" s="75">
        <v>0.5</v>
      </c>
      <c r="K39" s="75">
        <v>0.5</v>
      </c>
      <c r="L39" s="75">
        <v>0.5</v>
      </c>
      <c r="M39" s="75">
        <v>0.5</v>
      </c>
      <c r="N39" s="75">
        <v>0.5</v>
      </c>
      <c r="O39" s="75">
        <v>0.5</v>
      </c>
      <c r="P39" s="75">
        <v>0.5</v>
      </c>
      <c r="Q39" s="75">
        <v>0.5</v>
      </c>
      <c r="R39" s="75">
        <v>0.5</v>
      </c>
      <c r="S39" s="75">
        <v>0.5</v>
      </c>
      <c r="T39" s="75">
        <v>0.5</v>
      </c>
    </row>
    <row r="40" spans="1:40">
      <c r="B40" s="74" t="s">
        <v>207</v>
      </c>
      <c r="C40" s="75">
        <v>1.5</v>
      </c>
      <c r="D40" s="75">
        <v>1</v>
      </c>
      <c r="E40" s="75">
        <v>1</v>
      </c>
      <c r="F40" s="75">
        <v>1</v>
      </c>
      <c r="G40" s="75">
        <v>1</v>
      </c>
      <c r="H40" s="75">
        <v>1</v>
      </c>
      <c r="I40" s="75">
        <v>1</v>
      </c>
      <c r="J40" s="75">
        <v>1</v>
      </c>
      <c r="K40" s="75">
        <v>1</v>
      </c>
      <c r="L40" s="75">
        <v>1</v>
      </c>
      <c r="M40" s="75">
        <v>1</v>
      </c>
      <c r="N40" s="75">
        <v>1</v>
      </c>
      <c r="O40" s="75">
        <v>1</v>
      </c>
      <c r="P40" s="75">
        <v>1</v>
      </c>
      <c r="Q40" s="75">
        <v>1</v>
      </c>
      <c r="R40" s="75">
        <v>1</v>
      </c>
      <c r="S40" s="75">
        <v>1</v>
      </c>
      <c r="T40" s="75">
        <v>1</v>
      </c>
    </row>
    <row r="41" spans="1:40">
      <c r="B41" s="74" t="s">
        <v>208</v>
      </c>
      <c r="C41" s="75">
        <v>3</v>
      </c>
      <c r="D41" s="75">
        <v>3</v>
      </c>
      <c r="E41" s="75">
        <v>3</v>
      </c>
      <c r="F41" s="75">
        <v>3</v>
      </c>
      <c r="G41" s="75">
        <v>3</v>
      </c>
      <c r="H41" s="75">
        <v>3</v>
      </c>
      <c r="I41" s="75">
        <v>3</v>
      </c>
      <c r="J41" s="75">
        <v>3</v>
      </c>
      <c r="K41" s="75">
        <v>3</v>
      </c>
      <c r="L41" s="75">
        <v>3</v>
      </c>
      <c r="M41" s="75">
        <v>3</v>
      </c>
      <c r="N41" s="75">
        <v>3</v>
      </c>
      <c r="O41" s="75">
        <v>3</v>
      </c>
      <c r="P41" s="75">
        <v>3</v>
      </c>
      <c r="Q41" s="75">
        <v>3</v>
      </c>
      <c r="R41" s="75">
        <v>3</v>
      </c>
      <c r="S41" s="75">
        <v>3</v>
      </c>
      <c r="T41" s="75">
        <v>3</v>
      </c>
    </row>
    <row r="42" spans="1:40">
      <c r="B42" s="74" t="s">
        <v>210</v>
      </c>
      <c r="C42" s="75">
        <v>4</v>
      </c>
      <c r="D42" s="75">
        <v>4</v>
      </c>
      <c r="E42" s="75">
        <v>4</v>
      </c>
      <c r="F42" s="75">
        <v>4</v>
      </c>
      <c r="G42" s="75">
        <v>4</v>
      </c>
      <c r="H42" s="75">
        <v>4</v>
      </c>
      <c r="I42" s="75">
        <v>4</v>
      </c>
      <c r="J42" s="75">
        <v>4</v>
      </c>
      <c r="K42" s="75">
        <v>4</v>
      </c>
      <c r="L42" s="75">
        <v>4</v>
      </c>
      <c r="M42" s="75">
        <v>4</v>
      </c>
      <c r="N42" s="75">
        <v>4</v>
      </c>
      <c r="O42" s="75">
        <v>4</v>
      </c>
      <c r="P42" s="75">
        <v>4</v>
      </c>
      <c r="Q42" s="75">
        <v>4</v>
      </c>
      <c r="R42" s="75">
        <v>4</v>
      </c>
      <c r="S42" s="75">
        <v>4</v>
      </c>
      <c r="T42" s="75">
        <v>4</v>
      </c>
    </row>
    <row r="43" spans="1:40" ht="18">
      <c r="B43" s="74" t="s">
        <v>209</v>
      </c>
      <c r="C43" s="75">
        <v>5</v>
      </c>
      <c r="D43" s="75">
        <v>5</v>
      </c>
      <c r="E43" s="75">
        <v>5</v>
      </c>
      <c r="F43" s="75">
        <v>5</v>
      </c>
      <c r="G43" s="75">
        <v>5</v>
      </c>
      <c r="H43" s="75">
        <v>5</v>
      </c>
      <c r="I43" s="75">
        <v>5</v>
      </c>
      <c r="J43" s="75">
        <v>5</v>
      </c>
      <c r="K43" s="75">
        <v>5</v>
      </c>
      <c r="L43" s="75">
        <v>5</v>
      </c>
      <c r="M43" s="75">
        <v>5</v>
      </c>
      <c r="N43" s="75">
        <v>5</v>
      </c>
      <c r="O43" s="75">
        <v>5</v>
      </c>
      <c r="P43" s="75">
        <v>5</v>
      </c>
      <c r="Q43" s="75">
        <v>5</v>
      </c>
      <c r="R43" s="75">
        <v>5</v>
      </c>
      <c r="S43" s="75">
        <v>5</v>
      </c>
      <c r="T43" s="75">
        <v>5</v>
      </c>
      <c r="AD43" s="15" t="s">
        <v>248</v>
      </c>
      <c r="AE43"/>
      <c r="AF43"/>
      <c r="AG43"/>
      <c r="AH43"/>
      <c r="AI43"/>
      <c r="AJ43"/>
      <c r="AK43"/>
      <c r="AL43"/>
      <c r="AM43"/>
      <c r="AN43"/>
    </row>
    <row r="44" spans="1:40">
      <c r="AD44" s="4" t="s">
        <v>250</v>
      </c>
      <c r="AE44" s="7" t="s">
        <v>263</v>
      </c>
      <c r="AF44"/>
      <c r="AG44"/>
      <c r="AH44"/>
      <c r="AI44"/>
      <c r="AJ44"/>
      <c r="AK44"/>
      <c r="AL44"/>
      <c r="AM44" s="7" t="s">
        <v>264</v>
      </c>
      <c r="AN44"/>
    </row>
    <row r="45" spans="1:40">
      <c r="B45" s="108" t="s">
        <v>347</v>
      </c>
      <c r="C45" s="75" t="s">
        <v>276</v>
      </c>
      <c r="AD45" s="7" t="s">
        <v>252</v>
      </c>
      <c r="AE45" s="7" t="s">
        <v>266</v>
      </c>
      <c r="AF45"/>
      <c r="AG45"/>
      <c r="AH45"/>
      <c r="AI45"/>
      <c r="AJ45"/>
      <c r="AK45"/>
      <c r="AL45">
        <v>1</v>
      </c>
      <c r="AM45" s="7" t="s">
        <v>268</v>
      </c>
      <c r="AN45"/>
    </row>
    <row r="46" spans="1:40">
      <c r="B46" s="74" t="s">
        <v>206</v>
      </c>
      <c r="C46" s="75">
        <v>0</v>
      </c>
      <c r="D46" s="75">
        <v>0</v>
      </c>
      <c r="E46" s="75">
        <v>0</v>
      </c>
      <c r="F46" s="75">
        <v>0</v>
      </c>
      <c r="G46" s="75">
        <v>0</v>
      </c>
      <c r="H46" s="75">
        <v>0</v>
      </c>
      <c r="I46" s="75">
        <v>0</v>
      </c>
      <c r="J46" s="75">
        <v>0</v>
      </c>
      <c r="K46" s="75">
        <v>0</v>
      </c>
      <c r="L46" s="75">
        <v>0</v>
      </c>
      <c r="M46" s="75">
        <v>0</v>
      </c>
      <c r="N46" s="75">
        <v>0</v>
      </c>
      <c r="O46" s="75">
        <v>0</v>
      </c>
      <c r="P46" s="75">
        <v>0</v>
      </c>
      <c r="Q46" s="75">
        <v>0</v>
      </c>
      <c r="R46" s="75">
        <v>0</v>
      </c>
      <c r="S46" s="75">
        <v>0</v>
      </c>
      <c r="T46" s="75">
        <v>0</v>
      </c>
      <c r="AD46" s="72" t="s">
        <v>253</v>
      </c>
      <c r="AE46"/>
      <c r="AF46"/>
      <c r="AG46"/>
      <c r="AH46"/>
      <c r="AI46"/>
      <c r="AJ46"/>
      <c r="AK46"/>
      <c r="AL46">
        <v>2</v>
      </c>
      <c r="AM46" s="7" t="s">
        <v>269</v>
      </c>
      <c r="AN46"/>
    </row>
    <row r="47" spans="1:40">
      <c r="B47" s="74" t="s">
        <v>207</v>
      </c>
      <c r="C47" s="75">
        <v>0</v>
      </c>
      <c r="D47" s="75">
        <v>0</v>
      </c>
      <c r="E47" s="75">
        <v>0</v>
      </c>
      <c r="F47" s="75">
        <v>0</v>
      </c>
      <c r="G47" s="75">
        <v>0</v>
      </c>
      <c r="H47" s="75">
        <v>0</v>
      </c>
      <c r="I47" s="75">
        <v>0</v>
      </c>
      <c r="J47" s="75">
        <v>0</v>
      </c>
      <c r="K47" s="75">
        <v>0</v>
      </c>
      <c r="L47" s="75">
        <v>0</v>
      </c>
      <c r="M47" s="75">
        <v>0</v>
      </c>
      <c r="N47" s="75">
        <v>0</v>
      </c>
      <c r="O47" s="75">
        <v>0</v>
      </c>
      <c r="P47" s="75">
        <v>0</v>
      </c>
      <c r="Q47" s="75">
        <v>0</v>
      </c>
      <c r="R47" s="75">
        <v>0</v>
      </c>
      <c r="S47" s="75">
        <v>0</v>
      </c>
      <c r="T47" s="75">
        <v>0</v>
      </c>
      <c r="AD47" s="72" t="s">
        <v>254</v>
      </c>
      <c r="AE47"/>
      <c r="AF47"/>
      <c r="AG47"/>
      <c r="AH47"/>
      <c r="AI47"/>
      <c r="AJ47"/>
      <c r="AK47"/>
      <c r="AL47">
        <v>3</v>
      </c>
      <c r="AM47" s="7" t="s">
        <v>267</v>
      </c>
      <c r="AN47"/>
    </row>
    <row r="48" spans="1:40">
      <c r="B48" s="74" t="s">
        <v>208</v>
      </c>
      <c r="C48" s="75">
        <v>2</v>
      </c>
      <c r="D48" s="75">
        <v>2</v>
      </c>
      <c r="E48" s="75">
        <v>2</v>
      </c>
      <c r="F48" s="75">
        <v>2</v>
      </c>
      <c r="G48" s="75">
        <v>2</v>
      </c>
      <c r="H48" s="75">
        <v>2</v>
      </c>
      <c r="I48" s="75">
        <v>2</v>
      </c>
      <c r="J48" s="75">
        <v>2</v>
      </c>
      <c r="K48" s="75">
        <v>2</v>
      </c>
      <c r="L48" s="75">
        <v>2</v>
      </c>
      <c r="M48" s="75">
        <v>2</v>
      </c>
      <c r="N48" s="75">
        <v>2</v>
      </c>
      <c r="O48" s="75">
        <v>2</v>
      </c>
      <c r="P48" s="75">
        <v>2</v>
      </c>
      <c r="Q48" s="75">
        <v>2</v>
      </c>
      <c r="R48" s="75">
        <v>2</v>
      </c>
      <c r="S48" s="75">
        <v>2</v>
      </c>
      <c r="T48" s="75">
        <v>2</v>
      </c>
      <c r="AD48" s="7" t="s">
        <v>265</v>
      </c>
      <c r="AE48"/>
      <c r="AF48"/>
      <c r="AG48"/>
      <c r="AH48"/>
      <c r="AI48"/>
      <c r="AJ48"/>
      <c r="AK48"/>
      <c r="AL48"/>
      <c r="AM48"/>
      <c r="AN48"/>
    </row>
    <row r="49" spans="2:40">
      <c r="B49" s="74" t="s">
        <v>210</v>
      </c>
      <c r="C49" s="75">
        <v>4</v>
      </c>
      <c r="D49" s="75">
        <v>4</v>
      </c>
      <c r="E49" s="75">
        <v>4</v>
      </c>
      <c r="F49" s="75">
        <v>4</v>
      </c>
      <c r="G49" s="75">
        <v>4</v>
      </c>
      <c r="H49" s="75">
        <v>4</v>
      </c>
      <c r="I49" s="75">
        <v>4</v>
      </c>
      <c r="J49" s="75">
        <v>4</v>
      </c>
      <c r="K49" s="75">
        <v>4</v>
      </c>
      <c r="L49" s="75">
        <v>4</v>
      </c>
      <c r="M49" s="75">
        <v>4</v>
      </c>
      <c r="N49" s="75">
        <v>4</v>
      </c>
      <c r="O49" s="75">
        <v>4</v>
      </c>
      <c r="P49" s="75">
        <v>4</v>
      </c>
      <c r="Q49" s="75">
        <v>4</v>
      </c>
      <c r="R49" s="75">
        <v>4</v>
      </c>
      <c r="S49" s="75">
        <v>4</v>
      </c>
      <c r="T49" s="75">
        <v>4</v>
      </c>
      <c r="AD49" s="4"/>
      <c r="AE49"/>
      <c r="AF49"/>
      <c r="AG49"/>
      <c r="AH49"/>
      <c r="AI49"/>
      <c r="AJ49"/>
      <c r="AK49"/>
      <c r="AL49"/>
      <c r="AM49"/>
      <c r="AN49"/>
    </row>
    <row r="50" spans="2:40">
      <c r="B50" s="74" t="s">
        <v>209</v>
      </c>
      <c r="C50" s="75">
        <v>6</v>
      </c>
      <c r="D50" s="75">
        <v>6</v>
      </c>
      <c r="E50" s="75">
        <v>6</v>
      </c>
      <c r="F50" s="75">
        <v>6</v>
      </c>
      <c r="G50" s="75">
        <v>6</v>
      </c>
      <c r="H50" s="75">
        <v>6</v>
      </c>
      <c r="I50" s="75">
        <v>6</v>
      </c>
      <c r="J50" s="75">
        <v>6</v>
      </c>
      <c r="K50" s="75">
        <v>6</v>
      </c>
      <c r="L50" s="75">
        <v>6</v>
      </c>
      <c r="M50" s="75">
        <v>6</v>
      </c>
      <c r="N50" s="75">
        <v>6</v>
      </c>
      <c r="O50" s="75">
        <v>6</v>
      </c>
      <c r="P50" s="75">
        <v>6</v>
      </c>
      <c r="Q50" s="75">
        <v>6</v>
      </c>
      <c r="R50" s="75">
        <v>6</v>
      </c>
      <c r="S50" s="75">
        <v>6</v>
      </c>
      <c r="T50" s="75">
        <v>6</v>
      </c>
      <c r="AD50" s="4" t="s">
        <v>137</v>
      </c>
      <c r="AE50"/>
      <c r="AF50"/>
      <c r="AG50"/>
      <c r="AH50"/>
      <c r="AI50"/>
      <c r="AJ50"/>
      <c r="AK50"/>
      <c r="AL50"/>
      <c r="AM50"/>
      <c r="AN50"/>
    </row>
    <row r="51" spans="2:40">
      <c r="AD51" t="s">
        <v>255</v>
      </c>
      <c r="AE51"/>
      <c r="AF51"/>
      <c r="AG51"/>
      <c r="AH51"/>
      <c r="AI51"/>
      <c r="AJ51"/>
      <c r="AK51"/>
      <c r="AL51"/>
      <c r="AM51"/>
      <c r="AN51"/>
    </row>
    <row r="52" spans="2:40">
      <c r="B52" s="108" t="s">
        <v>347</v>
      </c>
      <c r="C52" s="75" t="s">
        <v>277</v>
      </c>
      <c r="AD52" s="73" t="s">
        <v>256</v>
      </c>
      <c r="AE52"/>
      <c r="AF52"/>
      <c r="AG52"/>
      <c r="AH52"/>
      <c r="AI52"/>
      <c r="AJ52"/>
      <c r="AK52"/>
      <c r="AL52"/>
      <c r="AM52"/>
      <c r="AN52"/>
    </row>
    <row r="53" spans="2:40">
      <c r="B53" s="74" t="s">
        <v>206</v>
      </c>
      <c r="C53" s="75">
        <v>0</v>
      </c>
      <c r="D53" s="75">
        <v>0</v>
      </c>
      <c r="E53" s="75">
        <v>0</v>
      </c>
      <c r="F53" s="75">
        <v>0</v>
      </c>
      <c r="G53" s="75">
        <v>0</v>
      </c>
      <c r="H53" s="75">
        <v>0</v>
      </c>
      <c r="I53" s="75">
        <v>0</v>
      </c>
      <c r="J53" s="75">
        <v>0</v>
      </c>
      <c r="K53" s="75">
        <v>0</v>
      </c>
      <c r="L53" s="75">
        <v>0</v>
      </c>
      <c r="M53" s="75">
        <v>0</v>
      </c>
      <c r="N53" s="75">
        <v>0</v>
      </c>
      <c r="O53" s="75">
        <v>0</v>
      </c>
      <c r="P53" s="75">
        <v>0</v>
      </c>
      <c r="Q53" s="75">
        <v>0</v>
      </c>
      <c r="R53" s="75">
        <v>0</v>
      </c>
      <c r="S53" s="75">
        <v>0</v>
      </c>
      <c r="T53" s="75">
        <v>0</v>
      </c>
      <c r="AD53" s="73" t="s">
        <v>257</v>
      </c>
      <c r="AE53"/>
      <c r="AF53"/>
      <c r="AG53"/>
      <c r="AH53"/>
      <c r="AI53"/>
      <c r="AJ53"/>
      <c r="AK53"/>
      <c r="AL53"/>
      <c r="AM53"/>
      <c r="AN53"/>
    </row>
    <row r="54" spans="2:40">
      <c r="B54" s="74" t="s">
        <v>207</v>
      </c>
      <c r="C54" s="75">
        <v>0</v>
      </c>
      <c r="D54" s="75">
        <v>0</v>
      </c>
      <c r="E54" s="75">
        <v>0</v>
      </c>
      <c r="F54" s="75">
        <v>0</v>
      </c>
      <c r="G54" s="75">
        <v>0</v>
      </c>
      <c r="H54" s="75">
        <v>0</v>
      </c>
      <c r="I54" s="75">
        <v>0</v>
      </c>
      <c r="J54" s="75">
        <v>0</v>
      </c>
      <c r="K54" s="75">
        <v>0</v>
      </c>
      <c r="L54" s="75">
        <v>0</v>
      </c>
      <c r="M54" s="75">
        <v>0</v>
      </c>
      <c r="N54" s="75">
        <v>0</v>
      </c>
      <c r="O54" s="75">
        <v>0</v>
      </c>
      <c r="P54" s="75">
        <v>0</v>
      </c>
      <c r="Q54" s="75">
        <v>0</v>
      </c>
      <c r="R54" s="75">
        <v>0</v>
      </c>
      <c r="S54" s="75">
        <v>0</v>
      </c>
      <c r="T54" s="75">
        <v>0</v>
      </c>
      <c r="AD54"/>
      <c r="AE54"/>
      <c r="AF54"/>
      <c r="AG54"/>
      <c r="AH54"/>
      <c r="AI54"/>
      <c r="AJ54"/>
      <c r="AK54"/>
      <c r="AL54"/>
      <c r="AM54"/>
      <c r="AN54"/>
    </row>
    <row r="55" spans="2:40">
      <c r="B55" s="74" t="s">
        <v>208</v>
      </c>
      <c r="C55" s="75">
        <v>2</v>
      </c>
      <c r="D55" s="75">
        <v>2</v>
      </c>
      <c r="E55" s="75">
        <v>2</v>
      </c>
      <c r="F55" s="75">
        <v>2</v>
      </c>
      <c r="G55" s="75">
        <v>2</v>
      </c>
      <c r="H55" s="75">
        <v>2</v>
      </c>
      <c r="I55" s="75">
        <v>2</v>
      </c>
      <c r="J55" s="75">
        <v>2</v>
      </c>
      <c r="K55" s="75">
        <v>2</v>
      </c>
      <c r="L55" s="75">
        <v>2</v>
      </c>
      <c r="M55" s="75">
        <v>2</v>
      </c>
      <c r="N55" s="75">
        <v>2</v>
      </c>
      <c r="O55" s="75">
        <v>2</v>
      </c>
      <c r="P55" s="75">
        <v>2</v>
      </c>
      <c r="Q55" s="75">
        <v>2</v>
      </c>
      <c r="R55" s="75">
        <v>2</v>
      </c>
      <c r="S55" s="75">
        <v>2</v>
      </c>
      <c r="T55" s="75">
        <v>2</v>
      </c>
      <c r="AD55"/>
      <c r="AE55"/>
      <c r="AF55"/>
      <c r="AG55"/>
      <c r="AH55"/>
      <c r="AI55"/>
      <c r="AJ55"/>
      <c r="AK55"/>
      <c r="AL55"/>
      <c r="AM55"/>
      <c r="AN55"/>
    </row>
    <row r="56" spans="2:40" ht="18">
      <c r="B56" s="74" t="s">
        <v>210</v>
      </c>
      <c r="C56" s="75">
        <v>4</v>
      </c>
      <c r="D56" s="75">
        <v>4</v>
      </c>
      <c r="E56" s="75">
        <v>4</v>
      </c>
      <c r="F56" s="75">
        <v>4</v>
      </c>
      <c r="G56" s="75">
        <v>4</v>
      </c>
      <c r="H56" s="75">
        <v>4</v>
      </c>
      <c r="I56" s="75">
        <v>4</v>
      </c>
      <c r="J56" s="75">
        <v>4</v>
      </c>
      <c r="K56" s="75">
        <v>4</v>
      </c>
      <c r="L56" s="75">
        <v>4</v>
      </c>
      <c r="M56" s="75">
        <v>4</v>
      </c>
      <c r="N56" s="75">
        <v>4</v>
      </c>
      <c r="O56" s="75">
        <v>4</v>
      </c>
      <c r="P56" s="75">
        <v>4</v>
      </c>
      <c r="Q56" s="75">
        <v>4</v>
      </c>
      <c r="R56" s="75">
        <v>4</v>
      </c>
      <c r="S56" s="75">
        <v>4</v>
      </c>
      <c r="T56" s="75">
        <v>4</v>
      </c>
      <c r="AD56" s="15" t="s">
        <v>249</v>
      </c>
      <c r="AE56"/>
      <c r="AF56"/>
      <c r="AG56"/>
      <c r="AH56"/>
      <c r="AI56"/>
      <c r="AJ56"/>
      <c r="AK56"/>
      <c r="AL56"/>
      <c r="AM56"/>
      <c r="AN56"/>
    </row>
    <row r="57" spans="2:40">
      <c r="B57" s="74" t="s">
        <v>209</v>
      </c>
      <c r="C57" s="75">
        <v>6</v>
      </c>
      <c r="D57" s="75">
        <v>6</v>
      </c>
      <c r="E57" s="75">
        <v>6</v>
      </c>
      <c r="F57" s="75">
        <v>6</v>
      </c>
      <c r="G57" s="75">
        <v>6</v>
      </c>
      <c r="H57" s="75">
        <v>6</v>
      </c>
      <c r="I57" s="75">
        <v>6</v>
      </c>
      <c r="J57" s="75">
        <v>6</v>
      </c>
      <c r="K57" s="75">
        <v>6</v>
      </c>
      <c r="L57" s="75">
        <v>6</v>
      </c>
      <c r="M57" s="75">
        <v>6</v>
      </c>
      <c r="N57" s="75">
        <v>6</v>
      </c>
      <c r="O57" s="75">
        <v>6</v>
      </c>
      <c r="P57" s="75">
        <v>6</v>
      </c>
      <c r="Q57" s="75">
        <v>6</v>
      </c>
      <c r="R57" s="75">
        <v>6</v>
      </c>
      <c r="S57" s="75">
        <v>6</v>
      </c>
      <c r="T57" s="75">
        <v>6</v>
      </c>
      <c r="AD57" s="4" t="s">
        <v>250</v>
      </c>
      <c r="AE57"/>
      <c r="AF57"/>
      <c r="AG57"/>
      <c r="AH57"/>
      <c r="AI57"/>
      <c r="AJ57"/>
      <c r="AK57"/>
      <c r="AL57"/>
      <c r="AM57"/>
      <c r="AN57"/>
    </row>
    <row r="58" spans="2:40">
      <c r="AD58" s="7" t="s">
        <v>258</v>
      </c>
      <c r="AE58"/>
      <c r="AF58"/>
      <c r="AG58"/>
      <c r="AH58"/>
      <c r="AI58"/>
      <c r="AJ58"/>
      <c r="AK58"/>
      <c r="AL58"/>
      <c r="AM58"/>
      <c r="AN58"/>
    </row>
    <row r="59" spans="2:40">
      <c r="B59" s="108" t="s">
        <v>347</v>
      </c>
      <c r="C59" s="75" t="s">
        <v>278</v>
      </c>
      <c r="AD59" s="7" t="s">
        <v>259</v>
      </c>
      <c r="AE59"/>
      <c r="AF59"/>
      <c r="AG59"/>
      <c r="AH59"/>
      <c r="AI59"/>
      <c r="AJ59"/>
      <c r="AK59"/>
      <c r="AL59"/>
      <c r="AM59"/>
      <c r="AN59"/>
    </row>
    <row r="60" spans="2:40">
      <c r="B60" s="74" t="s">
        <v>206</v>
      </c>
      <c r="C60" s="79">
        <v>0</v>
      </c>
      <c r="D60" s="79">
        <v>0</v>
      </c>
      <c r="E60" s="79">
        <v>0</v>
      </c>
      <c r="F60" s="79">
        <v>0</v>
      </c>
      <c r="G60" s="79">
        <v>0</v>
      </c>
      <c r="H60" s="79">
        <v>0</v>
      </c>
      <c r="I60" s="79">
        <v>0</v>
      </c>
      <c r="J60" s="79">
        <v>0</v>
      </c>
      <c r="K60" s="79">
        <v>0</v>
      </c>
      <c r="L60" s="79">
        <v>0</v>
      </c>
      <c r="M60" s="79">
        <v>0</v>
      </c>
      <c r="N60" s="79">
        <v>0</v>
      </c>
      <c r="O60" s="79">
        <v>0</v>
      </c>
      <c r="P60" s="79">
        <v>0</v>
      </c>
      <c r="Q60" s="79">
        <v>0</v>
      </c>
      <c r="R60" s="79">
        <v>0</v>
      </c>
      <c r="S60" s="79">
        <v>0</v>
      </c>
      <c r="T60" s="79">
        <v>0</v>
      </c>
      <c r="AD60"/>
      <c r="AE60"/>
      <c r="AF60"/>
      <c r="AG60"/>
      <c r="AH60"/>
      <c r="AI60"/>
      <c r="AJ60"/>
      <c r="AK60"/>
      <c r="AL60"/>
      <c r="AM60"/>
      <c r="AN60"/>
    </row>
    <row r="61" spans="2:40">
      <c r="B61" s="74" t="s">
        <v>207</v>
      </c>
      <c r="C61" s="79">
        <v>0</v>
      </c>
      <c r="D61" s="79">
        <v>0</v>
      </c>
      <c r="E61" s="79">
        <v>0</v>
      </c>
      <c r="F61" s="79">
        <v>0</v>
      </c>
      <c r="G61" s="79">
        <v>0</v>
      </c>
      <c r="H61" s="79">
        <v>0</v>
      </c>
      <c r="I61" s="79">
        <v>0</v>
      </c>
      <c r="J61" s="79">
        <v>0</v>
      </c>
      <c r="K61" s="79">
        <v>0</v>
      </c>
      <c r="L61" s="79">
        <v>0</v>
      </c>
      <c r="M61" s="79">
        <v>0</v>
      </c>
      <c r="N61" s="79">
        <v>0</v>
      </c>
      <c r="O61" s="79">
        <v>0</v>
      </c>
      <c r="P61" s="79">
        <v>0</v>
      </c>
      <c r="Q61" s="79">
        <v>0</v>
      </c>
      <c r="R61" s="79">
        <v>0</v>
      </c>
      <c r="S61" s="79">
        <v>0</v>
      </c>
      <c r="T61" s="79">
        <v>0</v>
      </c>
      <c r="AD61"/>
      <c r="AE61"/>
      <c r="AF61"/>
      <c r="AG61"/>
      <c r="AH61"/>
      <c r="AI61"/>
      <c r="AJ61"/>
      <c r="AK61"/>
      <c r="AL61"/>
      <c r="AM61"/>
      <c r="AN61"/>
    </row>
    <row r="62" spans="2:40">
      <c r="B62" s="74" t="s">
        <v>208</v>
      </c>
      <c r="C62" s="79">
        <v>0.3</v>
      </c>
      <c r="D62" s="79">
        <v>0.3</v>
      </c>
      <c r="E62" s="79">
        <v>0.3</v>
      </c>
      <c r="F62" s="79">
        <v>0.3</v>
      </c>
      <c r="G62" s="79">
        <v>0.3</v>
      </c>
      <c r="H62" s="79">
        <v>0.3</v>
      </c>
      <c r="I62" s="79">
        <v>0.3</v>
      </c>
      <c r="J62" s="79">
        <v>0.3</v>
      </c>
      <c r="K62" s="79">
        <v>0.3</v>
      </c>
      <c r="L62" s="79">
        <v>0.3</v>
      </c>
      <c r="M62" s="79">
        <v>0.3</v>
      </c>
      <c r="N62" s="79">
        <v>0.3</v>
      </c>
      <c r="O62" s="79">
        <v>0.3</v>
      </c>
      <c r="P62" s="79">
        <v>0.3</v>
      </c>
      <c r="Q62" s="79">
        <v>0.3</v>
      </c>
      <c r="R62" s="79">
        <v>0.3</v>
      </c>
      <c r="S62" s="79">
        <v>0.3</v>
      </c>
      <c r="T62" s="79">
        <v>0.3</v>
      </c>
      <c r="AD62"/>
      <c r="AE62"/>
      <c r="AF62"/>
      <c r="AG62"/>
      <c r="AH62"/>
      <c r="AI62"/>
      <c r="AJ62"/>
      <c r="AK62"/>
      <c r="AL62"/>
      <c r="AM62"/>
      <c r="AN62"/>
    </row>
    <row r="63" spans="2:40">
      <c r="B63" s="74" t="s">
        <v>210</v>
      </c>
      <c r="C63" s="79">
        <v>0.3</v>
      </c>
      <c r="D63" s="79">
        <v>0.3</v>
      </c>
      <c r="E63" s="79">
        <v>0.3</v>
      </c>
      <c r="F63" s="79">
        <v>0.3</v>
      </c>
      <c r="G63" s="79">
        <v>0.3</v>
      </c>
      <c r="H63" s="79">
        <v>0.3</v>
      </c>
      <c r="I63" s="79">
        <v>0.3</v>
      </c>
      <c r="J63" s="79">
        <v>0.3</v>
      </c>
      <c r="K63" s="79">
        <v>0.3</v>
      </c>
      <c r="L63" s="79">
        <v>0.3</v>
      </c>
      <c r="M63" s="79">
        <v>0.3</v>
      </c>
      <c r="N63" s="79">
        <v>0.3</v>
      </c>
      <c r="O63" s="79">
        <v>0.3</v>
      </c>
      <c r="P63" s="79">
        <v>0.3</v>
      </c>
      <c r="Q63" s="79">
        <v>0.3</v>
      </c>
      <c r="R63" s="79">
        <v>0.3</v>
      </c>
      <c r="S63" s="79">
        <v>0.3</v>
      </c>
      <c r="T63" s="79">
        <v>0.3</v>
      </c>
      <c r="AD63" s="4" t="s">
        <v>137</v>
      </c>
      <c r="AE63"/>
      <c r="AF63"/>
      <c r="AG63"/>
      <c r="AH63"/>
      <c r="AI63"/>
      <c r="AJ63"/>
      <c r="AK63"/>
      <c r="AL63"/>
      <c r="AM63"/>
      <c r="AN63"/>
    </row>
    <row r="64" spans="2:40">
      <c r="B64" s="74" t="s">
        <v>209</v>
      </c>
      <c r="C64" s="79">
        <v>0.3</v>
      </c>
      <c r="D64" s="79">
        <v>0.3</v>
      </c>
      <c r="E64" s="79">
        <v>0.3</v>
      </c>
      <c r="F64" s="79">
        <v>0.3</v>
      </c>
      <c r="G64" s="79">
        <v>0.3</v>
      </c>
      <c r="H64" s="79">
        <v>0.3</v>
      </c>
      <c r="I64" s="79">
        <v>0.3</v>
      </c>
      <c r="J64" s="79">
        <v>0.3</v>
      </c>
      <c r="K64" s="79">
        <v>0.3</v>
      </c>
      <c r="L64" s="79">
        <v>0.3</v>
      </c>
      <c r="M64" s="79">
        <v>0.3</v>
      </c>
      <c r="N64" s="79">
        <v>0.3</v>
      </c>
      <c r="O64" s="79">
        <v>0.3</v>
      </c>
      <c r="P64" s="79">
        <v>0.3</v>
      </c>
      <c r="Q64" s="79">
        <v>0.3</v>
      </c>
      <c r="R64" s="79">
        <v>0.3</v>
      </c>
      <c r="S64" s="79">
        <v>0.3</v>
      </c>
      <c r="T64" s="79">
        <v>0.3</v>
      </c>
      <c r="AD64" s="7" t="s">
        <v>260</v>
      </c>
      <c r="AE64"/>
      <c r="AF64"/>
      <c r="AG64"/>
      <c r="AH64"/>
      <c r="AI64"/>
      <c r="AJ64"/>
      <c r="AK64"/>
      <c r="AL64"/>
      <c r="AM64"/>
      <c r="AN64"/>
    </row>
    <row r="65" spans="2:40">
      <c r="C65" s="79"/>
      <c r="D65" s="79"/>
      <c r="E65" s="79"/>
      <c r="F65" s="79"/>
      <c r="G65" s="79"/>
      <c r="H65" s="79"/>
      <c r="I65" s="79"/>
      <c r="J65" s="79"/>
      <c r="K65" s="79"/>
      <c r="L65" s="79"/>
      <c r="M65" s="79"/>
      <c r="N65" s="79"/>
      <c r="O65" s="79"/>
      <c r="P65" s="79"/>
      <c r="Q65" s="79"/>
      <c r="R65" s="79"/>
      <c r="S65" s="79"/>
      <c r="T65" s="79"/>
      <c r="AD65" s="7"/>
      <c r="AE65"/>
      <c r="AF65"/>
      <c r="AG65"/>
      <c r="AH65"/>
      <c r="AI65"/>
      <c r="AJ65"/>
      <c r="AK65"/>
      <c r="AL65"/>
      <c r="AM65"/>
      <c r="AN65"/>
    </row>
    <row r="66" spans="2:40">
      <c r="B66" s="108" t="s">
        <v>347</v>
      </c>
      <c r="C66" s="92" t="s">
        <v>322</v>
      </c>
      <c r="AD66" s="7" t="s">
        <v>259</v>
      </c>
      <c r="AE66"/>
      <c r="AF66"/>
      <c r="AG66"/>
      <c r="AH66"/>
      <c r="AI66"/>
      <c r="AJ66"/>
      <c r="AK66"/>
      <c r="AL66"/>
      <c r="AM66"/>
      <c r="AN66"/>
    </row>
    <row r="67" spans="2:40">
      <c r="B67" s="74" t="s">
        <v>206</v>
      </c>
      <c r="C67" s="79">
        <v>0.05</v>
      </c>
      <c r="D67" s="79">
        <v>0.05</v>
      </c>
      <c r="E67" s="79">
        <v>0.05</v>
      </c>
      <c r="F67" s="79">
        <v>0.05</v>
      </c>
      <c r="G67" s="79">
        <v>0.05</v>
      </c>
      <c r="H67" s="79">
        <v>0.05</v>
      </c>
      <c r="I67" s="79">
        <v>0.05</v>
      </c>
      <c r="J67" s="79">
        <v>0.05</v>
      </c>
      <c r="K67" s="79">
        <v>0.05</v>
      </c>
      <c r="L67" s="79">
        <v>0.05</v>
      </c>
      <c r="M67" s="79">
        <v>0.05</v>
      </c>
      <c r="N67" s="79">
        <v>0.05</v>
      </c>
      <c r="O67" s="79">
        <v>0.05</v>
      </c>
      <c r="P67" s="79">
        <v>0.05</v>
      </c>
      <c r="Q67" s="79">
        <v>0.05</v>
      </c>
      <c r="R67" s="79">
        <v>0.05</v>
      </c>
      <c r="S67" s="79">
        <v>0.05</v>
      </c>
      <c r="T67" s="79">
        <v>0.05</v>
      </c>
      <c r="AD67"/>
      <c r="AE67"/>
      <c r="AF67"/>
      <c r="AG67"/>
      <c r="AH67"/>
      <c r="AI67"/>
      <c r="AJ67"/>
      <c r="AK67"/>
      <c r="AL67"/>
      <c r="AM67"/>
      <c r="AN67"/>
    </row>
    <row r="68" spans="2:40">
      <c r="B68" s="74" t="s">
        <v>207</v>
      </c>
      <c r="C68" s="79">
        <v>0.15</v>
      </c>
      <c r="D68" s="79">
        <v>0.15</v>
      </c>
      <c r="E68" s="79">
        <v>0.15</v>
      </c>
      <c r="F68" s="79">
        <v>0.15</v>
      </c>
      <c r="G68" s="79">
        <v>0.15</v>
      </c>
      <c r="H68" s="79">
        <v>0.15</v>
      </c>
      <c r="I68" s="79">
        <v>0.15</v>
      </c>
      <c r="J68" s="79">
        <v>0.15</v>
      </c>
      <c r="K68" s="79">
        <v>0.15</v>
      </c>
      <c r="L68" s="79">
        <v>0.15</v>
      </c>
      <c r="M68" s="79">
        <v>0.15</v>
      </c>
      <c r="N68" s="79">
        <v>0.15</v>
      </c>
      <c r="O68" s="79">
        <v>0.15</v>
      </c>
      <c r="P68" s="79">
        <v>0.15</v>
      </c>
      <c r="Q68" s="79">
        <v>0.15</v>
      </c>
      <c r="R68" s="79">
        <v>0.15</v>
      </c>
      <c r="S68" s="79">
        <v>0.15</v>
      </c>
      <c r="T68" s="79">
        <v>0.15</v>
      </c>
      <c r="AD68"/>
      <c r="AE68"/>
      <c r="AF68"/>
      <c r="AG68"/>
      <c r="AH68"/>
      <c r="AI68"/>
      <c r="AJ68"/>
      <c r="AK68"/>
      <c r="AL68"/>
      <c r="AM68"/>
      <c r="AN68"/>
    </row>
    <row r="69" spans="2:40">
      <c r="B69" s="74" t="s">
        <v>208</v>
      </c>
      <c r="C69" s="79">
        <v>0.3</v>
      </c>
      <c r="D69" s="79">
        <v>0.3</v>
      </c>
      <c r="E69" s="79">
        <v>0.3</v>
      </c>
      <c r="F69" s="79">
        <v>0.3</v>
      </c>
      <c r="G69" s="79">
        <v>0.3</v>
      </c>
      <c r="H69" s="79">
        <v>0.3</v>
      </c>
      <c r="I69" s="79">
        <v>0.3</v>
      </c>
      <c r="J69" s="79">
        <v>0.3</v>
      </c>
      <c r="K69" s="79">
        <v>0.3</v>
      </c>
      <c r="L69" s="79">
        <v>0.3</v>
      </c>
      <c r="M69" s="79">
        <v>0.3</v>
      </c>
      <c r="N69" s="79">
        <v>0.3</v>
      </c>
      <c r="O69" s="79">
        <v>0.3</v>
      </c>
      <c r="P69" s="79">
        <v>0.3</v>
      </c>
      <c r="Q69" s="79">
        <v>0.3</v>
      </c>
      <c r="R69" s="79">
        <v>0.3</v>
      </c>
      <c r="S69" s="79">
        <v>0.3</v>
      </c>
      <c r="T69" s="79">
        <v>0.3</v>
      </c>
      <c r="AD69"/>
      <c r="AE69"/>
      <c r="AF69"/>
      <c r="AG69"/>
      <c r="AH69"/>
      <c r="AI69"/>
      <c r="AJ69"/>
      <c r="AK69"/>
      <c r="AL69"/>
      <c r="AM69"/>
      <c r="AN69"/>
    </row>
    <row r="70" spans="2:40">
      <c r="B70" s="74" t="s">
        <v>210</v>
      </c>
      <c r="C70" s="79">
        <v>0.5</v>
      </c>
      <c r="D70" s="79">
        <v>0.5</v>
      </c>
      <c r="E70" s="79">
        <v>0.5</v>
      </c>
      <c r="F70" s="79">
        <v>0.5</v>
      </c>
      <c r="G70" s="79">
        <v>0.5</v>
      </c>
      <c r="H70" s="79">
        <v>0.5</v>
      </c>
      <c r="I70" s="79">
        <v>0.5</v>
      </c>
      <c r="J70" s="79">
        <v>0.5</v>
      </c>
      <c r="K70" s="79">
        <v>0.5</v>
      </c>
      <c r="L70" s="79">
        <v>0.5</v>
      </c>
      <c r="M70" s="79">
        <v>0.5</v>
      </c>
      <c r="N70" s="79">
        <v>0.5</v>
      </c>
      <c r="O70" s="79">
        <v>0.5</v>
      </c>
      <c r="P70" s="79">
        <v>0.5</v>
      </c>
      <c r="Q70" s="79">
        <v>0.5</v>
      </c>
      <c r="R70" s="79">
        <v>0.5</v>
      </c>
      <c r="S70" s="79">
        <v>0.5</v>
      </c>
      <c r="T70" s="79">
        <v>0.5</v>
      </c>
      <c r="AD70" s="4" t="s">
        <v>137</v>
      </c>
      <c r="AE70"/>
      <c r="AF70"/>
      <c r="AG70"/>
      <c r="AH70"/>
      <c r="AI70"/>
      <c r="AJ70"/>
      <c r="AK70"/>
      <c r="AL70"/>
      <c r="AM70"/>
      <c r="AN70"/>
    </row>
    <row r="71" spans="2:40">
      <c r="B71" s="74" t="s">
        <v>209</v>
      </c>
      <c r="C71" s="79">
        <v>0.7</v>
      </c>
      <c r="D71" s="79">
        <v>0.7</v>
      </c>
      <c r="E71" s="79">
        <v>0.7</v>
      </c>
      <c r="F71" s="79">
        <v>0.7</v>
      </c>
      <c r="G71" s="79">
        <v>0.7</v>
      </c>
      <c r="H71" s="79">
        <v>0.7</v>
      </c>
      <c r="I71" s="79">
        <v>0.7</v>
      </c>
      <c r="J71" s="79">
        <v>0.7</v>
      </c>
      <c r="K71" s="79">
        <v>0.7</v>
      </c>
      <c r="L71" s="79">
        <v>0.7</v>
      </c>
      <c r="M71" s="79">
        <v>0.7</v>
      </c>
      <c r="N71" s="79">
        <v>0.7</v>
      </c>
      <c r="O71" s="79">
        <v>0.7</v>
      </c>
      <c r="P71" s="79">
        <v>0.7</v>
      </c>
      <c r="Q71" s="79">
        <v>0.7</v>
      </c>
      <c r="R71" s="79">
        <v>0.7</v>
      </c>
      <c r="S71" s="79">
        <v>0.7</v>
      </c>
      <c r="T71" s="79">
        <v>0.7</v>
      </c>
      <c r="AD71" s="7" t="s">
        <v>260</v>
      </c>
      <c r="AE71"/>
      <c r="AF71"/>
      <c r="AG71"/>
      <c r="AH71"/>
      <c r="AI71"/>
      <c r="AJ71"/>
      <c r="AK71"/>
      <c r="AL71"/>
      <c r="AM71"/>
      <c r="AN71"/>
    </row>
    <row r="72" spans="2:40">
      <c r="C72" s="79"/>
      <c r="D72" s="79"/>
      <c r="E72" s="79"/>
      <c r="F72" s="79"/>
      <c r="G72" s="79"/>
      <c r="H72" s="79"/>
      <c r="I72" s="79"/>
      <c r="J72" s="79"/>
      <c r="K72" s="79"/>
      <c r="L72" s="79"/>
      <c r="M72" s="79"/>
      <c r="N72" s="79"/>
      <c r="O72" s="79"/>
      <c r="P72" s="79"/>
      <c r="Q72" s="79"/>
      <c r="R72" s="79"/>
      <c r="S72" s="79"/>
      <c r="T72" s="79"/>
      <c r="AD72" s="7"/>
      <c r="AE72"/>
      <c r="AF72"/>
      <c r="AG72"/>
      <c r="AH72"/>
      <c r="AI72"/>
      <c r="AJ72"/>
      <c r="AK72"/>
      <c r="AL72"/>
      <c r="AM72"/>
      <c r="AN72"/>
    </row>
    <row r="73" spans="2:40">
      <c r="B73" s="98" t="s">
        <v>327</v>
      </c>
      <c r="C73" s="99" t="s">
        <v>328</v>
      </c>
    </row>
    <row r="74" spans="2:40">
      <c r="B74" s="74" t="s">
        <v>206</v>
      </c>
      <c r="C74" s="75">
        <v>40</v>
      </c>
      <c r="D74" s="75">
        <v>40</v>
      </c>
      <c r="E74" s="75">
        <v>40</v>
      </c>
      <c r="F74" s="75">
        <v>40</v>
      </c>
      <c r="G74" s="75">
        <v>40</v>
      </c>
      <c r="H74" s="75">
        <v>40</v>
      </c>
      <c r="I74" s="75">
        <v>40</v>
      </c>
      <c r="J74" s="75">
        <v>40</v>
      </c>
      <c r="K74" s="75">
        <v>40</v>
      </c>
      <c r="L74" s="75">
        <v>40</v>
      </c>
      <c r="M74" s="75">
        <v>40</v>
      </c>
      <c r="N74" s="75">
        <v>40</v>
      </c>
      <c r="O74" s="75">
        <v>40</v>
      </c>
      <c r="P74" s="75">
        <v>40</v>
      </c>
      <c r="Q74" s="75">
        <v>40</v>
      </c>
      <c r="R74" s="75">
        <v>40</v>
      </c>
      <c r="S74" s="75">
        <v>40</v>
      </c>
      <c r="T74" s="75">
        <v>40</v>
      </c>
    </row>
    <row r="75" spans="2:40">
      <c r="B75" s="74" t="s">
        <v>207</v>
      </c>
      <c r="C75" s="75">
        <v>25</v>
      </c>
      <c r="D75" s="75">
        <v>25</v>
      </c>
      <c r="E75" s="75">
        <v>25</v>
      </c>
      <c r="F75" s="75">
        <v>25</v>
      </c>
      <c r="G75" s="75">
        <v>25</v>
      </c>
      <c r="H75" s="75">
        <v>25</v>
      </c>
      <c r="I75" s="75">
        <v>25</v>
      </c>
      <c r="J75" s="75">
        <v>25</v>
      </c>
      <c r="K75" s="75">
        <v>25</v>
      </c>
      <c r="L75" s="75">
        <v>25</v>
      </c>
      <c r="M75" s="75">
        <v>25</v>
      </c>
      <c r="N75" s="75">
        <v>25</v>
      </c>
      <c r="O75" s="75">
        <v>25</v>
      </c>
      <c r="P75" s="75">
        <v>25</v>
      </c>
      <c r="Q75" s="75">
        <v>25</v>
      </c>
      <c r="R75" s="75">
        <v>25</v>
      </c>
      <c r="S75" s="75">
        <v>25</v>
      </c>
      <c r="T75" s="75">
        <v>25</v>
      </c>
    </row>
    <row r="76" spans="2:40">
      <c r="B76" s="74" t="s">
        <v>208</v>
      </c>
      <c r="C76" s="75">
        <v>15</v>
      </c>
      <c r="D76" s="75">
        <v>15</v>
      </c>
      <c r="E76" s="75">
        <v>15</v>
      </c>
      <c r="F76" s="75">
        <v>15</v>
      </c>
      <c r="G76" s="75">
        <v>15</v>
      </c>
      <c r="H76" s="75">
        <v>15</v>
      </c>
      <c r="I76" s="75">
        <v>15</v>
      </c>
      <c r="J76" s="75">
        <v>15</v>
      </c>
      <c r="K76" s="75">
        <v>15</v>
      </c>
      <c r="L76" s="75">
        <v>15</v>
      </c>
      <c r="M76" s="75">
        <v>15</v>
      </c>
      <c r="N76" s="75">
        <v>15</v>
      </c>
      <c r="O76" s="75">
        <v>15</v>
      </c>
      <c r="P76" s="75">
        <v>15</v>
      </c>
      <c r="Q76" s="75">
        <v>15</v>
      </c>
      <c r="R76" s="75">
        <v>15</v>
      </c>
      <c r="S76" s="75">
        <v>15</v>
      </c>
      <c r="T76" s="75">
        <v>15</v>
      </c>
    </row>
    <row r="77" spans="2:40">
      <c r="B77" s="74" t="s">
        <v>280</v>
      </c>
      <c r="C77" s="75">
        <v>8</v>
      </c>
      <c r="D77" s="75">
        <v>8</v>
      </c>
      <c r="E77" s="75">
        <v>8</v>
      </c>
      <c r="F77" s="75">
        <v>8</v>
      </c>
      <c r="G77" s="75">
        <v>8</v>
      </c>
      <c r="H77" s="75">
        <v>8</v>
      </c>
      <c r="I77" s="75">
        <v>8</v>
      </c>
      <c r="J77" s="75">
        <v>8</v>
      </c>
      <c r="K77" s="75">
        <v>8</v>
      </c>
      <c r="L77" s="75">
        <v>8</v>
      </c>
      <c r="M77" s="75">
        <v>8</v>
      </c>
      <c r="N77" s="75">
        <v>8</v>
      </c>
      <c r="O77" s="75">
        <v>8</v>
      </c>
      <c r="P77" s="75">
        <v>8</v>
      </c>
      <c r="Q77" s="75">
        <v>8</v>
      </c>
      <c r="R77" s="75">
        <v>8</v>
      </c>
      <c r="S77" s="75">
        <v>8</v>
      </c>
      <c r="T77" s="75">
        <v>8</v>
      </c>
    </row>
    <row r="79" spans="2:40">
      <c r="AD79" s="7" t="s">
        <v>262</v>
      </c>
      <c r="AE79"/>
      <c r="AF79"/>
      <c r="AG79"/>
      <c r="AH79"/>
      <c r="AI79"/>
      <c r="AJ79"/>
      <c r="AK79"/>
      <c r="AL79"/>
      <c r="AM79"/>
      <c r="AN79"/>
    </row>
    <row r="80" spans="2:40">
      <c r="B80" s="78" t="s">
        <v>279</v>
      </c>
      <c r="C80" s="75" t="s">
        <v>276</v>
      </c>
    </row>
    <row r="81" spans="2:20">
      <c r="B81" s="74" t="s">
        <v>206</v>
      </c>
      <c r="C81" s="75">
        <v>0</v>
      </c>
      <c r="D81" s="75">
        <v>0</v>
      </c>
      <c r="E81" s="75">
        <v>0</v>
      </c>
      <c r="F81" s="75">
        <v>0</v>
      </c>
      <c r="G81" s="75">
        <v>0</v>
      </c>
      <c r="H81" s="75">
        <v>0</v>
      </c>
      <c r="I81" s="75">
        <v>0</v>
      </c>
      <c r="J81" s="75">
        <v>0</v>
      </c>
      <c r="K81" s="75">
        <v>0</v>
      </c>
      <c r="L81" s="75">
        <v>0</v>
      </c>
      <c r="M81" s="75">
        <v>0</v>
      </c>
      <c r="N81" s="75">
        <v>0</v>
      </c>
      <c r="O81" s="75">
        <v>0</v>
      </c>
      <c r="P81" s="75">
        <v>0</v>
      </c>
      <c r="Q81" s="75">
        <v>0</v>
      </c>
      <c r="R81" s="75">
        <v>0</v>
      </c>
      <c r="S81" s="75">
        <v>0</v>
      </c>
      <c r="T81" s="75">
        <v>0</v>
      </c>
    </row>
    <row r="82" spans="2:20">
      <c r="B82" s="74" t="s">
        <v>207</v>
      </c>
      <c r="C82" s="75">
        <v>0</v>
      </c>
      <c r="D82" s="75">
        <v>0</v>
      </c>
      <c r="E82" s="75">
        <v>0</v>
      </c>
      <c r="F82" s="75">
        <v>0</v>
      </c>
      <c r="G82" s="75">
        <v>0</v>
      </c>
      <c r="H82" s="75">
        <v>0</v>
      </c>
      <c r="I82" s="75">
        <v>0</v>
      </c>
      <c r="J82" s="75">
        <v>0</v>
      </c>
      <c r="K82" s="75">
        <v>0</v>
      </c>
      <c r="L82" s="75">
        <v>0</v>
      </c>
      <c r="M82" s="75">
        <v>0</v>
      </c>
      <c r="N82" s="75">
        <v>0</v>
      </c>
      <c r="O82" s="75">
        <v>0</v>
      </c>
      <c r="P82" s="75">
        <v>0</v>
      </c>
      <c r="Q82" s="75">
        <v>0</v>
      </c>
      <c r="R82" s="75">
        <v>0</v>
      </c>
      <c r="S82" s="75">
        <v>0</v>
      </c>
      <c r="T82" s="75">
        <v>0</v>
      </c>
    </row>
    <row r="83" spans="2:20">
      <c r="B83" s="74" t="s">
        <v>208</v>
      </c>
      <c r="C83" s="75">
        <v>2</v>
      </c>
      <c r="D83" s="75">
        <v>2</v>
      </c>
      <c r="E83" s="75">
        <v>2</v>
      </c>
      <c r="F83" s="75">
        <v>2</v>
      </c>
      <c r="G83" s="75">
        <v>2</v>
      </c>
      <c r="H83" s="75">
        <v>2</v>
      </c>
      <c r="I83" s="75">
        <v>2</v>
      </c>
      <c r="J83" s="75">
        <v>2</v>
      </c>
      <c r="K83" s="75">
        <v>2</v>
      </c>
      <c r="L83" s="75">
        <v>2</v>
      </c>
      <c r="M83" s="75">
        <v>2</v>
      </c>
      <c r="N83" s="75">
        <v>2</v>
      </c>
      <c r="O83" s="75">
        <v>2</v>
      </c>
      <c r="P83" s="75">
        <v>2</v>
      </c>
      <c r="Q83" s="75">
        <v>2</v>
      </c>
      <c r="R83" s="75">
        <v>2</v>
      </c>
      <c r="S83" s="75">
        <v>2</v>
      </c>
      <c r="T83" s="75">
        <v>2</v>
      </c>
    </row>
    <row r="84" spans="2:20">
      <c r="B84" s="74" t="s">
        <v>280</v>
      </c>
      <c r="C84" s="75">
        <v>4</v>
      </c>
      <c r="D84" s="75">
        <v>4</v>
      </c>
      <c r="E84" s="75">
        <v>4</v>
      </c>
      <c r="F84" s="75">
        <v>4</v>
      </c>
      <c r="G84" s="75">
        <v>4</v>
      </c>
      <c r="H84" s="75">
        <v>4</v>
      </c>
      <c r="I84" s="75">
        <v>4</v>
      </c>
      <c r="J84" s="75">
        <v>4</v>
      </c>
      <c r="K84" s="75">
        <v>4</v>
      </c>
      <c r="L84" s="75">
        <v>4</v>
      </c>
      <c r="M84" s="75">
        <v>4</v>
      </c>
      <c r="N84" s="75">
        <v>4</v>
      </c>
      <c r="O84" s="75">
        <v>4</v>
      </c>
      <c r="P84" s="75">
        <v>4</v>
      </c>
      <c r="Q84" s="75">
        <v>4</v>
      </c>
      <c r="R84" s="75">
        <v>4</v>
      </c>
      <c r="S84" s="75">
        <v>4</v>
      </c>
      <c r="T84" s="75">
        <v>4</v>
      </c>
    </row>
    <row r="86" spans="2:20">
      <c r="B86" s="78" t="s">
        <v>279</v>
      </c>
      <c r="C86" s="75" t="s">
        <v>277</v>
      </c>
    </row>
    <row r="87" spans="2:20">
      <c r="B87" s="74" t="s">
        <v>206</v>
      </c>
      <c r="C87" s="75">
        <v>0</v>
      </c>
      <c r="D87" s="75">
        <v>0</v>
      </c>
      <c r="E87" s="75">
        <v>0</v>
      </c>
      <c r="F87" s="75">
        <v>0</v>
      </c>
      <c r="G87" s="75">
        <v>0</v>
      </c>
      <c r="H87" s="75">
        <v>0</v>
      </c>
      <c r="I87" s="75">
        <v>0</v>
      </c>
      <c r="J87" s="75">
        <v>0</v>
      </c>
      <c r="K87" s="75">
        <v>0</v>
      </c>
      <c r="L87" s="75">
        <v>0</v>
      </c>
      <c r="M87" s="75">
        <v>0</v>
      </c>
      <c r="N87" s="75">
        <v>0</v>
      </c>
      <c r="O87" s="75">
        <v>0</v>
      </c>
      <c r="P87" s="75">
        <v>0</v>
      </c>
      <c r="Q87" s="75">
        <v>0</v>
      </c>
      <c r="R87" s="75">
        <v>0</v>
      </c>
      <c r="S87" s="75">
        <v>0</v>
      </c>
      <c r="T87" s="75">
        <v>0</v>
      </c>
    </row>
    <row r="88" spans="2:20">
      <c r="B88" s="74" t="s">
        <v>207</v>
      </c>
      <c r="C88" s="75">
        <v>0</v>
      </c>
      <c r="D88" s="75">
        <v>0</v>
      </c>
      <c r="E88" s="75">
        <v>0</v>
      </c>
      <c r="F88" s="75">
        <v>0</v>
      </c>
      <c r="G88" s="75">
        <v>0</v>
      </c>
      <c r="H88" s="75">
        <v>0</v>
      </c>
      <c r="I88" s="75">
        <v>0</v>
      </c>
      <c r="J88" s="75">
        <v>0</v>
      </c>
      <c r="K88" s="75">
        <v>0</v>
      </c>
      <c r="L88" s="75">
        <v>0</v>
      </c>
      <c r="M88" s="75">
        <v>0</v>
      </c>
      <c r="N88" s="75">
        <v>0</v>
      </c>
      <c r="O88" s="75">
        <v>0</v>
      </c>
      <c r="P88" s="75">
        <v>0</v>
      </c>
      <c r="Q88" s="75">
        <v>0</v>
      </c>
      <c r="R88" s="75">
        <v>0</v>
      </c>
      <c r="S88" s="75">
        <v>0</v>
      </c>
      <c r="T88" s="75">
        <v>0</v>
      </c>
    </row>
    <row r="89" spans="2:20">
      <c r="B89" s="74" t="s">
        <v>208</v>
      </c>
      <c r="C89" s="75">
        <v>2</v>
      </c>
      <c r="D89" s="75">
        <v>2</v>
      </c>
      <c r="E89" s="75">
        <v>2</v>
      </c>
      <c r="F89" s="75">
        <v>2</v>
      </c>
      <c r="G89" s="75">
        <v>2</v>
      </c>
      <c r="H89" s="75">
        <v>2</v>
      </c>
      <c r="I89" s="75">
        <v>2</v>
      </c>
      <c r="J89" s="75">
        <v>2</v>
      </c>
      <c r="K89" s="75">
        <v>2</v>
      </c>
      <c r="L89" s="75">
        <v>2</v>
      </c>
      <c r="M89" s="75">
        <v>2</v>
      </c>
      <c r="N89" s="75">
        <v>2</v>
      </c>
      <c r="O89" s="75">
        <v>2</v>
      </c>
      <c r="P89" s="75">
        <v>2</v>
      </c>
      <c r="Q89" s="75">
        <v>2</v>
      </c>
      <c r="R89" s="75">
        <v>2</v>
      </c>
      <c r="S89" s="75">
        <v>2</v>
      </c>
      <c r="T89" s="75">
        <v>2</v>
      </c>
    </row>
    <row r="90" spans="2:20">
      <c r="B90" s="74" t="s">
        <v>280</v>
      </c>
      <c r="C90" s="75">
        <v>4</v>
      </c>
      <c r="D90" s="75">
        <v>4</v>
      </c>
      <c r="E90" s="75">
        <v>4</v>
      </c>
      <c r="F90" s="75">
        <v>4</v>
      </c>
      <c r="G90" s="75">
        <v>4</v>
      </c>
      <c r="H90" s="75">
        <v>4</v>
      </c>
      <c r="I90" s="75">
        <v>4</v>
      </c>
      <c r="J90" s="75">
        <v>4</v>
      </c>
      <c r="K90" s="75">
        <v>4</v>
      </c>
      <c r="L90" s="75">
        <v>4</v>
      </c>
      <c r="M90" s="75">
        <v>4</v>
      </c>
      <c r="N90" s="75">
        <v>4</v>
      </c>
      <c r="O90" s="75">
        <v>4</v>
      </c>
      <c r="P90" s="75">
        <v>4</v>
      </c>
      <c r="Q90" s="75">
        <v>4</v>
      </c>
      <c r="R90" s="75">
        <v>4</v>
      </c>
      <c r="S90" s="75">
        <v>4</v>
      </c>
      <c r="T90" s="75">
        <v>4</v>
      </c>
    </row>
    <row r="92" spans="2:20">
      <c r="B92" s="78" t="s">
        <v>279</v>
      </c>
      <c r="C92" s="104" t="s">
        <v>322</v>
      </c>
    </row>
    <row r="93" spans="2:20">
      <c r="B93" s="74" t="s">
        <v>206</v>
      </c>
      <c r="C93" s="79">
        <v>0.1</v>
      </c>
      <c r="D93" s="79">
        <v>0.1</v>
      </c>
      <c r="E93" s="79">
        <v>0.1</v>
      </c>
      <c r="F93" s="79">
        <v>0.1</v>
      </c>
      <c r="G93" s="79">
        <v>0.1</v>
      </c>
      <c r="H93" s="79">
        <v>0.1</v>
      </c>
      <c r="I93" s="79">
        <v>0.1</v>
      </c>
      <c r="J93" s="79">
        <v>0.1</v>
      </c>
      <c r="K93" s="79">
        <v>0.1</v>
      </c>
      <c r="L93" s="79">
        <v>0.1</v>
      </c>
      <c r="M93" s="79">
        <v>0.1</v>
      </c>
      <c r="N93" s="79">
        <v>0.1</v>
      </c>
      <c r="O93" s="79">
        <v>0.1</v>
      </c>
      <c r="P93" s="79">
        <v>0.1</v>
      </c>
      <c r="Q93" s="79">
        <v>0.1</v>
      </c>
      <c r="R93" s="79">
        <v>0.1</v>
      </c>
      <c r="S93" s="79">
        <v>0.1</v>
      </c>
      <c r="T93" s="79">
        <v>0.1</v>
      </c>
    </row>
    <row r="94" spans="2:20">
      <c r="B94" s="74" t="s">
        <v>207</v>
      </c>
      <c r="C94" s="79">
        <v>0.25</v>
      </c>
      <c r="D94" s="79">
        <v>0.25</v>
      </c>
      <c r="E94" s="79">
        <v>0.25</v>
      </c>
      <c r="F94" s="79">
        <v>0.25</v>
      </c>
      <c r="G94" s="79">
        <v>0.25</v>
      </c>
      <c r="H94" s="79">
        <v>0.25</v>
      </c>
      <c r="I94" s="79">
        <v>0.25</v>
      </c>
      <c r="J94" s="79">
        <v>0.25</v>
      </c>
      <c r="K94" s="79">
        <v>0.25</v>
      </c>
      <c r="L94" s="79">
        <v>0.25</v>
      </c>
      <c r="M94" s="79">
        <v>0.25</v>
      </c>
      <c r="N94" s="79">
        <v>0.25</v>
      </c>
      <c r="O94" s="79">
        <v>0.25</v>
      </c>
      <c r="P94" s="79">
        <v>0.25</v>
      </c>
      <c r="Q94" s="79">
        <v>0.25</v>
      </c>
      <c r="R94" s="79">
        <v>0.25</v>
      </c>
      <c r="S94" s="79">
        <v>0.25</v>
      </c>
      <c r="T94" s="79">
        <v>0.25</v>
      </c>
    </row>
    <row r="95" spans="2:20">
      <c r="B95" s="74" t="s">
        <v>208</v>
      </c>
      <c r="C95" s="79">
        <v>0.5</v>
      </c>
      <c r="D95" s="79">
        <v>0.5</v>
      </c>
      <c r="E95" s="79">
        <v>0.5</v>
      </c>
      <c r="F95" s="79">
        <v>0.5</v>
      </c>
      <c r="G95" s="79">
        <v>0.5</v>
      </c>
      <c r="H95" s="79">
        <v>0.5</v>
      </c>
      <c r="I95" s="79">
        <v>0.5</v>
      </c>
      <c r="J95" s="79">
        <v>0.5</v>
      </c>
      <c r="K95" s="79">
        <v>0.5</v>
      </c>
      <c r="L95" s="79">
        <v>0.5</v>
      </c>
      <c r="M95" s="79">
        <v>0.5</v>
      </c>
      <c r="N95" s="79">
        <v>0.5</v>
      </c>
      <c r="O95" s="79">
        <v>0.5</v>
      </c>
      <c r="P95" s="79">
        <v>0.5</v>
      </c>
      <c r="Q95" s="79">
        <v>0.5</v>
      </c>
      <c r="R95" s="79">
        <v>0.5</v>
      </c>
      <c r="S95" s="79">
        <v>0.5</v>
      </c>
      <c r="T95" s="79">
        <v>0.5</v>
      </c>
    </row>
    <row r="96" spans="2:20">
      <c r="B96" s="74" t="s">
        <v>280</v>
      </c>
      <c r="C96" s="79">
        <v>0.8</v>
      </c>
      <c r="D96" s="79">
        <v>0.8</v>
      </c>
      <c r="E96" s="79">
        <v>0.8</v>
      </c>
      <c r="F96" s="79">
        <v>0.8</v>
      </c>
      <c r="G96" s="79">
        <v>0.8</v>
      </c>
      <c r="H96" s="79">
        <v>0.8</v>
      </c>
      <c r="I96" s="79">
        <v>0.8</v>
      </c>
      <c r="J96" s="79">
        <v>0.8</v>
      </c>
      <c r="K96" s="79">
        <v>0.8</v>
      </c>
      <c r="L96" s="79">
        <v>0.8</v>
      </c>
      <c r="M96" s="79">
        <v>0.8</v>
      </c>
      <c r="N96" s="79">
        <v>0.8</v>
      </c>
      <c r="O96" s="79">
        <v>0.8</v>
      </c>
      <c r="P96" s="79">
        <v>0.8</v>
      </c>
      <c r="Q96" s="79">
        <v>0.8</v>
      </c>
      <c r="R96" s="79">
        <v>0.8</v>
      </c>
      <c r="S96" s="79">
        <v>0.8</v>
      </c>
      <c r="T96" s="79">
        <v>0.8</v>
      </c>
    </row>
    <row r="98" spans="2:20">
      <c r="B98" s="78" t="s">
        <v>281</v>
      </c>
      <c r="C98" s="75" t="s">
        <v>282</v>
      </c>
    </row>
    <row r="99" spans="2:20">
      <c r="B99" s="74" t="s">
        <v>206</v>
      </c>
      <c r="C99" s="80">
        <v>1</v>
      </c>
      <c r="D99" s="80">
        <v>1</v>
      </c>
      <c r="E99" s="80">
        <v>1</v>
      </c>
      <c r="F99" s="80">
        <v>1</v>
      </c>
      <c r="G99" s="80">
        <v>1</v>
      </c>
      <c r="H99" s="80">
        <v>1</v>
      </c>
      <c r="I99" s="80">
        <v>1</v>
      </c>
      <c r="J99" s="80">
        <v>1</v>
      </c>
      <c r="K99" s="80">
        <v>1</v>
      </c>
      <c r="L99" s="80">
        <v>1</v>
      </c>
      <c r="M99" s="80">
        <v>1</v>
      </c>
      <c r="N99" s="80">
        <v>1</v>
      </c>
      <c r="O99" s="80">
        <v>1</v>
      </c>
      <c r="P99" s="80">
        <v>1</v>
      </c>
      <c r="Q99" s="80">
        <v>1</v>
      </c>
      <c r="R99" s="80">
        <v>1</v>
      </c>
      <c r="S99" s="80">
        <v>1</v>
      </c>
      <c r="T99" s="80">
        <v>1</v>
      </c>
    </row>
    <row r="100" spans="2:20">
      <c r="B100" s="74" t="s">
        <v>207</v>
      </c>
      <c r="C100" s="80">
        <v>0.95</v>
      </c>
      <c r="D100" s="80">
        <v>0.95</v>
      </c>
      <c r="E100" s="80">
        <v>0.95</v>
      </c>
      <c r="F100" s="80">
        <v>0.95</v>
      </c>
      <c r="G100" s="80">
        <v>0.95</v>
      </c>
      <c r="H100" s="80">
        <v>0.95</v>
      </c>
      <c r="I100" s="80">
        <v>0.95</v>
      </c>
      <c r="J100" s="80">
        <v>0.95</v>
      </c>
      <c r="K100" s="80">
        <v>0.95</v>
      </c>
      <c r="L100" s="80">
        <v>0.95</v>
      </c>
      <c r="M100" s="80">
        <v>0.95</v>
      </c>
      <c r="N100" s="80">
        <v>0.95</v>
      </c>
      <c r="O100" s="80">
        <v>0.95</v>
      </c>
      <c r="P100" s="80">
        <v>0.95</v>
      </c>
      <c r="Q100" s="80">
        <v>0.95</v>
      </c>
      <c r="R100" s="80">
        <v>0.95</v>
      </c>
      <c r="S100" s="80">
        <v>0.95</v>
      </c>
      <c r="T100" s="80">
        <v>0.95</v>
      </c>
    </row>
    <row r="101" spans="2:20">
      <c r="B101" s="74" t="s">
        <v>208</v>
      </c>
      <c r="C101" s="80">
        <v>0.8</v>
      </c>
      <c r="D101" s="80">
        <v>0.8</v>
      </c>
      <c r="E101" s="80">
        <v>0.8</v>
      </c>
      <c r="F101" s="80">
        <v>0.8</v>
      </c>
      <c r="G101" s="80">
        <v>0.8</v>
      </c>
      <c r="H101" s="80">
        <v>0.8</v>
      </c>
      <c r="I101" s="80">
        <v>0.8</v>
      </c>
      <c r="J101" s="80">
        <v>0.8</v>
      </c>
      <c r="K101" s="80">
        <v>0.8</v>
      </c>
      <c r="L101" s="80">
        <v>0.8</v>
      </c>
      <c r="M101" s="80">
        <v>0.8</v>
      </c>
      <c r="N101" s="80">
        <v>0.8</v>
      </c>
      <c r="O101" s="80">
        <v>0.8</v>
      </c>
      <c r="P101" s="80">
        <v>0.8</v>
      </c>
      <c r="Q101" s="80">
        <v>0.8</v>
      </c>
      <c r="R101" s="80">
        <v>0.8</v>
      </c>
      <c r="S101" s="80">
        <v>0.8</v>
      </c>
      <c r="T101" s="80">
        <v>0.8</v>
      </c>
    </row>
    <row r="102" spans="2:20">
      <c r="B102" s="74" t="s">
        <v>280</v>
      </c>
      <c r="C102" s="80">
        <v>0.5</v>
      </c>
      <c r="D102" s="80">
        <v>0.5</v>
      </c>
      <c r="E102" s="80">
        <v>0.5</v>
      </c>
      <c r="F102" s="80">
        <v>0.5</v>
      </c>
      <c r="G102" s="80">
        <v>0.5</v>
      </c>
      <c r="H102" s="80">
        <v>0.5</v>
      </c>
      <c r="I102" s="80">
        <v>0.5</v>
      </c>
      <c r="J102" s="80">
        <v>0.5</v>
      </c>
      <c r="K102" s="80">
        <v>0.5</v>
      </c>
      <c r="L102" s="80">
        <v>0.5</v>
      </c>
      <c r="M102" s="80">
        <v>0.5</v>
      </c>
      <c r="N102" s="80">
        <v>0.5</v>
      </c>
      <c r="O102" s="80">
        <v>0.5</v>
      </c>
      <c r="P102" s="80">
        <v>0.5</v>
      </c>
      <c r="Q102" s="80">
        <v>0.5</v>
      </c>
      <c r="R102" s="80">
        <v>0.5</v>
      </c>
      <c r="S102" s="80">
        <v>0.5</v>
      </c>
      <c r="T102" s="80">
        <v>0.5</v>
      </c>
    </row>
    <row r="103" spans="2:20">
      <c r="B103" s="74" t="s">
        <v>209</v>
      </c>
      <c r="C103" s="81">
        <v>0.1</v>
      </c>
      <c r="D103" s="81">
        <v>0.1</v>
      </c>
      <c r="E103" s="81">
        <v>0.1</v>
      </c>
      <c r="F103" s="81">
        <v>0.1</v>
      </c>
      <c r="G103" s="81">
        <v>0.1</v>
      </c>
      <c r="H103" s="81">
        <v>0.1</v>
      </c>
      <c r="I103" s="81">
        <v>0.1</v>
      </c>
      <c r="J103" s="81">
        <v>0.1</v>
      </c>
      <c r="K103" s="81">
        <v>0.1</v>
      </c>
      <c r="L103" s="81">
        <v>0.1</v>
      </c>
      <c r="M103" s="81">
        <v>0.1</v>
      </c>
      <c r="N103" s="81">
        <v>0.1</v>
      </c>
      <c r="O103" s="81">
        <v>0.1</v>
      </c>
      <c r="P103" s="81">
        <v>0.1</v>
      </c>
      <c r="Q103" s="81">
        <v>0.1</v>
      </c>
      <c r="R103" s="81">
        <v>0.1</v>
      </c>
      <c r="S103" s="81">
        <v>0.1</v>
      </c>
      <c r="T103" s="81">
        <v>0.1</v>
      </c>
    </row>
    <row r="106" spans="2:20">
      <c r="B106" s="82" t="s">
        <v>127</v>
      </c>
    </row>
    <row r="107" spans="2:20">
      <c r="B107" s="75"/>
      <c r="E107" s="83">
        <v>2025</v>
      </c>
      <c r="F107" s="83">
        <v>2030</v>
      </c>
      <c r="G107" s="83">
        <v>2035</v>
      </c>
      <c r="H107" s="83">
        <v>2040</v>
      </c>
      <c r="K107" s="84" t="s">
        <v>129</v>
      </c>
      <c r="M107" s="84" t="s">
        <v>283</v>
      </c>
      <c r="O107" s="84" t="s">
        <v>284</v>
      </c>
    </row>
    <row r="108" spans="2:20">
      <c r="B108" s="75" t="s">
        <v>129</v>
      </c>
      <c r="E108" s="85">
        <f>CHOOSE(MATCH(E109,{"Extreme","Very High","High","Medium to High","Medium","Medium to Low","Low"},0),85,70,35,35,9,9,8)</f>
        <v>35</v>
      </c>
      <c r="F108" s="85">
        <f>CHOOSE(MATCH(F109,{"Extreme","Very High","High","Medium to High","Medium","Medium to Low","Low"},0),85,70,35,35,9,9,8)</f>
        <v>35</v>
      </c>
      <c r="G108" s="85">
        <f>CHOOSE(MATCH(G109,{"Extreme","Very High","High","Medium to High","Medium","Medium to Low","Low"},0),85,70,35,35,9,9,8)</f>
        <v>35</v>
      </c>
      <c r="H108" s="85">
        <f>CHOOSE(MATCH(H109,{"Extreme","Very High","High","Medium to High","Medium","Medium to Low","Low"},0),85,70,35,35,9,9,8)</f>
        <v>35</v>
      </c>
      <c r="K108" s="76" t="s">
        <v>270</v>
      </c>
      <c r="L108" s="75">
        <v>85</v>
      </c>
      <c r="M108" s="74" t="s">
        <v>206</v>
      </c>
      <c r="N108" s="75">
        <v>20</v>
      </c>
      <c r="O108" s="75" t="s">
        <v>206</v>
      </c>
      <c r="P108" s="75">
        <v>96</v>
      </c>
      <c r="R108" s="74" t="s">
        <v>206</v>
      </c>
      <c r="S108" s="75">
        <v>85</v>
      </c>
    </row>
    <row r="109" spans="2:20">
      <c r="B109" s="75"/>
      <c r="E109" s="85" t="str">
        <f>[3]Dashboard!H4</f>
        <v>High</v>
      </c>
      <c r="F109" s="85" t="str">
        <f>[3]Dashboard!J4</f>
        <v>High</v>
      </c>
      <c r="G109" s="85" t="str">
        <f>[3]Dashboard!L4</f>
        <v>High</v>
      </c>
      <c r="H109" s="85" t="str">
        <f>[3]Dashboard!N4</f>
        <v>High</v>
      </c>
      <c r="K109" s="76" t="s">
        <v>271</v>
      </c>
      <c r="L109" s="75">
        <v>70</v>
      </c>
      <c r="M109" s="74" t="s">
        <v>207</v>
      </c>
      <c r="N109" s="75">
        <v>30</v>
      </c>
      <c r="O109" s="75" t="s">
        <v>207</v>
      </c>
      <c r="P109" s="75">
        <v>85</v>
      </c>
      <c r="R109" s="74" t="s">
        <v>207</v>
      </c>
      <c r="S109" s="75">
        <v>70</v>
      </c>
    </row>
    <row r="110" spans="2:20">
      <c r="B110" s="75" t="s">
        <v>130</v>
      </c>
      <c r="E110" s="85" t="e">
        <f>CHOOSE(MATCH(E111,{"Excellent","Good","Average","Poor"},0),9,35,70,85)</f>
        <v>#N/A</v>
      </c>
      <c r="F110" s="85">
        <f>CHOOSE(MATCH(F111,{"Excellent","Good","Average","Poor"},0),9,35,70,85)</f>
        <v>85</v>
      </c>
      <c r="G110" s="85">
        <f>CHOOSE(MATCH(G111,{"Excellent","Good","Average","Poor"},0),9,35,70,85)</f>
        <v>85</v>
      </c>
      <c r="H110" s="85">
        <f>CHOOSE(MATCH(H111,{"Excellent","Good","Average","Poor"},0),9,35,70,85)</f>
        <v>85</v>
      </c>
      <c r="K110" s="76" t="s">
        <v>203</v>
      </c>
      <c r="L110" s="75">
        <v>35</v>
      </c>
      <c r="M110" s="74" t="s">
        <v>208</v>
      </c>
      <c r="N110" s="75">
        <v>40</v>
      </c>
      <c r="O110" s="75" t="s">
        <v>208</v>
      </c>
      <c r="P110" s="75">
        <v>60</v>
      </c>
      <c r="R110" s="74" t="s">
        <v>208</v>
      </c>
      <c r="S110" s="75">
        <v>35</v>
      </c>
    </row>
    <row r="111" spans="2:20">
      <c r="B111" s="75"/>
      <c r="E111" s="85" t="str">
        <f>[3]Dashboard!H5</f>
        <v>Medium to High</v>
      </c>
      <c r="F111" s="85" t="str">
        <f>[3]Dashboard!J5</f>
        <v>Poor</v>
      </c>
      <c r="G111" s="85" t="str">
        <f>[3]Dashboard!L5</f>
        <v>Poor</v>
      </c>
      <c r="H111" s="85" t="str">
        <f>[3]Dashboard!N5</f>
        <v>Poor</v>
      </c>
      <c r="K111" s="76" t="s">
        <v>204</v>
      </c>
      <c r="L111" s="75">
        <v>35</v>
      </c>
      <c r="M111" s="74" t="s">
        <v>280</v>
      </c>
      <c r="N111" s="75">
        <v>50</v>
      </c>
      <c r="O111" s="75" t="s">
        <v>210</v>
      </c>
      <c r="P111" s="75">
        <v>40</v>
      </c>
      <c r="R111" s="75" t="s">
        <v>280</v>
      </c>
      <c r="S111" s="75">
        <v>9</v>
      </c>
    </row>
    <row r="112" spans="2:20">
      <c r="B112" s="75" t="s">
        <v>147</v>
      </c>
      <c r="E112" s="85" t="e">
        <f>CHOOSE(MATCH(E113,{"Extreme","Very High","High","Medium to High","Medium","Medium to Low","Low"},0),85,70,35,35,9,9,8)</f>
        <v>#N/A</v>
      </c>
      <c r="F112" s="85" t="e">
        <f>CHOOSE(MATCH(F113,{"Extreme","Very High","High","Medium to High","Medium","Medium to Low","Low"},0),85,70,35,35,9,9,8)</f>
        <v>#N/A</v>
      </c>
      <c r="G112" s="85" t="e">
        <f>CHOOSE(MATCH(G113,{"Extreme","Very High","High","Medium to High","Medium","Medium to Low","Low"},0),85,70,35,35,9,9,8)</f>
        <v>#N/A</v>
      </c>
      <c r="H112" s="85" t="e">
        <f>CHOOSE(MATCH(H113,{"Extreme","Very High","High","Medium to High","Medium","Medium to Low","Low"},0),85,70,35,35,9,9,8)</f>
        <v>#N/A</v>
      </c>
      <c r="K112" s="76" t="s">
        <v>272</v>
      </c>
      <c r="L112" s="75">
        <v>9</v>
      </c>
      <c r="O112" s="75" t="s">
        <v>209</v>
      </c>
      <c r="P112" s="75">
        <v>20</v>
      </c>
    </row>
    <row r="113" spans="2:27">
      <c r="B113" s="75"/>
      <c r="E113" s="85" t="str">
        <f>[3]Dashboard!H7</f>
        <v>Excellent</v>
      </c>
      <c r="F113" s="85">
        <f>[3]Dashboard!J7</f>
        <v>0</v>
      </c>
      <c r="G113" s="85">
        <f>[3]Dashboard!L7</f>
        <v>0</v>
      </c>
      <c r="H113" s="85">
        <f>[3]Dashboard!N7</f>
        <v>0</v>
      </c>
      <c r="K113" s="76" t="s">
        <v>273</v>
      </c>
      <c r="L113" s="75">
        <v>9</v>
      </c>
    </row>
    <row r="114" spans="2:27">
      <c r="B114" s="75" t="s">
        <v>132</v>
      </c>
      <c r="E114" s="85">
        <f>CHOOSE(MATCH(E115,{"Excellent","Good","Average","Poor"},0),9,35,70,85)</f>
        <v>85</v>
      </c>
      <c r="F114" s="85">
        <f>CHOOSE(MATCH(F115,{"Excellent","Good","Average","Poor"},0),9,35,70,85)</f>
        <v>85</v>
      </c>
      <c r="G114" s="85">
        <f>CHOOSE(MATCH(G115,{"Excellent","Good","Average","Poor"},0),9,35,70,85)</f>
        <v>85</v>
      </c>
      <c r="H114" s="85">
        <f>CHOOSE(MATCH(H115,{"Excellent","Good","Average","Poor"},0),9,35,70,85)</f>
        <v>85</v>
      </c>
      <c r="K114" s="76" t="s">
        <v>205</v>
      </c>
      <c r="L114" s="75">
        <v>8</v>
      </c>
    </row>
    <row r="115" spans="2:27">
      <c r="B115" s="75"/>
      <c r="E115" s="83" t="str">
        <f>'[4]DEVLAND Dashboard'!BK13</f>
        <v>Poor</v>
      </c>
      <c r="F115" s="83" t="str">
        <f>'[4]DEVLAND Dashboard'!BM13</f>
        <v>Poor</v>
      </c>
      <c r="G115" s="83" t="str">
        <f>'[4]DEVLAND Dashboard'!BO13</f>
        <v>Poor</v>
      </c>
      <c r="H115" s="83" t="str">
        <f>'[4]DEVLAND Dashboard'!BQ13</f>
        <v>Poor</v>
      </c>
      <c r="AA115" s="93" t="s">
        <v>325</v>
      </c>
    </row>
    <row r="116" spans="2:27">
      <c r="B116" s="75"/>
      <c r="E116" s="83"/>
      <c r="F116" s="83"/>
      <c r="G116" s="83"/>
      <c r="H116" s="83"/>
    </row>
    <row r="117" spans="2:27">
      <c r="B117" s="75"/>
      <c r="E117" s="83"/>
      <c r="F117" s="83"/>
      <c r="G117" s="83"/>
      <c r="H117" s="83"/>
    </row>
    <row r="118" spans="2:27">
      <c r="B118" s="75" t="s">
        <v>285</v>
      </c>
      <c r="E118" s="85">
        <f>CHOOSE(MATCH(E119,{"Excellent","Good","Average","Very Poor","Critical State"},0),85,70,35,9,9)</f>
        <v>85</v>
      </c>
      <c r="F118" s="85">
        <f>CHOOSE(MATCH(F119,{"Excellent","Good","Average","Very Poor","Critical State"},0),85,70,35,9,9)</f>
        <v>85</v>
      </c>
      <c r="G118" s="85">
        <f>CHOOSE(MATCH(G119,{"Excellent","Good","Average","Very Poor","Critical State"},0),85,70,35,9,9)</f>
        <v>85</v>
      </c>
      <c r="H118" s="85">
        <f>CHOOSE(MATCH(H119,{"Excellent","Good","Average","Very Poor","Critical State"},0),85,70,35,9,9)</f>
        <v>85</v>
      </c>
      <c r="K118" s="75" t="s">
        <v>286</v>
      </c>
    </row>
    <row r="119" spans="2:27">
      <c r="B119" s="75"/>
      <c r="E119" s="85" t="str">
        <f>'[4]DEVLAND Dashboard'!BK15</f>
        <v>Excellent</v>
      </c>
      <c r="F119" s="83" t="str">
        <f>'[4]DEVLAND Dashboard'!BM15</f>
        <v>Excellent</v>
      </c>
      <c r="G119" s="83" t="str">
        <f>'[4]DEVLAND Dashboard'!BO15</f>
        <v>Excellent</v>
      </c>
      <c r="H119" s="83" t="str">
        <f>'[4]DEVLAND Dashboard'!BQ15</f>
        <v>Excellent</v>
      </c>
      <c r="K119" s="75" t="s">
        <v>287</v>
      </c>
    </row>
    <row r="120" spans="2:27">
      <c r="B120" s="75" t="s">
        <v>283</v>
      </c>
      <c r="E120" s="85">
        <f>CHOOSE(MATCH(E121,{"Excellent","Good","Average","Poor"},0),9,35,70,85)</f>
        <v>85</v>
      </c>
      <c r="F120" s="85">
        <f>CHOOSE(MATCH(F121,{"Excellent","Good","Average","Poor"},0),9,35,70,85)</f>
        <v>85</v>
      </c>
      <c r="G120" s="85">
        <f>CHOOSE(MATCH(G121,{"Excellent","Good","Average","Poor"},0),9,35,70,85)</f>
        <v>85</v>
      </c>
      <c r="H120" s="85">
        <f>CHOOSE(MATCH(H121,{"Excellent","Good","Average","Poor"},0),9,35,70,85)</f>
        <v>85</v>
      </c>
      <c r="K120" s="75" t="s">
        <v>288</v>
      </c>
    </row>
    <row r="121" spans="2:27">
      <c r="B121" s="75"/>
      <c r="E121" s="85" t="str">
        <f>'[4]DEVLAND Dashboard'!BK16</f>
        <v>Poor</v>
      </c>
      <c r="F121" s="83" t="str">
        <f>'[4]DEVLAND Dashboard'!BM16</f>
        <v>Poor</v>
      </c>
      <c r="G121" s="83" t="str">
        <f>'[4]DEVLAND Dashboard'!BO16</f>
        <v>Poor</v>
      </c>
      <c r="H121" s="83" t="str">
        <f>'[4]DEVLAND Dashboard'!BQ16</f>
        <v>Poor</v>
      </c>
      <c r="K121" s="75" t="s">
        <v>289</v>
      </c>
    </row>
    <row r="122" spans="2:27">
      <c r="B122" s="75" t="s">
        <v>136</v>
      </c>
      <c r="E122" s="85">
        <f>CHOOSE(MATCH(E123,{"Excellent","Good","Average","Very Poor","Critical State"},0),85,70,35,9,9)</f>
        <v>9</v>
      </c>
      <c r="F122" s="85">
        <f>CHOOSE(MATCH(F123,{"Excellent","Good","Average","Very Poor","Critical State"},0),85,70,35,9,9)</f>
        <v>9</v>
      </c>
      <c r="G122" s="85">
        <f>CHOOSE(MATCH(G123,{"Excellent","Good","Average","Very Poor","Critical State"},0),85,70,35,9,9)</f>
        <v>9</v>
      </c>
      <c r="H122" s="85">
        <f>CHOOSE(MATCH(H123,{"Excellent","Good","Average","Very Poor","Critical State"},0),85,70,35,9,9)</f>
        <v>9</v>
      </c>
    </row>
    <row r="123" spans="2:27">
      <c r="B123" s="75"/>
      <c r="E123" s="85" t="str">
        <f>'[4]DEVLAND Dashboard'!BK17</f>
        <v>Very Poor</v>
      </c>
      <c r="F123" s="83" t="str">
        <f>'[4]DEVLAND Dashboard'!BM17</f>
        <v>Very Poor</v>
      </c>
      <c r="G123" s="83" t="str">
        <f>'[4]DEVLAND Dashboard'!BO17</f>
        <v>Very Poor</v>
      </c>
      <c r="H123" s="83" t="str">
        <f>'[4]DEVLAND Dashboard'!BQ17</f>
        <v>Very Poor</v>
      </c>
      <c r="L123" s="75" t="str">
        <f>IF(L108&gt;=85, "RedLight", IF(L108&gt;=70, "OrangeLight", IF(L108&gt;=35, "YellowLight", "GreenLight")))</f>
        <v>RedLight</v>
      </c>
      <c r="M123" s="75" t="str" cm="1">
        <f t="array" aca="1" ref="M123" ca="1">INDIRECT(L123)</f>
        <v>85+</v>
      </c>
      <c r="O123" s="77"/>
      <c r="P123" s="77"/>
      <c r="Q123" s="77"/>
      <c r="R123" s="77"/>
      <c r="S123" s="77"/>
      <c r="T123" s="77"/>
    </row>
    <row r="124" spans="2:27">
      <c r="B124" s="75" t="s">
        <v>290</v>
      </c>
      <c r="E124" s="85">
        <f>CHOOSE(MATCH(E125,{"Excellent","Good","Average","Very Poor","Critical State"},0),85,70,35,9,9)</f>
        <v>85</v>
      </c>
      <c r="F124" s="85">
        <f>CHOOSE(MATCH(F125,{"Excellent","Good","Average","Very Poor","Critical State"},0),85,70,35,9,9)</f>
        <v>85</v>
      </c>
      <c r="G124" s="85">
        <f>CHOOSE(MATCH(G125,{"Excellent","Good","Average","Very Poor","Critical State"},0),85,70,35,9,9)</f>
        <v>85</v>
      </c>
      <c r="H124" s="85">
        <f>CHOOSE(MATCH(H125,{"Excellent","Good","Average","Very Poor","Critical State"},0),85,70,35,9,9)</f>
        <v>85</v>
      </c>
      <c r="O124" s="77"/>
      <c r="P124" s="77"/>
      <c r="Q124" s="77"/>
      <c r="R124" s="77"/>
      <c r="S124" s="77"/>
      <c r="T124" s="77"/>
    </row>
    <row r="125" spans="2:27">
      <c r="B125" s="75"/>
      <c r="E125" s="85" t="str">
        <f>'[4]DEVLAND Dashboard'!BK18</f>
        <v>Excellent</v>
      </c>
      <c r="F125" s="83" t="str">
        <f>'[4]DEVLAND Dashboard'!BM18</f>
        <v>Excellent</v>
      </c>
      <c r="G125" s="83" t="str">
        <f>'[4]DEVLAND Dashboard'!BO18</f>
        <v>Excellent</v>
      </c>
      <c r="H125" s="83" t="str">
        <f>'[4]DEVLAND Dashboard'!BQ18</f>
        <v>Excellent</v>
      </c>
      <c r="M125" s="75" t="str">
        <f>RedLight</f>
        <v>85+</v>
      </c>
      <c r="O125" s="77"/>
      <c r="P125" s="77"/>
      <c r="Q125" s="77"/>
      <c r="R125" s="77"/>
      <c r="S125" s="77"/>
      <c r="T125" s="77"/>
    </row>
    <row r="126" spans="2:27">
      <c r="B126" s="75" t="s">
        <v>291</v>
      </c>
      <c r="E126" s="85">
        <f>CHOOSE(MATCH(E127,{"Excellent","Good","Average","Very Poor","Critical State"},0),85,70,35,9,9)</f>
        <v>9</v>
      </c>
      <c r="F126" s="85">
        <f>CHOOSE(MATCH(F127,{"Excellent","Good","Average","Very Poor","Critical State"},0),85,70,35,9,9)</f>
        <v>9</v>
      </c>
      <c r="G126" s="85">
        <f>CHOOSE(MATCH(G127,{"Excellent","Good","Average","Very Poor","Critical State"},0),85,70,35,9,9)</f>
        <v>9</v>
      </c>
      <c r="H126" s="85">
        <f>CHOOSE(MATCH(H127,{"Excellent","Good","Average","Very Poor","Critical State"},0),85,70,35,9,9)</f>
        <v>9</v>
      </c>
      <c r="O126" s="77"/>
      <c r="P126" s="77"/>
      <c r="Q126" s="77"/>
      <c r="R126" s="77"/>
      <c r="S126" s="77"/>
      <c r="T126" s="77"/>
    </row>
    <row r="127" spans="2:27">
      <c r="B127" s="75"/>
      <c r="E127" s="75" t="str">
        <f>'[4]DEVLAND Dashboard'!BK19</f>
        <v>Critical State</v>
      </c>
      <c r="F127" s="83" t="str">
        <f>'[4]DEVLAND Dashboard'!BM19</f>
        <v>Critical State</v>
      </c>
      <c r="G127" s="83" t="str">
        <f>'[4]DEVLAND Dashboard'!BO19</f>
        <v>Critical State</v>
      </c>
      <c r="H127" s="83" t="str">
        <f>'[4]DEVLAND Dashboard'!BQ19</f>
        <v>Critical State</v>
      </c>
      <c r="O127" s="77"/>
      <c r="P127" s="77"/>
      <c r="Q127" s="77"/>
      <c r="R127" s="77"/>
      <c r="S127" s="77"/>
      <c r="T127" s="77"/>
    </row>
    <row r="128" spans="2:27">
      <c r="B128" s="75"/>
      <c r="F128" s="83"/>
      <c r="G128" s="83"/>
      <c r="H128" s="83"/>
      <c r="O128" s="77"/>
      <c r="P128" s="77"/>
      <c r="Q128" s="77"/>
      <c r="R128" s="77"/>
      <c r="S128" s="77"/>
      <c r="T128" s="77"/>
    </row>
    <row r="129" spans="2:20">
      <c r="B129" s="75" t="s">
        <v>281</v>
      </c>
      <c r="E129" s="85">
        <f>CHOOSE(MATCH(E130,{"Excellent","Good","Average","Poor","Critical State"},0),9,35,70,85,90)</f>
        <v>9</v>
      </c>
      <c r="F129" s="85">
        <f>CHOOSE(MATCH(F130,{"Excellent","Good","Average","Poor","Critical State"},0),9,35,70,85,90)</f>
        <v>9</v>
      </c>
      <c r="G129" s="85">
        <f>CHOOSE(MATCH(G130,{"Excellent","Good","Average","Poor","Critical State"},0),9,35,70,85,90)</f>
        <v>9</v>
      </c>
      <c r="H129" s="85">
        <f>CHOOSE(MATCH(H130,{"Excellent","Good","Average","Poor","Critical State"},0),9,35,70,85,90)</f>
        <v>9</v>
      </c>
      <c r="O129" s="77"/>
      <c r="P129" s="77"/>
      <c r="Q129" s="77"/>
      <c r="R129" s="77"/>
      <c r="S129" s="77"/>
      <c r="T129" s="77"/>
    </row>
    <row r="130" spans="2:20">
      <c r="B130" s="75"/>
      <c r="E130" s="75" t="str">
        <f>'[4]DEVLAND Dashboard'!BK21</f>
        <v>Excellent</v>
      </c>
      <c r="F130" s="83" t="str">
        <f>'[4]DEVLAND Dashboard'!BM21</f>
        <v>Excellent</v>
      </c>
      <c r="G130" s="83" t="str">
        <f>'[4]DEVLAND Dashboard'!BO21</f>
        <v>Excellent</v>
      </c>
      <c r="H130" s="83" t="str">
        <f>'[4]DEVLAND Dashboard'!BQ21</f>
        <v>Excellent</v>
      </c>
    </row>
    <row r="131" spans="2:20">
      <c r="B131" s="75" t="s">
        <v>141</v>
      </c>
      <c r="E131" s="85">
        <f>CHOOSE(MATCH(E132,{"Excellent","Good","Average","Poor"},0),9,35,70,85)</f>
        <v>70</v>
      </c>
      <c r="F131" s="85">
        <f>CHOOSE(MATCH(F132,{"Excellent","Good","Average","Poor"},0),9,35,70,85)</f>
        <v>70</v>
      </c>
      <c r="G131" s="85">
        <f>CHOOSE(MATCH(G132,{"Excellent","Good","Average","Poor"},0),9,35,70,85)</f>
        <v>70</v>
      </c>
      <c r="H131" s="85">
        <f>CHOOSE(MATCH(H132,{"Excellent","Good","Average","Poor"},0),9,35,70,85)</f>
        <v>70</v>
      </c>
    </row>
    <row r="132" spans="2:20">
      <c r="B132" s="75"/>
      <c r="E132" s="85" t="str">
        <f>'[4]DEVLAND Dashboard'!BK22</f>
        <v>Average</v>
      </c>
      <c r="F132" s="83" t="str">
        <f>'[4]DEVLAND Dashboard'!BM22</f>
        <v>Average</v>
      </c>
      <c r="G132" s="83" t="str">
        <f>'[4]DEVLAND Dashboard'!BO22</f>
        <v>Average</v>
      </c>
      <c r="H132" s="83" t="str">
        <f>'[4]DEVLAND Dashboard'!BQ22</f>
        <v>Average</v>
      </c>
      <c r="O132" s="86"/>
      <c r="P132" s="86"/>
      <c r="Q132" s="86"/>
      <c r="R132" s="86"/>
      <c r="S132" s="86"/>
      <c r="T132" s="86"/>
    </row>
    <row r="133" spans="2:20">
      <c r="B133" s="75" t="s">
        <v>142</v>
      </c>
      <c r="E133" s="85">
        <f>CHOOSE(MATCH(E134,{"Excellent","Good","Average","Poor"},0),9,35,70,85)</f>
        <v>9</v>
      </c>
      <c r="F133" s="85">
        <f>CHOOSE(MATCH(F134,{"Excellent","Good","Average","Poor"},0),9,35,70,85)</f>
        <v>9</v>
      </c>
      <c r="G133" s="85">
        <f>CHOOSE(MATCH(G134,{"Excellent","Good","Average","Poor"},0),9,35,70,85)</f>
        <v>9</v>
      </c>
      <c r="H133" s="85">
        <f>CHOOSE(MATCH(H134,{"Excellent","Good","Average","Poor"},0),9,35,70,85)</f>
        <v>9</v>
      </c>
      <c r="O133" s="86"/>
      <c r="P133" s="86"/>
      <c r="Q133" s="86"/>
      <c r="R133" s="86"/>
      <c r="S133" s="86"/>
      <c r="T133" s="86"/>
    </row>
    <row r="134" spans="2:20">
      <c r="B134" s="75"/>
      <c r="E134" s="85" t="str">
        <f>'[4]DEVLAND Dashboard'!BK23</f>
        <v>Excellent</v>
      </c>
      <c r="F134" s="83" t="str">
        <f>'[4]DEVLAND Dashboard'!BM23</f>
        <v>Excellent</v>
      </c>
      <c r="G134" s="83" t="str">
        <f>'[4]DEVLAND Dashboard'!BO23</f>
        <v>Excellent</v>
      </c>
      <c r="H134" s="83" t="str">
        <f>'[4]DEVLAND Dashboard'!BQ23</f>
        <v>Excellent</v>
      </c>
      <c r="O134" s="86"/>
      <c r="P134" s="86"/>
      <c r="Q134" s="86"/>
      <c r="R134" s="86"/>
      <c r="S134" s="86"/>
      <c r="T134" s="86"/>
    </row>
    <row r="135" spans="2:20">
      <c r="B135" s="75"/>
      <c r="E135" s="85" t="e">
        <f>CHOOSE(MATCH(E136,{"Excellent","Good","Average","Poor"},0),9,35,70,85)</f>
        <v>#N/A</v>
      </c>
      <c r="F135" s="85" t="e">
        <f>CHOOSE(MATCH(F136,{"Excellent","Good","Average","Poor"},0),9,35,70,85)</f>
        <v>#N/A</v>
      </c>
      <c r="G135" s="85" t="e">
        <f>CHOOSE(MATCH(G136,{"Excellent","Good","Average","Poor"},0),9,35,70,85)</f>
        <v>#N/A</v>
      </c>
      <c r="H135" s="85" t="e">
        <f>CHOOSE(MATCH(H136,{"Excellent","Good","Average","Poor"},0),9,35,70,85)</f>
        <v>#N/A</v>
      </c>
      <c r="O135" s="86"/>
      <c r="P135" s="86"/>
      <c r="Q135" s="86"/>
      <c r="R135" s="86"/>
      <c r="S135" s="86"/>
      <c r="T135" s="86"/>
    </row>
    <row r="136" spans="2:20">
      <c r="B136" s="75"/>
      <c r="E136" s="85"/>
      <c r="F136" s="85"/>
      <c r="G136" s="85"/>
      <c r="H136" s="85"/>
    </row>
    <row r="137" spans="2:20">
      <c r="B137" s="75"/>
      <c r="E137" s="85"/>
      <c r="F137" s="85"/>
      <c r="G137" s="85"/>
      <c r="H137" s="85"/>
    </row>
    <row r="138" spans="2:20">
      <c r="B138" s="75"/>
      <c r="E138" s="85"/>
      <c r="F138" s="85"/>
      <c r="G138" s="85"/>
      <c r="H138" s="85"/>
      <c r="O138" s="86"/>
      <c r="P138" s="86"/>
      <c r="Q138" s="86"/>
      <c r="R138" s="86"/>
      <c r="S138" s="86"/>
      <c r="T138" s="86"/>
    </row>
    <row r="139" spans="2:20">
      <c r="B139" s="75"/>
      <c r="E139" s="85"/>
      <c r="F139" s="85"/>
      <c r="G139" s="85"/>
      <c r="H139" s="85"/>
      <c r="O139" s="86"/>
      <c r="P139" s="86"/>
      <c r="Q139" s="86"/>
      <c r="R139" s="86"/>
      <c r="S139" s="86"/>
      <c r="T139" s="86"/>
    </row>
    <row r="140" spans="2:20">
      <c r="B140" s="75"/>
      <c r="E140" s="85"/>
      <c r="F140" s="85"/>
      <c r="G140" s="85"/>
      <c r="H140" s="85"/>
      <c r="O140" s="86"/>
      <c r="P140" s="86"/>
      <c r="Q140" s="86"/>
      <c r="R140" s="86"/>
      <c r="S140" s="86"/>
      <c r="T140" s="86"/>
    </row>
    <row r="141" spans="2:20">
      <c r="B141" s="75"/>
      <c r="E141" s="85"/>
      <c r="F141" s="85"/>
      <c r="G141" s="85"/>
      <c r="H141" s="85"/>
      <c r="O141" s="86"/>
      <c r="P141" s="86"/>
      <c r="Q141" s="86"/>
      <c r="R141" s="86"/>
      <c r="S141" s="86"/>
      <c r="T141" s="86"/>
    </row>
    <row r="142" spans="2:20">
      <c r="B142" s="75"/>
      <c r="E142" s="85"/>
      <c r="F142" s="85"/>
      <c r="G142" s="85"/>
      <c r="H142" s="85"/>
    </row>
    <row r="143" spans="2:20">
      <c r="B143" s="75"/>
      <c r="E143" s="85"/>
      <c r="F143" s="85"/>
      <c r="G143" s="85"/>
      <c r="H143" s="85"/>
    </row>
    <row r="144" spans="2:20">
      <c r="B144" s="75"/>
      <c r="E144" s="85">
        <v>5</v>
      </c>
      <c r="F144" s="85">
        <v>10</v>
      </c>
      <c r="G144" s="85">
        <v>10</v>
      </c>
      <c r="H144" s="85">
        <v>10</v>
      </c>
      <c r="O144" s="79"/>
      <c r="P144" s="79"/>
      <c r="Q144" s="79"/>
      <c r="R144" s="79"/>
      <c r="S144" s="79"/>
      <c r="T144" s="79"/>
    </row>
    <row r="145" spans="1:20">
      <c r="B145" s="75"/>
      <c r="E145" s="85"/>
      <c r="F145" s="85"/>
      <c r="G145" s="85"/>
      <c r="H145" s="85"/>
      <c r="O145" s="79"/>
      <c r="P145" s="79"/>
      <c r="Q145" s="79"/>
      <c r="R145" s="79"/>
      <c r="S145" s="79"/>
      <c r="T145" s="79"/>
    </row>
    <row r="146" spans="1:20">
      <c r="B146" s="75"/>
      <c r="E146" s="85">
        <v>5</v>
      </c>
      <c r="F146" s="85">
        <v>10</v>
      </c>
      <c r="G146" s="85">
        <v>10</v>
      </c>
      <c r="H146" s="85">
        <v>10</v>
      </c>
      <c r="O146" s="79"/>
      <c r="P146" s="79"/>
      <c r="Q146" s="79"/>
      <c r="R146" s="79"/>
      <c r="S146" s="79"/>
      <c r="T146" s="79"/>
    </row>
    <row r="147" spans="1:20">
      <c r="C147" s="79"/>
      <c r="D147" s="79"/>
      <c r="E147" s="79"/>
      <c r="F147" s="79"/>
      <c r="G147" s="79"/>
      <c r="H147" s="79"/>
      <c r="I147" s="79"/>
      <c r="J147" s="79"/>
      <c r="K147" s="79"/>
      <c r="L147" s="79"/>
      <c r="M147" s="79"/>
      <c r="N147" s="79"/>
      <c r="O147" s="79"/>
      <c r="P147" s="79"/>
      <c r="Q147" s="79"/>
      <c r="R147" s="79"/>
      <c r="S147" s="79"/>
      <c r="T147" s="79"/>
    </row>
    <row r="149" spans="1:20">
      <c r="B149" s="74" t="s">
        <v>132</v>
      </c>
    </row>
    <row r="150" spans="1:20">
      <c r="B150" s="74" t="s">
        <v>206</v>
      </c>
      <c r="C150" s="87"/>
      <c r="D150" s="87"/>
      <c r="E150" s="87"/>
      <c r="F150" s="87"/>
      <c r="G150" s="87"/>
      <c r="H150" s="87"/>
      <c r="I150" s="87"/>
      <c r="J150" s="87"/>
      <c r="K150" s="87"/>
      <c r="L150" s="87"/>
      <c r="M150" s="87"/>
      <c r="N150" s="87"/>
      <c r="O150" s="87"/>
      <c r="P150" s="87"/>
      <c r="Q150" s="87"/>
      <c r="R150" s="87"/>
      <c r="S150" s="87"/>
      <c r="T150" s="87"/>
    </row>
    <row r="151" spans="1:20">
      <c r="B151" s="74" t="s">
        <v>207</v>
      </c>
      <c r="C151" s="87"/>
      <c r="D151" s="87"/>
      <c r="E151" s="87"/>
      <c r="F151" s="87"/>
      <c r="G151" s="87"/>
      <c r="H151" s="87"/>
      <c r="I151" s="87"/>
      <c r="J151" s="87"/>
      <c r="K151" s="87"/>
      <c r="L151" s="87"/>
      <c r="M151" s="87"/>
      <c r="N151" s="87"/>
      <c r="O151" s="87"/>
      <c r="P151" s="87"/>
      <c r="Q151" s="87"/>
      <c r="R151" s="87"/>
      <c r="S151" s="87"/>
      <c r="T151" s="87"/>
    </row>
    <row r="152" spans="1:20">
      <c r="B152" s="74" t="s">
        <v>208</v>
      </c>
      <c r="C152" s="87"/>
      <c r="D152" s="87"/>
      <c r="E152" s="87"/>
      <c r="F152" s="87"/>
      <c r="G152" s="87"/>
      <c r="H152" s="87"/>
      <c r="I152" s="87"/>
      <c r="J152" s="87"/>
      <c r="K152" s="87"/>
      <c r="L152" s="87"/>
      <c r="M152" s="87"/>
      <c r="N152" s="87"/>
      <c r="O152" s="87"/>
      <c r="P152" s="87"/>
      <c r="Q152" s="87"/>
      <c r="R152" s="87"/>
      <c r="S152" s="87"/>
      <c r="T152" s="87"/>
    </row>
    <row r="153" spans="1:20">
      <c r="B153" s="74" t="s">
        <v>280</v>
      </c>
      <c r="C153" s="87"/>
      <c r="D153" s="87"/>
      <c r="E153" s="87"/>
      <c r="F153" s="87"/>
      <c r="G153" s="87"/>
      <c r="H153" s="87"/>
      <c r="I153" s="87"/>
      <c r="J153" s="87"/>
      <c r="K153" s="87"/>
      <c r="L153" s="87"/>
      <c r="M153" s="87"/>
      <c r="N153" s="87"/>
      <c r="O153" s="87"/>
      <c r="P153" s="87"/>
      <c r="Q153" s="87"/>
      <c r="R153" s="87"/>
      <c r="S153" s="87"/>
      <c r="T153" s="87"/>
    </row>
    <row r="155" spans="1:20">
      <c r="C155" s="75" t="s">
        <v>292</v>
      </c>
      <c r="D155" s="75" t="s">
        <v>293</v>
      </c>
    </row>
    <row r="156" spans="1:20">
      <c r="A156" s="75">
        <v>2024</v>
      </c>
      <c r="C156" s="79">
        <v>0</v>
      </c>
      <c r="D156" s="79">
        <v>0</v>
      </c>
    </row>
    <row r="157" spans="1:20">
      <c r="A157" s="75">
        <v>2025</v>
      </c>
      <c r="C157" s="79">
        <v>0.05</v>
      </c>
      <c r="D157" s="79">
        <v>1</v>
      </c>
    </row>
    <row r="158" spans="1:20">
      <c r="A158" s="75">
        <v>2026</v>
      </c>
      <c r="C158" s="79">
        <v>0.1</v>
      </c>
    </row>
    <row r="159" spans="1:20">
      <c r="A159" s="75">
        <v>2027</v>
      </c>
      <c r="C159" s="79">
        <v>0.15</v>
      </c>
    </row>
    <row r="160" spans="1:20">
      <c r="A160" s="75">
        <v>2028</v>
      </c>
      <c r="C160" s="79">
        <v>0.2</v>
      </c>
    </row>
    <row r="161" spans="1:35">
      <c r="A161" s="75">
        <v>2029</v>
      </c>
      <c r="C161" s="79">
        <v>0.25</v>
      </c>
    </row>
    <row r="162" spans="1:35">
      <c r="A162" s="75">
        <v>2030</v>
      </c>
      <c r="C162" s="79">
        <v>0.3</v>
      </c>
    </row>
    <row r="163" spans="1:35">
      <c r="A163" s="75">
        <v>2031</v>
      </c>
      <c r="C163" s="79">
        <v>0.35</v>
      </c>
    </row>
    <row r="164" spans="1:35">
      <c r="A164" s="75">
        <v>2032</v>
      </c>
      <c r="C164" s="79">
        <v>0.4</v>
      </c>
    </row>
    <row r="165" spans="1:35">
      <c r="A165" s="75">
        <v>2033</v>
      </c>
      <c r="C165" s="79">
        <v>0.45</v>
      </c>
    </row>
    <row r="166" spans="1:35">
      <c r="A166" s="75">
        <v>2034</v>
      </c>
      <c r="C166" s="79"/>
    </row>
    <row r="167" spans="1:35" s="74" customFormat="1">
      <c r="A167" s="75">
        <v>2035</v>
      </c>
      <c r="C167" s="75"/>
      <c r="D167" s="75"/>
      <c r="E167" s="75"/>
      <c r="F167" s="75"/>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row>
    <row r="168" spans="1:35" s="74" customFormat="1">
      <c r="A168" s="75">
        <v>2036</v>
      </c>
      <c r="C168" s="75"/>
      <c r="D168" s="75"/>
      <c r="E168" s="75"/>
      <c r="F168" s="75"/>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row>
    <row r="169" spans="1:35" s="74" customFormat="1">
      <c r="A169" s="75">
        <v>2037</v>
      </c>
      <c r="C169" s="75"/>
      <c r="D169" s="75"/>
      <c r="E169" s="75"/>
      <c r="F169" s="75"/>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row>
    <row r="170" spans="1:35" s="74" customFormat="1">
      <c r="A170" s="75">
        <v>2038</v>
      </c>
      <c r="C170" s="75"/>
      <c r="D170" s="75"/>
      <c r="E170" s="75"/>
      <c r="F170" s="75"/>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row>
    <row r="171" spans="1:35" s="74" customFormat="1">
      <c r="A171" s="75">
        <v>2039</v>
      </c>
      <c r="C171" s="75"/>
      <c r="D171" s="75"/>
      <c r="E171" s="75"/>
      <c r="F171" s="75"/>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row>
    <row r="172" spans="1:35" s="74" customFormat="1">
      <c r="A172" s="75">
        <v>2040</v>
      </c>
      <c r="C172" s="75"/>
      <c r="D172" s="75"/>
      <c r="E172" s="75"/>
      <c r="F172" s="75"/>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row>
  </sheetData>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2CC4A-E07A-455A-BDCD-89ECEAFDFBC2}">
  <sheetPr codeName="Sheet21">
    <tabColor theme="0" tint="-0.14999847407452621"/>
  </sheetPr>
  <dimension ref="A1:AJ193"/>
  <sheetViews>
    <sheetView zoomScale="85" zoomScaleNormal="85" workbookViewId="0">
      <selection activeCell="E171" sqref="E171"/>
    </sheetView>
  </sheetViews>
  <sheetFormatPr defaultColWidth="9.140625" defaultRowHeight="12.75"/>
  <cols>
    <col min="1" max="3" width="2.140625" customWidth="1"/>
    <col min="4" max="4" width="35.85546875" customWidth="1"/>
    <col min="5" max="5" width="44" bestFit="1" customWidth="1"/>
    <col min="6" max="6" width="18.28515625" customWidth="1"/>
    <col min="7" max="7" width="20.28515625" bestFit="1" customWidth="1"/>
    <col min="8" max="27" width="15.28515625" customWidth="1"/>
    <col min="28" max="28" width="16.28515625" customWidth="1"/>
    <col min="29" max="29" width="17.140625" customWidth="1"/>
    <col min="30" max="30" width="14.5703125" customWidth="1"/>
    <col min="31" max="31" width="17.28515625" customWidth="1"/>
    <col min="32" max="32" width="14.28515625" bestFit="1" customWidth="1"/>
    <col min="34" max="34" width="12.5703125" bestFit="1" customWidth="1"/>
    <col min="36" max="36" width="10.7109375" bestFit="1" customWidth="1"/>
    <col min="57" max="57" width="1.28515625" customWidth="1"/>
    <col min="58" max="58" width="0.7109375" customWidth="1"/>
    <col min="59" max="59" width="1.28515625" customWidth="1"/>
    <col min="61" max="70" width="14" customWidth="1"/>
    <col min="71" max="71" width="16.28515625" customWidth="1"/>
  </cols>
  <sheetData>
    <row r="1" spans="1:30" ht="23.25">
      <c r="A1" s="30" t="s">
        <v>438</v>
      </c>
      <c r="B1" s="30"/>
      <c r="C1" s="30"/>
      <c r="D1" s="30"/>
      <c r="E1" s="30"/>
      <c r="F1" s="30"/>
      <c r="G1" s="30"/>
      <c r="H1" s="30"/>
      <c r="I1" s="30"/>
      <c r="J1" s="30"/>
      <c r="K1" s="30"/>
      <c r="L1" s="30"/>
      <c r="M1" s="30"/>
      <c r="N1" s="30"/>
      <c r="O1" s="30"/>
      <c r="P1" s="30"/>
      <c r="Q1" s="30"/>
      <c r="R1" s="30"/>
      <c r="S1" s="30"/>
      <c r="T1" s="30"/>
      <c r="U1" s="30"/>
      <c r="V1" s="30"/>
      <c r="W1" s="30"/>
      <c r="X1" s="30"/>
      <c r="Y1" s="30"/>
      <c r="Z1" s="30"/>
      <c r="AA1" s="30"/>
    </row>
    <row r="2" spans="1:30" ht="15.75">
      <c r="A2" s="17" t="str">
        <f>Name_Model</f>
        <v>Aspen PE</v>
      </c>
      <c r="B2" s="17"/>
      <c r="C2" s="17"/>
      <c r="D2" s="17"/>
      <c r="E2" s="17"/>
      <c r="F2" s="17"/>
      <c r="G2" s="17"/>
      <c r="H2" s="17"/>
      <c r="I2" s="17"/>
      <c r="J2" s="17"/>
      <c r="K2" s="17"/>
      <c r="L2" s="17"/>
      <c r="M2" s="17"/>
      <c r="N2" s="17"/>
      <c r="O2" s="17"/>
      <c r="P2" s="17"/>
      <c r="Q2" s="17"/>
      <c r="R2" s="17"/>
      <c r="S2" s="17"/>
      <c r="T2" s="17"/>
      <c r="U2" s="17"/>
      <c r="V2" s="17"/>
      <c r="W2" s="17"/>
      <c r="X2" s="17"/>
      <c r="Y2" s="17"/>
      <c r="Z2" s="17"/>
      <c r="AA2" s="17"/>
    </row>
    <row r="3" spans="1:30" ht="15.75">
      <c r="D3" s="45"/>
    </row>
    <row r="4" spans="1:30" ht="15.75">
      <c r="D4" s="45"/>
      <c r="E4" s="43" t="s">
        <v>462</v>
      </c>
      <c r="F4" s="43" t="s">
        <v>463</v>
      </c>
      <c r="G4" s="43" t="s">
        <v>460</v>
      </c>
      <c r="H4" s="43" t="s">
        <v>459</v>
      </c>
    </row>
    <row r="5" spans="1:30">
      <c r="D5" s="141" t="s">
        <v>439</v>
      </c>
      <c r="E5" s="65">
        <f>SUM(E6:E8)</f>
        <v>1609.7495127854461</v>
      </c>
      <c r="F5" s="65">
        <f>SUM(F6:F8)</f>
        <v>1293.8135151266065</v>
      </c>
      <c r="G5" s="65">
        <f>E5-F5</f>
        <v>315.9359976588396</v>
      </c>
      <c r="H5" s="105">
        <f>G5/E5*100</f>
        <v>19.626407409942718</v>
      </c>
    </row>
    <row r="6" spans="1:30">
      <c r="D6" t="s">
        <v>435</v>
      </c>
      <c r="E6" s="65">
        <f>SUM('BaU Model'!L81:AL81)/10^6</f>
        <v>140.11397769256709</v>
      </c>
      <c r="F6" s="65">
        <f>SUM('Strategic Model'!L92:AL92)/10^6</f>
        <v>16.107358290227065</v>
      </c>
      <c r="G6" s="65">
        <f>E6-F6</f>
        <v>124.00661940234002</v>
      </c>
      <c r="H6" s="105">
        <f>G6/E6*100</f>
        <v>88.504103191211058</v>
      </c>
    </row>
    <row r="7" spans="1:30">
      <c r="D7" s="7" t="s">
        <v>436</v>
      </c>
      <c r="E7" s="9">
        <f>SUM('BaU Model'!L88:AL88)/10^6</f>
        <v>637.36355631253616</v>
      </c>
      <c r="F7" s="9">
        <f>SUM('Strategic Model'!L103:AL103)/10^6</f>
        <v>301.84270802175996</v>
      </c>
      <c r="G7" s="65">
        <f>E7-F7</f>
        <v>335.5208482907762</v>
      </c>
      <c r="H7" s="105">
        <f>G7/E7*100</f>
        <v>52.641988229124749</v>
      </c>
    </row>
    <row r="8" spans="1:30">
      <c r="D8" s="7" t="s">
        <v>527</v>
      </c>
      <c r="E8" s="65">
        <f>SUM('BaU Model'!L82:AL82)/10^6</f>
        <v>832.27197878034281</v>
      </c>
      <c r="F8" s="65">
        <f>SUM('Strategic Model'!M97:AL97)/10^6</f>
        <v>975.86344881461957</v>
      </c>
      <c r="G8" s="65">
        <f>E8-F8</f>
        <v>-143.59147003427677</v>
      </c>
      <c r="H8" s="105">
        <f>G8/E8*100</f>
        <v>-17.252950200810989</v>
      </c>
    </row>
    <row r="9" spans="1:30">
      <c r="D9" s="7"/>
      <c r="E9" s="65"/>
      <c r="F9" s="65"/>
      <c r="G9" s="65"/>
      <c r="H9" s="105"/>
    </row>
    <row r="10" spans="1:30">
      <c r="D10" s="7"/>
      <c r="E10" s="65"/>
      <c r="F10" s="65"/>
      <c r="G10" s="65"/>
      <c r="H10" s="105"/>
    </row>
    <row r="11" spans="1:30">
      <c r="D11" s="7"/>
      <c r="E11" s="65"/>
      <c r="F11" s="65"/>
      <c r="G11" s="65"/>
      <c r="H11" s="105"/>
    </row>
    <row r="13" spans="1:30">
      <c r="D13" s="141" t="s">
        <v>442</v>
      </c>
      <c r="E13" s="7" t="s">
        <v>441</v>
      </c>
    </row>
    <row r="14" spans="1:30">
      <c r="D14" s="7" t="s">
        <v>443</v>
      </c>
      <c r="E14" s="7" t="s">
        <v>444</v>
      </c>
    </row>
    <row r="15" spans="1:30">
      <c r="D15" s="7" t="s">
        <v>445</v>
      </c>
      <c r="E15" s="7" t="s">
        <v>446</v>
      </c>
      <c r="F15" s="7" t="s">
        <v>447</v>
      </c>
    </row>
    <row r="16" spans="1:30">
      <c r="D16" s="194" t="s">
        <v>462</v>
      </c>
      <c r="E16" s="194"/>
      <c r="F16" s="194"/>
      <c r="G16" s="194"/>
      <c r="H16" s="194"/>
      <c r="I16" s="194"/>
      <c r="J16" s="194"/>
      <c r="K16" s="194"/>
      <c r="L16" s="194"/>
      <c r="M16" s="194"/>
      <c r="N16" s="194"/>
      <c r="O16" s="194"/>
      <c r="P16" s="194"/>
      <c r="Q16" s="194"/>
      <c r="R16" s="194"/>
      <c r="S16" s="194"/>
      <c r="T16" s="194"/>
      <c r="U16" s="194"/>
      <c r="V16" s="194"/>
      <c r="W16" s="194"/>
      <c r="X16" s="194"/>
      <c r="Y16" s="194"/>
      <c r="Z16" s="194"/>
      <c r="AA16" s="194"/>
      <c r="AB16" s="194"/>
      <c r="AC16" s="194"/>
      <c r="AD16" s="194"/>
    </row>
    <row r="17" spans="4:30">
      <c r="E17">
        <v>2025</v>
      </c>
      <c r="F17">
        <v>2030</v>
      </c>
      <c r="G17">
        <v>2035</v>
      </c>
      <c r="H17">
        <v>2040</v>
      </c>
      <c r="I17">
        <v>2045</v>
      </c>
      <c r="J17">
        <v>2050</v>
      </c>
    </row>
    <row r="18" spans="4:30">
      <c r="D18" t="s">
        <v>464</v>
      </c>
      <c r="E18" s="105">
        <f>AVERAGE('BaU Model'!K97:M97)</f>
        <v>32.396952574079997</v>
      </c>
      <c r="F18" s="105">
        <f>AVERAGE('BaU Model'!N97:R97)</f>
        <v>34.524202969053242</v>
      </c>
      <c r="G18" s="105">
        <f>AVERAGE('BaU Model'!S97:W97)</f>
        <v>55.206970489180982</v>
      </c>
      <c r="H18" s="105">
        <f>AVERAGE('BaU Model'!X97:AB97)</f>
        <v>79.460914269699316</v>
      </c>
      <c r="I18" s="105">
        <f>AVERAGE('BaU Model'!AC97:AG97)</f>
        <v>115.06726839435794</v>
      </c>
      <c r="J18" s="105">
        <f>AVERAGE('BaU Model'!AH97:AL97)</f>
        <v>167.64243669306342</v>
      </c>
    </row>
    <row r="19" spans="4:30">
      <c r="D19" t="s">
        <v>465</v>
      </c>
      <c r="E19" s="105">
        <f>AVERAGE('BaU Model'!K65:M65)</f>
        <v>29.156666666666666</v>
      </c>
      <c r="F19" s="105">
        <f>AVERAGE(E24:I24)</f>
        <v>7.4396000000000004</v>
      </c>
      <c r="G19" s="105">
        <f>AVERAGE(O24:S24)</f>
        <v>6.7004545157640676</v>
      </c>
      <c r="H19" s="105">
        <f>AVERAGE(T24:X24)</f>
        <v>8.9667196145409012</v>
      </c>
      <c r="I19" s="105"/>
      <c r="J19" s="105"/>
    </row>
    <row r="20" spans="4:30">
      <c r="D20" t="s">
        <v>466</v>
      </c>
      <c r="E20" s="105"/>
      <c r="F20" s="105"/>
      <c r="G20" s="105"/>
      <c r="H20" s="105"/>
      <c r="I20" s="105"/>
      <c r="J20" s="105"/>
    </row>
    <row r="21" spans="4:30">
      <c r="D21" t="s">
        <v>440</v>
      </c>
      <c r="E21" s="105"/>
      <c r="F21" s="105"/>
      <c r="G21" s="105"/>
      <c r="H21" s="105"/>
      <c r="I21" s="105"/>
      <c r="J21" s="105"/>
    </row>
    <row r="23" spans="4:30">
      <c r="E23">
        <v>2025</v>
      </c>
      <c r="F23">
        <v>2026</v>
      </c>
      <c r="G23">
        <v>2027</v>
      </c>
      <c r="H23">
        <v>2028</v>
      </c>
      <c r="I23">
        <v>2029</v>
      </c>
      <c r="J23">
        <v>2030</v>
      </c>
      <c r="K23">
        <v>2031</v>
      </c>
      <c r="L23">
        <v>2032</v>
      </c>
      <c r="M23">
        <v>2033</v>
      </c>
      <c r="N23">
        <v>2034</v>
      </c>
      <c r="O23">
        <v>2035</v>
      </c>
      <c r="P23">
        <v>2036</v>
      </c>
      <c r="Q23">
        <v>2037</v>
      </c>
      <c r="R23">
        <v>2038</v>
      </c>
      <c r="S23">
        <v>2039</v>
      </c>
      <c r="T23">
        <v>2040</v>
      </c>
      <c r="U23">
        <v>2041</v>
      </c>
      <c r="V23">
        <v>2042</v>
      </c>
      <c r="W23">
        <v>2043</v>
      </c>
      <c r="X23">
        <v>2044</v>
      </c>
      <c r="Y23">
        <v>2045</v>
      </c>
      <c r="Z23">
        <v>2046</v>
      </c>
      <c r="AA23">
        <v>2047</v>
      </c>
      <c r="AB23">
        <v>2048</v>
      </c>
      <c r="AC23">
        <v>2049</v>
      </c>
      <c r="AD23">
        <v>2050</v>
      </c>
    </row>
    <row r="24" spans="4:30">
      <c r="D24" t="s">
        <v>148</v>
      </c>
      <c r="E24" s="65">
        <f>'BaU Model'!M81/'BaU Model'!M23</f>
        <v>21.167999999999999</v>
      </c>
      <c r="F24" s="65">
        <f>'BaU Model'!N81/'BaU Model'!N23</f>
        <v>16.03</v>
      </c>
      <c r="G24" s="65">
        <f>'BaU Model'!O81/'BaU Model'!O23</f>
        <v>0</v>
      </c>
      <c r="H24" s="65">
        <f>'BaU Model'!P81/'BaU Model'!P23</f>
        <v>0</v>
      </c>
      <c r="I24" s="65">
        <f>'BaU Model'!Q81/'BaU Model'!Q23</f>
        <v>0</v>
      </c>
      <c r="J24" s="65">
        <f>'BaU Model'!R81/'BaU Model'!R23</f>
        <v>0</v>
      </c>
      <c r="K24" s="65">
        <f>'BaU Model'!S81/'BaU Model'!S23</f>
        <v>4.707557246626723</v>
      </c>
      <c r="L24" s="65">
        <f>'BaU Model'!T81/'BaU Model'!T23</f>
        <v>4.9900106814243266</v>
      </c>
      <c r="M24" s="65">
        <f>'BaU Model'!U81/'BaU Model'!U23</f>
        <v>5.2894113223097872</v>
      </c>
      <c r="N24" s="65">
        <f>'BaU Model'!V81/'BaU Model'!V23</f>
        <v>5.6067760016483748</v>
      </c>
      <c r="O24" s="65">
        <f>'BaU Model'!W81/'BaU Model'!W23</f>
        <v>5.9431825617472764</v>
      </c>
      <c r="P24" s="65">
        <f>'BaU Model'!X81/'BaU Model'!X23</f>
        <v>6.2997735154521131</v>
      </c>
      <c r="Q24" s="65">
        <f>'BaU Model'!Y81/'BaU Model'!Y23</f>
        <v>6.6777599263792409</v>
      </c>
      <c r="R24" s="65">
        <f>'BaU Model'!Z81/'BaU Model'!Z23</f>
        <v>7.0784255219619947</v>
      </c>
      <c r="S24" s="65">
        <f>'BaU Model'!AA81/'BaU Model'!AA23</f>
        <v>7.5031310532797146</v>
      </c>
      <c r="T24" s="65">
        <f>'BaU Model'!AB81/'BaU Model'!AB23</f>
        <v>7.9533189164764977</v>
      </c>
      <c r="U24" s="65">
        <f>'BaU Model'!AC81/'BaU Model'!AC23</f>
        <v>8.4305180514650875</v>
      </c>
      <c r="V24" s="65">
        <f>'BaU Model'!AD81/'BaU Model'!AD23</f>
        <v>8.9363491345529944</v>
      </c>
      <c r="W24" s="65">
        <f>'BaU Model'!AE81/'BaU Model'!AE23</f>
        <v>9.4725300826261751</v>
      </c>
      <c r="X24" s="65">
        <f>'BaU Model'!AF81/'BaU Model'!AF23</f>
        <v>10.040881887583748</v>
      </c>
      <c r="Y24" s="65">
        <f>'BaU Model'!AG81/'BaU Model'!AG23</f>
        <v>10.643334800838772</v>
      </c>
      <c r="Z24" s="65">
        <f>'BaU Model'!AH81/'BaU Model'!AH23</f>
        <v>11.281934888889101</v>
      </c>
      <c r="AA24" s="65">
        <f>'BaU Model'!AI81/'BaU Model'!AI23</f>
        <v>11.958850982222446</v>
      </c>
      <c r="AB24" s="65">
        <f>'BaU Model'!AJ81/'BaU Model'!AJ23</f>
        <v>12.676382041155792</v>
      </c>
      <c r="AC24" s="65">
        <f>'BaU Model'!AK81/'BaU Model'!AK23</f>
        <v>13.43696496362514</v>
      </c>
      <c r="AD24" s="65">
        <f>'BaU Model'!AL81/'BaU Model'!AL23</f>
        <v>14.243182861442651</v>
      </c>
    </row>
    <row r="25" spans="4:30">
      <c r="D25" t="s">
        <v>234</v>
      </c>
      <c r="E25" s="65">
        <f>'BaU Model'!M88/'BaU Model'!M23</f>
        <v>10.191600000000001</v>
      </c>
      <c r="F25" s="65">
        <f>'BaU Model'!N88/'BaU Model'!N23</f>
        <v>11.404792294401782</v>
      </c>
      <c r="G25" s="65">
        <f>'BaU Model'!O88/'BaU Model'!O23</f>
        <v>13.374708346200331</v>
      </c>
      <c r="H25" s="65">
        <f>'BaU Model'!P88/'BaU Model'!P23</f>
        <v>14.177190846972351</v>
      </c>
      <c r="I25" s="65">
        <f>'BaU Model'!Q88/'BaU Model'!Q23</f>
        <v>17.577683714946104</v>
      </c>
      <c r="J25" s="65">
        <f>'BaU Model'!R88/'BaU Model'!R23</f>
        <v>18.632344737842871</v>
      </c>
      <c r="K25" s="65">
        <f>'BaU Model'!S88/'BaU Model'!S23</f>
        <v>22.351788715586753</v>
      </c>
      <c r="L25" s="65">
        <f>'BaU Model'!T88/'BaU Model'!T23</f>
        <v>23.692896038521955</v>
      </c>
      <c r="M25" s="65">
        <f>'BaU Model'!U88/'BaU Model'!U23</f>
        <v>25.114469800833277</v>
      </c>
      <c r="N25" s="65">
        <f>'BaU Model'!V88/'BaU Model'!V23</f>
        <v>26.621337988883276</v>
      </c>
      <c r="O25" s="65">
        <f>'BaU Model'!W88/'BaU Model'!W23</f>
        <v>28.218618268216275</v>
      </c>
      <c r="P25" s="65">
        <f>'BaU Model'!X88/'BaU Model'!X23</f>
        <v>29.911735364309248</v>
      </c>
      <c r="Q25" s="65">
        <f>'BaU Model'!Y88/'BaU Model'!Y23</f>
        <v>31.706439486167806</v>
      </c>
      <c r="R25" s="65">
        <f>'BaU Model'!Z88/'BaU Model'!Z23</f>
        <v>33.608825855337876</v>
      </c>
      <c r="S25" s="65">
        <f>'BaU Model'!AA88/'BaU Model'!AA23</f>
        <v>35.625355406658151</v>
      </c>
      <c r="T25" s="65">
        <f>'BaU Model'!AB88/'BaU Model'!AB23</f>
        <v>37.762876731057645</v>
      </c>
      <c r="U25" s="65">
        <f>'BaU Model'!AC88/'BaU Model'!AC23</f>
        <v>40.028649334921099</v>
      </c>
      <c r="V25" s="65">
        <f>'BaU Model'!AD88/'BaU Model'!AD23</f>
        <v>42.430368295016365</v>
      </c>
      <c r="W25" s="65">
        <f>'BaU Model'!AE88/'BaU Model'!AE23</f>
        <v>44.976190392717356</v>
      </c>
      <c r="X25" s="65">
        <f>'BaU Model'!AF88/'BaU Model'!AF23</f>
        <v>47.674761816280395</v>
      </c>
      <c r="Y25" s="65">
        <f>'BaU Model'!AG88/'BaU Model'!AG23</f>
        <v>50.535247525257219</v>
      </c>
      <c r="Z25" s="65">
        <f>'BaU Model'!AH88/'BaU Model'!AH23</f>
        <v>53.567362376772664</v>
      </c>
      <c r="AA25" s="65">
        <f>'BaU Model'!AI88/'BaU Model'!AI23</f>
        <v>56.781404119379033</v>
      </c>
      <c r="AB25" s="65">
        <f>'BaU Model'!AJ88/'BaU Model'!AJ23</f>
        <v>60.188288366541762</v>
      </c>
      <c r="AC25" s="65">
        <f>'BaU Model'!AK88/'BaU Model'!AK23</f>
        <v>63.799585668534277</v>
      </c>
      <c r="AD25" s="65">
        <f>'BaU Model'!AL88/'BaU Model'!AL23</f>
        <v>67.627560808646336</v>
      </c>
    </row>
    <row r="26" spans="4:30">
      <c r="D26" t="s">
        <v>120</v>
      </c>
      <c r="E26" s="65">
        <f>'BaU Model'!M82/'BaU Model'!M23</f>
        <v>2.5940393222400004</v>
      </c>
      <c r="F26" s="65">
        <f>'BaU Model'!N82/'BaU Model'!N23</f>
        <v>7.3650000000000002</v>
      </c>
      <c r="G26" s="65">
        <f>'BaU Model'!O82/'BaU Model'!O23</f>
        <v>16.108727999999999</v>
      </c>
      <c r="H26" s="65">
        <f>'BaU Model'!P82/'BaU Model'!P23</f>
        <v>17.616504940799999</v>
      </c>
      <c r="I26" s="65">
        <f>'BaU Model'!Q82/'BaU Model'!Q23</f>
        <v>19.265409803258876</v>
      </c>
      <c r="J26" s="65">
        <f>'BaU Model'!R82/'BaU Model'!R23</f>
        <v>21.068652160843904</v>
      </c>
      <c r="K26" s="65">
        <f>'BaU Model'!S82/'BaU Model'!S23</f>
        <v>20.488251226891148</v>
      </c>
      <c r="L26" s="65">
        <f>'BaU Model'!T82/'BaU Model'!T23</f>
        <v>22.405951541728157</v>
      </c>
      <c r="M26" s="65">
        <f>'BaU Model'!U82/'BaU Model'!U23</f>
        <v>24.503148606033914</v>
      </c>
      <c r="N26" s="65">
        <f>'BaU Model'!V82/'BaU Model'!V23</f>
        <v>26.796643315558683</v>
      </c>
      <c r="O26" s="65">
        <f>'BaU Model'!W82/'BaU Model'!W23</f>
        <v>29.30480912989497</v>
      </c>
      <c r="P26" s="65">
        <f>'BaU Model'!X82/'BaU Model'!X23</f>
        <v>32.047739264453142</v>
      </c>
      <c r="Q26" s="65">
        <f>'BaU Model'!Y82/'BaU Model'!Y23</f>
        <v>35.047407659605952</v>
      </c>
      <c r="R26" s="65">
        <f>'BaU Model'!Z82/'BaU Model'!Z23</f>
        <v>38.327845016545062</v>
      </c>
      <c r="S26" s="65">
        <f>'BaU Model'!AA82/'BaU Model'!AA23</f>
        <v>41.91533131009367</v>
      </c>
      <c r="T26" s="65">
        <f>'BaU Model'!AB82/'BaU Model'!AB23</f>
        <v>45.838606320718441</v>
      </c>
      <c r="U26" s="65">
        <f>'BaU Model'!AC82/'BaU Model'!AC23</f>
        <v>50.129099872337683</v>
      </c>
      <c r="V26" s="65">
        <f>'BaU Model'!AD82/'BaU Model'!AD23</f>
        <v>54.821183620388481</v>
      </c>
      <c r="W26" s="65">
        <f>'BaU Model'!AE82/'BaU Model'!AE23</f>
        <v>59.952446407256836</v>
      </c>
      <c r="X26" s="65">
        <f>'BaU Model'!AF82/'BaU Model'!AF23</f>
        <v>65.563995390976075</v>
      </c>
      <c r="Y26" s="65">
        <f>'BaU Model'!AG82/'BaU Model'!AG23</f>
        <v>71.700785359571441</v>
      </c>
      <c r="Z26" s="65">
        <f>'BaU Model'!AH82/'BaU Model'!AH23</f>
        <v>78.411978869227312</v>
      </c>
      <c r="AA26" s="65">
        <f>'BaU Model'!AI82/'BaU Model'!AI23</f>
        <v>85.751340091386993</v>
      </c>
      <c r="AB26" s="65">
        <f>'BaU Model'!AJ82/'BaU Model'!AJ23</f>
        <v>93.777665523940811</v>
      </c>
      <c r="AC26" s="65">
        <f>'BaU Model'!AK82/'BaU Model'!AK23</f>
        <v>102.55525501698166</v>
      </c>
      <c r="AD26" s="65">
        <f>'BaU Model'!AL82/'BaU Model'!AL23</f>
        <v>112.15442688657114</v>
      </c>
    </row>
    <row r="27" spans="4:30">
      <c r="D27" t="s">
        <v>560</v>
      </c>
      <c r="E27" s="65">
        <f>SUM(E24:E26)</f>
        <v>33.953639322240001</v>
      </c>
      <c r="F27" s="65">
        <f t="shared" ref="F27:AD27" si="0">SUM(F24:F26)</f>
        <v>34.799792294401783</v>
      </c>
      <c r="G27" s="65">
        <f t="shared" si="0"/>
        <v>29.483436346200328</v>
      </c>
      <c r="H27" s="65">
        <f t="shared" si="0"/>
        <v>31.79369578777235</v>
      </c>
      <c r="I27" s="65">
        <f t="shared" si="0"/>
        <v>36.843093518204981</v>
      </c>
      <c r="J27" s="65">
        <f t="shared" si="0"/>
        <v>39.700996898686775</v>
      </c>
      <c r="K27" s="65">
        <f t="shared" si="0"/>
        <v>47.547597189104621</v>
      </c>
      <c r="L27" s="65">
        <f t="shared" si="0"/>
        <v>51.088858261674439</v>
      </c>
      <c r="M27" s="65">
        <f t="shared" si="0"/>
        <v>54.907029729176983</v>
      </c>
      <c r="N27" s="65">
        <f t="shared" si="0"/>
        <v>59.024757306090336</v>
      </c>
      <c r="O27" s="65">
        <f t="shared" si="0"/>
        <v>63.466609959858523</v>
      </c>
      <c r="P27" s="65">
        <f t="shared" si="0"/>
        <v>68.259248144214496</v>
      </c>
      <c r="Q27" s="65">
        <f t="shared" si="0"/>
        <v>73.431607072153</v>
      </c>
      <c r="R27" s="65">
        <f t="shared" si="0"/>
        <v>79.015096393844942</v>
      </c>
      <c r="S27" s="65">
        <f t="shared" si="0"/>
        <v>85.043817770031538</v>
      </c>
      <c r="T27" s="65">
        <f t="shared" si="0"/>
        <v>91.554801968252576</v>
      </c>
      <c r="U27" s="65">
        <f t="shared" si="0"/>
        <v>98.588267258723874</v>
      </c>
      <c r="V27" s="65">
        <f t="shared" si="0"/>
        <v>106.18790104995784</v>
      </c>
      <c r="W27" s="65">
        <f t="shared" si="0"/>
        <v>114.40116688260036</v>
      </c>
      <c r="X27" s="65">
        <f t="shared" si="0"/>
        <v>123.27963909484022</v>
      </c>
      <c r="Y27" s="65">
        <f t="shared" si="0"/>
        <v>132.87936768566743</v>
      </c>
      <c r="Z27" s="65">
        <f t="shared" si="0"/>
        <v>143.26127613488907</v>
      </c>
      <c r="AA27" s="65">
        <f t="shared" si="0"/>
        <v>154.49159519298848</v>
      </c>
      <c r="AB27" s="65">
        <f t="shared" si="0"/>
        <v>166.64233593163837</v>
      </c>
      <c r="AC27" s="65">
        <f t="shared" si="0"/>
        <v>179.79180564914108</v>
      </c>
      <c r="AD27" s="65">
        <f t="shared" si="0"/>
        <v>194.02517055666013</v>
      </c>
    </row>
    <row r="28" spans="4:30">
      <c r="D28" t="s">
        <v>116</v>
      </c>
      <c r="E28" s="65">
        <f>'BaU Model'!M65</f>
        <v>30.24</v>
      </c>
      <c r="F28" s="65">
        <f>'BaU Model'!N65</f>
        <v>32.06</v>
      </c>
      <c r="G28" s="65">
        <f>'BaU Model'!O65</f>
        <v>33.659999999999997</v>
      </c>
      <c r="H28" s="65">
        <f>'BaU Model'!P65</f>
        <v>35.679600000000001</v>
      </c>
      <c r="I28" s="65">
        <f>'BaU Model'!Q65</f>
        <v>37.820376000000003</v>
      </c>
      <c r="J28" s="65">
        <f>'BaU Model'!R65</f>
        <v>40.089598560000006</v>
      </c>
      <c r="K28" s="65">
        <f>'BaU Model'!S65</f>
        <v>42.49497447360001</v>
      </c>
      <c r="L28" s="65">
        <f>'BaU Model'!T65</f>
        <v>45.044672942016014</v>
      </c>
      <c r="M28" s="65">
        <f>'BaU Model'!U65</f>
        <v>47.74735331853698</v>
      </c>
      <c r="N28" s="65">
        <f>'BaU Model'!V65</f>
        <v>50.612194517649201</v>
      </c>
      <c r="O28" s="65">
        <f>'BaU Model'!W65</f>
        <v>53.648926188708153</v>
      </c>
      <c r="P28" s="65">
        <f>'BaU Model'!X65</f>
        <v>56.867861760030642</v>
      </c>
      <c r="Q28" s="65">
        <f>'BaU Model'!Y65</f>
        <v>60.279933465632482</v>
      </c>
      <c r="R28" s="65">
        <f>'BaU Model'!Z65</f>
        <v>63.896729473570431</v>
      </c>
      <c r="S28" s="65">
        <f>'BaU Model'!AA65</f>
        <v>67.730533241984659</v>
      </c>
      <c r="T28" s="65">
        <f>'BaU Model'!AB65</f>
        <v>71.794365236503737</v>
      </c>
      <c r="U28" s="65">
        <f>'BaU Model'!AC65</f>
        <v>76.102027150693971</v>
      </c>
      <c r="V28" s="65">
        <f>'BaU Model'!AD65</f>
        <v>80.668148779735617</v>
      </c>
      <c r="W28" s="65">
        <f>'BaU Model'!AE65</f>
        <v>85.508237706519765</v>
      </c>
      <c r="X28" s="65">
        <f>'BaU Model'!AF65</f>
        <v>90.63873196891096</v>
      </c>
      <c r="Y28" s="65">
        <f>'BaU Model'!AG65</f>
        <v>96.077055887045617</v>
      </c>
      <c r="Z28" s="65">
        <f>'BaU Model'!AH65</f>
        <v>101.84167924026836</v>
      </c>
      <c r="AA28" s="65">
        <f>'BaU Model'!AI65</f>
        <v>107.95217999468447</v>
      </c>
      <c r="AB28" s="65">
        <f>'BaU Model'!AJ65</f>
        <v>114.42931079436555</v>
      </c>
      <c r="AC28" s="65">
        <f>'BaU Model'!AK65</f>
        <v>121.29506944202748</v>
      </c>
      <c r="AD28" s="65">
        <f>'BaU Model'!AL65</f>
        <v>128.57277360854914</v>
      </c>
    </row>
    <row r="29" spans="4:30">
      <c r="D29" t="s">
        <v>466</v>
      </c>
      <c r="E29" s="65">
        <f>'BaU Model'!M68</f>
        <v>26.82</v>
      </c>
      <c r="F29" s="65">
        <f>'BaU Model'!N68</f>
        <v>28.425000000000001</v>
      </c>
      <c r="G29" s="65">
        <f>'BaU Model'!O68</f>
        <v>30.130500000000005</v>
      </c>
      <c r="H29" s="65">
        <f>'BaU Model'!P68</f>
        <v>31.938330000000008</v>
      </c>
      <c r="I29" s="65">
        <f>'BaU Model'!Q68</f>
        <v>33.854629800000012</v>
      </c>
      <c r="J29" s="65">
        <f>'BaU Model'!R68</f>
        <v>35.885907588000009</v>
      </c>
      <c r="K29" s="65">
        <f>'BaU Model'!S68</f>
        <v>38.039062043280012</v>
      </c>
      <c r="L29" s="65">
        <f>'BaU Model'!T68</f>
        <v>40.321405765876818</v>
      </c>
      <c r="M29" s="65">
        <f>'BaU Model'!U68</f>
        <v>42.74069011182943</v>
      </c>
      <c r="N29" s="65">
        <f>'BaU Model'!V68</f>
        <v>45.305131518539199</v>
      </c>
      <c r="O29" s="65">
        <f>'BaU Model'!W68</f>
        <v>48.023439409651552</v>
      </c>
      <c r="P29" s="65">
        <f>'BaU Model'!X68</f>
        <v>50.904845774230651</v>
      </c>
      <c r="Q29" s="65">
        <f>'BaU Model'!Y68</f>
        <v>53.959136520684496</v>
      </c>
      <c r="R29" s="65">
        <f>'BaU Model'!Z68</f>
        <v>57.196684711925563</v>
      </c>
      <c r="S29" s="65">
        <f>'BaU Model'!AA68</f>
        <v>60.628485794641094</v>
      </c>
      <c r="T29" s="65">
        <f>'BaU Model'!AB68</f>
        <v>64.266194942319572</v>
      </c>
      <c r="U29" s="65">
        <f>'BaU Model'!AC68</f>
        <v>68.122166638858744</v>
      </c>
      <c r="V29" s="65">
        <f>'BaU Model'!AD68</f>
        <v>72.20949663719027</v>
      </c>
      <c r="W29" s="65">
        <f>'BaU Model'!AE68</f>
        <v>76.542066435421688</v>
      </c>
      <c r="X29" s="65">
        <f>'BaU Model'!AF68</f>
        <v>81.134590421547003</v>
      </c>
      <c r="Y29" s="65">
        <f>'BaU Model'!AG68</f>
        <v>86.002665846839818</v>
      </c>
      <c r="Z29" s="65">
        <f>'BaU Model'!AH68</f>
        <v>91.162825797650214</v>
      </c>
      <c r="AA29" s="65">
        <f>'BaU Model'!AI68</f>
        <v>96.63259534550923</v>
      </c>
      <c r="AB29" s="65">
        <f>'BaU Model'!AJ68</f>
        <v>102.43055106623979</v>
      </c>
      <c r="AC29" s="65">
        <f>'BaU Model'!AK68</f>
        <v>108.57638413021418</v>
      </c>
      <c r="AD29" s="65">
        <f>'BaU Model'!AL68</f>
        <v>115.09096717802704</v>
      </c>
    </row>
    <row r="30" spans="4:30">
      <c r="D30" t="s">
        <v>570</v>
      </c>
      <c r="E30" s="65">
        <f>SUM(E28:E29)</f>
        <v>57.06</v>
      </c>
      <c r="F30" s="65">
        <f t="shared" ref="F30:AD30" si="1">SUM(F28:F29)</f>
        <v>60.484999999999999</v>
      </c>
      <c r="G30" s="65">
        <f t="shared" si="1"/>
        <v>63.790500000000002</v>
      </c>
      <c r="H30" s="65">
        <f t="shared" si="1"/>
        <v>67.617930000000001</v>
      </c>
      <c r="I30" s="65">
        <f t="shared" si="1"/>
        <v>71.675005800000008</v>
      </c>
      <c r="J30" s="65">
        <f t="shared" si="1"/>
        <v>75.975506148000022</v>
      </c>
      <c r="K30" s="65">
        <f t="shared" si="1"/>
        <v>80.534036516880022</v>
      </c>
      <c r="L30" s="65">
        <f t="shared" si="1"/>
        <v>85.366078707892825</v>
      </c>
      <c r="M30" s="65">
        <f t="shared" si="1"/>
        <v>90.488043430366417</v>
      </c>
      <c r="N30" s="65">
        <f t="shared" si="1"/>
        <v>95.917326036188399</v>
      </c>
      <c r="O30" s="65">
        <f t="shared" si="1"/>
        <v>101.6723655983597</v>
      </c>
      <c r="P30" s="65">
        <f t="shared" si="1"/>
        <v>107.77270753426129</v>
      </c>
      <c r="Q30" s="65">
        <f t="shared" si="1"/>
        <v>114.23906998631698</v>
      </c>
      <c r="R30" s="65">
        <f t="shared" si="1"/>
        <v>121.09341418549599</v>
      </c>
      <c r="S30" s="65">
        <f t="shared" si="1"/>
        <v>128.35901903662574</v>
      </c>
      <c r="T30" s="65">
        <f t="shared" si="1"/>
        <v>136.06056017882332</v>
      </c>
      <c r="U30" s="65">
        <f t="shared" si="1"/>
        <v>144.22419378955271</v>
      </c>
      <c r="V30" s="65">
        <f t="shared" si="1"/>
        <v>152.87764541692587</v>
      </c>
      <c r="W30" s="65">
        <f t="shared" si="1"/>
        <v>162.05030414194147</v>
      </c>
      <c r="X30" s="65">
        <f t="shared" si="1"/>
        <v>171.77332239045796</v>
      </c>
      <c r="Y30" s="65">
        <f t="shared" si="1"/>
        <v>182.07972173388544</v>
      </c>
      <c r="Z30" s="65">
        <f t="shared" si="1"/>
        <v>193.00450503791859</v>
      </c>
      <c r="AA30" s="65">
        <f t="shared" si="1"/>
        <v>204.58477534019369</v>
      </c>
      <c r="AB30" s="65">
        <f t="shared" si="1"/>
        <v>216.85986186060535</v>
      </c>
      <c r="AC30" s="65">
        <f t="shared" si="1"/>
        <v>229.87145357224165</v>
      </c>
      <c r="AD30" s="65">
        <f t="shared" si="1"/>
        <v>243.66374078657617</v>
      </c>
    </row>
    <row r="32" spans="4:30">
      <c r="D32" s="194" t="s">
        <v>463</v>
      </c>
      <c r="E32" s="194"/>
      <c r="F32" s="194"/>
      <c r="G32" s="194"/>
      <c r="H32" s="194"/>
      <c r="I32" s="194"/>
      <c r="J32" s="194"/>
      <c r="K32" s="194"/>
      <c r="L32" s="194"/>
      <c r="M32" s="194"/>
      <c r="N32" s="194"/>
      <c r="O32" s="194"/>
      <c r="P32" s="194"/>
      <c r="Q32" s="194"/>
      <c r="R32" s="194"/>
      <c r="S32" s="194"/>
      <c r="T32" s="194"/>
      <c r="U32" s="194"/>
      <c r="V32" s="194"/>
      <c r="W32" s="194"/>
      <c r="X32" s="194"/>
      <c r="Y32" s="194"/>
      <c r="Z32" s="194"/>
      <c r="AA32" s="194"/>
      <c r="AB32" s="194"/>
      <c r="AC32" s="194"/>
      <c r="AD32" s="194"/>
    </row>
    <row r="33" spans="4:30">
      <c r="E33">
        <v>2025</v>
      </c>
      <c r="F33">
        <v>2030</v>
      </c>
      <c r="G33">
        <v>2035</v>
      </c>
      <c r="H33">
        <v>2040</v>
      </c>
      <c r="I33">
        <v>2045</v>
      </c>
      <c r="J33">
        <v>2050</v>
      </c>
    </row>
    <row r="34" spans="4:30">
      <c r="D34" t="s">
        <v>464</v>
      </c>
      <c r="E34" s="105">
        <f>AVERAGE('Strategic Model'!K111:M111)</f>
        <v>52.354507423759998</v>
      </c>
      <c r="F34" s="105">
        <f>AVERAGE('Strategic Model'!N114:R114)</f>
        <v>33.455386075616055</v>
      </c>
      <c r="G34" s="105">
        <f>AVERAGE('Strategic Model'!S114:W114)</f>
        <v>50.527282434171795</v>
      </c>
      <c r="H34" s="105">
        <f>AVERAGE('Strategic Model'!X114:AB114)</f>
        <v>64.467794290812961</v>
      </c>
      <c r="I34" s="105">
        <f>AVERAGE('Strategic Model'!AC114:AG114)</f>
        <v>97.658526661709132</v>
      </c>
      <c r="J34" s="105">
        <f>AVERAGE('Strategic Model'!AH114:AL114)</f>
        <v>148.4880046504019</v>
      </c>
    </row>
    <row r="36" spans="4:30">
      <c r="E36">
        <v>2025</v>
      </c>
      <c r="F36">
        <v>2026</v>
      </c>
      <c r="G36">
        <v>2027</v>
      </c>
      <c r="H36">
        <v>2028</v>
      </c>
      <c r="I36">
        <v>2029</v>
      </c>
      <c r="J36">
        <v>2030</v>
      </c>
      <c r="K36">
        <v>2031</v>
      </c>
      <c r="L36">
        <v>2032</v>
      </c>
      <c r="M36">
        <v>2033</v>
      </c>
      <c r="N36">
        <v>2034</v>
      </c>
      <c r="O36">
        <v>2035</v>
      </c>
      <c r="P36">
        <v>2036</v>
      </c>
      <c r="Q36">
        <v>2037</v>
      </c>
      <c r="R36">
        <v>2038</v>
      </c>
      <c r="S36">
        <v>2039</v>
      </c>
      <c r="T36">
        <v>2040</v>
      </c>
      <c r="U36">
        <v>2041</v>
      </c>
      <c r="V36">
        <v>2042</v>
      </c>
      <c r="W36">
        <v>2043</v>
      </c>
      <c r="X36">
        <v>2044</v>
      </c>
      <c r="Y36">
        <v>2045</v>
      </c>
      <c r="Z36">
        <v>2046</v>
      </c>
      <c r="AA36">
        <v>2047</v>
      </c>
      <c r="AB36">
        <v>2048</v>
      </c>
      <c r="AC36">
        <v>2049</v>
      </c>
      <c r="AD36">
        <v>2050</v>
      </c>
    </row>
    <row r="37" spans="4:30">
      <c r="D37" t="s">
        <v>148</v>
      </c>
      <c r="E37" s="65">
        <f>'Strategic Model'!M92/'Strategic Model'!M31</f>
        <v>21.167999999999999</v>
      </c>
      <c r="F37" s="65">
        <f>'Strategic Model'!N92/'Strategic Model'!N31</f>
        <v>16.03</v>
      </c>
      <c r="G37" s="65">
        <f>'Strategic Model'!O92/'Strategic Model'!O31</f>
        <v>0</v>
      </c>
      <c r="H37" s="65">
        <f>'Strategic Model'!P92/'Strategic Model'!P31</f>
        <v>0</v>
      </c>
      <c r="I37" s="65">
        <f>'Strategic Model'!Q92/'Strategic Model'!Q31</f>
        <v>0</v>
      </c>
      <c r="J37" s="65">
        <f>'Strategic Model'!R92/'Strategic Model'!R31</f>
        <v>0</v>
      </c>
      <c r="K37" s="65">
        <f>'Strategic Model'!S92/'Strategic Model'!S31</f>
        <v>0.33129242619837035</v>
      </c>
      <c r="L37" s="65">
        <f>'Strategic Model'!T92/'Strategic Model'!T31</f>
        <v>0.35116997177027259</v>
      </c>
      <c r="M37" s="65">
        <f>'Strategic Model'!U92/'Strategic Model'!U31</f>
        <v>0.37224017007648902</v>
      </c>
      <c r="N37" s="65">
        <f>'Strategic Model'!V92/'Strategic Model'!V31</f>
        <v>0</v>
      </c>
      <c r="O37" s="65">
        <f>'Strategic Model'!W92/'Strategic Model'!W31</f>
        <v>0</v>
      </c>
      <c r="P37" s="65">
        <f>'Strategic Model'!X92/'Strategic Model'!X31</f>
        <v>0</v>
      </c>
      <c r="Q37" s="65">
        <f>'Strategic Model'!Y92/'Strategic Model'!Y31</f>
        <v>0</v>
      </c>
      <c r="R37" s="65">
        <f>'Strategic Model'!Z92/'Strategic Model'!Z31</f>
        <v>0</v>
      </c>
      <c r="S37" s="65">
        <f>'Strategic Model'!AA92/'Strategic Model'!AA31</f>
        <v>0</v>
      </c>
      <c r="T37" s="65">
        <f>'Strategic Model'!AB92/'Strategic Model'!AB31</f>
        <v>0</v>
      </c>
      <c r="U37" s="65">
        <f>'Strategic Model'!AC92/'Strategic Model'!AC31</f>
        <v>0</v>
      </c>
      <c r="V37" s="65">
        <f>'Strategic Model'!AD92/'Strategic Model'!AD31</f>
        <v>0</v>
      </c>
      <c r="W37" s="65">
        <f>'Strategic Model'!AE92/'Strategic Model'!AE31</f>
        <v>0</v>
      </c>
      <c r="X37" s="65">
        <f>'Strategic Model'!AF92/'Strategic Model'!AF31</f>
        <v>0</v>
      </c>
      <c r="Y37" s="65">
        <f>'Strategic Model'!AG92/'Strategic Model'!AG31</f>
        <v>0</v>
      </c>
      <c r="Z37" s="65">
        <f>'Strategic Model'!AH92/'Strategic Model'!AH31</f>
        <v>0</v>
      </c>
      <c r="AA37" s="65">
        <f>'Strategic Model'!AI92/'Strategic Model'!AI31</f>
        <v>0</v>
      </c>
      <c r="AB37" s="65">
        <f>'Strategic Model'!AJ92/'Strategic Model'!AJ31</f>
        <v>0</v>
      </c>
      <c r="AC37" s="65">
        <f>'Strategic Model'!AK92/'Strategic Model'!AK31</f>
        <v>0</v>
      </c>
      <c r="AD37" s="65">
        <f>'Strategic Model'!AL92/'Strategic Model'!AL31</f>
        <v>0</v>
      </c>
    </row>
    <row r="38" spans="4:30">
      <c r="D38" t="s">
        <v>234</v>
      </c>
      <c r="E38" s="65">
        <f>'Strategic Model'!M103/'Strategic Model'!M31</f>
        <v>10.191600000000001</v>
      </c>
      <c r="F38" s="65">
        <f>'Strategic Model'!N103/'Strategic Model'!N31</f>
        <v>11.404792294401782</v>
      </c>
      <c r="G38" s="65">
        <f>'Strategic Model'!O103/'Strategic Model'!O31</f>
        <v>12.048685158913402</v>
      </c>
      <c r="H38" s="65">
        <f>'Strategic Model'!P103/'Strategic Model'!P31</f>
        <v>12.771606268448208</v>
      </c>
      <c r="I38" s="65">
        <f>'Strategic Model'!Q103/'Strategic Model'!Q31</f>
        <v>16.309491141463159</v>
      </c>
      <c r="J38" s="65">
        <f>'Strategic Model'!R103/'Strategic Model'!R31</f>
        <v>17.28806060995095</v>
      </c>
      <c r="K38" s="65">
        <f>'Strategic Model'!S103/'Strategic Model'!S31</f>
        <v>21.153065217714637</v>
      </c>
      <c r="L38" s="65">
        <f>'Strategic Model'!T103/'Strategic Model'!T31</f>
        <v>22.422249130777519</v>
      </c>
      <c r="M38" s="65">
        <f>'Strategic Model'!U103/'Strategic Model'!U31</f>
        <v>23.767584078624171</v>
      </c>
      <c r="N38" s="65">
        <f>'Strategic Model'!V103/'Strategic Model'!V31</f>
        <v>25.193639123341622</v>
      </c>
      <c r="O38" s="65">
        <f>'Strategic Model'!W103/'Strategic Model'!W31</f>
        <v>11.822994383693029</v>
      </c>
      <c r="P38" s="65">
        <f>'Strategic Model'!X103/'Strategic Model'!X31</f>
        <v>12.489154323776878</v>
      </c>
      <c r="Q38" s="65">
        <f>'Strategic Model'!Y103/'Strategic Model'!Y31</f>
        <v>13.284316489517488</v>
      </c>
      <c r="R38" s="65">
        <f>'Strategic Model'!Z103/'Strategic Model'!Z31</f>
        <v>14.081375478888539</v>
      </c>
      <c r="S38" s="65">
        <f>'Strategic Model'!AA103/'Strategic Model'!AA31</f>
        <v>14.926258007621851</v>
      </c>
      <c r="T38" s="65">
        <f>'Strategic Model'!AB103/'Strategic Model'!AB31</f>
        <v>15.767269583652695</v>
      </c>
      <c r="U38" s="65">
        <f>'Strategic Model'!AC103/'Strategic Model'!AC31</f>
        <v>16.771143497363912</v>
      </c>
      <c r="V38" s="65">
        <f>'Strategic Model'!AD103/'Strategic Model'!AD31</f>
        <v>17.777412107205748</v>
      </c>
      <c r="W38" s="65">
        <f>'Strategic Model'!AE103/'Strategic Model'!AE31</f>
        <v>18.844056833638096</v>
      </c>
      <c r="X38" s="65">
        <f>'Strategic Model'!AF103/'Strategic Model'!AF31</f>
        <v>19.905814571470323</v>
      </c>
      <c r="Y38" s="65">
        <f>'Strategic Model'!AG103/'Strategic Model'!AG31</f>
        <v>21.173182258275762</v>
      </c>
      <c r="Z38" s="65">
        <f>'Strategic Model'!AH103/'Strategic Model'!AH31</f>
        <v>22.443573193772313</v>
      </c>
      <c r="AA38" s="65">
        <f>'Strategic Model'!AI103/'Strategic Model'!AI31</f>
        <v>23.790187585398655</v>
      </c>
      <c r="AB38" s="65">
        <f>'Strategic Model'!AJ103/'Strategic Model'!AJ31</f>
        <v>25.130632266513558</v>
      </c>
      <c r="AC38" s="65">
        <f>'Strategic Model'!AK103/'Strategic Model'!AK31</f>
        <v>26.730654770953929</v>
      </c>
      <c r="AD38" s="65">
        <f>'Strategic Model'!AL103/'Strategic Model'!AL31</f>
        <v>28.334494057211163</v>
      </c>
    </row>
    <row r="39" spans="4:30">
      <c r="D39" t="s">
        <v>526</v>
      </c>
      <c r="E39" s="65">
        <f>SUM('Strategic Model'!M93:M96)/'Strategic Model'!M31</f>
        <v>2.5940393222400004</v>
      </c>
      <c r="F39" s="65">
        <f>SUM('Strategic Model'!N93:N96)/'Strategic Model'!N31</f>
        <v>7.3650000000000002</v>
      </c>
      <c r="G39" s="65">
        <f>SUM('Strategic Model'!O93:O96)/'Strategic Model'!O31</f>
        <v>16.108727999999999</v>
      </c>
      <c r="H39" s="65">
        <f>SUM('Strategic Model'!P93:P96)/'Strategic Model'!P31</f>
        <v>17.616504940799999</v>
      </c>
      <c r="I39" s="65">
        <f>SUM('Strategic Model'!Q93:Q96)/'Strategic Model'!Q31</f>
        <v>19.265409803258876</v>
      </c>
      <c r="J39" s="65">
        <f>SUM('Strategic Model'!R93:R96)/'Strategic Model'!R31</f>
        <v>21.068652160843904</v>
      </c>
      <c r="K39" s="65">
        <f>SUM('Strategic Model'!S93:S96)/'Strategic Model'!S31</f>
        <v>22.528999871212225</v>
      </c>
      <c r="L39" s="65">
        <f>SUM('Strategic Model'!T93:T96)/'Strategic Model'!T31</f>
        <v>24.637714259157686</v>
      </c>
      <c r="M39" s="65">
        <f>SUM('Strategic Model'!U93:U96)/'Strategic Model'!U31</f>
        <v>26.943804313814841</v>
      </c>
      <c r="N39" s="65">
        <f>SUM('Strategic Model'!V93:V96)/'Strategic Model'!V31</f>
        <v>34.92150325968575</v>
      </c>
      <c r="O39" s="65">
        <f>SUM('Strategic Model'!W93:W96)/'Strategic Model'!W31</f>
        <v>38.190155964792339</v>
      </c>
      <c r="P39" s="65">
        <f>SUM('Strategic Model'!X93:X96)/'Strategic Model'!X31</f>
        <v>41.781861147964982</v>
      </c>
      <c r="Q39" s="65">
        <f>SUM('Strategic Model'!Y93:Y96)/'Strategic Model'!Y31</f>
        <v>45.673935590202753</v>
      </c>
      <c r="R39" s="65">
        <f>SUM('Strategic Model'!Z93:Z96)/'Strategic Model'!Z31</f>
        <v>49.949015961445731</v>
      </c>
      <c r="S39" s="65">
        <f>SUM('Strategic Model'!AA93:AA96)/'Strategic Model'!AA31</f>
        <v>54.624243855437044</v>
      </c>
      <c r="T39" s="65">
        <f>SUM('Strategic Model'!AB93:AB96)/'Strategic Model'!AB31</f>
        <v>59.761541015556844</v>
      </c>
      <c r="U39" s="65">
        <f>SUM('Strategic Model'!AC93:AC96)/'Strategic Model'!AC31</f>
        <v>65.328463120622587</v>
      </c>
      <c r="V39" s="65">
        <f>SUM('Strategic Model'!AD93:AD96)/'Strategic Model'!AD31</f>
        <v>71.44320726871284</v>
      </c>
      <c r="W39" s="65">
        <f>SUM('Strategic Model'!AE93:AE96)/'Strategic Model'!AE31</f>
        <v>78.13029146906436</v>
      </c>
      <c r="X39" s="65">
        <f>SUM('Strategic Model'!AF93:AF96)/'Strategic Model'!AF31</f>
        <v>85.478283791770082</v>
      </c>
      <c r="Y39" s="65">
        <f>SUM('Strategic Model'!AG93:AG96)/'Strategic Model'!AG31</f>
        <v>93.440778390422025</v>
      </c>
      <c r="Z39" s="65">
        <f>SUM('Strategic Model'!AH93:AH96)/'Strategic Model'!AH31</f>
        <v>102.1868352477655</v>
      </c>
      <c r="AA39" s="65">
        <f>SUM('Strategic Model'!AI93:AI96)/'Strategic Model'!AI31</f>
        <v>111.75152302695636</v>
      </c>
      <c r="AB39" s="65">
        <f>SUM('Strategic Model'!AJ93:AJ96)/'Strategic Model'!AJ31</f>
        <v>122.2615226418673</v>
      </c>
      <c r="AC39" s="65">
        <f>SUM('Strategic Model'!AK93:AK96)/'Strategic Model'!AK31</f>
        <v>133.65045876078079</v>
      </c>
      <c r="AD39" s="65">
        <f>SUM('Strategic Model'!AL93:AL96)/'Strategic Model'!AL31</f>
        <v>146.16014170078986</v>
      </c>
    </row>
    <row r="40" spans="4:30">
      <c r="D40" t="s">
        <v>120</v>
      </c>
      <c r="E40" s="65">
        <f>'Strategic Model'!M93/'Strategic Model'!M31</f>
        <v>2.5940393222400004</v>
      </c>
      <c r="F40" s="65">
        <f>'Strategic Model'!N93/'Strategic Model'!N31</f>
        <v>7.3650000000000002</v>
      </c>
      <c r="G40" s="65">
        <f>'Strategic Model'!O93/'Strategic Model'!O31</f>
        <v>16.108727999999999</v>
      </c>
      <c r="H40" s="65">
        <f>'Strategic Model'!P93/'Strategic Model'!P31</f>
        <v>17.616504940799999</v>
      </c>
      <c r="I40" s="65">
        <f>'Strategic Model'!Q93/'Strategic Model'!Q31</f>
        <v>19.265409803258876</v>
      </c>
      <c r="J40" s="65">
        <f>'Strategic Model'!R93/'Strategic Model'!R31</f>
        <v>21.068652160843904</v>
      </c>
      <c r="K40" s="65">
        <f>'Strategic Model'!S93/'Strategic Model'!S31</f>
        <v>22.269838290099074</v>
      </c>
      <c r="L40" s="65">
        <f>'Strategic Model'!T93/'Strategic Model'!T31</f>
        <v>24.354295154052345</v>
      </c>
      <c r="M40" s="65">
        <f>'Strategic Model'!U93/'Strategic Model'!U31</f>
        <v>26.633857180471644</v>
      </c>
      <c r="N40" s="65">
        <f>'Strategic Model'!V93/'Strategic Model'!V31</f>
        <v>18.777858305663486</v>
      </c>
      <c r="O40" s="65">
        <f>'Strategic Model'!W93/'Strategic Model'!W31</f>
        <v>20.535465843073585</v>
      </c>
      <c r="P40" s="65">
        <f>'Strategic Model'!X93/'Strategic Model'!X31</f>
        <v>22.422906309317053</v>
      </c>
      <c r="Q40" s="65">
        <f>'Strategic Model'!Y93/'Strategic Model'!Y31</f>
        <v>24.559615443729491</v>
      </c>
      <c r="R40" s="65">
        <f>'Strategic Model'!Z93/'Strategic Model'!Z31</f>
        <v>26.85839544926257</v>
      </c>
      <c r="S40" s="65">
        <f>'Strategic Model'!AA93/'Strategic Model'!AA31</f>
        <v>29.372341263313544</v>
      </c>
      <c r="T40" s="65">
        <f>'Strategic Model'!AB93/'Strategic Model'!AB31</f>
        <v>32.071990052015828</v>
      </c>
      <c r="U40" s="65">
        <f>'Strategic Model'!AC93/'Strategic Model'!AC31</f>
        <v>35.12817345472007</v>
      </c>
      <c r="V40" s="65">
        <f>'Strategic Model'!AD93/'Strategic Model'!AD31</f>
        <v>38.416170490081861</v>
      </c>
      <c r="W40" s="65">
        <f>'Strategic Model'!AE93/'Strategic Model'!AE31</f>
        <v>42.011924047953528</v>
      </c>
      <c r="X40" s="65">
        <f>'Strategic Model'!AF93/'Strategic Model'!AF31</f>
        <v>45.873292770669892</v>
      </c>
      <c r="Y40" s="65">
        <f>'Strategic Model'!AG93/'Strategic Model'!AG31</f>
        <v>50.244621015837581</v>
      </c>
      <c r="Z40" s="65">
        <f>'Strategic Model'!AH93/'Strategic Model'!AH31</f>
        <v>54.947517542919968</v>
      </c>
      <c r="AA40" s="65">
        <f>'Strategic Model'!AI93/'Strategic Model'!AI31</f>
        <v>60.090605184937274</v>
      </c>
      <c r="AB40" s="65">
        <f>'Strategic Model'!AJ93/'Strategic Model'!AJ31</f>
        <v>65.613608204874353</v>
      </c>
      <c r="AC40" s="65">
        <f>'Strategic Model'!AK93/'Strategic Model'!AK31</f>
        <v>71.866017863958561</v>
      </c>
      <c r="AD40" s="65">
        <f>'Strategic Model'!AL93/'Strategic Model'!AL31</f>
        <v>78.592677136025074</v>
      </c>
    </row>
    <row r="41" spans="4:30">
      <c r="D41" t="s">
        <v>567</v>
      </c>
      <c r="E41" s="65">
        <f>'Strategic Model'!M94/'Strategic Model'!M31</f>
        <v>0</v>
      </c>
      <c r="F41" s="65">
        <f>'Strategic Model'!N94/'Strategic Model'!N31</f>
        <v>0</v>
      </c>
      <c r="G41" s="65">
        <f>'Strategic Model'!O94/'Strategic Model'!O31</f>
        <v>0</v>
      </c>
      <c r="H41" s="65">
        <f>'Strategic Model'!P94/'Strategic Model'!P31</f>
        <v>0</v>
      </c>
      <c r="I41" s="65">
        <f>'Strategic Model'!Q94/'Strategic Model'!Q31</f>
        <v>0</v>
      </c>
      <c r="J41" s="65">
        <f>'Strategic Model'!R94/'Strategic Model'!R31</f>
        <v>0</v>
      </c>
      <c r="K41" s="65">
        <f>'Strategic Model'!S94/'Strategic Model'!S31</f>
        <v>0.25916158111315063</v>
      </c>
      <c r="L41" s="65">
        <f>'Strategic Model'!T94/'Strategic Model'!T31</f>
        <v>0.28341910510534146</v>
      </c>
      <c r="M41" s="65">
        <f>'Strategic Model'!U94/'Strategic Model'!U31</f>
        <v>0.3099471333432014</v>
      </c>
      <c r="N41" s="65">
        <f>'Strategic Model'!V94/'Strategic Model'!V31</f>
        <v>0.33895818502412506</v>
      </c>
      <c r="O41" s="65">
        <f>'Strategic Model'!W94/'Strategic Model'!W31</f>
        <v>0.37068467114238307</v>
      </c>
      <c r="P41" s="65">
        <f>'Strategic Model'!X94/'Strategic Model'!X31</f>
        <v>0.4053807563613101</v>
      </c>
      <c r="Q41" s="65">
        <f>'Strategic Model'!Y94/'Strategic Model'!Y31</f>
        <v>0.44332439515672872</v>
      </c>
      <c r="R41" s="65">
        <f>'Strategic Model'!Z94/'Strategic Model'!Z31</f>
        <v>0.48481955854339848</v>
      </c>
      <c r="S41" s="65">
        <f>'Strategic Model'!AA94/'Strategic Model'!AA31</f>
        <v>0.53019866922306047</v>
      </c>
      <c r="T41" s="65">
        <f>'Strategic Model'!AB94/'Strategic Model'!AB31</f>
        <v>0.57982526466233897</v>
      </c>
      <c r="U41" s="65">
        <f>'Strategic Model'!AC94/'Strategic Model'!AC31</f>
        <v>0.63409690943473385</v>
      </c>
      <c r="V41" s="65">
        <f>'Strategic Model'!AD94/'Strategic Model'!AD31</f>
        <v>0.69344838015782484</v>
      </c>
      <c r="W41" s="65">
        <f>'Strategic Model'!AE94/'Strategic Model'!AE31</f>
        <v>0.75835514854059716</v>
      </c>
      <c r="X41" s="65">
        <f>'Strategic Model'!AF94/'Strategic Model'!AF31</f>
        <v>0.82933719044399712</v>
      </c>
      <c r="Y41" s="65">
        <f>'Strategic Model'!AG94/'Strategic Model'!AG31</f>
        <v>0.90696315146955508</v>
      </c>
      <c r="Z41" s="65">
        <f>'Strategic Model'!AH94/'Strategic Model'!AH31</f>
        <v>0.9918549024471055</v>
      </c>
      <c r="AA41" s="65">
        <f>'Strategic Model'!AI94/'Strategic Model'!AI31</f>
        <v>1.0846925213161545</v>
      </c>
      <c r="AB41" s="65">
        <f>'Strategic Model'!AJ94/'Strategic Model'!AJ31</f>
        <v>1.1862197413113462</v>
      </c>
      <c r="AC41" s="65">
        <f>'Strategic Model'!AK94/'Strategic Model'!AK31</f>
        <v>1.2972499090980882</v>
      </c>
      <c r="AD41" s="65">
        <f>'Strategic Model'!AL94/'Strategic Model'!AL31</f>
        <v>1.418672500589669</v>
      </c>
    </row>
    <row r="42" spans="4:30">
      <c r="D42" t="s">
        <v>568</v>
      </c>
      <c r="E42" s="65">
        <f>'Strategic Model'!M95/'Strategic Model'!M31</f>
        <v>0</v>
      </c>
      <c r="F42" s="65">
        <f>'Strategic Model'!N95/'Strategic Model'!N31</f>
        <v>0</v>
      </c>
      <c r="G42" s="65">
        <f>'Strategic Model'!O95/'Strategic Model'!O31</f>
        <v>0</v>
      </c>
      <c r="H42" s="65">
        <f>'Strategic Model'!P95/'Strategic Model'!P31</f>
        <v>0</v>
      </c>
      <c r="I42" s="65">
        <f>'Strategic Model'!Q95/'Strategic Model'!Q31</f>
        <v>0</v>
      </c>
      <c r="J42" s="65">
        <f>'Strategic Model'!R95/'Strategic Model'!R31</f>
        <v>0</v>
      </c>
      <c r="K42" s="65">
        <f>'Strategic Model'!S95/'Strategic Model'!S31</f>
        <v>0</v>
      </c>
      <c r="L42" s="65">
        <f>'Strategic Model'!T95/'Strategic Model'!T31</f>
        <v>0</v>
      </c>
      <c r="M42" s="65">
        <f>'Strategic Model'!U95/'Strategic Model'!U31</f>
        <v>0</v>
      </c>
      <c r="N42" s="65">
        <f>'Strategic Model'!V95/'Strategic Model'!V31</f>
        <v>15.80468676899814</v>
      </c>
      <c r="O42" s="65">
        <f>'Strategic Model'!W95/'Strategic Model'!W31</f>
        <v>17.284005450576366</v>
      </c>
      <c r="P42" s="65">
        <f>'Strategic Model'!X95/'Strategic Model'!X31</f>
        <v>18.953574082286615</v>
      </c>
      <c r="Q42" s="65">
        <f>'Strategic Model'!Y95/'Strategic Model'!Y31</f>
        <v>20.670995751316536</v>
      </c>
      <c r="R42" s="65">
        <f>'Strategic Model'!Z95/'Strategic Model'!Z31</f>
        <v>22.605800953639761</v>
      </c>
      <c r="S42" s="65">
        <f>'Strategic Model'!AA95/'Strategic Model'!AA31</f>
        <v>24.721703922900442</v>
      </c>
      <c r="T42" s="65">
        <f>'Strategic Model'!AB95/'Strategic Model'!AB31</f>
        <v>27.109725698878673</v>
      </c>
      <c r="U42" s="65">
        <f>'Strategic Model'!AC95/'Strategic Model'!AC31</f>
        <v>29.566192756467778</v>
      </c>
      <c r="V42" s="65">
        <f>'Strategic Model'!AD95/'Strategic Model'!AD31</f>
        <v>32.333588398473154</v>
      </c>
      <c r="W42" s="65">
        <f>'Strategic Model'!AE95/'Strategic Model'!AE31</f>
        <v>35.360012272570238</v>
      </c>
      <c r="X42" s="65">
        <f>'Strategic Model'!AF95/'Strategic Model'!AF31</f>
        <v>38.775653830656196</v>
      </c>
      <c r="Y42" s="65">
        <f>'Strategic Model'!AG95/'Strategic Model'!AG31</f>
        <v>42.289194223114883</v>
      </c>
      <c r="Z42" s="65">
        <f>'Strategic Model'!AH95/'Strategic Model'!AH31</f>
        <v>46.247462802398431</v>
      </c>
      <c r="AA42" s="65">
        <f>'Strategic Model'!AI95/'Strategic Model'!AI31</f>
        <v>50.576225320702925</v>
      </c>
      <c r="AB42" s="65">
        <f>'Strategic Model'!AJ95/'Strategic Model'!AJ31</f>
        <v>55.461694695681587</v>
      </c>
      <c r="AC42" s="65">
        <f>'Strategic Model'!AK95/'Strategic Model'!AK31</f>
        <v>60.487190987724169</v>
      </c>
      <c r="AD42" s="65">
        <f>'Strategic Model'!AL95/'Strategic Model'!AL31</f>
        <v>66.14879206417514</v>
      </c>
    </row>
    <row r="43" spans="4:30">
      <c r="D43" t="s">
        <v>569</v>
      </c>
      <c r="E43" s="65">
        <f>'Strategic Model'!M96/'Strategic Model'!M31</f>
        <v>0</v>
      </c>
      <c r="F43" s="65">
        <f>'Strategic Model'!N96/'Strategic Model'!N31</f>
        <v>0</v>
      </c>
      <c r="G43" s="65">
        <f>'Strategic Model'!O96/'Strategic Model'!O31</f>
        <v>0</v>
      </c>
      <c r="H43" s="65">
        <f>'Strategic Model'!P96/'Strategic Model'!P31</f>
        <v>0</v>
      </c>
      <c r="I43" s="65">
        <f>'Strategic Model'!Q96/'Strategic Model'!Q31</f>
        <v>0</v>
      </c>
      <c r="J43" s="65">
        <f>'Strategic Model'!R96/'Strategic Model'!R31</f>
        <v>0</v>
      </c>
      <c r="K43" s="65">
        <f>'Strategic Model'!S96/'Strategic Model'!S31</f>
        <v>0</v>
      </c>
      <c r="L43" s="65">
        <f>'Strategic Model'!T96/'Strategic Model'!T31</f>
        <v>0</v>
      </c>
      <c r="M43" s="65">
        <f>'Strategic Model'!U96/'Strategic Model'!U31</f>
        <v>0</v>
      </c>
      <c r="N43" s="65">
        <f>'Strategic Model'!V96/'Strategic Model'!V31</f>
        <v>0</v>
      </c>
      <c r="O43" s="65">
        <f>'Strategic Model'!W96/'Strategic Model'!W31</f>
        <v>0</v>
      </c>
      <c r="P43" s="65">
        <f>'Strategic Model'!X96/'Strategic Model'!X31</f>
        <v>0</v>
      </c>
      <c r="Q43" s="65">
        <f>'Strategic Model'!Y96/'Strategic Model'!Y31</f>
        <v>0</v>
      </c>
      <c r="R43" s="65">
        <f>'Strategic Model'!Z96/'Strategic Model'!Z31</f>
        <v>0</v>
      </c>
      <c r="S43" s="65">
        <f>'Strategic Model'!AA96/'Strategic Model'!AA31</f>
        <v>0</v>
      </c>
      <c r="T43" s="65">
        <f>'Strategic Model'!AB96/'Strategic Model'!AB31</f>
        <v>0</v>
      </c>
      <c r="U43" s="65">
        <f>'Strategic Model'!AC96/'Strategic Model'!AC31</f>
        <v>0</v>
      </c>
      <c r="V43" s="65">
        <f>'Strategic Model'!AD96/'Strategic Model'!AD31</f>
        <v>0</v>
      </c>
      <c r="W43" s="65">
        <f>'Strategic Model'!AE96/'Strategic Model'!AE31</f>
        <v>0</v>
      </c>
      <c r="X43" s="65">
        <f>'Strategic Model'!AF96/'Strategic Model'!AF31</f>
        <v>0</v>
      </c>
      <c r="Y43" s="65">
        <f>'Strategic Model'!AG96/'Strategic Model'!AG31</f>
        <v>0</v>
      </c>
      <c r="Z43" s="65">
        <f>'Strategic Model'!AH96/'Strategic Model'!AH31</f>
        <v>0</v>
      </c>
      <c r="AA43" s="65">
        <f>'Strategic Model'!AI96/'Strategic Model'!AI31</f>
        <v>0</v>
      </c>
      <c r="AB43" s="65">
        <f>'Strategic Model'!AJ96/'Strategic Model'!AJ31</f>
        <v>0</v>
      </c>
      <c r="AC43" s="65">
        <f>'Strategic Model'!AK96/'Strategic Model'!AK31</f>
        <v>0</v>
      </c>
      <c r="AD43" s="65">
        <f>'Strategic Model'!AL96/'Strategic Model'!AL31</f>
        <v>0</v>
      </c>
    </row>
    <row r="44" spans="4:30">
      <c r="D44" t="s">
        <v>566</v>
      </c>
      <c r="E44" s="65">
        <f>SUM('Strategic Model'!M80,'Strategic Model'!M84,'Strategic Model'!M85,'Strategic Model'!M86)</f>
        <v>8.6467977408000003</v>
      </c>
      <c r="F44" s="65">
        <f>SUM('Strategic Model'!N80,'Strategic Model'!N84,'Strategic Model'!N85,'Strategic Model'!N86)</f>
        <v>14.73</v>
      </c>
      <c r="G44" s="65">
        <f>SUM('Strategic Model'!O80,'Strategic Model'!O84,'Strategic Model'!O85,'Strategic Model'!O86)</f>
        <v>16.108727999999999</v>
      </c>
      <c r="H44" s="65">
        <f>SUM('Strategic Model'!P80,'Strategic Model'!P84,'Strategic Model'!P85,'Strategic Model'!P86)</f>
        <v>17.616504940799999</v>
      </c>
      <c r="I44" s="65">
        <f>SUM('Strategic Model'!Q80,'Strategic Model'!Q84,'Strategic Model'!Q85,'Strategic Model'!Q86)</f>
        <v>19.265409803258876</v>
      </c>
      <c r="J44" s="65">
        <f>SUM('Strategic Model'!R80,'Strategic Model'!R84,'Strategic Model'!R85,'Strategic Model'!R86)</f>
        <v>21.068652160843904</v>
      </c>
      <c r="K44" s="65" t="e">
        <f>SUM('Strategic Model'!S80,'Strategic Model'!#REF!,'Strategic Model'!S85,'Strategic Model'!S86)</f>
        <v>#REF!</v>
      </c>
      <c r="L44" s="65">
        <f>SUM('Strategic Model'!T80,'Strategic Model'!S84,'Strategic Model'!T85,'Strategic Model'!T86)</f>
        <v>35.297285464188946</v>
      </c>
      <c r="M44" s="65">
        <f>SUM('Strategic Model'!U80,'Strategic Model'!U84,'Strategic Model'!U85,'Strategic Model'!U86)</f>
        <v>39.634957079637026</v>
      </c>
      <c r="N44" s="65">
        <f>SUM('Strategic Model'!V80,'Strategic Model'!V84,'Strategic Model'!V85,'Strategic Model'!V86)</f>
        <v>88.344789062291042</v>
      </c>
      <c r="O44" s="65">
        <f>SUM('Strategic Model'!W80,'Strategic Model'!W84,'Strategic Model'!W85,'Strategic Model'!W86)</f>
        <v>96.613861318521472</v>
      </c>
      <c r="P44" s="65">
        <f>SUM('Strategic Model'!X80,'Strategic Model'!X84,'Strategic Model'!X85,'Strategic Model'!X86)</f>
        <v>105.65691873793509</v>
      </c>
      <c r="Q44" s="65">
        <f>SUM('Strategic Model'!Y80,'Strategic Model'!Y84,'Strategic Model'!Y85,'Strategic Model'!Y86)</f>
        <v>115.54640633180578</v>
      </c>
      <c r="R44" s="65">
        <f>SUM('Strategic Model'!Z80,'Strategic Model'!Z84,'Strategic Model'!Z85,'Strategic Model'!Z86)</f>
        <v>126.3615499644628</v>
      </c>
      <c r="S44" s="65">
        <f>SUM('Strategic Model'!AA80,'Strategic Model'!AA84,'Strategic Model'!AA85,'Strategic Model'!AA86)</f>
        <v>138.18899104113649</v>
      </c>
      <c r="T44" s="65">
        <f>SUM('Strategic Model'!AB80,'Strategic Model'!AB84,'Strategic Model'!AB85,'Strategic Model'!AB86)</f>
        <v>151.12348060258688</v>
      </c>
      <c r="U44" s="65">
        <f>SUM('Strategic Model'!AC80,'Strategic Model'!AC84,'Strategic Model'!AC85,'Strategic Model'!AC86)</f>
        <v>176.59863838698899</v>
      </c>
      <c r="V44" s="65">
        <f>SUM('Strategic Model'!AD80,'Strategic Model'!AD84,'Strategic Model'!AD85,'Strategic Model'!AD86)</f>
        <v>193.12827094001113</v>
      </c>
      <c r="W44" s="65">
        <f>SUM('Strategic Model'!AE80,'Strategic Model'!AE84,'Strategic Model'!AE85,'Strategic Model'!AE86)</f>
        <v>211.20507709999617</v>
      </c>
      <c r="X44" s="65">
        <f>SUM('Strategic Model'!AF80,'Strategic Model'!AF84,'Strategic Model'!AF85,'Strategic Model'!AF86)</f>
        <v>230.9738723165558</v>
      </c>
      <c r="Y44" s="65">
        <f>SUM('Strategic Model'!AG80,'Strategic Model'!AG84,'Strategic Model'!AG85,'Strategic Model'!AG86)</f>
        <v>252.59302676538542</v>
      </c>
      <c r="Z44" s="65">
        <f>SUM('Strategic Model'!AH80,'Strategic Model'!AH84,'Strategic Model'!AH85,'Strategic Model'!AH86)</f>
        <v>276.23573407062543</v>
      </c>
      <c r="AA44" s="65">
        <f>SUM('Strategic Model'!AI80,'Strategic Model'!AI84,'Strategic Model'!AI85,'Strategic Model'!AI86)</f>
        <v>302.09139877963599</v>
      </c>
      <c r="AB44" s="65">
        <f>SUM('Strategic Model'!AJ80,'Strategic Model'!AJ84,'Strategic Model'!AJ85,'Strategic Model'!AJ86)</f>
        <v>330.36715370540981</v>
      </c>
      <c r="AC44" s="65">
        <f>SUM('Strategic Model'!AK80,'Strategic Model'!AK84,'Strategic Model'!AK85,'Strategic Model'!AK86)</f>
        <v>361.28951929223626</v>
      </c>
      <c r="AD44" s="65">
        <f>SUM('Strategic Model'!AL80,'Strategic Model'!AL84,'Strategic Model'!AL85,'Strategic Model'!AL86)</f>
        <v>395.10621829798947</v>
      </c>
    </row>
    <row r="47" spans="4:30">
      <c r="D47" s="141" t="s">
        <v>451</v>
      </c>
      <c r="E47" s="7" t="s">
        <v>452</v>
      </c>
      <c r="G47" s="7" t="s">
        <v>453</v>
      </c>
    </row>
    <row r="48" spans="4:30">
      <c r="E48" s="194" t="s">
        <v>462</v>
      </c>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row>
    <row r="49" spans="4:32">
      <c r="E49">
        <v>2025</v>
      </c>
      <c r="F49">
        <v>2026</v>
      </c>
      <c r="G49">
        <v>2027</v>
      </c>
      <c r="H49">
        <v>2028</v>
      </c>
      <c r="I49">
        <v>2029</v>
      </c>
      <c r="J49">
        <v>2030</v>
      </c>
      <c r="K49">
        <v>2031</v>
      </c>
      <c r="L49">
        <v>2032</v>
      </c>
      <c r="M49">
        <v>2033</v>
      </c>
      <c r="N49">
        <v>2034</v>
      </c>
      <c r="O49">
        <v>2035</v>
      </c>
      <c r="P49">
        <v>2036</v>
      </c>
      <c r="Q49">
        <v>2037</v>
      </c>
      <c r="R49">
        <v>2038</v>
      </c>
      <c r="S49">
        <v>2039</v>
      </c>
      <c r="T49">
        <v>2040</v>
      </c>
      <c r="U49">
        <v>2041</v>
      </c>
      <c r="V49">
        <v>2042</v>
      </c>
      <c r="W49">
        <v>2043</v>
      </c>
      <c r="X49">
        <v>2044</v>
      </c>
      <c r="Y49">
        <v>2045</v>
      </c>
      <c r="Z49">
        <v>2046</v>
      </c>
      <c r="AA49">
        <v>2047</v>
      </c>
      <c r="AB49">
        <v>2048</v>
      </c>
      <c r="AC49">
        <v>2049</v>
      </c>
      <c r="AD49">
        <v>2050</v>
      </c>
    </row>
    <row r="50" spans="4:32">
      <c r="D50" s="7" t="s">
        <v>120</v>
      </c>
      <c r="E50" s="105">
        <f>'BaU Model'!M82/10^6</f>
        <v>0.49288937674629918</v>
      </c>
      <c r="F50" s="105">
        <f>'BaU Model'!N82/10^6</f>
        <v>3.5024871470910721</v>
      </c>
      <c r="G50" s="105">
        <f>'BaU Model'!O82/10^6</f>
        <v>8.3064897706249354</v>
      </c>
      <c r="H50" s="105">
        <f>'BaU Model'!P82/10^6</f>
        <v>9.0839772131554284</v>
      </c>
      <c r="I50" s="105">
        <f>'BaU Model'!Q82/10^6</f>
        <v>11.67111050111958</v>
      </c>
      <c r="J50" s="105">
        <f>'BaU Model'!R82/10^6</f>
        <v>12.76352644402437</v>
      </c>
      <c r="K50" s="105">
        <f>'BaU Model'!S82/10^6</f>
        <v>14.754236403352392</v>
      </c>
      <c r="L50" s="105">
        <f>'BaU Model'!T82/10^6</f>
        <v>16.135232930706174</v>
      </c>
      <c r="M50" s="105">
        <f>'BaU Model'!U82/10^6</f>
        <v>17.645490733020271</v>
      </c>
      <c r="N50" s="105">
        <f>'BaU Model'!V82/10^6</f>
        <v>19.297108665630965</v>
      </c>
      <c r="O50" s="105">
        <f>'BaU Model'!W82/10^6</f>
        <v>21.103318036734024</v>
      </c>
      <c r="P50" s="105">
        <f>'BaU Model'!X82/10^6</f>
        <v>23.078588604972325</v>
      </c>
      <c r="Q50" s="105">
        <f>'BaU Model'!Y82/10^6</f>
        <v>25.238744498397732</v>
      </c>
      <c r="R50" s="105">
        <f>'BaU Model'!Z82/10^6</f>
        <v>27.601090983447758</v>
      </c>
      <c r="S50" s="105">
        <f>'BaU Model'!AA82/10^6</f>
        <v>30.184553099498462</v>
      </c>
      <c r="T50" s="105">
        <f>'BaU Model'!AB82/10^6</f>
        <v>33.00982726961152</v>
      </c>
      <c r="U50" s="105">
        <f>'BaU Model'!AC82/10^6</f>
        <v>36.099547102047154</v>
      </c>
      <c r="V50" s="105">
        <f>'BaU Model'!AD82/10^6</f>
        <v>39.478464710798761</v>
      </c>
      <c r="W50" s="105">
        <f>'BaU Model'!AE82/10^6</f>
        <v>43.173649007729523</v>
      </c>
      <c r="X50" s="105">
        <f>'BaU Model'!AF82/10^6</f>
        <v>47.214702554853005</v>
      </c>
      <c r="Y50" s="105">
        <f>'BaU Model'!AG82/10^6</f>
        <v>51.633998713987246</v>
      </c>
      <c r="Z50" s="105">
        <f>'BaU Model'!AH82/10^6</f>
        <v>56.466940993616447</v>
      </c>
      <c r="AA50" s="105">
        <f>'BaU Model'!AI82/10^6</f>
        <v>61.752246670618945</v>
      </c>
      <c r="AB50" s="105">
        <f>'BaU Model'!AJ82/10^6</f>
        <v>67.532256958988881</v>
      </c>
      <c r="AC50" s="105">
        <f>'BaU Model'!AK82/10^6</f>
        <v>73.853276210350231</v>
      </c>
      <c r="AD50" s="105">
        <f>'BaU Model'!AL82/10^6</f>
        <v>80.765942863639012</v>
      </c>
      <c r="AE50" s="105"/>
      <c r="AF50" s="105"/>
    </row>
    <row r="51" spans="4:32">
      <c r="D51" s="7" t="s">
        <v>125</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row>
    <row r="52" spans="4:32">
      <c r="D52" s="7" t="s">
        <v>154</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row>
    <row r="53" spans="4:32">
      <c r="D53" s="7" t="s">
        <v>423</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row>
    <row r="55" spans="4:32">
      <c r="E55" s="194" t="s">
        <v>463</v>
      </c>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row>
    <row r="56" spans="4:32">
      <c r="E56">
        <v>2025</v>
      </c>
      <c r="F56">
        <v>2026</v>
      </c>
      <c r="G56">
        <v>2027</v>
      </c>
      <c r="H56">
        <v>2028</v>
      </c>
      <c r="I56">
        <v>2029</v>
      </c>
      <c r="J56">
        <v>2030</v>
      </c>
      <c r="K56">
        <v>2031</v>
      </c>
      <c r="L56">
        <v>2032</v>
      </c>
      <c r="M56">
        <v>2033</v>
      </c>
      <c r="N56">
        <v>2034</v>
      </c>
      <c r="O56">
        <v>2035</v>
      </c>
      <c r="P56">
        <v>2036</v>
      </c>
      <c r="Q56">
        <v>2037</v>
      </c>
      <c r="R56">
        <v>2038</v>
      </c>
      <c r="S56">
        <v>2039</v>
      </c>
      <c r="T56">
        <v>2040</v>
      </c>
      <c r="U56">
        <v>2041</v>
      </c>
      <c r="V56">
        <v>2042</v>
      </c>
      <c r="W56">
        <v>2043</v>
      </c>
      <c r="X56">
        <v>2044</v>
      </c>
      <c r="Y56">
        <v>2045</v>
      </c>
      <c r="Z56">
        <v>2046</v>
      </c>
      <c r="AA56">
        <v>2047</v>
      </c>
      <c r="AB56">
        <v>2048</v>
      </c>
      <c r="AC56">
        <v>2049</v>
      </c>
      <c r="AD56">
        <v>2050</v>
      </c>
    </row>
    <row r="57" spans="4:32">
      <c r="D57" s="7" t="s">
        <v>120</v>
      </c>
      <c r="E57" s="65">
        <f>'Strategic Model'!M93/10^6</f>
        <v>0.49288937674629918</v>
      </c>
      <c r="F57" s="65">
        <f>'Strategic Model'!N93/10^6</f>
        <v>3.5024871470910721</v>
      </c>
      <c r="G57" s="65">
        <f>'Strategic Model'!O93/10^6</f>
        <v>7.6419705889749405</v>
      </c>
      <c r="H57" s="65">
        <f>'Strategic Model'!P93/10^6</f>
        <v>8.3572590361029953</v>
      </c>
      <c r="I57" s="65">
        <f>'Strategic Model'!Q93/10^6</f>
        <v>10.737421661030014</v>
      </c>
      <c r="J57" s="65">
        <f>'Strategic Model'!R93/10^6</f>
        <v>11.742444328502422</v>
      </c>
      <c r="K57" s="65">
        <f>'Strategic Model'!S93/10^6</f>
        <v>14.754236403352392</v>
      </c>
      <c r="L57" s="65">
        <f>'Strategic Model'!T93/10^6</f>
        <v>16.135232930706174</v>
      </c>
      <c r="M57" s="65">
        <f>'Strategic Model'!U93/10^6</f>
        <v>17.645490733020271</v>
      </c>
      <c r="N57" s="65">
        <f>'Strategic Model'!V93/10^6</f>
        <v>12.440726195734793</v>
      </c>
      <c r="O57" s="65">
        <f>'Strategic Model'!W93/10^6</f>
        <v>13.605178167655566</v>
      </c>
      <c r="P57" s="65">
        <f>'Strategic Model'!X93/10^6</f>
        <v>14.855647186489467</v>
      </c>
      <c r="Q57" s="65">
        <f>'Strategic Model'!Y93/10^6</f>
        <v>16.271261942360393</v>
      </c>
      <c r="R57" s="65">
        <f>'Strategic Model'!Z93/10^6</f>
        <v>17.794252060165324</v>
      </c>
      <c r="S57" s="65">
        <f>'Strategic Model'!AA93/10^6</f>
        <v>19.459794052996795</v>
      </c>
      <c r="T57" s="65">
        <f>'Strategic Model'!AB93/10^6</f>
        <v>21.248368173548265</v>
      </c>
      <c r="U57" s="65">
        <f>'Strategic Model'!AC93/10^6</f>
        <v>23.273153977024336</v>
      </c>
      <c r="V57" s="65">
        <f>'Strategic Model'!AD93/10^6</f>
        <v>25.451521189273809</v>
      </c>
      <c r="W57" s="65">
        <f>'Strategic Model'!AE93/10^6</f>
        <v>27.833783572589837</v>
      </c>
      <c r="X57" s="65">
        <f>'Strategic Model'!AF93/10^6</f>
        <v>30.392021590905266</v>
      </c>
      <c r="Y57" s="65">
        <f>'Strategic Model'!AG93/10^6</f>
        <v>33.288118521906767</v>
      </c>
      <c r="Z57" s="65">
        <f>'Strategic Model'!AH93/10^6</f>
        <v>36.403886415557238</v>
      </c>
      <c r="AA57" s="65">
        <f>'Strategic Model'!AI93/10^6</f>
        <v>39.811290184053391</v>
      </c>
      <c r="AB57" s="65">
        <f>'Strategic Model'!AJ93/10^6</f>
        <v>43.470395883478673</v>
      </c>
      <c r="AC57" s="65">
        <f>'Strategic Model'!AK93/10^6</f>
        <v>47.612748827359063</v>
      </c>
      <c r="AD57" s="65">
        <f>'Strategic Model'!AL93/10^6</f>
        <v>52.069302117599875</v>
      </c>
    </row>
    <row r="58" spans="4:32">
      <c r="D58" s="7" t="s">
        <v>125</v>
      </c>
      <c r="E58" s="65">
        <f>'Strategic Model'!M94/10^6</f>
        <v>0</v>
      </c>
      <c r="F58" s="65">
        <f>'Strategic Model'!N94/10^6</f>
        <v>0</v>
      </c>
      <c r="G58" s="65">
        <f>'Strategic Model'!O94/10^6</f>
        <v>0</v>
      </c>
      <c r="H58" s="65">
        <f>'Strategic Model'!P94/10^6</f>
        <v>0</v>
      </c>
      <c r="I58" s="65">
        <f>'Strategic Model'!Q94/10^6</f>
        <v>0</v>
      </c>
      <c r="J58" s="65">
        <f>'Strategic Model'!R94/10^6</f>
        <v>0</v>
      </c>
      <c r="K58" s="65">
        <f>'Strategic Model'!S94/10^6</f>
        <v>0.17169999999999999</v>
      </c>
      <c r="L58" s="65">
        <f>'Strategic Model'!T94/10^6</f>
        <v>0.18777111999999996</v>
      </c>
      <c r="M58" s="65">
        <f>'Strategic Model'!U94/10^6</f>
        <v>0.20534649683199996</v>
      </c>
      <c r="N58" s="65">
        <f>'Strategic Model'!V94/10^6</f>
        <v>0.22456692893547511</v>
      </c>
      <c r="O58" s="65">
        <f>'Strategic Model'!W94/10^6</f>
        <v>0.24558639348383557</v>
      </c>
      <c r="P58" s="65">
        <f>'Strategic Model'!X94/10^6</f>
        <v>0.26857327991392255</v>
      </c>
      <c r="Q58" s="65">
        <f>'Strategic Model'!Y94/10^6</f>
        <v>0.29371173891386571</v>
      </c>
      <c r="R58" s="65">
        <f>'Strategic Model'!Z94/10^6</f>
        <v>0.32120315767620344</v>
      </c>
      <c r="S58" s="65">
        <f>'Strategic Model'!AA94/10^6</f>
        <v>0.35126777323469605</v>
      </c>
      <c r="T58" s="65">
        <f>'Strategic Model'!AB94/10^6</f>
        <v>0.38414643680946359</v>
      </c>
      <c r="U58" s="65">
        <f>'Strategic Model'!AC94/10^6</f>
        <v>0.42010254329482938</v>
      </c>
      <c r="V58" s="65">
        <f>'Strategic Model'!AD94/10^6</f>
        <v>0.45942414134722537</v>
      </c>
      <c r="W58" s="65">
        <f>'Strategic Model'!AE94/10^6</f>
        <v>0.50242624097732558</v>
      </c>
      <c r="X58" s="65">
        <f>'Strategic Model'!AF94/10^6</f>
        <v>0.54945333713280331</v>
      </c>
      <c r="Y58" s="65">
        <f>'Strategic Model'!AG94/10^6</f>
        <v>0.60088216948843365</v>
      </c>
      <c r="Z58" s="65">
        <f>'Strategic Model'!AH94/10^6</f>
        <v>0.65712474055255099</v>
      </c>
      <c r="AA58" s="65">
        <f>'Strategic Model'!AI94/10^6</f>
        <v>0.71863161626826977</v>
      </c>
      <c r="AB58" s="65">
        <f>'Strategic Model'!AJ94/10^6</f>
        <v>0.78589553555097957</v>
      </c>
      <c r="AC58" s="65">
        <f>'Strategic Model'!AK94/10^6</f>
        <v>0.85945535767855119</v>
      </c>
      <c r="AD58" s="65">
        <f>'Strategic Model'!AL94/10^6</f>
        <v>0.93990037915726343</v>
      </c>
    </row>
    <row r="59" spans="4:32">
      <c r="D59" s="7" t="s">
        <v>154</v>
      </c>
      <c r="E59" s="65">
        <f>'Strategic Model'!M95/10^6</f>
        <v>0</v>
      </c>
      <c r="F59" s="65">
        <f>'Strategic Model'!N95/10^6</f>
        <v>0</v>
      </c>
      <c r="G59" s="65">
        <f>'Strategic Model'!O95/10^6</f>
        <v>0</v>
      </c>
      <c r="H59" s="65">
        <f>'Strategic Model'!P95/10^6</f>
        <v>0</v>
      </c>
      <c r="I59" s="65">
        <f>'Strategic Model'!Q95/10^6</f>
        <v>0</v>
      </c>
      <c r="J59" s="65">
        <f>'Strategic Model'!R95/10^6</f>
        <v>0</v>
      </c>
      <c r="K59" s="65">
        <f>'Strategic Model'!S95/10^6</f>
        <v>0</v>
      </c>
      <c r="L59" s="65">
        <f>'Strategic Model'!T95/10^6</f>
        <v>0</v>
      </c>
      <c r="M59" s="65">
        <f>'Strategic Model'!U95/10^6</f>
        <v>0</v>
      </c>
      <c r="N59" s="65">
        <f>'Strategic Model'!V95/10^6</f>
        <v>10.4709375</v>
      </c>
      <c r="O59" s="65">
        <f>'Strategic Model'!W95/10^6</f>
        <v>11.45101725</v>
      </c>
      <c r="P59" s="65">
        <f>'Strategic Model'!X95/10^6</f>
        <v>12.557141594639997</v>
      </c>
      <c r="Q59" s="65">
        <f>'Strategic Model'!Y95/10^6</f>
        <v>13.694969583286555</v>
      </c>
      <c r="R59" s="65">
        <f>'Strategic Model'!Z95/10^6</f>
        <v>14.976818736282175</v>
      </c>
      <c r="S59" s="65">
        <f>'Strategic Model'!AA95/10^6</f>
        <v>16.378648969998185</v>
      </c>
      <c r="T59" s="65">
        <f>'Strategic Model'!AB95/10^6</f>
        <v>17.960763638284785</v>
      </c>
      <c r="U59" s="65">
        <f>'Strategic Model'!AC95/10^6</f>
        <v>19.588224745662043</v>
      </c>
      <c r="V59" s="65">
        <f>'Strategic Model'!AD95/10^6</f>
        <v>21.421682581856004</v>
      </c>
      <c r="W59" s="65">
        <f>'Strategic Model'!AE95/10^6</f>
        <v>23.426752071517726</v>
      </c>
      <c r="X59" s="65">
        <f>'Strategic Model'!AF95/10^6</f>
        <v>25.689686465590995</v>
      </c>
      <c r="Y59" s="65">
        <f>'Strategic Model'!AG95/10^6</f>
        <v>28.017480897134327</v>
      </c>
      <c r="Z59" s="65">
        <f>'Strategic Model'!AH95/10^6</f>
        <v>30.639917109106094</v>
      </c>
      <c r="AA59" s="65">
        <f>'Strategic Model'!AI95/10^6</f>
        <v>33.507813350518425</v>
      </c>
      <c r="AB59" s="65">
        <f>'Strategic Model'!AJ95/10^6</f>
        <v>36.744539597058797</v>
      </c>
      <c r="AC59" s="65">
        <f>'Strategic Model'!AK95/10^6</f>
        <v>40.074036622186824</v>
      </c>
      <c r="AD59" s="65">
        <f>'Strategic Model'!AL95/10^6</f>
        <v>43.824966450023503</v>
      </c>
    </row>
    <row r="60" spans="4:32">
      <c r="D60" s="7" t="s">
        <v>423</v>
      </c>
      <c r="E60" s="65">
        <f>'Strategic Model'!M96/10^6</f>
        <v>0</v>
      </c>
      <c r="F60" s="65">
        <f>'Strategic Model'!N96/10^6</f>
        <v>0</v>
      </c>
      <c r="G60" s="65">
        <f>'Strategic Model'!O96/10^6</f>
        <v>0</v>
      </c>
      <c r="H60" s="65">
        <f>'Strategic Model'!P96/10^6</f>
        <v>0</v>
      </c>
      <c r="I60" s="65">
        <f>'Strategic Model'!Q96/10^6</f>
        <v>0</v>
      </c>
      <c r="J60" s="65">
        <f>'Strategic Model'!R96/10^6</f>
        <v>0</v>
      </c>
      <c r="K60" s="65">
        <f>'Strategic Model'!S96/10^6</f>
        <v>0</v>
      </c>
      <c r="L60" s="65">
        <f>'Strategic Model'!T96/10^6</f>
        <v>0</v>
      </c>
      <c r="M60" s="65">
        <f>'Strategic Model'!U96/10^6</f>
        <v>0</v>
      </c>
      <c r="N60" s="65">
        <f>'Strategic Model'!V96/10^6</f>
        <v>0</v>
      </c>
      <c r="O60" s="65">
        <f>'Strategic Model'!W96/10^6</f>
        <v>0</v>
      </c>
      <c r="P60" s="65">
        <f>'Strategic Model'!X96/10^6</f>
        <v>0</v>
      </c>
      <c r="Q60" s="65">
        <f>'Strategic Model'!Y96/10^6</f>
        <v>0</v>
      </c>
      <c r="R60" s="65">
        <f>'Strategic Model'!Z96/10^6</f>
        <v>0</v>
      </c>
      <c r="S60" s="65">
        <f>'Strategic Model'!AA96/10^6</f>
        <v>0</v>
      </c>
      <c r="T60" s="65">
        <f>'Strategic Model'!AB96/10^6</f>
        <v>0</v>
      </c>
      <c r="U60" s="65">
        <f>'Strategic Model'!AC96/10^6</f>
        <v>0</v>
      </c>
      <c r="V60" s="65">
        <f>'Strategic Model'!AD96/10^6</f>
        <v>0</v>
      </c>
      <c r="W60" s="65">
        <f>'Strategic Model'!AE96/10^6</f>
        <v>0</v>
      </c>
      <c r="X60" s="65">
        <f>'Strategic Model'!AF96/10^6</f>
        <v>0</v>
      </c>
      <c r="Y60" s="65">
        <f>'Strategic Model'!AG96/10^6</f>
        <v>0</v>
      </c>
      <c r="Z60" s="65">
        <f>'Strategic Model'!AH96/10^6</f>
        <v>0</v>
      </c>
      <c r="AA60" s="65">
        <f>'Strategic Model'!AI96/10^6</f>
        <v>0</v>
      </c>
      <c r="AB60" s="65">
        <f>'Strategic Model'!AJ96/10^6</f>
        <v>0</v>
      </c>
      <c r="AC60" s="65">
        <f>'Strategic Model'!AK96/10^6</f>
        <v>0</v>
      </c>
      <c r="AD60" s="65">
        <f>'Strategic Model'!AL96/10^6</f>
        <v>0</v>
      </c>
    </row>
    <row r="61" spans="4:32">
      <c r="E61" s="65"/>
      <c r="F61" s="65"/>
      <c r="G61" s="65"/>
      <c r="H61" s="65"/>
      <c r="I61" s="65"/>
      <c r="J61" s="65"/>
      <c r="K61" s="65"/>
      <c r="L61" s="65"/>
      <c r="M61" s="65"/>
      <c r="N61" s="65"/>
      <c r="O61" s="65"/>
      <c r="P61" s="65"/>
      <c r="Q61" s="65"/>
      <c r="R61" s="65"/>
      <c r="S61" s="65"/>
      <c r="T61" s="65"/>
      <c r="U61" s="65"/>
      <c r="V61" s="65"/>
      <c r="W61" s="65"/>
      <c r="X61" s="65"/>
      <c r="Y61" s="65"/>
      <c r="Z61" s="65"/>
      <c r="AA61" s="65"/>
      <c r="AB61" s="65"/>
      <c r="AC61" s="65"/>
      <c r="AD61" s="65">
        <f>SUM(AD57:AD60)</f>
        <v>96.834168946780636</v>
      </c>
    </row>
    <row r="62" spans="4:32">
      <c r="D62" s="141" t="s">
        <v>336</v>
      </c>
      <c r="E62" s="7" t="s">
        <v>456</v>
      </c>
    </row>
    <row r="63" spans="4:32">
      <c r="D63" s="7"/>
      <c r="E63" s="194" t="s">
        <v>457</v>
      </c>
      <c r="F63" s="194"/>
      <c r="G63" s="194"/>
      <c r="H63" s="194"/>
      <c r="I63" s="194"/>
      <c r="J63" s="194"/>
      <c r="K63" s="194" t="s">
        <v>458</v>
      </c>
      <c r="L63" s="194"/>
      <c r="M63" s="194"/>
      <c r="N63" s="194"/>
      <c r="O63" s="194"/>
    </row>
    <row r="64" spans="4:32">
      <c r="E64">
        <v>2025</v>
      </c>
      <c r="F64" s="142" t="s">
        <v>475</v>
      </c>
      <c r="G64" s="142" t="s">
        <v>476</v>
      </c>
      <c r="H64" s="142" t="s">
        <v>477</v>
      </c>
      <c r="I64" s="142" t="s">
        <v>478</v>
      </c>
      <c r="J64" s="142" t="s">
        <v>479</v>
      </c>
      <c r="K64">
        <v>2025</v>
      </c>
      <c r="L64" s="142" t="s">
        <v>475</v>
      </c>
      <c r="M64" s="142" t="s">
        <v>476</v>
      </c>
      <c r="N64" s="142" t="s">
        <v>477</v>
      </c>
      <c r="O64" s="142" t="s">
        <v>478</v>
      </c>
      <c r="P64" s="142" t="s">
        <v>479</v>
      </c>
      <c r="AD64" s="65" t="e">
        <f>AD57+AD61+#REF!+#REF!</f>
        <v>#REF!</v>
      </c>
    </row>
    <row r="65" spans="4:30">
      <c r="D65" s="7" t="s">
        <v>472</v>
      </c>
      <c r="E65" s="105">
        <f>'BaU Model'!M92/'BaU Model'!M23</f>
        <v>33.953639322240001</v>
      </c>
      <c r="F65" s="105">
        <f t="shared" ref="F65:J65" si="2">F18</f>
        <v>34.524202969053242</v>
      </c>
      <c r="G65" s="105">
        <f t="shared" si="2"/>
        <v>55.206970489180982</v>
      </c>
      <c r="H65" s="105">
        <f t="shared" si="2"/>
        <v>79.460914269699316</v>
      </c>
      <c r="I65" s="105">
        <f t="shared" si="2"/>
        <v>115.06726839435794</v>
      </c>
      <c r="J65" s="105">
        <f t="shared" si="2"/>
        <v>167.64243669306342</v>
      </c>
      <c r="K65" s="105">
        <f>'Strategic Model'!M109/'Strategic Model'!M31</f>
        <v>33.953639322240001</v>
      </c>
      <c r="L65" s="105">
        <f t="shared" ref="L65:P65" si="3">F34</f>
        <v>33.455386075616055</v>
      </c>
      <c r="M65" s="105">
        <f t="shared" si="3"/>
        <v>50.527282434171795</v>
      </c>
      <c r="N65" s="105">
        <f t="shared" si="3"/>
        <v>64.467794290812961</v>
      </c>
      <c r="O65" s="105">
        <f t="shared" si="3"/>
        <v>97.658526661709132</v>
      </c>
      <c r="P65" s="105">
        <f t="shared" si="3"/>
        <v>148.4880046504019</v>
      </c>
    </row>
    <row r="66" spans="4:30">
      <c r="D66" s="7" t="s">
        <v>565</v>
      </c>
      <c r="E66" s="65">
        <f>'BaU Model'!M186</f>
        <v>279.96713872820197</v>
      </c>
      <c r="F66" s="65">
        <f>AVERAGE('BaU Model'!N186:R186)</f>
        <v>31.224369178481417</v>
      </c>
      <c r="G66" s="65">
        <f>AVERAGE('BaU Model'!S186:W186)</f>
        <v>142.53574920529857</v>
      </c>
      <c r="H66" s="65">
        <f>AVERAGE('BaU Model'!X186:AB186)</f>
        <v>192.61552541902182</v>
      </c>
      <c r="I66" s="65">
        <f>AVERAGE('BaU Model'!AC186:AG186)</f>
        <v>260.97671931728081</v>
      </c>
      <c r="J66" s="65">
        <f>AVERAGE('BaU Model'!AH186:AL186)</f>
        <v>354.08834140952121</v>
      </c>
      <c r="K66" s="65">
        <f>'Strategic Model'!M203</f>
        <v>279.96713872820197</v>
      </c>
      <c r="L66" s="65">
        <f>AVERAGE('Strategic Model'!N203:R203)</f>
        <v>31.224369178481417</v>
      </c>
      <c r="M66" s="65">
        <f>AVERAGE('Strategic Model'!S203:W203)</f>
        <v>5.6285657386680068</v>
      </c>
      <c r="N66" s="65">
        <f>AVERAGE('Strategic Model'!X203:AB203)</f>
        <v>6.7642624258819239</v>
      </c>
      <c r="O66" s="65">
        <f>AVERAGE('Strategic Model'!AC203:AG203)</f>
        <v>10.583709088963147</v>
      </c>
      <c r="P66" s="65">
        <f>AVERAGE('Strategic Model'!AH203:AL203)</f>
        <v>16.555521296635764</v>
      </c>
    </row>
    <row r="67" spans="4:30">
      <c r="D67" s="7" t="s">
        <v>584</v>
      </c>
      <c r="E67" s="65">
        <f>'BaU Model'!M187</f>
        <v>196.56415975307149</v>
      </c>
      <c r="F67" s="65">
        <f>AVERAGE('BaU Model'!N187:R187)</f>
        <v>17.789548236935968</v>
      </c>
      <c r="G67" s="65">
        <f>AVERAGE('BaU Model'!O187:S187)</f>
        <v>7.7849218276345624</v>
      </c>
      <c r="H67" s="65">
        <f>AVERAGE('BaU Model'!P187:T187)</f>
        <v>11.347457864200276</v>
      </c>
      <c r="I67" s="65">
        <f>AVERAGE('BaU Model'!Q187:U187)</f>
        <v>15.15803516477656</v>
      </c>
      <c r="J67" s="65">
        <f>AVERAGE('BaU Model'!R187:V187)</f>
        <v>19.225914249171673</v>
      </c>
      <c r="K67" s="65"/>
      <c r="L67" s="65"/>
      <c r="M67" s="65"/>
      <c r="N67" s="65"/>
      <c r="O67" s="65"/>
      <c r="P67" s="65"/>
    </row>
    <row r="68" spans="4:30">
      <c r="E68" t="s">
        <v>580</v>
      </c>
      <c r="F68" t="s">
        <v>581</v>
      </c>
      <c r="G68" t="s">
        <v>582</v>
      </c>
      <c r="H68" t="s">
        <v>529</v>
      </c>
      <c r="I68" t="s">
        <v>530</v>
      </c>
    </row>
    <row r="69" spans="4:30">
      <c r="D69">
        <v>2025</v>
      </c>
      <c r="E69" s="65">
        <f>'Risk exposure pessimistic view'!M97</f>
        <v>33.953639322240001</v>
      </c>
      <c r="F69" s="65">
        <f>'Risk exposure pessimistic view'!M179</f>
        <v>279.96713872820197</v>
      </c>
      <c r="G69" s="105">
        <f>F69+E69</f>
        <v>313.92077805044198</v>
      </c>
    </row>
    <row r="70" spans="4:30">
      <c r="D70" s="142" t="s">
        <v>475</v>
      </c>
      <c r="E70" s="105">
        <f>AVERAGE('Risk exposure pessimistic view'!N97:R97)</f>
        <v>40.630228002924113</v>
      </c>
      <c r="F70" s="105">
        <f>AVERAGE('Risk exposure pessimistic view'!N179:R179)</f>
        <v>28.005659755336289</v>
      </c>
      <c r="G70" s="105">
        <f>F70+E70</f>
        <v>68.635887758260395</v>
      </c>
      <c r="H70" s="105">
        <v>35.322122861247159</v>
      </c>
      <c r="I70" s="105">
        <v>27.769031122215743</v>
      </c>
    </row>
    <row r="71" spans="4:30">
      <c r="D71" s="142" t="s">
        <v>476</v>
      </c>
      <c r="E71" s="105">
        <f>AVERAGE('Risk exposure pessimistic view'!S97:W97)</f>
        <v>59.110129944365568</v>
      </c>
      <c r="F71" s="105">
        <f>AVERAGE('Risk exposure pessimistic view'!S179:W179)</f>
        <v>3.7238049900068106</v>
      </c>
      <c r="G71" s="105">
        <f t="shared" ref="G71:G74" si="4">F71+E71</f>
        <v>62.83393493437238</v>
      </c>
      <c r="H71" s="105">
        <v>41.832265512703174</v>
      </c>
      <c r="I71" s="105">
        <v>5.2161896905825156</v>
      </c>
    </row>
    <row r="72" spans="4:30">
      <c r="D72" s="142" t="s">
        <v>477</v>
      </c>
      <c r="E72" s="105">
        <f>AVERAGE('Risk exposure pessimistic view'!X97:AB97)</f>
        <v>86.167447762925491</v>
      </c>
      <c r="F72" s="105">
        <f>AVERAGE('Risk exposure pessimistic view'!X179:AB179)</f>
        <v>215.34499884756138</v>
      </c>
      <c r="G72" s="105">
        <f t="shared" si="4"/>
        <v>301.5124466104869</v>
      </c>
      <c r="H72" s="105">
        <v>56.770896288493759</v>
      </c>
      <c r="I72" s="105">
        <v>6.3309575580318116</v>
      </c>
    </row>
    <row r="73" spans="4:30">
      <c r="D73" s="142" t="s">
        <v>478</v>
      </c>
      <c r="E73" s="105">
        <f>AVERAGE('Risk exposure pessimistic view'!AC97:AG97)</f>
        <v>126.05586358968105</v>
      </c>
      <c r="F73" s="105">
        <f>AVERAGE('Risk exposure pessimistic view'!AC179:AG179)</f>
        <v>272.23611253559727</v>
      </c>
      <c r="G73" s="105">
        <f t="shared" si="4"/>
        <v>398.29197612527832</v>
      </c>
      <c r="H73" s="105">
        <v>82.140237119251097</v>
      </c>
      <c r="I73" s="105">
        <v>5.856923321541152</v>
      </c>
    </row>
    <row r="74" spans="4:30">
      <c r="D74" s="142" t="s">
        <v>479</v>
      </c>
      <c r="E74" s="105">
        <f>AVERAGE('Risk exposure pessimistic view'!AH97:AL97)</f>
        <v>174.93550458427154</v>
      </c>
      <c r="F74" s="105">
        <f>AVERAGE('Risk exposure pessimistic view'!AH179:AL179)</f>
        <v>367.30431049292645</v>
      </c>
      <c r="G74" s="105">
        <f t="shared" si="4"/>
        <v>542.23981507719805</v>
      </c>
      <c r="H74" s="105">
        <v>119.85331656116583</v>
      </c>
      <c r="I74" s="105">
        <v>9.1622536555935703</v>
      </c>
    </row>
    <row r="75" spans="4:30">
      <c r="E75" s="105"/>
      <c r="F75" s="105"/>
    </row>
    <row r="77" spans="4:30">
      <c r="D77" s="141" t="s">
        <v>454</v>
      </c>
      <c r="E77" s="7" t="s">
        <v>455</v>
      </c>
    </row>
    <row r="78" spans="4:30">
      <c r="E78" s="194" t="s">
        <v>462</v>
      </c>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row>
    <row r="79" spans="4:30">
      <c r="D79" s="146" t="s">
        <v>524</v>
      </c>
      <c r="E79">
        <v>2025</v>
      </c>
      <c r="F79">
        <v>2026</v>
      </c>
      <c r="G79">
        <v>2027</v>
      </c>
      <c r="H79">
        <v>2028</v>
      </c>
      <c r="I79">
        <v>2029</v>
      </c>
      <c r="J79">
        <v>2030</v>
      </c>
      <c r="K79">
        <v>2031</v>
      </c>
      <c r="L79">
        <v>2032</v>
      </c>
      <c r="M79">
        <v>2033</v>
      </c>
      <c r="N79">
        <v>2034</v>
      </c>
      <c r="O79">
        <v>2035</v>
      </c>
      <c r="P79">
        <v>2036</v>
      </c>
      <c r="Q79">
        <v>2037</v>
      </c>
      <c r="R79">
        <v>2038</v>
      </c>
      <c r="S79">
        <v>2039</v>
      </c>
      <c r="T79">
        <v>2040</v>
      </c>
      <c r="U79">
        <v>2041</v>
      </c>
      <c r="V79">
        <v>2042</v>
      </c>
      <c r="W79">
        <v>2043</v>
      </c>
      <c r="X79">
        <v>2044</v>
      </c>
      <c r="Y79">
        <v>2045</v>
      </c>
      <c r="Z79">
        <v>2046</v>
      </c>
      <c r="AA79">
        <v>2047</v>
      </c>
      <c r="AB79">
        <v>2048</v>
      </c>
      <c r="AC79">
        <v>2049</v>
      </c>
      <c r="AD79">
        <v>2050</v>
      </c>
    </row>
    <row r="80" spans="4:30">
      <c r="D80" t="s">
        <v>486</v>
      </c>
      <c r="E80" s="139">
        <f>'BaU Model'!M23/1000</f>
        <v>190.00844456000004</v>
      </c>
      <c r="F80" s="139">
        <f>'BaU Model'!N23/1000</f>
        <v>475.55833633279997</v>
      </c>
      <c r="G80" s="139">
        <f>'BaU Model'!O23/1000</f>
        <v>515.65150088976202</v>
      </c>
      <c r="H80" s="139">
        <f>'BaU Model'!P23/1000</f>
        <v>515.65150088976202</v>
      </c>
      <c r="I80" s="139">
        <f>'BaU Model'!Q23/1000</f>
        <v>605.80650088976211</v>
      </c>
      <c r="J80" s="139">
        <f>'BaU Model'!R23/1000</f>
        <v>605.80650088976211</v>
      </c>
      <c r="K80" s="139">
        <f>'BaU Model'!S23/1000</f>
        <v>720.13156418090125</v>
      </c>
      <c r="L80" s="139">
        <f>'BaU Model'!T23/1000</f>
        <v>720.13156418090125</v>
      </c>
      <c r="M80" s="139">
        <f>'BaU Model'!U23/1000</f>
        <v>720.13156418090125</v>
      </c>
      <c r="N80" s="139">
        <f>'BaU Model'!V23/1000</f>
        <v>720.13156418090125</v>
      </c>
      <c r="O80" s="139">
        <f>'BaU Model'!W23/1000</f>
        <v>720.13156418090125</v>
      </c>
      <c r="P80" s="139">
        <f>'BaU Model'!X23/1000</f>
        <v>720.13156418090125</v>
      </c>
      <c r="Q80" s="139">
        <f>'BaU Model'!Y23/1000</f>
        <v>720.13156418090125</v>
      </c>
      <c r="R80" s="139">
        <f>'BaU Model'!Z23/1000</f>
        <v>720.13156418090125</v>
      </c>
      <c r="S80" s="139">
        <f>'BaU Model'!AA23/1000</f>
        <v>720.13156418090125</v>
      </c>
      <c r="T80" s="139">
        <f>'BaU Model'!AB23/1000</f>
        <v>720.13156418090125</v>
      </c>
      <c r="U80" s="139">
        <f>'BaU Model'!AC23/1000</f>
        <v>720.13156418090125</v>
      </c>
      <c r="V80" s="139">
        <f>'BaU Model'!AD23/1000</f>
        <v>720.13156418090125</v>
      </c>
      <c r="W80" s="139">
        <f>'BaU Model'!AE23/1000</f>
        <v>720.13156418090125</v>
      </c>
      <c r="X80" s="139">
        <f>'BaU Model'!AF23/1000</f>
        <v>720.13156418090125</v>
      </c>
      <c r="Y80" s="139">
        <f>'BaU Model'!AG23/1000</f>
        <v>720.13156418090125</v>
      </c>
      <c r="Z80" s="139">
        <f>'BaU Model'!AH23/1000</f>
        <v>720.13156418090125</v>
      </c>
      <c r="AA80" s="139">
        <f>'BaU Model'!AI23/1000</f>
        <v>720.13156418090125</v>
      </c>
      <c r="AB80" s="139">
        <f>'BaU Model'!AJ23/1000</f>
        <v>720.13156418090125</v>
      </c>
      <c r="AC80" s="139">
        <f>'BaU Model'!AK23/1000</f>
        <v>720.13156418090125</v>
      </c>
      <c r="AD80" s="139">
        <f>'BaU Model'!AL23/1000</f>
        <v>720.13156418090125</v>
      </c>
    </row>
    <row r="81" spans="4:30">
      <c r="D81" s="7" t="s">
        <v>487</v>
      </c>
      <c r="E81" s="139">
        <f>'BaU Model'!M24/1000</f>
        <v>133.00591119200004</v>
      </c>
      <c r="F81" s="139">
        <f>'BaU Model'!N24/1000</f>
        <v>237.77916816639998</v>
      </c>
      <c r="G81" s="139">
        <f>'BaU Model'!O24/1000</f>
        <v>0</v>
      </c>
      <c r="H81" s="139">
        <f>'BaU Model'!P24/1000</f>
        <v>0</v>
      </c>
      <c r="I81" s="139">
        <f>'BaU Model'!Q24/1000</f>
        <v>0</v>
      </c>
      <c r="J81" s="139">
        <f>'BaU Model'!R24/1000</f>
        <v>0</v>
      </c>
      <c r="K81" s="139">
        <f>'BaU Model'!S24/1000</f>
        <v>79.77556418090127</v>
      </c>
      <c r="L81" s="139">
        <f>'BaU Model'!T24/1000</f>
        <v>79.77556418090127</v>
      </c>
      <c r="M81" s="139">
        <f>'BaU Model'!U24/1000</f>
        <v>79.77556418090127</v>
      </c>
      <c r="N81" s="139">
        <f>'BaU Model'!V24/1000</f>
        <v>79.77556418090127</v>
      </c>
      <c r="O81" s="139">
        <f>'BaU Model'!W24/1000</f>
        <v>79.77556418090127</v>
      </c>
      <c r="P81" s="139">
        <f>'BaU Model'!X24/1000</f>
        <v>79.77556418090127</v>
      </c>
      <c r="Q81" s="139">
        <f>'BaU Model'!Y24/1000</f>
        <v>79.77556418090127</v>
      </c>
      <c r="R81" s="139">
        <f>'BaU Model'!Z24/1000</f>
        <v>79.77556418090127</v>
      </c>
      <c r="S81" s="139">
        <f>'BaU Model'!AA24/1000</f>
        <v>79.77556418090127</v>
      </c>
      <c r="T81" s="139">
        <f>'BaU Model'!AB24/1000</f>
        <v>79.77556418090127</v>
      </c>
      <c r="U81" s="139">
        <f>'BaU Model'!AC24/1000</f>
        <v>79.77556418090127</v>
      </c>
      <c r="V81" s="139">
        <f>'BaU Model'!AD24/1000</f>
        <v>79.77556418090127</v>
      </c>
      <c r="W81" s="139">
        <f>'BaU Model'!AE24/1000</f>
        <v>79.77556418090127</v>
      </c>
      <c r="X81" s="139">
        <f>'BaU Model'!AF24/1000</f>
        <v>79.77556418090127</v>
      </c>
      <c r="Y81" s="139">
        <f>'BaU Model'!AG24/1000</f>
        <v>79.77556418090127</v>
      </c>
      <c r="Z81" s="139">
        <f>'BaU Model'!AH24/1000</f>
        <v>79.77556418090127</v>
      </c>
      <c r="AA81" s="139">
        <f>'BaU Model'!AI24/1000</f>
        <v>79.77556418090127</v>
      </c>
      <c r="AB81" s="139">
        <f>'BaU Model'!AJ24/1000</f>
        <v>79.77556418090127</v>
      </c>
      <c r="AC81" s="139">
        <f>'BaU Model'!AK24/1000</f>
        <v>79.77556418090127</v>
      </c>
      <c r="AD81" s="139">
        <f>'BaU Model'!AL24/1000</f>
        <v>79.77556418090127</v>
      </c>
    </row>
    <row r="82" spans="4:30">
      <c r="D82" s="7" t="s">
        <v>488</v>
      </c>
      <c r="E82" s="139">
        <f>'BaU Model'!M25/1000</f>
        <v>57.002533368000009</v>
      </c>
      <c r="F82" s="139">
        <f>'BaU Model'!N25/1000</f>
        <v>237.77916816639998</v>
      </c>
      <c r="G82" s="139">
        <f>'BaU Model'!O25/1000</f>
        <v>515.65150088976202</v>
      </c>
      <c r="H82" s="139">
        <f>'BaU Model'!P25/1000</f>
        <v>515.65150088976202</v>
      </c>
      <c r="I82" s="139">
        <f>'BaU Model'!Q25/1000</f>
        <v>605.80650088976211</v>
      </c>
      <c r="J82" s="139">
        <f>'BaU Model'!R25/1000</f>
        <v>605.80650088976211</v>
      </c>
      <c r="K82" s="139">
        <f>'BaU Model'!S25/1000</f>
        <v>640.35599999999999</v>
      </c>
      <c r="L82" s="139">
        <f>'BaU Model'!T25/1000</f>
        <v>640.35599999999999</v>
      </c>
      <c r="M82" s="139">
        <f>'BaU Model'!U25/1000</f>
        <v>640.35599999999999</v>
      </c>
      <c r="N82" s="139">
        <f>'BaU Model'!V25/1000</f>
        <v>640.35599999999999</v>
      </c>
      <c r="O82" s="139">
        <f>'BaU Model'!W25/1000</f>
        <v>640.35599999999999</v>
      </c>
      <c r="P82" s="139">
        <f>'BaU Model'!X25/1000</f>
        <v>640.35599999999999</v>
      </c>
      <c r="Q82" s="139">
        <f>'BaU Model'!Y25/1000</f>
        <v>640.35599999999999</v>
      </c>
      <c r="R82" s="139">
        <f>'BaU Model'!Z25/1000</f>
        <v>640.35599999999999</v>
      </c>
      <c r="S82" s="139">
        <f>'BaU Model'!AA25/1000</f>
        <v>640.35599999999999</v>
      </c>
      <c r="T82" s="139">
        <f>'BaU Model'!AB25/1000</f>
        <v>640.35599999999999</v>
      </c>
      <c r="U82" s="139">
        <f>'BaU Model'!AC25/1000</f>
        <v>640.35599999999999</v>
      </c>
      <c r="V82" s="139">
        <f>'BaU Model'!AD25/1000</f>
        <v>640.35599999999999</v>
      </c>
      <c r="W82" s="139">
        <f>'BaU Model'!AE25/1000</f>
        <v>640.35599999999999</v>
      </c>
      <c r="X82" s="139">
        <f>'BaU Model'!AF25/1000</f>
        <v>640.35599999999999</v>
      </c>
      <c r="Y82" s="139">
        <f>'BaU Model'!AG25/1000</f>
        <v>640.35599999999999</v>
      </c>
      <c r="Z82" s="139">
        <f>'BaU Model'!AH25/1000</f>
        <v>640.35599999999999</v>
      </c>
      <c r="AA82" s="139">
        <f>'BaU Model'!AI25/1000</f>
        <v>640.35599999999999</v>
      </c>
      <c r="AB82" s="139">
        <f>'BaU Model'!AJ25/1000</f>
        <v>640.35599999999999</v>
      </c>
      <c r="AC82" s="139">
        <f>'BaU Model'!AK25/1000</f>
        <v>640.35599999999999</v>
      </c>
      <c r="AD82" s="139">
        <f>'BaU Model'!AL25/1000</f>
        <v>640.35599999999999</v>
      </c>
    </row>
    <row r="83" spans="4:30">
      <c r="D83" s="7" t="s">
        <v>434</v>
      </c>
      <c r="E83">
        <f>'BaU Model'!K26</f>
        <v>0</v>
      </c>
      <c r="F83">
        <f>'BaU Model'!L26</f>
        <v>0</v>
      </c>
      <c r="G83">
        <f>'BaU Model'!M26</f>
        <v>0</v>
      </c>
      <c r="H83">
        <f>'BaU Model'!N26</f>
        <v>0</v>
      </c>
      <c r="I83">
        <f>'BaU Model'!O26</f>
        <v>0</v>
      </c>
      <c r="J83">
        <f>'BaU Model'!P26</f>
        <v>0</v>
      </c>
      <c r="K83">
        <f>'BaU Model'!Q26</f>
        <v>0</v>
      </c>
      <c r="L83">
        <f>'BaU Model'!R26</f>
        <v>0</v>
      </c>
      <c r="M83">
        <f>'BaU Model'!S26</f>
        <v>0</v>
      </c>
      <c r="N83">
        <f>'BaU Model'!T26</f>
        <v>0</v>
      </c>
      <c r="O83">
        <f>'BaU Model'!U26</f>
        <v>0</v>
      </c>
      <c r="P83">
        <f>'BaU Model'!V26</f>
        <v>0</v>
      </c>
      <c r="Q83">
        <f>'BaU Model'!W26</f>
        <v>0</v>
      </c>
      <c r="R83">
        <f>'BaU Model'!X26</f>
        <v>0</v>
      </c>
      <c r="S83">
        <f>'BaU Model'!Y26</f>
        <v>0</v>
      </c>
      <c r="T83">
        <f>'BaU Model'!Z26</f>
        <v>0</v>
      </c>
      <c r="U83">
        <f>'BaU Model'!AA26</f>
        <v>0</v>
      </c>
      <c r="V83">
        <f>'BaU Model'!AB26</f>
        <v>0</v>
      </c>
      <c r="W83">
        <f>'BaU Model'!AC26</f>
        <v>0</v>
      </c>
      <c r="X83">
        <f>'BaU Model'!AD26</f>
        <v>0</v>
      </c>
      <c r="Y83">
        <f>'BaU Model'!AE26</f>
        <v>0</v>
      </c>
      <c r="Z83">
        <f>'BaU Model'!AF26</f>
        <v>0</v>
      </c>
      <c r="AA83">
        <f>'BaU Model'!AG26</f>
        <v>0</v>
      </c>
      <c r="AB83">
        <f>'BaU Model'!AH26</f>
        <v>0</v>
      </c>
      <c r="AC83">
        <f>'BaU Model'!AI26</f>
        <v>0</v>
      </c>
      <c r="AD83">
        <f>'BaU Model'!AJ26</f>
        <v>0</v>
      </c>
    </row>
    <row r="84" spans="4:30">
      <c r="D84" s="7" t="s">
        <v>433</v>
      </c>
      <c r="E84">
        <f>'BaU Model'!K27</f>
        <v>0</v>
      </c>
      <c r="F84">
        <f>'BaU Model'!L27</f>
        <v>0</v>
      </c>
      <c r="G84">
        <f>'BaU Model'!M27</f>
        <v>0</v>
      </c>
      <c r="H84">
        <f>'BaU Model'!N27</f>
        <v>0</v>
      </c>
      <c r="I84">
        <f>'BaU Model'!O27</f>
        <v>0</v>
      </c>
      <c r="J84">
        <f>'BaU Model'!P27</f>
        <v>0</v>
      </c>
      <c r="K84">
        <f>'BaU Model'!Q27</f>
        <v>0</v>
      </c>
      <c r="L84">
        <f>'BaU Model'!R27</f>
        <v>0</v>
      </c>
      <c r="M84">
        <f>'BaU Model'!S27</f>
        <v>0</v>
      </c>
      <c r="N84">
        <f>'BaU Model'!T27</f>
        <v>0</v>
      </c>
      <c r="O84">
        <f>'BaU Model'!U27</f>
        <v>0</v>
      </c>
      <c r="P84">
        <f>'BaU Model'!V27</f>
        <v>0</v>
      </c>
      <c r="Q84">
        <f>'BaU Model'!W27</f>
        <v>0</v>
      </c>
      <c r="R84">
        <f>'BaU Model'!X27</f>
        <v>0</v>
      </c>
      <c r="S84">
        <f>'BaU Model'!Y27</f>
        <v>0</v>
      </c>
      <c r="T84">
        <f>'BaU Model'!Z27</f>
        <v>0</v>
      </c>
      <c r="U84">
        <f>'BaU Model'!AA27</f>
        <v>0</v>
      </c>
      <c r="V84">
        <f>'BaU Model'!AB27</f>
        <v>0</v>
      </c>
      <c r="W84">
        <f>'BaU Model'!AC27</f>
        <v>0</v>
      </c>
      <c r="X84">
        <f>'BaU Model'!AD27</f>
        <v>0</v>
      </c>
      <c r="Y84">
        <f>'BaU Model'!AE27</f>
        <v>0</v>
      </c>
      <c r="Z84">
        <f>'BaU Model'!AF27</f>
        <v>0</v>
      </c>
      <c r="AA84">
        <f>'BaU Model'!AG27</f>
        <v>0</v>
      </c>
      <c r="AB84">
        <f>'BaU Model'!AH27</f>
        <v>0</v>
      </c>
      <c r="AC84">
        <f>'BaU Model'!AI27</f>
        <v>0</v>
      </c>
      <c r="AD84">
        <f>'BaU Model'!AJ27</f>
        <v>0</v>
      </c>
    </row>
    <row r="85" spans="4:30">
      <c r="D85" s="7" t="s">
        <v>449</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row>
    <row r="86" spans="4:30">
      <c r="D86" s="7" t="s">
        <v>147</v>
      </c>
      <c r="E86" s="139">
        <f>'BaU Model'!M15/1000</f>
        <v>376.68</v>
      </c>
      <c r="F86" s="139">
        <f>'BaU Model'!N15/1000</f>
        <v>753.36</v>
      </c>
      <c r="G86" s="139">
        <f>'BaU Model'!O15/1000</f>
        <v>753.36</v>
      </c>
      <c r="H86" s="139">
        <f>'BaU Model'!P15/1000</f>
        <v>753.36</v>
      </c>
      <c r="I86" s="139">
        <f>'BaU Model'!Q15/1000</f>
        <v>753.36</v>
      </c>
      <c r="J86" s="139">
        <f>'BaU Model'!R15/1000</f>
        <v>753.36</v>
      </c>
      <c r="K86" s="139">
        <f>'BaU Model'!S15/1000</f>
        <v>753.36</v>
      </c>
      <c r="L86" s="139">
        <f>'BaU Model'!T15/1000</f>
        <v>753.36</v>
      </c>
      <c r="M86" s="139">
        <f>'BaU Model'!U15/1000</f>
        <v>753.36</v>
      </c>
      <c r="N86" s="139">
        <f>'BaU Model'!V15/1000</f>
        <v>753.36</v>
      </c>
      <c r="O86" s="139">
        <f>'BaU Model'!W15/1000</f>
        <v>753.36</v>
      </c>
      <c r="P86" s="139">
        <f>'BaU Model'!X15/1000</f>
        <v>753.36</v>
      </c>
      <c r="Q86" s="139">
        <f>'BaU Model'!Y15/1000</f>
        <v>753.36</v>
      </c>
      <c r="R86" s="139">
        <f>'BaU Model'!Z15/1000</f>
        <v>753.36</v>
      </c>
      <c r="S86" s="139">
        <f>'BaU Model'!AA15/1000</f>
        <v>753.36</v>
      </c>
      <c r="T86" s="139">
        <f>'BaU Model'!AB15/1000</f>
        <v>753.36</v>
      </c>
      <c r="U86" s="139">
        <f>'BaU Model'!AC15/1000</f>
        <v>753.36</v>
      </c>
      <c r="V86" s="139">
        <f>'BaU Model'!AD15/1000</f>
        <v>753.36</v>
      </c>
      <c r="W86" s="139">
        <f>'BaU Model'!AE15/1000</f>
        <v>753.36</v>
      </c>
      <c r="X86" s="139">
        <f>'BaU Model'!AF15/1000</f>
        <v>753.36</v>
      </c>
      <c r="Y86" s="139">
        <f>'BaU Model'!AG15/1000</f>
        <v>753.36</v>
      </c>
      <c r="Z86" s="139">
        <f>'BaU Model'!AH15/1000</f>
        <v>753.36</v>
      </c>
      <c r="AA86" s="139">
        <f>'BaU Model'!AI15/1000</f>
        <v>753.36</v>
      </c>
      <c r="AB86" s="139">
        <f>'BaU Model'!AJ15/1000</f>
        <v>753.36</v>
      </c>
      <c r="AC86" s="139">
        <f>'BaU Model'!AK15/1000</f>
        <v>753.36</v>
      </c>
      <c r="AD86" s="139">
        <f>'BaU Model'!AL15/1000</f>
        <v>753.36</v>
      </c>
    </row>
    <row r="87" spans="4:30">
      <c r="D87" s="146" t="s">
        <v>525</v>
      </c>
      <c r="E87">
        <v>2025</v>
      </c>
      <c r="F87">
        <v>2026</v>
      </c>
      <c r="G87">
        <v>2027</v>
      </c>
      <c r="H87">
        <v>2028</v>
      </c>
      <c r="I87">
        <v>2029</v>
      </c>
      <c r="J87">
        <v>2030</v>
      </c>
      <c r="K87">
        <v>2031</v>
      </c>
      <c r="L87">
        <v>2032</v>
      </c>
      <c r="M87">
        <v>2033</v>
      </c>
      <c r="N87">
        <v>2034</v>
      </c>
      <c r="O87">
        <v>2035</v>
      </c>
      <c r="P87">
        <v>2036</v>
      </c>
      <c r="Q87">
        <v>2037</v>
      </c>
      <c r="R87">
        <v>2038</v>
      </c>
      <c r="S87">
        <v>2039</v>
      </c>
      <c r="T87">
        <v>2040</v>
      </c>
      <c r="U87">
        <v>2041</v>
      </c>
      <c r="V87">
        <v>2042</v>
      </c>
      <c r="W87">
        <v>2043</v>
      </c>
      <c r="X87">
        <v>2044</v>
      </c>
      <c r="Y87">
        <v>2045</v>
      </c>
      <c r="Z87">
        <v>2046</v>
      </c>
      <c r="AA87">
        <v>2047</v>
      </c>
      <c r="AB87">
        <v>2048</v>
      </c>
      <c r="AC87">
        <v>2049</v>
      </c>
      <c r="AD87">
        <v>2050</v>
      </c>
    </row>
    <row r="88" spans="4:30">
      <c r="D88" t="s">
        <v>486</v>
      </c>
      <c r="E88" s="139">
        <f>'BaU Model'!M29</f>
        <v>520.57108098630147</v>
      </c>
      <c r="F88" s="139">
        <f>'BaU Model'!N29</f>
        <v>1302.8995515967122</v>
      </c>
      <c r="G88" s="139">
        <f>'BaU Model'!O29</f>
        <v>1412.7438380541428</v>
      </c>
      <c r="H88" s="139">
        <f>'BaU Model'!P29</f>
        <v>1412.7438380541428</v>
      </c>
      <c r="I88" s="139">
        <f>'BaU Model'!Q29</f>
        <v>1659.7438380541428</v>
      </c>
      <c r="J88" s="139">
        <f>'BaU Model'!R29</f>
        <v>1659.7438380541428</v>
      </c>
      <c r="K88" s="139">
        <f>'BaU Model'!S29</f>
        <v>1972.9631895367158</v>
      </c>
      <c r="L88" s="139">
        <f>'BaU Model'!T29</f>
        <v>1972.9631895367158</v>
      </c>
      <c r="M88" s="139">
        <f>'BaU Model'!U29</f>
        <v>1972.9631895367158</v>
      </c>
      <c r="N88" s="139">
        <f>'BaU Model'!V29</f>
        <v>1972.9631895367158</v>
      </c>
      <c r="O88" s="139">
        <f>'BaU Model'!W29</f>
        <v>1972.9631895367158</v>
      </c>
      <c r="P88" s="139">
        <f>'BaU Model'!X29</f>
        <v>1972.9631895367158</v>
      </c>
      <c r="Q88" s="139">
        <f>'BaU Model'!Y29</f>
        <v>1972.9631895367158</v>
      </c>
      <c r="R88" s="139">
        <f>'BaU Model'!Z29</f>
        <v>1972.9631895367158</v>
      </c>
      <c r="S88" s="139">
        <f>'BaU Model'!AA29</f>
        <v>1972.9631895367158</v>
      </c>
      <c r="T88" s="139">
        <f>'BaU Model'!AB29</f>
        <v>1972.9631895367158</v>
      </c>
      <c r="U88" s="139">
        <f>'BaU Model'!AC29</f>
        <v>1972.9631895367158</v>
      </c>
      <c r="V88" s="139">
        <f>'BaU Model'!AD29</f>
        <v>1972.9631895367158</v>
      </c>
      <c r="W88" s="139">
        <f>'BaU Model'!AE29</f>
        <v>1972.9631895367158</v>
      </c>
      <c r="X88" s="139">
        <f>'BaU Model'!AF29</f>
        <v>1972.9631895367158</v>
      </c>
      <c r="Y88" s="139">
        <f>'BaU Model'!AG29</f>
        <v>1972.9631895367158</v>
      </c>
      <c r="Z88" s="139">
        <f>'BaU Model'!AH29</f>
        <v>1972.9631895367158</v>
      </c>
      <c r="AA88" s="139">
        <f>'BaU Model'!AI29</f>
        <v>1972.9631895367158</v>
      </c>
      <c r="AB88" s="139">
        <f>'BaU Model'!AJ29</f>
        <v>1972.9631895367158</v>
      </c>
      <c r="AC88" s="139">
        <f>'BaU Model'!AK29</f>
        <v>1972.9631895367158</v>
      </c>
      <c r="AD88" s="139">
        <f>'BaU Model'!AL29</f>
        <v>1972.9631895367158</v>
      </c>
    </row>
    <row r="89" spans="4:30">
      <c r="D89" s="7" t="s">
        <v>487</v>
      </c>
      <c r="E89" s="139">
        <f>'BaU Model'!M30</f>
        <v>364.39975669041104</v>
      </c>
      <c r="F89" s="139">
        <f>'BaU Model'!N30</f>
        <v>651.44977579835609</v>
      </c>
      <c r="G89" s="139">
        <f>'BaU Model'!O30</f>
        <v>0</v>
      </c>
      <c r="H89" s="139">
        <f>'BaU Model'!P30</f>
        <v>0</v>
      </c>
      <c r="I89" s="139">
        <f>'BaU Model'!Q30</f>
        <v>0</v>
      </c>
      <c r="J89" s="139">
        <f>'BaU Model'!R30</f>
        <v>0</v>
      </c>
      <c r="K89" s="139">
        <f>'BaU Model'!S30</f>
        <v>218.56318953671581</v>
      </c>
      <c r="L89" s="139">
        <f>'BaU Model'!T30</f>
        <v>218.56318953671581</v>
      </c>
      <c r="M89" s="139">
        <f>'BaU Model'!U30</f>
        <v>218.56318953671581</v>
      </c>
      <c r="N89" s="139">
        <f>'BaU Model'!V30</f>
        <v>218.56318953671581</v>
      </c>
      <c r="O89" s="139">
        <f>'BaU Model'!W30</f>
        <v>218.56318953671581</v>
      </c>
      <c r="P89" s="139">
        <f>'BaU Model'!X30</f>
        <v>218.56318953671581</v>
      </c>
      <c r="Q89" s="139">
        <f>'BaU Model'!Y30</f>
        <v>218.56318953671581</v>
      </c>
      <c r="R89" s="139">
        <f>'BaU Model'!Z30</f>
        <v>218.56318953671581</v>
      </c>
      <c r="S89" s="139">
        <f>'BaU Model'!AA30</f>
        <v>218.56318953671581</v>
      </c>
      <c r="T89" s="139">
        <f>'BaU Model'!AB30</f>
        <v>218.56318953671581</v>
      </c>
      <c r="U89" s="139">
        <f>'BaU Model'!AC30</f>
        <v>218.56318953671581</v>
      </c>
      <c r="V89" s="139">
        <f>'BaU Model'!AD30</f>
        <v>218.56318953671581</v>
      </c>
      <c r="W89" s="139">
        <f>'BaU Model'!AE30</f>
        <v>218.56318953671581</v>
      </c>
      <c r="X89" s="139">
        <f>'BaU Model'!AF30</f>
        <v>218.56318953671581</v>
      </c>
      <c r="Y89" s="139">
        <f>'BaU Model'!AG30</f>
        <v>218.56318953671581</v>
      </c>
      <c r="Z89" s="139">
        <f>'BaU Model'!AH30</f>
        <v>218.56318953671581</v>
      </c>
      <c r="AA89" s="139">
        <f>'BaU Model'!AI30</f>
        <v>218.56318953671581</v>
      </c>
      <c r="AB89" s="139">
        <f>'BaU Model'!AJ30</f>
        <v>218.56318953671581</v>
      </c>
      <c r="AC89" s="139">
        <f>'BaU Model'!AK30</f>
        <v>218.56318953671581</v>
      </c>
      <c r="AD89" s="139">
        <f>'BaU Model'!AL30</f>
        <v>218.56318953671581</v>
      </c>
    </row>
    <row r="90" spans="4:30">
      <c r="D90" s="7" t="s">
        <v>488</v>
      </c>
      <c r="E90" s="139">
        <f>'BaU Model'!M31</f>
        <v>156.17132429589043</v>
      </c>
      <c r="F90" s="139">
        <f>'BaU Model'!N31</f>
        <v>651.44977579835609</v>
      </c>
      <c r="G90" s="139">
        <f>'BaU Model'!O31</f>
        <v>1412.7438380541428</v>
      </c>
      <c r="H90" s="139">
        <f>'BaU Model'!P31</f>
        <v>1408.8838822124646</v>
      </c>
      <c r="I90" s="139">
        <f>'BaU Model'!Q31</f>
        <v>1659.7438380541428</v>
      </c>
      <c r="J90" s="139">
        <f>'BaU Model'!R31</f>
        <v>1659.7438380541428</v>
      </c>
      <c r="K90" s="139">
        <f>'BaU Model'!S31</f>
        <v>1754.4</v>
      </c>
      <c r="L90" s="139">
        <f>'BaU Model'!T31</f>
        <v>1749.6065573770493</v>
      </c>
      <c r="M90" s="139">
        <f>'BaU Model'!U31</f>
        <v>1754.4</v>
      </c>
      <c r="N90" s="139">
        <f>'BaU Model'!V31</f>
        <v>1754.4</v>
      </c>
      <c r="O90" s="139">
        <f>'BaU Model'!W31</f>
        <v>1754.4</v>
      </c>
      <c r="P90" s="139">
        <f>'BaU Model'!X31</f>
        <v>1749.6065573770493</v>
      </c>
      <c r="Q90" s="139">
        <f>'BaU Model'!Y31</f>
        <v>1754.4</v>
      </c>
      <c r="R90" s="139">
        <f>'BaU Model'!Z31</f>
        <v>1754.4</v>
      </c>
      <c r="S90" s="139">
        <f>'BaU Model'!AA31</f>
        <v>1754.4</v>
      </c>
      <c r="T90" s="139">
        <f>'BaU Model'!AB31</f>
        <v>1749.6065573770493</v>
      </c>
      <c r="U90" s="139">
        <f>'BaU Model'!AC31</f>
        <v>1754.4</v>
      </c>
      <c r="V90" s="139">
        <f>'BaU Model'!AD31</f>
        <v>1754.4</v>
      </c>
      <c r="W90" s="139">
        <f>'BaU Model'!AE31</f>
        <v>1754.4</v>
      </c>
      <c r="X90" s="139">
        <f>'BaU Model'!AF31</f>
        <v>1749.6065573770493</v>
      </c>
      <c r="Y90" s="139">
        <f>'BaU Model'!AG31</f>
        <v>1754.4</v>
      </c>
      <c r="Z90" s="139">
        <f>'BaU Model'!AH31</f>
        <v>1754.4</v>
      </c>
      <c r="AA90" s="139">
        <f>'BaU Model'!AI31</f>
        <v>1754.4</v>
      </c>
      <c r="AB90" s="139">
        <f>'BaU Model'!AJ31</f>
        <v>1749.6065573770493</v>
      </c>
      <c r="AC90" s="139">
        <f>'BaU Model'!AK31</f>
        <v>1754.4</v>
      </c>
      <c r="AD90" s="139">
        <f>'BaU Model'!AL31</f>
        <v>1754.4</v>
      </c>
    </row>
    <row r="91" spans="4:30">
      <c r="D91" s="7" t="s">
        <v>147</v>
      </c>
      <c r="E91" s="139">
        <f>'BaU Model'!M15/'BaU Model'!M11</f>
        <v>1032</v>
      </c>
      <c r="F91" s="139">
        <f>'BaU Model'!N15/'BaU Model'!N11</f>
        <v>2064</v>
      </c>
      <c r="G91" s="139">
        <f>'BaU Model'!O15/'BaU Model'!O11</f>
        <v>2064</v>
      </c>
      <c r="H91" s="139">
        <f>'BaU Model'!P15/'BaU Model'!P11</f>
        <v>2058.3606557377047</v>
      </c>
      <c r="I91" s="139">
        <f>'BaU Model'!Q15/'BaU Model'!Q11</f>
        <v>2064</v>
      </c>
      <c r="J91" s="139">
        <f>'BaU Model'!R15/'BaU Model'!R11</f>
        <v>2064</v>
      </c>
      <c r="K91" s="139">
        <f>'BaU Model'!S15/'BaU Model'!S11</f>
        <v>2064</v>
      </c>
      <c r="L91" s="139">
        <f>'BaU Model'!T15/'BaU Model'!T11</f>
        <v>2058.3606557377047</v>
      </c>
      <c r="M91" s="139">
        <f>'BaU Model'!U15/'BaU Model'!U11</f>
        <v>2064</v>
      </c>
      <c r="N91" s="139">
        <f>'BaU Model'!V15/'BaU Model'!V11</f>
        <v>2064</v>
      </c>
      <c r="O91" s="139">
        <f>'BaU Model'!W15/'BaU Model'!W11</f>
        <v>2064</v>
      </c>
      <c r="P91" s="139">
        <f>'BaU Model'!X15/'BaU Model'!X11</f>
        <v>2058.3606557377047</v>
      </c>
      <c r="Q91" s="139">
        <f>'BaU Model'!Y15/'BaU Model'!Y11</f>
        <v>2064</v>
      </c>
      <c r="R91" s="139">
        <f>'BaU Model'!Z15/'BaU Model'!Z11</f>
        <v>2064</v>
      </c>
      <c r="S91" s="139">
        <f>'BaU Model'!AA15/'BaU Model'!AA11</f>
        <v>2064</v>
      </c>
      <c r="T91" s="139">
        <f>'BaU Model'!AB15/'BaU Model'!AB11</f>
        <v>2058.3606557377047</v>
      </c>
      <c r="U91" s="139">
        <f>'BaU Model'!AC15/'BaU Model'!AC11</f>
        <v>2064</v>
      </c>
      <c r="V91" s="139">
        <f>'BaU Model'!AD15/'BaU Model'!AD11</f>
        <v>2064</v>
      </c>
      <c r="W91" s="139">
        <f>'BaU Model'!AE15/'BaU Model'!AE11</f>
        <v>2064</v>
      </c>
      <c r="X91" s="139">
        <f>'BaU Model'!AF15/'BaU Model'!AF11</f>
        <v>2058.3606557377047</v>
      </c>
      <c r="Y91" s="139">
        <f>'BaU Model'!AG15/'BaU Model'!AG11</f>
        <v>2064</v>
      </c>
      <c r="Z91" s="139">
        <f>'BaU Model'!AH15/'BaU Model'!AH11</f>
        <v>2064</v>
      </c>
      <c r="AA91" s="139">
        <f>'BaU Model'!AI15/'BaU Model'!AI11</f>
        <v>2064</v>
      </c>
      <c r="AB91" s="139">
        <f>'BaU Model'!AJ15/'BaU Model'!AJ11</f>
        <v>2058.3606557377047</v>
      </c>
      <c r="AC91" s="139">
        <f>'BaU Model'!AK15/'BaU Model'!AK11</f>
        <v>2064</v>
      </c>
      <c r="AD91" s="139">
        <f>'BaU Model'!AL15/'BaU Model'!AL11</f>
        <v>2064</v>
      </c>
    </row>
    <row r="92" spans="4:30">
      <c r="E92" s="194" t="s">
        <v>463</v>
      </c>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row>
    <row r="93" spans="4:30">
      <c r="E93">
        <v>2025</v>
      </c>
      <c r="F93">
        <v>2026</v>
      </c>
      <c r="G93">
        <v>2027</v>
      </c>
      <c r="H93">
        <v>2028</v>
      </c>
      <c r="I93">
        <v>2029</v>
      </c>
      <c r="J93">
        <v>2030</v>
      </c>
      <c r="K93">
        <v>2031</v>
      </c>
      <c r="L93">
        <v>2032</v>
      </c>
      <c r="M93">
        <v>2033</v>
      </c>
      <c r="N93">
        <v>2034</v>
      </c>
      <c r="O93">
        <v>2035</v>
      </c>
      <c r="P93">
        <v>2036</v>
      </c>
      <c r="Q93">
        <v>2037</v>
      </c>
      <c r="R93">
        <v>2038</v>
      </c>
      <c r="S93">
        <v>2039</v>
      </c>
      <c r="T93">
        <v>2040</v>
      </c>
      <c r="U93">
        <v>2041</v>
      </c>
      <c r="V93">
        <v>2042</v>
      </c>
      <c r="W93">
        <v>2043</v>
      </c>
      <c r="X93">
        <v>2044</v>
      </c>
      <c r="Y93">
        <v>2045</v>
      </c>
      <c r="Z93">
        <v>2046</v>
      </c>
      <c r="AA93">
        <v>2047</v>
      </c>
      <c r="AB93">
        <v>2048</v>
      </c>
      <c r="AC93">
        <v>2049</v>
      </c>
      <c r="AD93">
        <v>2050</v>
      </c>
    </row>
    <row r="94" spans="4:30">
      <c r="D94" s="7" t="s">
        <v>487</v>
      </c>
      <c r="E94" s="139">
        <f>'Strategic Model'!M32</f>
        <v>133005.91119200003</v>
      </c>
      <c r="F94" s="139">
        <f>'Strategic Model'!N32</f>
        <v>237779.16816639999</v>
      </c>
      <c r="G94" s="139">
        <f>'Strategic Model'!O32</f>
        <v>0</v>
      </c>
      <c r="H94" s="139">
        <f>'Strategic Model'!P32</f>
        <v>0</v>
      </c>
      <c r="I94" s="139">
        <f>'Strategic Model'!Q32</f>
        <v>0</v>
      </c>
      <c r="J94" s="139">
        <f>'Strategic Model'!R32</f>
        <v>0</v>
      </c>
      <c r="K94" s="139">
        <f>'Strategic Model'!S32</f>
        <v>5165.0390464292141</v>
      </c>
      <c r="L94" s="139">
        <f>'Strategic Model'!T32</f>
        <v>5165.0390464292141</v>
      </c>
      <c r="M94" s="139">
        <f>'Strategic Model'!U32</f>
        <v>5165.0390464292141</v>
      </c>
      <c r="N94" s="139">
        <f>'Strategic Model'!V32</f>
        <v>0</v>
      </c>
      <c r="O94" s="139">
        <f>'Strategic Model'!W32</f>
        <v>0</v>
      </c>
      <c r="P94" s="139">
        <f>'Strategic Model'!X32</f>
        <v>0</v>
      </c>
      <c r="Q94" s="139">
        <f>'Strategic Model'!Y32</f>
        <v>0</v>
      </c>
      <c r="R94" s="139">
        <f>'Strategic Model'!Z32</f>
        <v>0</v>
      </c>
      <c r="S94" s="139">
        <f>'Strategic Model'!AA32</f>
        <v>0</v>
      </c>
      <c r="T94" s="139">
        <f>'Strategic Model'!AB32</f>
        <v>0</v>
      </c>
      <c r="U94" s="139">
        <f>'Strategic Model'!AC32</f>
        <v>0</v>
      </c>
      <c r="V94" s="139">
        <f>'Strategic Model'!AD32</f>
        <v>0</v>
      </c>
      <c r="W94" s="139">
        <f>'Strategic Model'!AE32</f>
        <v>0</v>
      </c>
      <c r="X94" s="139">
        <f>'Strategic Model'!AF32</f>
        <v>0</v>
      </c>
      <c r="Y94" s="139">
        <f>'Strategic Model'!AG32</f>
        <v>0</v>
      </c>
      <c r="Z94" s="139">
        <f>'Strategic Model'!AH32</f>
        <v>0</v>
      </c>
      <c r="AA94" s="139">
        <f>'Strategic Model'!AI32</f>
        <v>0</v>
      </c>
      <c r="AB94" s="139">
        <f>'Strategic Model'!AJ32</f>
        <v>0</v>
      </c>
      <c r="AC94" s="139">
        <f>'Strategic Model'!AK32</f>
        <v>0</v>
      </c>
      <c r="AD94" s="139">
        <f>'Strategic Model'!AL32</f>
        <v>0</v>
      </c>
    </row>
    <row r="95" spans="4:30">
      <c r="D95" s="7" t="s">
        <v>488</v>
      </c>
      <c r="E95" s="139">
        <f>'Strategic Model'!M33</f>
        <v>57002.533368000011</v>
      </c>
      <c r="F95" s="139">
        <f>'Strategic Model'!N33</f>
        <v>237779.16816639999</v>
      </c>
      <c r="G95" s="139">
        <f>'Strategic Model'!O33</f>
        <v>474399.38081858115</v>
      </c>
      <c r="H95" s="139">
        <f>'Strategic Model'!P33</f>
        <v>474399.38081858115</v>
      </c>
      <c r="I95" s="139">
        <f>'Strategic Model'!Q33</f>
        <v>557341.98081858119</v>
      </c>
      <c r="J95" s="139">
        <f>'Strategic Model'!R33</f>
        <v>557341.98081858119</v>
      </c>
      <c r="K95" s="139">
        <f>'Strategic Model'!S33</f>
        <v>640356</v>
      </c>
      <c r="L95" s="139">
        <f>'Strategic Model'!T33</f>
        <v>640356</v>
      </c>
      <c r="M95" s="139">
        <f>'Strategic Model'!U33</f>
        <v>640356</v>
      </c>
      <c r="N95" s="139">
        <f>'Strategic Model'!V33</f>
        <v>412833.53904642921</v>
      </c>
      <c r="O95" s="139">
        <f>'Strategic Model'!W33</f>
        <v>412833.53904642921</v>
      </c>
      <c r="P95" s="139">
        <f>'Strategic Model'!X33</f>
        <v>412196.03904642921</v>
      </c>
      <c r="Q95" s="139">
        <f>'Strategic Model'!Y33</f>
        <v>412833.53904642921</v>
      </c>
      <c r="R95" s="139">
        <f>'Strategic Model'!Z33</f>
        <v>412833.53904642921</v>
      </c>
      <c r="S95" s="139">
        <f>'Strategic Model'!AA33</f>
        <v>412833.53904642921</v>
      </c>
      <c r="T95" s="139">
        <f>'Strategic Model'!AB33</f>
        <v>412196.03904642921</v>
      </c>
      <c r="U95" s="139">
        <f>'Strategic Model'!AC33</f>
        <v>412833.53904642921</v>
      </c>
      <c r="V95" s="139">
        <f>'Strategic Model'!AD33</f>
        <v>412833.53904642921</v>
      </c>
      <c r="W95" s="139">
        <f>'Strategic Model'!AE33</f>
        <v>412833.53904642921</v>
      </c>
      <c r="X95" s="139">
        <f>'Strategic Model'!AF33</f>
        <v>412196.03904642921</v>
      </c>
      <c r="Y95" s="139">
        <f>'Strategic Model'!AG33</f>
        <v>412833.53904642921</v>
      </c>
      <c r="Z95" s="139">
        <f>'Strategic Model'!AH33</f>
        <v>412833.53904642921</v>
      </c>
      <c r="AA95" s="139">
        <f>'Strategic Model'!AI33</f>
        <v>412833.53904642921</v>
      </c>
      <c r="AB95" s="139">
        <f>'Strategic Model'!AJ33</f>
        <v>412196.03904642921</v>
      </c>
      <c r="AC95" s="139">
        <f>'Strategic Model'!AK33</f>
        <v>412833.53904642921</v>
      </c>
      <c r="AD95" s="139">
        <f>'Strategic Model'!AL33</f>
        <v>412833.53904642921</v>
      </c>
    </row>
    <row r="96" spans="4:30">
      <c r="D96" s="7" t="s">
        <v>489</v>
      </c>
      <c r="E96" s="139">
        <f>'Strategic Model'!M34</f>
        <v>0</v>
      </c>
      <c r="F96" s="139">
        <f>'Strategic Model'!N34</f>
        <v>0</v>
      </c>
      <c r="G96" s="139">
        <f>'Strategic Model'!O34</f>
        <v>0</v>
      </c>
      <c r="H96" s="139">
        <f>'Strategic Model'!P34</f>
        <v>0</v>
      </c>
      <c r="I96" s="139">
        <f>'Strategic Model'!Q34</f>
        <v>0</v>
      </c>
      <c r="J96" s="139">
        <f>'Strategic Model'!R34</f>
        <v>0</v>
      </c>
      <c r="K96" s="139">
        <f>'Strategic Model'!S34</f>
        <v>17000</v>
      </c>
      <c r="L96" s="139">
        <f>'Strategic Model'!T34</f>
        <v>17000</v>
      </c>
      <c r="M96" s="139">
        <f>'Strategic Model'!U34</f>
        <v>17000</v>
      </c>
      <c r="N96" s="139">
        <f>'Strategic Model'!V34</f>
        <v>17000</v>
      </c>
      <c r="O96" s="139">
        <f>'Strategic Model'!W34</f>
        <v>17000</v>
      </c>
      <c r="P96" s="139">
        <f>'Strategic Model'!X34</f>
        <v>17000</v>
      </c>
      <c r="Q96" s="139">
        <f>'Strategic Model'!Y34</f>
        <v>17000</v>
      </c>
      <c r="R96" s="139">
        <f>'Strategic Model'!Z34</f>
        <v>17000</v>
      </c>
      <c r="S96" s="139">
        <f>'Strategic Model'!AA34</f>
        <v>17000</v>
      </c>
      <c r="T96" s="139">
        <f>'Strategic Model'!AB34</f>
        <v>17000</v>
      </c>
      <c r="U96" s="139">
        <f>'Strategic Model'!AC34</f>
        <v>17000</v>
      </c>
      <c r="V96" s="139">
        <f>'Strategic Model'!AD34</f>
        <v>17000</v>
      </c>
      <c r="W96" s="139">
        <f>'Strategic Model'!AE34</f>
        <v>17000</v>
      </c>
      <c r="X96" s="139">
        <f>'Strategic Model'!AF34</f>
        <v>17000</v>
      </c>
      <c r="Y96" s="139">
        <f>'Strategic Model'!AG34</f>
        <v>17000</v>
      </c>
      <c r="Z96" s="139">
        <f>'Strategic Model'!AH34</f>
        <v>17000</v>
      </c>
      <c r="AA96" s="139">
        <f>'Strategic Model'!AI34</f>
        <v>17000</v>
      </c>
      <c r="AB96" s="139">
        <f>'Strategic Model'!AJ34</f>
        <v>17000</v>
      </c>
      <c r="AC96" s="139">
        <f>'Strategic Model'!AK34</f>
        <v>17000</v>
      </c>
      <c r="AD96" s="139">
        <f>'Strategic Model'!AL34</f>
        <v>17000</v>
      </c>
    </row>
    <row r="97" spans="3:31">
      <c r="D97" s="7" t="s">
        <v>490</v>
      </c>
      <c r="E97" s="139">
        <f>'Strategic Model'!M35</f>
        <v>0</v>
      </c>
      <c r="F97" s="139">
        <f>'Strategic Model'!N35</f>
        <v>0</v>
      </c>
      <c r="G97" s="139">
        <f>'Strategic Model'!O35</f>
        <v>0</v>
      </c>
      <c r="H97" s="139">
        <f>'Strategic Model'!P35</f>
        <v>0</v>
      </c>
      <c r="I97" s="139">
        <f>'Strategic Model'!Q35</f>
        <v>0</v>
      </c>
      <c r="J97" s="139">
        <f>'Strategic Model'!R35</f>
        <v>0</v>
      </c>
      <c r="K97" s="139">
        <f>'Strategic Model'!S35</f>
        <v>0</v>
      </c>
      <c r="L97" s="139">
        <f>'Strategic Model'!T35</f>
        <v>0</v>
      </c>
      <c r="M97" s="139">
        <f>'Strategic Model'!U35</f>
        <v>0</v>
      </c>
      <c r="N97" s="139">
        <f>'Strategic Model'!V35</f>
        <v>232687.5</v>
      </c>
      <c r="O97" s="139">
        <f>'Strategic Model'!W35</f>
        <v>232687.5</v>
      </c>
      <c r="P97" s="139">
        <f>'Strategic Model'!X35</f>
        <v>233325</v>
      </c>
      <c r="Q97" s="139">
        <f>'Strategic Model'!Y35</f>
        <v>232687.5</v>
      </c>
      <c r="R97" s="139">
        <f>'Strategic Model'!Z35</f>
        <v>232687.5</v>
      </c>
      <c r="S97" s="139">
        <f>'Strategic Model'!AA35</f>
        <v>232687.5</v>
      </c>
      <c r="T97" s="139">
        <f>'Strategic Model'!AB35</f>
        <v>233325</v>
      </c>
      <c r="U97" s="139">
        <f>'Strategic Model'!AC35</f>
        <v>232687.5</v>
      </c>
      <c r="V97" s="139">
        <f>'Strategic Model'!AD35</f>
        <v>232687.5</v>
      </c>
      <c r="W97" s="139">
        <f>'Strategic Model'!AE35</f>
        <v>232687.5</v>
      </c>
      <c r="X97" s="139">
        <f>'Strategic Model'!AF35</f>
        <v>233325</v>
      </c>
      <c r="Y97" s="139">
        <f>'Strategic Model'!AG35</f>
        <v>232687.5</v>
      </c>
      <c r="Z97" s="139">
        <f>'Strategic Model'!AH35</f>
        <v>232687.5</v>
      </c>
      <c r="AA97" s="139">
        <f>'Strategic Model'!AI35</f>
        <v>232687.5</v>
      </c>
      <c r="AB97" s="139">
        <f>'Strategic Model'!AJ35</f>
        <v>233325</v>
      </c>
      <c r="AC97" s="139">
        <f>'Strategic Model'!AK35</f>
        <v>232687.5</v>
      </c>
      <c r="AD97" s="139">
        <f>'Strategic Model'!AL35</f>
        <v>232687.5</v>
      </c>
    </row>
    <row r="98" spans="3:31">
      <c r="D98" s="7" t="s">
        <v>491</v>
      </c>
      <c r="E98" s="139">
        <f>'Strategic Model'!M36</f>
        <v>0</v>
      </c>
      <c r="F98" s="139">
        <f>'Strategic Model'!N36</f>
        <v>0</v>
      </c>
      <c r="G98" s="139">
        <f>'Strategic Model'!O36</f>
        <v>0</v>
      </c>
      <c r="H98" s="139">
        <f>'Strategic Model'!P36</f>
        <v>0</v>
      </c>
      <c r="I98" s="139">
        <f>'Strategic Model'!Q36</f>
        <v>0</v>
      </c>
      <c r="J98" s="139">
        <f>'Strategic Model'!R36</f>
        <v>0</v>
      </c>
      <c r="K98" s="139">
        <f>'Strategic Model'!S36</f>
        <v>0</v>
      </c>
      <c r="L98" s="139">
        <f>'Strategic Model'!T36</f>
        <v>0</v>
      </c>
      <c r="M98" s="139">
        <f>'Strategic Model'!U36</f>
        <v>0</v>
      </c>
      <c r="N98" s="139">
        <f>'Strategic Model'!V36</f>
        <v>0</v>
      </c>
      <c r="O98" s="139">
        <f>'Strategic Model'!W36</f>
        <v>0</v>
      </c>
      <c r="P98" s="139">
        <f>'Strategic Model'!X36</f>
        <v>0</v>
      </c>
      <c r="Q98" s="139">
        <f>'Strategic Model'!Y36</f>
        <v>0</v>
      </c>
      <c r="R98" s="139">
        <f>'Strategic Model'!Z36</f>
        <v>0</v>
      </c>
      <c r="S98" s="139">
        <f>'Strategic Model'!AA36</f>
        <v>0</v>
      </c>
      <c r="T98" s="139">
        <f>'Strategic Model'!AB36</f>
        <v>0</v>
      </c>
      <c r="U98" s="139">
        <f>'Strategic Model'!AC36</f>
        <v>0</v>
      </c>
      <c r="V98" s="139">
        <f>'Strategic Model'!AD36</f>
        <v>0</v>
      </c>
      <c r="W98" s="139">
        <f>'Strategic Model'!AE36</f>
        <v>0</v>
      </c>
      <c r="X98" s="139">
        <f>'Strategic Model'!AF36</f>
        <v>0</v>
      </c>
      <c r="Y98" s="139">
        <f>'Strategic Model'!AG36</f>
        <v>0</v>
      </c>
      <c r="Z98" s="139">
        <f>'Strategic Model'!AH36</f>
        <v>0</v>
      </c>
      <c r="AA98" s="139">
        <f>'Strategic Model'!AI36</f>
        <v>0</v>
      </c>
      <c r="AB98" s="139">
        <f>'Strategic Model'!AJ36</f>
        <v>0</v>
      </c>
      <c r="AC98" s="139">
        <f>'Strategic Model'!AK36</f>
        <v>0</v>
      </c>
      <c r="AD98" s="139">
        <f>'Strategic Model'!AL36</f>
        <v>0</v>
      </c>
    </row>
    <row r="99" spans="3:31">
      <c r="D99" s="7" t="s">
        <v>485</v>
      </c>
      <c r="E99">
        <f>'Strategic Model'!M16</f>
        <v>376680</v>
      </c>
      <c r="F99">
        <f>'Strategic Model'!N16</f>
        <v>753360</v>
      </c>
      <c r="G99">
        <f>'Strategic Model'!O16</f>
        <v>753360</v>
      </c>
      <c r="H99">
        <f>'Strategic Model'!P16</f>
        <v>753360</v>
      </c>
      <c r="I99">
        <f>'Strategic Model'!Q16</f>
        <v>753360</v>
      </c>
      <c r="J99">
        <f>'Strategic Model'!R16</f>
        <v>753360</v>
      </c>
      <c r="K99">
        <f>'Strategic Model'!S16</f>
        <v>775360</v>
      </c>
      <c r="L99">
        <f>'Strategic Model'!T16</f>
        <v>775360</v>
      </c>
      <c r="M99">
        <f>'Strategic Model'!U16</f>
        <v>775360</v>
      </c>
      <c r="N99">
        <f>'Strategic Model'!V16</f>
        <v>775360</v>
      </c>
      <c r="O99">
        <f>'Strategic Model'!W16</f>
        <v>1085610</v>
      </c>
      <c r="P99">
        <f>'Strategic Model'!X16</f>
        <v>1085610</v>
      </c>
      <c r="Q99">
        <f>'Strategic Model'!Y16</f>
        <v>1085610</v>
      </c>
      <c r="R99">
        <f>'Strategic Model'!Z16</f>
        <v>1085610</v>
      </c>
      <c r="S99">
        <f>'Strategic Model'!AA16</f>
        <v>1085610</v>
      </c>
      <c r="T99">
        <f>'Strategic Model'!AB16</f>
        <v>1085610</v>
      </c>
      <c r="U99">
        <f>'Strategic Model'!AC16</f>
        <v>1085610</v>
      </c>
      <c r="V99">
        <f>'Strategic Model'!AD16</f>
        <v>1085610</v>
      </c>
      <c r="W99">
        <f>'Strategic Model'!AE16</f>
        <v>1085610</v>
      </c>
      <c r="X99">
        <f>'Strategic Model'!AF16</f>
        <v>1085610</v>
      </c>
      <c r="Y99">
        <f>'Strategic Model'!AG16</f>
        <v>1085610</v>
      </c>
      <c r="Z99">
        <f>'Strategic Model'!AH16</f>
        <v>1085610</v>
      </c>
      <c r="AA99">
        <f>'Strategic Model'!AI16</f>
        <v>1085610</v>
      </c>
      <c r="AB99">
        <f>'Strategic Model'!AJ16</f>
        <v>1085610</v>
      </c>
      <c r="AC99">
        <f>'Strategic Model'!AK16</f>
        <v>1085610</v>
      </c>
      <c r="AD99">
        <f>'Strategic Model'!AL16</f>
        <v>1085610</v>
      </c>
    </row>
    <row r="100" spans="3:31">
      <c r="D100" s="146" t="s">
        <v>525</v>
      </c>
    </row>
    <row r="101" spans="3:31">
      <c r="D101" t="s">
        <v>486</v>
      </c>
      <c r="E101" s="139">
        <f>'Strategic Model'!M39</f>
        <v>520.57108098630147</v>
      </c>
      <c r="F101" s="139">
        <f>'Strategic Model'!N39</f>
        <v>1302.8995515967122</v>
      </c>
      <c r="G101" s="139">
        <f>'Strategic Model'!O39</f>
        <v>1299.7243310098113</v>
      </c>
      <c r="H101" s="139">
        <f>'Strategic Model'!P39</f>
        <v>1296.1731716354677</v>
      </c>
      <c r="I101" s="139">
        <f>'Strategic Model'!Q39</f>
        <v>1526.9643310098115</v>
      </c>
      <c r="J101" s="139">
        <f>'Strategic Model'!R39</f>
        <v>1526.9643310098115</v>
      </c>
      <c r="K101" s="139">
        <f>'Strategic Model'!S39</f>
        <v>1815.1261343737788</v>
      </c>
      <c r="L101" s="139">
        <f>'Strategic Model'!T39</f>
        <v>1810.1667733508996</v>
      </c>
      <c r="M101" s="139">
        <f>'Strategic Model'!U39</f>
        <v>1815.1261343737788</v>
      </c>
      <c r="N101" s="139">
        <f>'Strategic Model'!V39</f>
        <v>1815.1261343737788</v>
      </c>
      <c r="O101" s="139">
        <f>'Strategic Model'!W39</f>
        <v>1815.1261343737788</v>
      </c>
      <c r="P101" s="139">
        <f>'Strategic Model'!X39</f>
        <v>1810.1667733508996</v>
      </c>
      <c r="Q101" s="139">
        <f>'Strategic Model'!Y39</f>
        <v>1815.1261343737788</v>
      </c>
      <c r="R101" s="139">
        <f>'Strategic Model'!Z39</f>
        <v>1815.1261343737788</v>
      </c>
      <c r="S101" s="139">
        <f>'Strategic Model'!AA39</f>
        <v>1815.1261343737788</v>
      </c>
      <c r="T101" s="139">
        <f>'Strategic Model'!AB39</f>
        <v>1810.1667733508996</v>
      </c>
      <c r="U101" s="139">
        <f>'Strategic Model'!AC39</f>
        <v>1815.1261343737788</v>
      </c>
      <c r="V101" s="139">
        <f>'Strategic Model'!AD39</f>
        <v>1815.1261343737788</v>
      </c>
      <c r="W101" s="139">
        <f>'Strategic Model'!AE39</f>
        <v>1815.1261343737788</v>
      </c>
      <c r="X101" s="139">
        <f>'Strategic Model'!AF39</f>
        <v>1810.1667733508996</v>
      </c>
      <c r="Y101" s="139">
        <f>'Strategic Model'!AG39</f>
        <v>1815.1261343737788</v>
      </c>
      <c r="Z101" s="139">
        <f>'Strategic Model'!AH39</f>
        <v>1815.1261343737788</v>
      </c>
      <c r="AA101" s="139">
        <f>'Strategic Model'!AI39</f>
        <v>1815.1261343737788</v>
      </c>
      <c r="AB101" s="139">
        <f>'Strategic Model'!AJ39</f>
        <v>1810.1667733508996</v>
      </c>
      <c r="AC101" s="139">
        <f>'Strategic Model'!AK39</f>
        <v>1815.1261343737788</v>
      </c>
      <c r="AD101" s="139">
        <f>'Strategic Model'!AL39</f>
        <v>1815.1261343737788</v>
      </c>
    </row>
    <row r="102" spans="3:31">
      <c r="D102" s="7" t="s">
        <v>487</v>
      </c>
      <c r="E102" s="139">
        <f>'Strategic Model'!M40</f>
        <v>364.39975669041104</v>
      </c>
      <c r="F102" s="139">
        <f>'Strategic Model'!N40</f>
        <v>651.44977579835609</v>
      </c>
      <c r="G102" s="139">
        <f>'Strategic Model'!O40</f>
        <v>0</v>
      </c>
      <c r="H102" s="139">
        <f>'Strategic Model'!P40</f>
        <v>0</v>
      </c>
      <c r="I102" s="139">
        <f>'Strategic Model'!Q40</f>
        <v>0</v>
      </c>
      <c r="J102" s="139">
        <f>'Strategic Model'!R40</f>
        <v>0</v>
      </c>
      <c r="K102" s="139">
        <f>'Strategic Model'!S40</f>
        <v>14.150791908025244</v>
      </c>
      <c r="L102" s="139">
        <f>'Strategic Model'!T40</f>
        <v>14.112128542156322</v>
      </c>
      <c r="M102" s="139">
        <f>'Strategic Model'!U40</f>
        <v>14.150791908025244</v>
      </c>
      <c r="N102" s="139">
        <f>'Strategic Model'!V40</f>
        <v>0</v>
      </c>
      <c r="O102" s="139">
        <f>'Strategic Model'!W40</f>
        <v>0</v>
      </c>
      <c r="P102" s="139">
        <f>'Strategic Model'!X40</f>
        <v>0</v>
      </c>
      <c r="Q102" s="139">
        <f>'Strategic Model'!Y40</f>
        <v>0</v>
      </c>
      <c r="R102" s="139">
        <f>'Strategic Model'!Z40</f>
        <v>0</v>
      </c>
      <c r="S102" s="139">
        <f>'Strategic Model'!AA40</f>
        <v>0</v>
      </c>
      <c r="T102" s="139">
        <f>'Strategic Model'!AB40</f>
        <v>0</v>
      </c>
      <c r="U102" s="139">
        <f>'Strategic Model'!AC40</f>
        <v>0</v>
      </c>
      <c r="V102" s="139">
        <f>'Strategic Model'!AD40</f>
        <v>0</v>
      </c>
      <c r="W102" s="139">
        <f>'Strategic Model'!AE40</f>
        <v>0</v>
      </c>
      <c r="X102" s="139">
        <f>'Strategic Model'!AF40</f>
        <v>0</v>
      </c>
      <c r="Y102" s="139">
        <f>'Strategic Model'!AG40</f>
        <v>0</v>
      </c>
      <c r="Z102" s="139">
        <f>'Strategic Model'!AH40</f>
        <v>0</v>
      </c>
      <c r="AA102" s="139">
        <f>'Strategic Model'!AI40</f>
        <v>0</v>
      </c>
      <c r="AB102" s="139">
        <f>'Strategic Model'!AJ40</f>
        <v>0</v>
      </c>
      <c r="AC102" s="139">
        <f>'Strategic Model'!AK40</f>
        <v>0</v>
      </c>
      <c r="AD102" s="139">
        <f>'Strategic Model'!AL40</f>
        <v>0</v>
      </c>
    </row>
    <row r="103" spans="3:31">
      <c r="D103" s="7" t="s">
        <v>488</v>
      </c>
      <c r="E103" s="139">
        <f>'Strategic Model'!M41</f>
        <v>156.17132429589043</v>
      </c>
      <c r="F103" s="139">
        <f>'Strategic Model'!N41</f>
        <v>651.44977579835609</v>
      </c>
      <c r="G103" s="139">
        <f>'Strategic Model'!O41</f>
        <v>1299.7243310098113</v>
      </c>
      <c r="H103" s="139">
        <f>'Strategic Model'!P41</f>
        <v>1296.1731716354677</v>
      </c>
      <c r="I103" s="139">
        <f>'Strategic Model'!Q41</f>
        <v>1526.9643310098115</v>
      </c>
      <c r="J103" s="139">
        <f>'Strategic Model'!R41</f>
        <v>1526.9643310098115</v>
      </c>
      <c r="K103" s="139">
        <f>'Strategic Model'!S41</f>
        <v>1754.4</v>
      </c>
      <c r="L103" s="139">
        <f>'Strategic Model'!T41</f>
        <v>1749.6065573770493</v>
      </c>
      <c r="M103" s="139">
        <f>'Strategic Model'!U41</f>
        <v>1754.4</v>
      </c>
      <c r="N103" s="139">
        <f>'Strategic Model'!V41</f>
        <v>1131.0507919080253</v>
      </c>
      <c r="O103" s="139">
        <f>'Strategic Model'!W41</f>
        <v>1131.0507919080253</v>
      </c>
      <c r="P103" s="139">
        <f>'Strategic Model'!X41</f>
        <v>1126.2186859192054</v>
      </c>
      <c r="Q103" s="139">
        <f>'Strategic Model'!Y41</f>
        <v>1131.0507919080253</v>
      </c>
      <c r="R103" s="139">
        <f>'Strategic Model'!Z41</f>
        <v>1131.0507919080253</v>
      </c>
      <c r="S103" s="139">
        <f>'Strategic Model'!AA41</f>
        <v>1131.0507919080253</v>
      </c>
      <c r="T103" s="139">
        <f>'Strategic Model'!AB41</f>
        <v>1126.2186859192054</v>
      </c>
      <c r="U103" s="139">
        <f>'Strategic Model'!AC41</f>
        <v>1131.0507919080253</v>
      </c>
      <c r="V103" s="139">
        <f>'Strategic Model'!AD41</f>
        <v>1131.0507919080253</v>
      </c>
      <c r="W103" s="139">
        <f>'Strategic Model'!AE41</f>
        <v>1131.0507919080253</v>
      </c>
      <c r="X103" s="139">
        <f>'Strategic Model'!AF41</f>
        <v>1126.2186859192054</v>
      </c>
      <c r="Y103" s="139">
        <f>'Strategic Model'!AG41</f>
        <v>1131.0507919080253</v>
      </c>
      <c r="Z103" s="139">
        <f>'Strategic Model'!AH41</f>
        <v>1131.0507919080253</v>
      </c>
      <c r="AA103" s="139">
        <f>'Strategic Model'!AI41</f>
        <v>1131.0507919080253</v>
      </c>
      <c r="AB103" s="139">
        <f>'Strategic Model'!AJ41</f>
        <v>1126.2186859192054</v>
      </c>
      <c r="AC103" s="139">
        <f>'Strategic Model'!AK41</f>
        <v>1131.0507919080253</v>
      </c>
      <c r="AD103" s="139">
        <f>'Strategic Model'!AL41</f>
        <v>1131.0507919080253</v>
      </c>
    </row>
    <row r="104" spans="3:31">
      <c r="D104" s="7" t="s">
        <v>489</v>
      </c>
      <c r="E104" s="139">
        <f>'Strategic Model'!M42</f>
        <v>0</v>
      </c>
      <c r="F104" s="139">
        <f>'Strategic Model'!N42</f>
        <v>0</v>
      </c>
      <c r="G104" s="139">
        <f>'Strategic Model'!O42</f>
        <v>0</v>
      </c>
      <c r="H104" s="139">
        <f>'Strategic Model'!P42</f>
        <v>0</v>
      </c>
      <c r="I104" s="139">
        <f>'Strategic Model'!Q42</f>
        <v>0</v>
      </c>
      <c r="J104" s="139">
        <f>'Strategic Model'!R42</f>
        <v>0</v>
      </c>
      <c r="K104" s="139">
        <f>'Strategic Model'!S42</f>
        <v>46.575342465753423</v>
      </c>
      <c r="L104" s="139">
        <f>'Strategic Model'!T42</f>
        <v>46.448087431693992</v>
      </c>
      <c r="M104" s="139">
        <f>'Strategic Model'!U42</f>
        <v>46.575342465753423</v>
      </c>
      <c r="N104" s="139">
        <f>'Strategic Model'!V42</f>
        <v>46.575342465753423</v>
      </c>
      <c r="O104" s="139">
        <f>'Strategic Model'!W42</f>
        <v>46.575342465753423</v>
      </c>
      <c r="P104" s="139">
        <f>'Strategic Model'!X42</f>
        <v>46.448087431693992</v>
      </c>
      <c r="Q104" s="139">
        <f>'Strategic Model'!Y42</f>
        <v>46.575342465753423</v>
      </c>
      <c r="R104" s="139">
        <f>'Strategic Model'!Z42</f>
        <v>46.575342465753423</v>
      </c>
      <c r="S104" s="139">
        <f>'Strategic Model'!AA42</f>
        <v>46.575342465753423</v>
      </c>
      <c r="T104" s="139">
        <f>'Strategic Model'!AB42</f>
        <v>46.448087431693992</v>
      </c>
      <c r="U104" s="139">
        <f>'Strategic Model'!AC42</f>
        <v>46.575342465753423</v>
      </c>
      <c r="V104" s="139">
        <f>'Strategic Model'!AD42</f>
        <v>46.575342465753423</v>
      </c>
      <c r="W104" s="139">
        <f>'Strategic Model'!AE42</f>
        <v>46.575342465753423</v>
      </c>
      <c r="X104" s="139">
        <f>'Strategic Model'!AF42</f>
        <v>46.448087431693992</v>
      </c>
      <c r="Y104" s="139">
        <f>'Strategic Model'!AG42</f>
        <v>46.575342465753423</v>
      </c>
      <c r="Z104" s="139">
        <f>'Strategic Model'!AH42</f>
        <v>46.575342465753423</v>
      </c>
      <c r="AA104" s="139">
        <f>'Strategic Model'!AI42</f>
        <v>46.575342465753423</v>
      </c>
      <c r="AB104" s="139">
        <f>'Strategic Model'!AJ42</f>
        <v>46.448087431693992</v>
      </c>
      <c r="AC104" s="139">
        <f>'Strategic Model'!AK42</f>
        <v>46.575342465753423</v>
      </c>
      <c r="AD104" s="139">
        <f>'Strategic Model'!AL42</f>
        <v>46.575342465753423</v>
      </c>
    </row>
    <row r="105" spans="3:31">
      <c r="D105" s="7" t="s">
        <v>490</v>
      </c>
      <c r="E105" s="139">
        <f>'Strategic Model'!M43</f>
        <v>0</v>
      </c>
      <c r="F105" s="139">
        <f>'Strategic Model'!N43</f>
        <v>0</v>
      </c>
      <c r="G105" s="139">
        <f>'Strategic Model'!O43</f>
        <v>0</v>
      </c>
      <c r="H105" s="139">
        <f>'Strategic Model'!P43</f>
        <v>0</v>
      </c>
      <c r="I105" s="139">
        <f>'Strategic Model'!Q43</f>
        <v>0</v>
      </c>
      <c r="J105" s="139">
        <f>'Strategic Model'!R43</f>
        <v>0</v>
      </c>
      <c r="K105" s="139">
        <f>'Strategic Model'!S43</f>
        <v>0</v>
      </c>
      <c r="L105" s="139">
        <f>'Strategic Model'!T43</f>
        <v>0</v>
      </c>
      <c r="M105" s="139">
        <f>'Strategic Model'!U43</f>
        <v>0</v>
      </c>
      <c r="N105" s="139">
        <f>'Strategic Model'!V43</f>
        <v>637.5</v>
      </c>
      <c r="O105" s="139">
        <f>'Strategic Model'!W43</f>
        <v>637.5</v>
      </c>
      <c r="P105" s="139">
        <f>'Strategic Model'!X43</f>
        <v>637.5</v>
      </c>
      <c r="Q105" s="139">
        <f>'Strategic Model'!Y43</f>
        <v>637.5</v>
      </c>
      <c r="R105" s="139">
        <f>'Strategic Model'!Z43</f>
        <v>637.5</v>
      </c>
      <c r="S105" s="139">
        <f>'Strategic Model'!AA43</f>
        <v>637.5</v>
      </c>
      <c r="T105" s="139">
        <f>'Strategic Model'!AB43</f>
        <v>637.5</v>
      </c>
      <c r="U105" s="139">
        <f>'Strategic Model'!AC43</f>
        <v>637.5</v>
      </c>
      <c r="V105" s="139">
        <f>'Strategic Model'!AD43</f>
        <v>637.5</v>
      </c>
      <c r="W105" s="139">
        <f>'Strategic Model'!AE43</f>
        <v>637.5</v>
      </c>
      <c r="X105" s="139">
        <f>'Strategic Model'!AF43</f>
        <v>637.5</v>
      </c>
      <c r="Y105" s="139">
        <f>'Strategic Model'!AG43</f>
        <v>637.5</v>
      </c>
      <c r="Z105" s="139">
        <f>'Strategic Model'!AH43</f>
        <v>637.5</v>
      </c>
      <c r="AA105" s="139">
        <f>'Strategic Model'!AI43</f>
        <v>637.5</v>
      </c>
      <c r="AB105" s="139">
        <f>'Strategic Model'!AJ43</f>
        <v>637.5</v>
      </c>
      <c r="AC105" s="139">
        <f>'Strategic Model'!AK43</f>
        <v>637.5</v>
      </c>
      <c r="AD105" s="139">
        <f>'Strategic Model'!AL43</f>
        <v>637.5</v>
      </c>
    </row>
    <row r="106" spans="3:31">
      <c r="D106" s="7" t="s">
        <v>491</v>
      </c>
      <c r="E106" s="139">
        <f>'Strategic Model'!M44</f>
        <v>0</v>
      </c>
      <c r="F106" s="139">
        <f>'Strategic Model'!N44</f>
        <v>0</v>
      </c>
      <c r="G106" s="139">
        <f>'Strategic Model'!O44</f>
        <v>0</v>
      </c>
      <c r="H106" s="139">
        <f>'Strategic Model'!P44</f>
        <v>0</v>
      </c>
      <c r="I106" s="139">
        <f>'Strategic Model'!Q44</f>
        <v>0</v>
      </c>
      <c r="J106" s="139">
        <f>'Strategic Model'!R44</f>
        <v>0</v>
      </c>
      <c r="K106" s="139">
        <f>'Strategic Model'!S44</f>
        <v>0</v>
      </c>
      <c r="L106" s="139">
        <f>'Strategic Model'!T44</f>
        <v>0</v>
      </c>
      <c r="M106" s="139">
        <f>'Strategic Model'!U44</f>
        <v>0</v>
      </c>
      <c r="N106" s="139">
        <f>'Strategic Model'!V44</f>
        <v>0</v>
      </c>
      <c r="O106" s="139">
        <f>'Strategic Model'!W44</f>
        <v>0</v>
      </c>
      <c r="P106" s="139">
        <f>'Strategic Model'!X44</f>
        <v>0</v>
      </c>
      <c r="Q106" s="139">
        <f>'Strategic Model'!Y44</f>
        <v>0</v>
      </c>
      <c r="R106" s="139">
        <f>'Strategic Model'!Z44</f>
        <v>0</v>
      </c>
      <c r="S106" s="139">
        <f>'Strategic Model'!AA44</f>
        <v>0</v>
      </c>
      <c r="T106" s="139">
        <f>'Strategic Model'!AB44</f>
        <v>0</v>
      </c>
      <c r="U106" s="139">
        <f>'Strategic Model'!AC44</f>
        <v>0</v>
      </c>
      <c r="V106" s="139">
        <f>'Strategic Model'!AD44</f>
        <v>0</v>
      </c>
      <c r="W106" s="139">
        <f>'Strategic Model'!AE44</f>
        <v>0</v>
      </c>
      <c r="X106" s="139">
        <f>'Strategic Model'!AF44</f>
        <v>0</v>
      </c>
      <c r="Y106" s="139">
        <f>'Strategic Model'!AG44</f>
        <v>0</v>
      </c>
      <c r="Z106" s="139">
        <f>'Strategic Model'!AH44</f>
        <v>0</v>
      </c>
      <c r="AA106" s="139">
        <f>'Strategic Model'!AI44</f>
        <v>0</v>
      </c>
      <c r="AB106" s="139">
        <f>'Strategic Model'!AJ44</f>
        <v>0</v>
      </c>
      <c r="AC106" s="139">
        <f>'Strategic Model'!AK44</f>
        <v>0</v>
      </c>
      <c r="AD106" s="139">
        <f>'Strategic Model'!AL44</f>
        <v>0</v>
      </c>
    </row>
    <row r="107" spans="3:31">
      <c r="D107" s="7" t="s">
        <v>572</v>
      </c>
      <c r="E107" s="139">
        <f>'Strategic Model'!M17/'Strategic Model'!M11</f>
        <v>877.2</v>
      </c>
      <c r="F107" s="139">
        <f>'Strategic Model'!N17/'Strategic Model'!N11</f>
        <v>1754.4</v>
      </c>
      <c r="G107" s="139">
        <f>'Strategic Model'!O17/'Strategic Model'!O11</f>
        <v>1754.4</v>
      </c>
      <c r="H107" s="139">
        <f>'Strategic Model'!P17/'Strategic Model'!P11</f>
        <v>1749.6065573770493</v>
      </c>
      <c r="I107" s="139">
        <f>'Strategic Model'!Q17/'Strategic Model'!Q11</f>
        <v>1754.4</v>
      </c>
      <c r="J107" s="139">
        <f>'Strategic Model'!R17/'Strategic Model'!R11</f>
        <v>1754.4</v>
      </c>
      <c r="K107" s="139">
        <f>'Strategic Model'!S17/'Strategic Model'!S11</f>
        <v>1800.9753424657533</v>
      </c>
      <c r="L107" s="139">
        <f>'Strategic Model'!T17/'Strategic Model'!T11</f>
        <v>1796.0546448087432</v>
      </c>
      <c r="M107" s="139">
        <f>'Strategic Model'!U17/'Strategic Model'!U11</f>
        <v>1800.9753424657533</v>
      </c>
      <c r="N107" s="139">
        <f>'Strategic Model'!V17/'Strategic Model'!V11</f>
        <v>2438.4753424657533</v>
      </c>
      <c r="O107" s="139">
        <f>'Strategic Model'!W17/'Strategic Model'!W11</f>
        <v>2438.4753424657533</v>
      </c>
      <c r="P107" s="139">
        <f>'Strategic Model'!X17/'Strategic Model'!X11</f>
        <v>2431.8128415300548</v>
      </c>
      <c r="Q107" s="139">
        <f>'Strategic Model'!Y17/'Strategic Model'!Y11</f>
        <v>2438.4753424657533</v>
      </c>
      <c r="R107" s="139">
        <f>'Strategic Model'!Z17/'Strategic Model'!Z11</f>
        <v>2438.4753424657533</v>
      </c>
      <c r="S107" s="139">
        <f>'Strategic Model'!AA17/'Strategic Model'!AA11</f>
        <v>2438.4753424657533</v>
      </c>
      <c r="T107" s="139">
        <f>'Strategic Model'!AB17/'Strategic Model'!AB11</f>
        <v>2431.8128415300548</v>
      </c>
      <c r="U107" s="139">
        <f>'Strategic Model'!AC17/'Strategic Model'!AC11</f>
        <v>2438.4753424657533</v>
      </c>
      <c r="V107" s="139">
        <f>'Strategic Model'!AD17/'Strategic Model'!AD11</f>
        <v>2438.4753424657533</v>
      </c>
      <c r="W107" s="139">
        <f>'Strategic Model'!AE17/'Strategic Model'!AE11</f>
        <v>2438.4753424657533</v>
      </c>
      <c r="X107" s="139">
        <f>'Strategic Model'!AF17/'Strategic Model'!AF11</f>
        <v>2431.8128415300548</v>
      </c>
      <c r="Y107" s="139">
        <f>'Strategic Model'!AG17/'Strategic Model'!AG11</f>
        <v>2438.4753424657533</v>
      </c>
      <c r="Z107" s="139">
        <f>'Strategic Model'!AH17/'Strategic Model'!AH11</f>
        <v>2438.4753424657533</v>
      </c>
      <c r="AA107" s="139">
        <f>'Strategic Model'!AI17/'Strategic Model'!AI11</f>
        <v>2438.4753424657533</v>
      </c>
      <c r="AB107" s="139">
        <f>'Strategic Model'!AJ17/'Strategic Model'!AJ11</f>
        <v>2431.8128415300548</v>
      </c>
      <c r="AC107" s="139">
        <f>'Strategic Model'!AK17/'Strategic Model'!AK11</f>
        <v>2438.4753424657533</v>
      </c>
      <c r="AD107" s="139">
        <f>'Strategic Model'!AL17/'Strategic Model'!AL11</f>
        <v>2438.4753424657533</v>
      </c>
    </row>
    <row r="108" spans="3:31">
      <c r="D108" s="7" t="s">
        <v>571</v>
      </c>
      <c r="E108" s="139">
        <f>'Strategic Model'!M22/'Strategic Model'!M11</f>
        <v>877.2</v>
      </c>
      <c r="F108" s="139">
        <f>'Strategic Model'!N22/'Strategic Model'!N11</f>
        <v>1754.4</v>
      </c>
      <c r="G108" s="139">
        <f>'Strategic Model'!O22/'Strategic Model'!O11</f>
        <v>1754.4</v>
      </c>
      <c r="H108" s="139">
        <f>'Strategic Model'!P22/'Strategic Model'!P11</f>
        <v>1749.6065573770493</v>
      </c>
      <c r="I108" s="139">
        <f>'Strategic Model'!Q22/'Strategic Model'!Q11</f>
        <v>1754.4</v>
      </c>
      <c r="J108" s="139">
        <f>'Strategic Model'!R22/'Strategic Model'!R11</f>
        <v>1754.4</v>
      </c>
      <c r="K108" s="139">
        <f>'Strategic Model'!S22/'Strategic Model'!S11</f>
        <v>1800.9753424657533</v>
      </c>
      <c r="L108" s="139">
        <f>'Strategic Model'!T22/'Strategic Model'!T11</f>
        <v>1796.0546448087432</v>
      </c>
      <c r="M108" s="139">
        <f>'Strategic Model'!U22/'Strategic Model'!U11</f>
        <v>1800.9753424657533</v>
      </c>
      <c r="N108" s="139">
        <f>'Strategic Model'!V22/'Strategic Model'!V11</f>
        <v>2438.4753424657533</v>
      </c>
      <c r="O108" s="139">
        <f>'Strategic Model'!W22/'Strategic Model'!W11</f>
        <v>2438.4753424657533</v>
      </c>
      <c r="P108" s="139">
        <f>'Strategic Model'!X22/'Strategic Model'!X11</f>
        <v>2431.8128415300548</v>
      </c>
      <c r="Q108" s="139">
        <f>'Strategic Model'!Y22/'Strategic Model'!Y11</f>
        <v>2438.4753424657533</v>
      </c>
      <c r="R108" s="139">
        <f>'Strategic Model'!Z22/'Strategic Model'!Z11</f>
        <v>2438.4753424657533</v>
      </c>
      <c r="S108" s="139">
        <f>'Strategic Model'!AA22/'Strategic Model'!AA11</f>
        <v>2438.4753424657533</v>
      </c>
      <c r="T108" s="139">
        <f>'Strategic Model'!AB22/'Strategic Model'!AB11</f>
        <v>2431.8128415300548</v>
      </c>
      <c r="U108" s="139">
        <f>'Strategic Model'!AC22/'Strategic Model'!AC11</f>
        <v>2438.4753424657533</v>
      </c>
      <c r="V108" s="139">
        <f>'Strategic Model'!AD22/'Strategic Model'!AD11</f>
        <v>2438.4753424657533</v>
      </c>
      <c r="W108" s="139">
        <f>'Strategic Model'!AE22/'Strategic Model'!AE11</f>
        <v>2438.4753424657533</v>
      </c>
      <c r="X108" s="139">
        <f>'Strategic Model'!AF22/'Strategic Model'!AF11</f>
        <v>2431.8128415300548</v>
      </c>
      <c r="Y108" s="139">
        <f>'Strategic Model'!AG22/'Strategic Model'!AG11</f>
        <v>2438.4753424657533</v>
      </c>
      <c r="Z108" s="139">
        <f>'Strategic Model'!AH22/'Strategic Model'!AH11</f>
        <v>2438.4753424657533</v>
      </c>
      <c r="AA108" s="139">
        <f>'Strategic Model'!AI22/'Strategic Model'!AI11</f>
        <v>2438.4753424657533</v>
      </c>
      <c r="AB108" s="139">
        <f>'Strategic Model'!AJ22/'Strategic Model'!AJ11</f>
        <v>2431.8128415300548</v>
      </c>
      <c r="AC108" s="139">
        <f>'Strategic Model'!AK22/'Strategic Model'!AK11</f>
        <v>2438.4753424657533</v>
      </c>
      <c r="AD108" s="139">
        <f>'Strategic Model'!AL22/'Strategic Model'!AL11</f>
        <v>2438.4753424657533</v>
      </c>
      <c r="AE108" s="139"/>
    </row>
    <row r="109" spans="3:31">
      <c r="D109" s="7" t="s">
        <v>573</v>
      </c>
      <c r="E109" s="139">
        <f>('Strategic Model'!M23+'Strategic Model'!M34+'Strategic Model'!M35)/'Strategic Model'!M11</f>
        <v>877.2</v>
      </c>
      <c r="F109" s="139">
        <f>('Strategic Model'!N23+'Strategic Model'!N34+'Strategic Model'!N35)/'Strategic Model'!N11</f>
        <v>1754.4</v>
      </c>
      <c r="G109" s="139">
        <f>('Strategic Model'!O23+'Strategic Model'!O34+'Strategic Model'!O35)/'Strategic Model'!O11</f>
        <v>1754.4</v>
      </c>
      <c r="H109" s="139">
        <f>('Strategic Model'!P23+'Strategic Model'!P34+'Strategic Model'!P35)/'Strategic Model'!P11</f>
        <v>1749.6065573770493</v>
      </c>
      <c r="I109" s="139">
        <f>('Strategic Model'!Q23+'Strategic Model'!Q34+'Strategic Model'!Q35)/'Strategic Model'!Q11</f>
        <v>1754.4</v>
      </c>
      <c r="J109" s="139">
        <f>('Strategic Model'!R23+'Strategic Model'!R34+'Strategic Model'!R35)/'Strategic Model'!R11</f>
        <v>1754.4</v>
      </c>
      <c r="K109" s="139">
        <f>('Strategic Model'!S23+'Strategic Model'!S34+'Strategic Model'!S35)/'Strategic Model'!S11</f>
        <v>1800.9753424657533</v>
      </c>
      <c r="L109" s="139">
        <f>('Strategic Model'!T23+'Strategic Model'!T34+'Strategic Model'!T35)/'Strategic Model'!T11</f>
        <v>1796.0546448087432</v>
      </c>
      <c r="M109" s="139">
        <f>('Strategic Model'!U23+'Strategic Model'!U34+'Strategic Model'!U35)/'Strategic Model'!U11</f>
        <v>1800.9753424657533</v>
      </c>
      <c r="N109" s="139">
        <f>('Strategic Model'!V23+'Strategic Model'!V34+'Strategic Model'!V35)/'Strategic Model'!V11</f>
        <v>2438.4753424657533</v>
      </c>
      <c r="O109" s="139">
        <f>('Strategic Model'!W23+'Strategic Model'!W34+'Strategic Model'!W35)/'Strategic Model'!W11</f>
        <v>2438.4753424657533</v>
      </c>
      <c r="P109" s="139">
        <f>('Strategic Model'!X23+'Strategic Model'!X34+'Strategic Model'!X35)/'Strategic Model'!X11</f>
        <v>2433.554644808743</v>
      </c>
      <c r="Q109" s="139">
        <f>('Strategic Model'!Y23+'Strategic Model'!Y34+'Strategic Model'!Y35)/'Strategic Model'!Y11</f>
        <v>2438.4753424657533</v>
      </c>
      <c r="R109" s="139">
        <f>('Strategic Model'!Z23+'Strategic Model'!Z34+'Strategic Model'!Z35)/'Strategic Model'!Z11</f>
        <v>2438.4753424657533</v>
      </c>
      <c r="S109" s="139">
        <f>('Strategic Model'!AA23+'Strategic Model'!AA34+'Strategic Model'!AA35)/'Strategic Model'!AA11</f>
        <v>2438.4753424657533</v>
      </c>
      <c r="T109" s="139">
        <f>('Strategic Model'!AB23+'Strategic Model'!AB34+'Strategic Model'!AB35)/'Strategic Model'!AB11</f>
        <v>2433.554644808743</v>
      </c>
      <c r="U109" s="139">
        <f>('Strategic Model'!AC23+'Strategic Model'!AC34+'Strategic Model'!AC35)/'Strategic Model'!AC11</f>
        <v>2438.4753424657533</v>
      </c>
      <c r="V109" s="139">
        <f>('Strategic Model'!AD23+'Strategic Model'!AD34+'Strategic Model'!AD35)/'Strategic Model'!AD11</f>
        <v>2438.4753424657533</v>
      </c>
      <c r="W109" s="139">
        <f>('Strategic Model'!AE23+'Strategic Model'!AE34+'Strategic Model'!AE35)/'Strategic Model'!AE11</f>
        <v>2438.4753424657533</v>
      </c>
      <c r="X109" s="139">
        <f>('Strategic Model'!AF23+'Strategic Model'!AF34+'Strategic Model'!AF35)/'Strategic Model'!AF11</f>
        <v>2433.554644808743</v>
      </c>
      <c r="Y109" s="139">
        <f>('Strategic Model'!AG23+'Strategic Model'!AG34+'Strategic Model'!AG35)/'Strategic Model'!AG11</f>
        <v>2438.4753424657533</v>
      </c>
      <c r="Z109" s="139">
        <f>('Strategic Model'!AH23+'Strategic Model'!AH34+'Strategic Model'!AH35)/'Strategic Model'!AH11</f>
        <v>2438.4753424657533</v>
      </c>
      <c r="AA109" s="139">
        <f>('Strategic Model'!AI23+'Strategic Model'!AI34+'Strategic Model'!AI35)/'Strategic Model'!AI11</f>
        <v>2438.4753424657533</v>
      </c>
      <c r="AB109" s="139">
        <f>('Strategic Model'!AJ23+'Strategic Model'!AJ34+'Strategic Model'!AJ35)/'Strategic Model'!AJ11</f>
        <v>2433.554644808743</v>
      </c>
      <c r="AC109" s="139">
        <f>('Strategic Model'!AK23+'Strategic Model'!AK34+'Strategic Model'!AK35)/'Strategic Model'!AK11</f>
        <v>2438.4753424657533</v>
      </c>
      <c r="AD109" s="139">
        <f>('Strategic Model'!AL23+'Strategic Model'!AL34+'Strategic Model'!AL35)/'Strategic Model'!AL11</f>
        <v>2438.4753424657533</v>
      </c>
    </row>
    <row r="110" spans="3:31">
      <c r="D110" s="146" t="s">
        <v>574</v>
      </c>
      <c r="E110" s="139"/>
      <c r="F110" s="139"/>
      <c r="G110" s="139"/>
      <c r="H110" s="139"/>
      <c r="I110" s="139"/>
      <c r="J110" s="139"/>
      <c r="K110" s="139"/>
      <c r="L110" s="139"/>
      <c r="M110" s="139"/>
      <c r="N110" s="139"/>
      <c r="O110" s="139"/>
      <c r="P110" s="139"/>
      <c r="Q110" s="139"/>
      <c r="R110" s="139"/>
      <c r="S110" s="139"/>
      <c r="T110" s="139"/>
      <c r="U110" s="139"/>
      <c r="V110" s="139"/>
      <c r="W110" s="139"/>
      <c r="X110" s="139"/>
      <c r="Y110" s="139"/>
      <c r="Z110" s="139"/>
      <c r="AA110" s="139"/>
      <c r="AB110" s="139"/>
      <c r="AC110" s="139"/>
      <c r="AD110" s="139"/>
    </row>
    <row r="111" spans="3:31">
      <c r="C111">
        <v>1</v>
      </c>
      <c r="D111" s="7" t="s">
        <v>575</v>
      </c>
      <c r="E111" s="139">
        <f>E103</f>
        <v>156.17132429589043</v>
      </c>
      <c r="F111" s="139">
        <f>F103</f>
        <v>651.44977579835609</v>
      </c>
      <c r="G111" s="139">
        <f>G103</f>
        <v>1299.7243310098113</v>
      </c>
      <c r="H111" s="139">
        <f t="shared" ref="H111:N111" si="5">H103</f>
        <v>1296.1731716354677</v>
      </c>
      <c r="I111" s="139">
        <f t="shared" si="5"/>
        <v>1526.9643310098115</v>
      </c>
      <c r="J111" s="139">
        <f t="shared" si="5"/>
        <v>1526.9643310098115</v>
      </c>
      <c r="K111" s="139">
        <f t="shared" si="5"/>
        <v>1754.4</v>
      </c>
      <c r="L111" s="139">
        <f t="shared" si="5"/>
        <v>1749.6065573770493</v>
      </c>
      <c r="M111" s="139">
        <f t="shared" si="5"/>
        <v>1754.4</v>
      </c>
      <c r="N111" s="139">
        <f t="shared" si="5"/>
        <v>1131.0507919080253</v>
      </c>
      <c r="O111" s="139">
        <f>'Strategic Model'!V23/'Strategic Model'!W11</f>
        <v>1754.4</v>
      </c>
      <c r="P111" s="139">
        <f>'Strategic Model'!W23/'Strategic Model'!X11</f>
        <v>1749.6065573770493</v>
      </c>
      <c r="Q111" s="139">
        <f>'Strategic Model'!X23/'Strategic Model'!Y11</f>
        <v>1754.4</v>
      </c>
      <c r="R111" s="139">
        <f>'Strategic Model'!Y23/'Strategic Model'!Z11</f>
        <v>1754.4</v>
      </c>
      <c r="S111" s="139">
        <f>'Strategic Model'!Z23/'Strategic Model'!AA11</f>
        <v>1754.4</v>
      </c>
      <c r="T111" s="139">
        <f>'Strategic Model'!AA23/'Strategic Model'!AB11</f>
        <v>1749.6065573770493</v>
      </c>
      <c r="U111" s="139">
        <f>'Strategic Model'!AB23/'Strategic Model'!AC11</f>
        <v>1754.4</v>
      </c>
      <c r="V111" s="139">
        <f>'Strategic Model'!AC23/'Strategic Model'!AD11</f>
        <v>1754.4</v>
      </c>
      <c r="W111" s="139">
        <f>'Strategic Model'!AD23/'Strategic Model'!AE11</f>
        <v>1754.4</v>
      </c>
      <c r="X111" s="139">
        <f>'Strategic Model'!AE23/'Strategic Model'!AF11</f>
        <v>1749.6065573770493</v>
      </c>
      <c r="Y111" s="139">
        <f>'Strategic Model'!AF23/'Strategic Model'!AG11</f>
        <v>1754.4</v>
      </c>
      <c r="Z111" s="139">
        <f>'Strategic Model'!AG23/'Strategic Model'!AH11</f>
        <v>1754.4</v>
      </c>
      <c r="AA111" s="139">
        <f>'Strategic Model'!AH23/'Strategic Model'!AI11</f>
        <v>1754.4</v>
      </c>
      <c r="AB111" s="139">
        <f>'Strategic Model'!AI23/'Strategic Model'!AJ11</f>
        <v>1749.6065573770493</v>
      </c>
      <c r="AC111" s="139">
        <f>'Strategic Model'!AJ23/'Strategic Model'!AK11</f>
        <v>1754.4</v>
      </c>
      <c r="AD111" s="139">
        <f>'Strategic Model'!AK23/'Strategic Model'!AL11</f>
        <v>1754.4</v>
      </c>
    </row>
    <row r="112" spans="3:31">
      <c r="C112">
        <v>1</v>
      </c>
      <c r="D112" s="7" t="s">
        <v>576</v>
      </c>
      <c r="E112" s="139">
        <f>E102</f>
        <v>364.39975669041104</v>
      </c>
      <c r="F112" s="139">
        <f t="shared" ref="F112:N112" si="6">F102</f>
        <v>651.44977579835609</v>
      </c>
      <c r="G112" s="139">
        <f t="shared" si="6"/>
        <v>0</v>
      </c>
      <c r="H112" s="139">
        <f t="shared" si="6"/>
        <v>0</v>
      </c>
      <c r="I112" s="139">
        <f t="shared" si="6"/>
        <v>0</v>
      </c>
      <c r="J112" s="139">
        <f t="shared" si="6"/>
        <v>0</v>
      </c>
      <c r="K112" s="139">
        <f t="shared" si="6"/>
        <v>14.150791908025244</v>
      </c>
      <c r="L112" s="139">
        <f t="shared" si="6"/>
        <v>14.112128542156322</v>
      </c>
      <c r="M112" s="139">
        <f t="shared" si="6"/>
        <v>14.150791908025244</v>
      </c>
      <c r="N112" s="139">
        <f t="shared" si="6"/>
        <v>0</v>
      </c>
      <c r="O112" s="139">
        <f>O101-O104-O111</f>
        <v>14.150791908025212</v>
      </c>
      <c r="P112" s="139">
        <f t="shared" ref="P112:AD112" si="7">P101-P104-P111</f>
        <v>14.11212854215637</v>
      </c>
      <c r="Q112" s="139">
        <f t="shared" si="7"/>
        <v>14.150791908025212</v>
      </c>
      <c r="R112" s="139">
        <f t="shared" si="7"/>
        <v>14.150791908025212</v>
      </c>
      <c r="S112" s="139">
        <f t="shared" si="7"/>
        <v>14.150791908025212</v>
      </c>
      <c r="T112" s="139">
        <f t="shared" si="7"/>
        <v>14.11212854215637</v>
      </c>
      <c r="U112" s="139">
        <f t="shared" si="7"/>
        <v>14.150791908025212</v>
      </c>
      <c r="V112" s="139">
        <f t="shared" si="7"/>
        <v>14.150791908025212</v>
      </c>
      <c r="W112" s="139">
        <f t="shared" si="7"/>
        <v>14.150791908025212</v>
      </c>
      <c r="X112" s="139">
        <f t="shared" si="7"/>
        <v>14.11212854215637</v>
      </c>
      <c r="Y112" s="139">
        <f t="shared" si="7"/>
        <v>14.150791908025212</v>
      </c>
      <c r="Z112" s="139">
        <f t="shared" si="7"/>
        <v>14.150791908025212</v>
      </c>
      <c r="AA112" s="139">
        <f t="shared" si="7"/>
        <v>14.150791908025212</v>
      </c>
      <c r="AB112" s="139">
        <f t="shared" si="7"/>
        <v>14.11212854215637</v>
      </c>
      <c r="AC112" s="139">
        <f t="shared" si="7"/>
        <v>14.150791908025212</v>
      </c>
      <c r="AD112" s="139">
        <f t="shared" si="7"/>
        <v>14.150791908025212</v>
      </c>
    </row>
    <row r="113" spans="3:31">
      <c r="C113">
        <v>2</v>
      </c>
      <c r="D113" s="7" t="s">
        <v>577</v>
      </c>
      <c r="E113" s="139">
        <f>E111</f>
        <v>156.17132429589043</v>
      </c>
      <c r="F113" s="139">
        <f t="shared" ref="F113:N113" si="8">F111</f>
        <v>651.44977579835609</v>
      </c>
      <c r="G113" s="139">
        <f t="shared" si="8"/>
        <v>1299.7243310098113</v>
      </c>
      <c r="H113" s="139">
        <f t="shared" si="8"/>
        <v>1296.1731716354677</v>
      </c>
      <c r="I113" s="139">
        <f t="shared" si="8"/>
        <v>1526.9643310098115</v>
      </c>
      <c r="J113" s="139">
        <f t="shared" si="8"/>
        <v>1526.9643310098115</v>
      </c>
      <c r="K113" s="139">
        <f t="shared" si="8"/>
        <v>1754.4</v>
      </c>
      <c r="L113" s="139">
        <f t="shared" si="8"/>
        <v>1749.6065573770493</v>
      </c>
      <c r="M113" s="139">
        <f t="shared" si="8"/>
        <v>1754.4</v>
      </c>
      <c r="N113" s="139">
        <f t="shared" si="8"/>
        <v>1131.0507919080253</v>
      </c>
      <c r="O113" s="139">
        <f>O101-O104-O105</f>
        <v>1131.0507919080253</v>
      </c>
      <c r="P113" s="139">
        <f t="shared" ref="P113:AD113" si="9">P101-P104-P105</f>
        <v>1126.2186859192057</v>
      </c>
      <c r="Q113" s="139">
        <f t="shared" si="9"/>
        <v>1131.0507919080253</v>
      </c>
      <c r="R113" s="139">
        <f t="shared" si="9"/>
        <v>1131.0507919080253</v>
      </c>
      <c r="S113" s="139">
        <f t="shared" si="9"/>
        <v>1131.0507919080253</v>
      </c>
      <c r="T113" s="139">
        <f t="shared" si="9"/>
        <v>1126.2186859192057</v>
      </c>
      <c r="U113" s="139">
        <f t="shared" si="9"/>
        <v>1131.0507919080253</v>
      </c>
      <c r="V113" s="139">
        <f t="shared" si="9"/>
        <v>1131.0507919080253</v>
      </c>
      <c r="W113" s="139">
        <f t="shared" si="9"/>
        <v>1131.0507919080253</v>
      </c>
      <c r="X113" s="139">
        <f t="shared" si="9"/>
        <v>1126.2186859192057</v>
      </c>
      <c r="Y113" s="139">
        <f t="shared" si="9"/>
        <v>1131.0507919080253</v>
      </c>
      <c r="Z113" s="139">
        <f t="shared" si="9"/>
        <v>1131.0507919080253</v>
      </c>
      <c r="AA113" s="139">
        <f t="shared" si="9"/>
        <v>1131.0507919080253</v>
      </c>
      <c r="AB113" s="139">
        <f t="shared" si="9"/>
        <v>1126.2186859192057</v>
      </c>
      <c r="AC113" s="139">
        <f t="shared" si="9"/>
        <v>1131.0507919080253</v>
      </c>
      <c r="AD113" s="139">
        <f t="shared" si="9"/>
        <v>1131.0507919080253</v>
      </c>
    </row>
    <row r="114" spans="3:31">
      <c r="C114">
        <v>3</v>
      </c>
      <c r="D114" s="7" t="s">
        <v>578</v>
      </c>
      <c r="E114" s="139">
        <f>'Strategic Model'!M17/'Strategic Model'!M11</f>
        <v>877.2</v>
      </c>
      <c r="F114" s="139">
        <f>'Strategic Model'!N17/'Strategic Model'!N11</f>
        <v>1754.4</v>
      </c>
      <c r="G114" s="139">
        <f>'Strategic Model'!O17/'Strategic Model'!O11</f>
        <v>1754.4</v>
      </c>
      <c r="H114" s="139">
        <f>'Strategic Model'!P17/'Strategic Model'!P11</f>
        <v>1749.6065573770493</v>
      </c>
      <c r="I114" s="139">
        <f>'Strategic Model'!Q17/'Strategic Model'!Q11</f>
        <v>1754.4</v>
      </c>
      <c r="J114" s="139">
        <f>'Strategic Model'!R17/'Strategic Model'!R11</f>
        <v>1754.4</v>
      </c>
      <c r="K114" s="139">
        <f>'Strategic Model'!S17/'Strategic Model'!S11</f>
        <v>1800.9753424657533</v>
      </c>
      <c r="L114" s="139">
        <f>'Strategic Model'!T17/'Strategic Model'!T11</f>
        <v>1796.0546448087432</v>
      </c>
      <c r="M114" s="139">
        <f>'Strategic Model'!U17/'Strategic Model'!U11</f>
        <v>1800.9753424657533</v>
      </c>
      <c r="N114" s="139">
        <f>'Strategic Model'!V17/'Strategic Model'!V11</f>
        <v>2438.4753424657533</v>
      </c>
      <c r="O114" s="139">
        <f>'Strategic Model'!W17/'Strategic Model'!W11</f>
        <v>2438.4753424657533</v>
      </c>
      <c r="P114" s="139">
        <f>'Strategic Model'!X17/'Strategic Model'!X11</f>
        <v>2431.8128415300548</v>
      </c>
      <c r="Q114" s="139">
        <f>'Strategic Model'!Y17/'Strategic Model'!Y11</f>
        <v>2438.4753424657533</v>
      </c>
      <c r="R114" s="139">
        <f>'Strategic Model'!Z17/'Strategic Model'!Z11</f>
        <v>2438.4753424657533</v>
      </c>
      <c r="S114" s="139">
        <f>'Strategic Model'!AA17/'Strategic Model'!AA11</f>
        <v>2438.4753424657533</v>
      </c>
      <c r="T114" s="139">
        <f>'Strategic Model'!AB17/'Strategic Model'!AB11</f>
        <v>2431.8128415300548</v>
      </c>
      <c r="U114" s="139">
        <f>('Strategic Model'!AC17-'Strategic Model'!AC36)/'Strategic Model'!AC11</f>
        <v>2438.4753424657533</v>
      </c>
      <c r="V114" s="139">
        <f>('Strategic Model'!AD17-'Strategic Model'!AD36)/'Strategic Model'!AD11</f>
        <v>2438.4753424657533</v>
      </c>
      <c r="W114" s="139">
        <f>('Strategic Model'!AE17-'Strategic Model'!AE36)/'Strategic Model'!AE11</f>
        <v>2438.4753424657533</v>
      </c>
      <c r="X114" s="139">
        <f>('Strategic Model'!AF17-'Strategic Model'!AF36)/'Strategic Model'!AF11</f>
        <v>2431.8128415300548</v>
      </c>
      <c r="Y114" s="139">
        <f>('Strategic Model'!AG17-'Strategic Model'!AG36)/'Strategic Model'!AG11</f>
        <v>2438.4753424657533</v>
      </c>
      <c r="Z114" s="139">
        <f>('Strategic Model'!AH17-'Strategic Model'!AH36)/'Strategic Model'!AH11</f>
        <v>2438.4753424657533</v>
      </c>
      <c r="AA114" s="139">
        <f>('Strategic Model'!AI17-'Strategic Model'!AI36)/'Strategic Model'!AI11</f>
        <v>2438.4753424657533</v>
      </c>
      <c r="AB114" s="139">
        <f>('Strategic Model'!AJ17-'Strategic Model'!AJ36)/'Strategic Model'!AJ11</f>
        <v>2431.8128415300548</v>
      </c>
      <c r="AC114" s="139">
        <f>('Strategic Model'!AK17-'Strategic Model'!AK36)/'Strategic Model'!AK11</f>
        <v>2438.4753424657533</v>
      </c>
      <c r="AD114" s="139">
        <f>('Strategic Model'!AL17-'Strategic Model'!AL36)/'Strategic Model'!AL11</f>
        <v>2438.4753424657533</v>
      </c>
    </row>
    <row r="115" spans="3:31">
      <c r="C115">
        <v>3</v>
      </c>
      <c r="D115" s="7" t="s">
        <v>579</v>
      </c>
      <c r="E115" s="139">
        <f>'Strategic Model'!M33/'Strategic Model'!M11</f>
        <v>156.17132429589043</v>
      </c>
      <c r="F115" s="139">
        <f>'Strategic Model'!N33/'Strategic Model'!N11</f>
        <v>651.44977579835609</v>
      </c>
      <c r="G115" s="139">
        <f>'Strategic Model'!O33/'Strategic Model'!O11</f>
        <v>1299.7243310098113</v>
      </c>
      <c r="H115" s="139">
        <f>'Strategic Model'!P33/'Strategic Model'!P11</f>
        <v>1296.1731716354677</v>
      </c>
      <c r="I115" s="139">
        <f>'Strategic Model'!Q33/'Strategic Model'!Q11</f>
        <v>1526.9643310098115</v>
      </c>
      <c r="J115" s="139">
        <f>'Strategic Model'!R33/'Strategic Model'!R11</f>
        <v>1526.9643310098115</v>
      </c>
      <c r="K115" s="139">
        <f>'Strategic Model'!S33/'Strategic Model'!S11</f>
        <v>1754.4</v>
      </c>
      <c r="L115" s="139">
        <f>'Strategic Model'!T33/'Strategic Model'!T11</f>
        <v>1749.6065573770493</v>
      </c>
      <c r="M115" s="139">
        <f>'Strategic Model'!U33/'Strategic Model'!U11</f>
        <v>1754.4</v>
      </c>
      <c r="N115" s="139">
        <f>'Strategic Model'!V33/'Strategic Model'!V11</f>
        <v>1131.0507919080253</v>
      </c>
      <c r="O115" s="139">
        <f>'Strategic Model'!W33/'Strategic Model'!W11</f>
        <v>1131.0507919080253</v>
      </c>
      <c r="P115" s="139">
        <f>'Strategic Model'!X33/'Strategic Model'!X11</f>
        <v>1126.2186859192054</v>
      </c>
      <c r="Q115" s="139">
        <f>'Strategic Model'!Y33/'Strategic Model'!Y11</f>
        <v>1131.0507919080253</v>
      </c>
      <c r="R115" s="139">
        <f>'Strategic Model'!Z33/'Strategic Model'!Z11</f>
        <v>1131.0507919080253</v>
      </c>
      <c r="S115" s="139">
        <f>'Strategic Model'!AA33/'Strategic Model'!AA11</f>
        <v>1131.0507919080253</v>
      </c>
      <c r="T115" s="139">
        <f>'Strategic Model'!AB33/'Strategic Model'!AB11</f>
        <v>1126.2186859192054</v>
      </c>
      <c r="U115" s="139">
        <f>('Strategic Model'!AC18)/'Strategic Model'!AC11</f>
        <v>1754.4</v>
      </c>
      <c r="V115" s="139">
        <f>('Strategic Model'!AD18)/'Strategic Model'!AD11</f>
        <v>1754.4</v>
      </c>
      <c r="W115" s="139">
        <f>('Strategic Model'!AE18)/'Strategic Model'!AE11</f>
        <v>1754.4</v>
      </c>
      <c r="X115" s="139">
        <f>('Strategic Model'!AF18)/'Strategic Model'!AF11</f>
        <v>1749.6065573770493</v>
      </c>
      <c r="Y115" s="139">
        <f>('Strategic Model'!AG18)/'Strategic Model'!AG11</f>
        <v>1754.4</v>
      </c>
      <c r="Z115" s="139">
        <f>('Strategic Model'!AH18)/'Strategic Model'!AH11</f>
        <v>1754.4</v>
      </c>
      <c r="AA115" s="139">
        <f>('Strategic Model'!AI18)/'Strategic Model'!AI11</f>
        <v>1754.4</v>
      </c>
      <c r="AB115" s="139">
        <f>('Strategic Model'!AJ18)/'Strategic Model'!AJ11</f>
        <v>1749.6065573770493</v>
      </c>
      <c r="AC115" s="139">
        <f>('Strategic Model'!AK18)/'Strategic Model'!AK11</f>
        <v>1754.4</v>
      </c>
      <c r="AD115" s="139">
        <f>('Strategic Model'!AL18)/'Strategic Model'!AL11</f>
        <v>1754.4</v>
      </c>
    </row>
    <row r="117" spans="3:31">
      <c r="D117" s="141" t="s">
        <v>480</v>
      </c>
      <c r="E117" s="7" t="s">
        <v>481</v>
      </c>
      <c r="F117" s="7"/>
    </row>
    <row r="118" spans="3:31">
      <c r="D118" s="7" t="s">
        <v>482</v>
      </c>
      <c r="E118" s="65">
        <f>'BaU Model'!AM92</f>
        <v>1603.8032454077324</v>
      </c>
      <c r="F118" s="65">
        <f>'Strategic Model'!AM109</f>
        <v>1288.2995290644731</v>
      </c>
      <c r="G118" s="65">
        <f>E118-F118</f>
        <v>315.50371634325938</v>
      </c>
    </row>
    <row r="119" spans="3:31">
      <c r="E119">
        <v>2025</v>
      </c>
      <c r="F119">
        <v>2026</v>
      </c>
      <c r="G119">
        <v>2027</v>
      </c>
      <c r="H119">
        <v>2028</v>
      </c>
      <c r="I119">
        <v>2029</v>
      </c>
      <c r="J119">
        <v>2030</v>
      </c>
      <c r="K119">
        <v>2031</v>
      </c>
      <c r="L119">
        <v>2032</v>
      </c>
      <c r="M119">
        <v>2033</v>
      </c>
      <c r="N119">
        <v>2034</v>
      </c>
      <c r="O119">
        <v>2035</v>
      </c>
      <c r="P119">
        <v>2036</v>
      </c>
      <c r="Q119">
        <v>2037</v>
      </c>
      <c r="R119">
        <v>2038</v>
      </c>
      <c r="S119">
        <v>2039</v>
      </c>
      <c r="T119">
        <v>2040</v>
      </c>
      <c r="U119">
        <v>2041</v>
      </c>
      <c r="V119">
        <v>2042</v>
      </c>
      <c r="W119">
        <v>2043</v>
      </c>
      <c r="X119">
        <v>2044</v>
      </c>
      <c r="Y119">
        <v>2045</v>
      </c>
      <c r="Z119">
        <v>2046</v>
      </c>
      <c r="AA119">
        <v>2047</v>
      </c>
      <c r="AB119">
        <v>2048</v>
      </c>
      <c r="AC119">
        <v>2049</v>
      </c>
      <c r="AD119">
        <v>2050</v>
      </c>
      <c r="AE119" t="s">
        <v>190</v>
      </c>
    </row>
    <row r="120" spans="3:31">
      <c r="D120" s="7" t="s">
        <v>465</v>
      </c>
      <c r="E120" s="116">
        <f>'BaU Model'!M81-'Strategic Model'!M92</f>
        <v>0</v>
      </c>
      <c r="F120" s="116">
        <f>'BaU Model'!N81-'Strategic Model'!N92</f>
        <v>0</v>
      </c>
      <c r="G120" s="116">
        <f>'BaU Model'!O81-'Strategic Model'!O92</f>
        <v>0</v>
      </c>
      <c r="H120" s="116">
        <f>'BaU Model'!P81-'Strategic Model'!P92</f>
        <v>0</v>
      </c>
      <c r="I120" s="116">
        <f>'BaU Model'!Q81-'Strategic Model'!Q92</f>
        <v>0</v>
      </c>
      <c r="J120" s="116">
        <f>'BaU Model'!R81-'Strategic Model'!R92</f>
        <v>0</v>
      </c>
      <c r="K120" s="116">
        <f>'BaU Model'!S81-'Strategic Model'!S92</f>
        <v>3170572.3610512819</v>
      </c>
      <c r="L120" s="116">
        <f>'BaU Model'!T81-'Strategic Model'!T92</f>
        <v>3360806.7027143594</v>
      </c>
      <c r="M120" s="116">
        <f>'BaU Model'!U81-'Strategic Model'!U92</f>
        <v>3562455.1048772214</v>
      </c>
      <c r="N120" s="116">
        <f>'BaU Model'!V81-'Strategic Model'!V92</f>
        <v>4037616.3720789836</v>
      </c>
      <c r="O120" s="116">
        <f>'BaU Model'!W81-'Strategic Model'!W92</f>
        <v>4279873.3544037221</v>
      </c>
      <c r="P120" s="116">
        <f>'BaU Model'!X81-'Strategic Model'!X92</f>
        <v>4536665.7556679454</v>
      </c>
      <c r="Q120" s="116">
        <f>'BaU Model'!Y81-'Strategic Model'!Y92</f>
        <v>4808865.7010080228</v>
      </c>
      <c r="R120" s="116">
        <f>'BaU Model'!Z81-'Strategic Model'!Z92</f>
        <v>5097397.6430685036</v>
      </c>
      <c r="S120" s="116">
        <f>'BaU Model'!AA81-'Strategic Model'!AA92</f>
        <v>5403241.5016526142</v>
      </c>
      <c r="T120" s="116">
        <f>'BaU Model'!AB81-'Strategic Model'!AB92</f>
        <v>5727435.9917517714</v>
      </c>
      <c r="U120" s="116">
        <f>'BaU Model'!AC81-'Strategic Model'!AC92</f>
        <v>6071082.1512568779</v>
      </c>
      <c r="V120" s="116">
        <f>'BaU Model'!AD81-'Strategic Model'!AD92</f>
        <v>6435347.0803322913</v>
      </c>
      <c r="W120" s="116">
        <f>'BaU Model'!AE81-'Strategic Model'!AE92</f>
        <v>6821467.9051522296</v>
      </c>
      <c r="X120" s="116">
        <f>'BaU Model'!AF81-'Strategic Model'!AF92</f>
        <v>7230755.9794613644</v>
      </c>
      <c r="Y120" s="116">
        <f>'BaU Model'!AG81-'Strategic Model'!AG92</f>
        <v>7664601.3382290462</v>
      </c>
      <c r="Z120" s="116">
        <f>'BaU Model'!AH81-'Strategic Model'!AH92</f>
        <v>8124477.4185227901</v>
      </c>
      <c r="AA120" s="116">
        <f>'BaU Model'!AI81-'Strategic Model'!AI92</f>
        <v>8611946.0636341572</v>
      </c>
      <c r="AB120" s="116">
        <f>'BaU Model'!AJ81-'Strategic Model'!AJ92</f>
        <v>9128662.827452207</v>
      </c>
      <c r="AC120" s="116">
        <f>'BaU Model'!AK81-'Strategic Model'!AK92</f>
        <v>9676382.5970993396</v>
      </c>
      <c r="AD120" s="116">
        <f>'BaU Model'!AL81-'Strategic Model'!AL92</f>
        <v>10256965.552925302</v>
      </c>
      <c r="AE120" s="116">
        <f>SUM(E120:AD120)/10^6</f>
        <v>124.00661940234004</v>
      </c>
    </row>
    <row r="121" spans="3:31">
      <c r="D121" s="7" t="s">
        <v>466</v>
      </c>
      <c r="E121" s="116">
        <f>'BaU Model'!L88-'Strategic Model'!L103</f>
        <v>0</v>
      </c>
      <c r="F121" s="116">
        <f>'BaU Model'!M88-'Strategic Model'!M103</f>
        <v>0</v>
      </c>
      <c r="G121" s="116">
        <f>'BaU Model'!N88-'Strategic Model'!N103</f>
        <v>0</v>
      </c>
      <c r="H121" s="116">
        <f>'BaU Model'!O88-'Strategic Model'!O103</f>
        <v>1180799.6536144819</v>
      </c>
      <c r="I121" s="116">
        <f>'BaU Model'!P88-'Strategic Model'!P103</f>
        <v>1251647.63283135</v>
      </c>
      <c r="J121" s="116">
        <f>'BaU Model'!Q88-'Strategic Model'!Q103</f>
        <v>1558710.9661722742</v>
      </c>
      <c r="K121" s="116">
        <f>'BaU Model'!R88-'Strategic Model'!R103</f>
        <v>1652233.6241426095</v>
      </c>
      <c r="L121" s="116">
        <f>'BaU Model'!S88-'Strategic Model'!S103</f>
        <v>2081877.8229393233</v>
      </c>
      <c r="M121" s="116">
        <f>'BaU Model'!T88-'Strategic Model'!T103</f>
        <v>2206790.4923156779</v>
      </c>
      <c r="N121" s="116">
        <f>'BaU Model'!U88-'Strategic Model'!U103</f>
        <v>2339197.9218546208</v>
      </c>
      <c r="O121" s="116">
        <f>'BaU Model'!V88-'Strategic Model'!V103</f>
        <v>2479549.7971659005</v>
      </c>
      <c r="P121" s="116">
        <f>'BaU Model'!W88-'Strategic Model'!W103</f>
        <v>12488135.188789938</v>
      </c>
      <c r="Q121" s="116">
        <f>'BaU Model'!X88-'Strategic Model'!X103</f>
        <v>13266057.275865337</v>
      </c>
      <c r="R121" s="116">
        <f>'BaU Model'!Y88-'Strategic Model'!Y103</f>
        <v>14031668.698124373</v>
      </c>
      <c r="S121" s="116">
        <f>'BaU Model'!Z88-'Strategic Model'!Z103</f>
        <v>14873568.820011836</v>
      </c>
      <c r="T121" s="116">
        <f>'BaU Model'!AA88-'Strategic Model'!AA103</f>
        <v>15765982.949212549</v>
      </c>
      <c r="U121" s="116">
        <f>'BaU Model'!AB88-'Strategic Model'!AB103</f>
        <v>16748091.660820358</v>
      </c>
      <c r="V121" s="116">
        <f>'BaU Model'!AC88-'Strategic Model'!AC103</f>
        <v>17714658.441735223</v>
      </c>
      <c r="W121" s="116">
        <f>'BaU Model'!AD88-'Strategic Model'!AD103</f>
        <v>18777537.948239334</v>
      </c>
      <c r="X121" s="116">
        <f>'BaU Model'!AE88-'Strategic Model'!AE103</f>
        <v>19904190.225133695</v>
      </c>
      <c r="Y121" s="116">
        <f>'BaU Model'!AF88-'Strategic Model'!AF103</f>
        <v>21144079.845753837</v>
      </c>
      <c r="Z121" s="116">
        <f>'BaU Model'!AG88-'Strategic Model'!AG103</f>
        <v>22364348.136960223</v>
      </c>
      <c r="AA121" s="116">
        <f>'BaU Model'!AH88-'Strategic Model'!AH103</f>
        <v>23706209.02517784</v>
      </c>
      <c r="AB121" s="116">
        <f>'BaU Model'!AI88-'Strategic Model'!AI103</f>
        <v>25128581.566688515</v>
      </c>
      <c r="AC121" s="116">
        <f>'BaU Model'!AJ88-'Strategic Model'!AJ103</f>
        <v>26693913.64566458</v>
      </c>
      <c r="AD121" s="116">
        <f>'BaU Model'!AK88-'Strategic Model'!AK103</f>
        <v>28234474.248331215</v>
      </c>
      <c r="AE121" s="116">
        <f t="shared" ref="AE121:AE125" si="10">SUM(E121:AD121)/10^6</f>
        <v>305.59230558754507</v>
      </c>
    </row>
    <row r="122" spans="3:31">
      <c r="D122" s="7" t="s">
        <v>144</v>
      </c>
      <c r="E122" s="116">
        <f>'BaU Model'!M82-'Strategic Model'!M93</f>
        <v>0</v>
      </c>
      <c r="F122" s="116">
        <f>'BaU Model'!N82-'Strategic Model'!N93</f>
        <v>0</v>
      </c>
      <c r="G122" s="116">
        <f>'BaU Model'!O82-'Strategic Model'!O93</f>
        <v>664519.18164999411</v>
      </c>
      <c r="H122" s="116">
        <f>'BaU Model'!P82-'Strategic Model'!P93</f>
        <v>726718.17705243267</v>
      </c>
      <c r="I122" s="116">
        <f>'BaU Model'!Q82-'Strategic Model'!Q93</f>
        <v>933688.84008956514</v>
      </c>
      <c r="J122" s="116">
        <f>'BaU Model'!R82-'Strategic Model'!R93</f>
        <v>1021082.1155219469</v>
      </c>
      <c r="K122" s="116">
        <f>'BaU Model'!S82-'Strategic Model'!S93</f>
        <v>0</v>
      </c>
      <c r="L122" s="116">
        <f>'BaU Model'!T82-'Strategic Model'!T93</f>
        <v>0</v>
      </c>
      <c r="M122" s="116">
        <f>'BaU Model'!U82-'Strategic Model'!U93</f>
        <v>0</v>
      </c>
      <c r="N122" s="116">
        <f>'BaU Model'!V82-'Strategic Model'!V93</f>
        <v>6856382.4698961731</v>
      </c>
      <c r="O122" s="116">
        <f>'BaU Model'!W82-'Strategic Model'!W93</f>
        <v>7498139.8690784555</v>
      </c>
      <c r="P122" s="116">
        <f>'BaU Model'!X82-'Strategic Model'!X93</f>
        <v>8222941.4184828587</v>
      </c>
      <c r="Q122" s="116">
        <f>'BaU Model'!Y82-'Strategic Model'!Y93</f>
        <v>8967482.5560373422</v>
      </c>
      <c r="R122" s="116">
        <f>'BaU Model'!Z82-'Strategic Model'!Z93</f>
        <v>9806838.9232824333</v>
      </c>
      <c r="S122" s="116">
        <f>'BaU Model'!AA82-'Strategic Model'!AA93</f>
        <v>10724759.046501666</v>
      </c>
      <c r="T122" s="116">
        <f>'BaU Model'!AB82-'Strategic Model'!AB93</f>
        <v>11761459.096063253</v>
      </c>
      <c r="U122" s="116">
        <f>'BaU Model'!AC82-'Strategic Model'!AC93</f>
        <v>12826393.125022817</v>
      </c>
      <c r="V122" s="116">
        <f>'BaU Model'!AD82-'Strategic Model'!AD93</f>
        <v>14026943.521524955</v>
      </c>
      <c r="W122" s="116">
        <f>'BaU Model'!AE82-'Strategic Model'!AE93</f>
        <v>15339865.435139686</v>
      </c>
      <c r="X122" s="116">
        <f>'BaU Model'!AF82-'Strategic Model'!AF93</f>
        <v>16822680.963947743</v>
      </c>
      <c r="Y122" s="116">
        <f>'BaU Model'!AG82-'Strategic Model'!AG93</f>
        <v>18345880.192080479</v>
      </c>
      <c r="Z122" s="116">
        <f>'BaU Model'!AH82-'Strategic Model'!AH93</f>
        <v>20063054.578059211</v>
      </c>
      <c r="AA122" s="116">
        <f>'BaU Model'!AI82-'Strategic Model'!AI93</f>
        <v>21940956.486565553</v>
      </c>
      <c r="AB122" s="116">
        <f>'BaU Model'!AJ82-'Strategic Model'!AJ93</f>
        <v>24061861.075510204</v>
      </c>
      <c r="AC122" s="116">
        <f>'BaU Model'!AK82-'Strategic Model'!AK93</f>
        <v>26240527.382991165</v>
      </c>
      <c r="AD122" s="116">
        <f>'BaU Model'!AL82-'Strategic Model'!AL93</f>
        <v>28696640.746039137</v>
      </c>
      <c r="AE122" s="116">
        <f t="shared" si="10"/>
        <v>265.54881520053709</v>
      </c>
    </row>
    <row r="123" spans="3:31">
      <c r="D123" s="7" t="s">
        <v>483</v>
      </c>
      <c r="E123" s="116">
        <f>'BaU Model'!M183-'Strategic Model'!M200</f>
        <v>0</v>
      </c>
      <c r="F123" s="116">
        <f>'BaU Model'!N183-'Strategic Model'!N200</f>
        <v>0</v>
      </c>
      <c r="G123" s="116">
        <f>'BaU Model'!O183-'Strategic Model'!O200</f>
        <v>0</v>
      </c>
      <c r="H123" s="116">
        <f>'BaU Model'!P183-'Strategic Model'!P200</f>
        <v>0</v>
      </c>
      <c r="I123" s="116">
        <f>'BaU Model'!Q183-'Strategic Model'!Q200</f>
        <v>0</v>
      </c>
      <c r="J123" s="116">
        <f>'BaU Model'!R183-'Strategic Model'!R200</f>
        <v>0</v>
      </c>
      <c r="K123" s="116">
        <f>'BaU Model'!S183-'Strategic Model'!S200</f>
        <v>0</v>
      </c>
      <c r="L123" s="116">
        <f>'BaU Model'!T183-'Strategic Model'!T200</f>
        <v>0</v>
      </c>
      <c r="M123" s="116">
        <f>'BaU Model'!U183-'Strategic Model'!U200</f>
        <v>0</v>
      </c>
      <c r="N123" s="116">
        <f>'BaU Model'!V183-'Strategic Model'!V200</f>
        <v>101831608.48783351</v>
      </c>
      <c r="O123" s="116">
        <f>'BaU Model'!W183-'Strategic Model'!W200</f>
        <v>107941504.99710354</v>
      </c>
      <c r="P123" s="116">
        <f>'BaU Model'!X183-'Strategic Model'!X200</f>
        <v>114105377.82344088</v>
      </c>
      <c r="Q123" s="116">
        <f>'BaU Model'!Y183-'Strategic Model'!Y200</f>
        <v>121283075.01474555</v>
      </c>
      <c r="R123" s="116">
        <f>'BaU Model'!Z183-'Strategic Model'!Z200</f>
        <v>128560059.51563029</v>
      </c>
      <c r="S123" s="116">
        <f>'BaU Model'!AA183-'Strategic Model'!AA200</f>
        <v>136273663.08656812</v>
      </c>
      <c r="T123" s="116">
        <f>'BaU Model'!AB183-'Strategic Model'!AB200</f>
        <v>144055410.51418909</v>
      </c>
      <c r="U123" s="116">
        <f>'BaU Model'!AC183-'Strategic Model'!AC200</f>
        <v>153117087.84406796</v>
      </c>
      <c r="V123" s="116">
        <f>'BaU Model'!AD183-'Strategic Model'!AD200</f>
        <v>162304113.11471203</v>
      </c>
      <c r="W123" s="116">
        <f>'BaU Model'!AE183-'Strategic Model'!AE200</f>
        <v>172042359.90159476</v>
      </c>
      <c r="X123" s="116">
        <f>'BaU Model'!AF183-'Strategic Model'!AF200</f>
        <v>181866636.73750553</v>
      </c>
      <c r="Y123" s="116">
        <f>'BaU Model'!AG183-'Strategic Model'!AG200</f>
        <v>193306795.5854319</v>
      </c>
      <c r="Z123" s="116">
        <f>'BaU Model'!AH183-'Strategic Model'!AH200</f>
        <v>204905203.3205578</v>
      </c>
      <c r="AA123" s="116">
        <f>'BaU Model'!AI183-'Strategic Model'!AI200</f>
        <v>217199515.51979131</v>
      </c>
      <c r="AB123" s="116">
        <f>'BaU Model'!AJ183-'Strategic Model'!AJ200</f>
        <v>229602438.67379028</v>
      </c>
      <c r="AC123" s="116">
        <f>'BaU Model'!AK183-'Strategic Model'!AK200</f>
        <v>244045375.6380375</v>
      </c>
      <c r="AD123" s="116">
        <f>'BaU Model'!AL183-'Strategic Model'!AL200</f>
        <v>258688098.17631975</v>
      </c>
      <c r="AE123" s="116">
        <f t="shared" si="10"/>
        <v>2871.1283239513195</v>
      </c>
    </row>
    <row r="124" spans="3:31">
      <c r="D124" s="7" t="s">
        <v>484</v>
      </c>
      <c r="E124" s="65">
        <f>'BaU Model'!M184-'Strategic Model'!M201</f>
        <v>0</v>
      </c>
      <c r="F124" s="65">
        <f>'BaU Model'!N184-'Strategic Model'!N201</f>
        <v>0</v>
      </c>
      <c r="G124" s="65">
        <f>'BaU Model'!O184-'Strategic Model'!O201</f>
        <v>166129.79541249853</v>
      </c>
      <c r="H124" s="65">
        <f>'BaU Model'!P184-'Strategic Model'!P201</f>
        <v>181679.54426310817</v>
      </c>
      <c r="I124" s="65">
        <f>'BaU Model'!Q184-'Strategic Model'!Q201</f>
        <v>233422.21002239129</v>
      </c>
      <c r="J124" s="65">
        <f>'BaU Model'!R184-'Strategic Model'!R201</f>
        <v>255270.52888048673</v>
      </c>
      <c r="K124" s="65">
        <f>'BaU Model'!S184-'Strategic Model'!S201</f>
        <v>128800.85986759327</v>
      </c>
      <c r="L124" s="65">
        <f>'BaU Model'!T184-'Strategic Model'!T201</f>
        <v>140682.77811321709</v>
      </c>
      <c r="M124" s="65">
        <f>'BaU Model'!U184-'Strategic Model'!U201</f>
        <v>153663.66194517538</v>
      </c>
      <c r="N124" s="65">
        <f>'BaU Model'!V184-'Strategic Model'!V201</f>
        <v>3724447.255367191</v>
      </c>
      <c r="O124" s="65">
        <f>'BaU Model'!W184-'Strategic Model'!W201</f>
        <v>4072832.5093022683</v>
      </c>
      <c r="P124" s="65">
        <f>'BaU Model'!X184-'Strategic Model'!X201</f>
        <v>4459557.1568702981</v>
      </c>
      <c r="Q124" s="65">
        <f>'BaU Model'!Y184-'Strategic Model'!Y201</f>
        <v>4870439.5888491105</v>
      </c>
      <c r="R124" s="65">
        <f>'BaU Model'!Z184-'Strategic Model'!Z201</f>
        <v>5326047.1268789973</v>
      </c>
      <c r="S124" s="65">
        <f>'BaU Model'!AA184-'Strategic Model'!AA201</f>
        <v>5824283.5940192984</v>
      </c>
      <c r="T124" s="65">
        <f>'BaU Model'!AB184-'Strategic Model'!AB201</f>
        <v>6377353.7525500525</v>
      </c>
      <c r="U124" s="65">
        <f>'BaU Model'!AC184-'Strategic Model'!AC201</f>
        <v>6964973.0854147384</v>
      </c>
      <c r="V124" s="65">
        <f>'BaU Model'!AD184-'Strategic Model'!AD201</f>
        <v>7616559.2428775867</v>
      </c>
      <c r="W124" s="65">
        <f>'BaU Model'!AE184-'Strategic Model'!AE201</f>
        <v>8329113.7452790383</v>
      </c>
      <c r="X124" s="65">
        <f>'BaU Model'!AF184-'Strategic Model'!AF201</f>
        <v>9120093.0535610989</v>
      </c>
      <c r="Y124" s="65">
        <f>'BaU Model'!AG184-'Strategic Model'!AG201</f>
        <v>9960483.4603976794</v>
      </c>
      <c r="Z124" s="65">
        <f>'BaU Model'!AH184-'Strategic Model'!AH201</f>
        <v>10892361.374310132</v>
      </c>
      <c r="AA124" s="65">
        <f>'BaU Model'!AI184-'Strategic Model'!AI201</f>
        <v>11911437.660685949</v>
      </c>
      <c r="AB124" s="65">
        <f>'BaU Model'!AJ184-'Strategic Model'!AJ201</f>
        <v>13042680.328621499</v>
      </c>
      <c r="AC124" s="65">
        <f>'BaU Model'!AK184-'Strategic Model'!AK201</f>
        <v>14244590.032775272</v>
      </c>
      <c r="AD124" s="65">
        <f>'BaU Model'!AL184-'Strategic Model'!AL201</f>
        <v>15577349.205396034</v>
      </c>
      <c r="AE124" s="116">
        <f t="shared" si="10"/>
        <v>143.57425155166072</v>
      </c>
    </row>
    <row r="125" spans="3:31">
      <c r="D125" s="7" t="s">
        <v>336</v>
      </c>
      <c r="E125" s="65">
        <f>'BaU Model'!M191-'Strategic Model'!M208</f>
        <v>0</v>
      </c>
      <c r="F125" s="65">
        <f>'BaU Model'!N191-'Strategic Model'!N208</f>
        <v>0</v>
      </c>
      <c r="G125" s="65">
        <f>'BaU Model'!O191-'Strategic Model'!O208</f>
        <v>3081820.9131031111</v>
      </c>
      <c r="H125" s="65">
        <f>'BaU Model'!P191-'Strategic Model'!P208</f>
        <v>3330604.4822081178</v>
      </c>
      <c r="I125" s="65">
        <f>'BaU Model'!Q191-'Strategic Model'!Q208</f>
        <v>4210556.0529075563</v>
      </c>
      <c r="J125" s="65">
        <f>'BaU Model'!R191-'Strategic Model'!R208</f>
        <v>4534846.768262431</v>
      </c>
      <c r="K125" s="65">
        <f>'BaU Model'!S191-'Strategic Model'!S208</f>
        <v>7271363.5084308088</v>
      </c>
      <c r="L125" s="65">
        <f>'BaU Model'!T191-'Strategic Model'!T208</f>
        <v>7751164.4284690619</v>
      </c>
      <c r="M125" s="65">
        <f>'BaU Model'!U191-'Strategic Model'!U208</f>
        <v>8263365.3327519596</v>
      </c>
      <c r="N125" s="65">
        <f>'BaU Model'!V191-'Strategic Model'!V208</f>
        <v>110845281.14932752</v>
      </c>
      <c r="O125" s="65">
        <f>'BaU Model'!W191-'Strategic Model'!W208</f>
        <v>127409141.79019512</v>
      </c>
      <c r="P125" s="65">
        <f>'BaU Model'!X191-'Strategic Model'!X208</f>
        <v>134821864.18949229</v>
      </c>
      <c r="Q125" s="65">
        <f>'BaU Model'!Y191-'Strategic Model'!Y208</f>
        <v>143280653.78253374</v>
      </c>
      <c r="R125" s="65">
        <f>'BaU Model'!Z191-'Strategic Model'!Z208</f>
        <v>151945205.27018523</v>
      </c>
      <c r="S125" s="65">
        <f>'BaU Model'!AA191-'Strategic Model'!AA208</f>
        <v>161135243.83706784</v>
      </c>
      <c r="T125" s="65">
        <f>'BaU Model'!AB191-'Strategic Model'!AB208</f>
        <v>170516249.49696255</v>
      </c>
      <c r="U125" s="65">
        <f>'BaU Model'!AC191-'Strategic Model'!AC208</f>
        <v>181221731.40411004</v>
      </c>
      <c r="V125" s="65">
        <f>'BaU Model'!AD191-'Strategic Model'!AD208</f>
        <v>192188173.78488976</v>
      </c>
      <c r="W125" s="65">
        <f>'BaU Model'!AE191-'Strategic Model'!AE208</f>
        <v>203820339.286715</v>
      </c>
      <c r="X125" s="65">
        <f>'BaU Model'!AF191-'Strategic Model'!AF208</f>
        <v>215694756.13079351</v>
      </c>
      <c r="Y125" s="65">
        <f>'BaU Model'!AG191-'Strategic Model'!AG208</f>
        <v>229246689.52498922</v>
      </c>
      <c r="Z125" s="65">
        <f>'BaU Model'!AH191-'Strategic Model'!AH208</f>
        <v>243129677.69858253</v>
      </c>
      <c r="AA125" s="65">
        <f>'BaU Model'!AI191-'Strategic Model'!AI208</f>
        <v>257856313.4929828</v>
      </c>
      <c r="AB125" s="65">
        <f>'BaU Model'!AJ191-'Strategic Model'!AJ208</f>
        <v>272890322.57288158</v>
      </c>
      <c r="AC125" s="65">
        <f>'BaU Model'!AK191-'Strategic Model'!AK208</f>
        <v>290049743.40169466</v>
      </c>
      <c r="AD125" s="65">
        <f>'BaU Model'!AL191-'Strategic Model'!AL208</f>
        <v>307629256.78210342</v>
      </c>
      <c r="AE125" s="116">
        <f t="shared" si="10"/>
        <v>3432.1243650816405</v>
      </c>
    </row>
    <row r="126" spans="3:31">
      <c r="D126" s="7"/>
      <c r="E126" s="65"/>
      <c r="F126" s="65"/>
      <c r="G126" s="65"/>
      <c r="H126" s="65"/>
      <c r="I126" s="65"/>
      <c r="J126" s="65"/>
      <c r="K126" s="65"/>
      <c r="L126" s="65"/>
      <c r="M126" s="65"/>
      <c r="N126" s="65"/>
      <c r="O126" s="65"/>
      <c r="P126" s="65"/>
      <c r="Q126" s="65"/>
      <c r="R126" s="65"/>
      <c r="S126" s="65"/>
      <c r="T126" s="65"/>
      <c r="U126" s="65"/>
      <c r="V126" s="65"/>
      <c r="W126" s="65"/>
      <c r="X126" s="65"/>
      <c r="Y126" s="65"/>
      <c r="Z126" s="65"/>
      <c r="AA126" s="65"/>
      <c r="AB126" s="65"/>
      <c r="AC126" s="65"/>
      <c r="AD126" s="65"/>
      <c r="AE126" s="116"/>
    </row>
    <row r="127" spans="3:31">
      <c r="D127" s="7"/>
      <c r="E127" s="65"/>
      <c r="F127" s="65"/>
      <c r="G127" s="65"/>
      <c r="H127" s="65"/>
      <c r="I127" s="65"/>
      <c r="J127" s="65"/>
      <c r="K127" s="65"/>
      <c r="L127" s="65"/>
      <c r="M127" s="65"/>
      <c r="N127" s="65"/>
      <c r="O127" s="65"/>
      <c r="P127" s="65"/>
      <c r="Q127" s="65"/>
      <c r="R127" s="65"/>
      <c r="S127" s="65"/>
      <c r="T127" s="65"/>
      <c r="U127" s="65"/>
      <c r="V127" s="65"/>
      <c r="W127" s="65"/>
      <c r="X127" s="65"/>
      <c r="Y127" s="65"/>
      <c r="Z127" s="65"/>
      <c r="AA127" s="65"/>
      <c r="AB127" s="65"/>
      <c r="AC127" s="65"/>
      <c r="AD127" s="65"/>
      <c r="AE127" s="116"/>
    </row>
    <row r="129" spans="4:36">
      <c r="D129" s="141" t="s">
        <v>493</v>
      </c>
    </row>
    <row r="130" spans="4:36">
      <c r="D130" s="141"/>
      <c r="E130">
        <v>2025</v>
      </c>
      <c r="F130">
        <v>2026</v>
      </c>
      <c r="G130">
        <v>2027</v>
      </c>
      <c r="H130">
        <v>2028</v>
      </c>
      <c r="I130">
        <v>2029</v>
      </c>
      <c r="J130">
        <v>2030</v>
      </c>
      <c r="K130">
        <v>2031</v>
      </c>
      <c r="L130">
        <v>2032</v>
      </c>
      <c r="M130">
        <v>2033</v>
      </c>
      <c r="N130">
        <v>2034</v>
      </c>
      <c r="O130">
        <v>2035</v>
      </c>
      <c r="P130">
        <v>2036</v>
      </c>
      <c r="Q130">
        <v>2037</v>
      </c>
      <c r="R130">
        <v>2038</v>
      </c>
      <c r="S130">
        <v>2039</v>
      </c>
      <c r="T130">
        <v>2040</v>
      </c>
      <c r="U130">
        <v>2041</v>
      </c>
      <c r="V130">
        <v>2042</v>
      </c>
      <c r="W130">
        <v>2043</v>
      </c>
      <c r="X130">
        <v>2044</v>
      </c>
      <c r="Y130">
        <v>2045</v>
      </c>
      <c r="Z130">
        <v>2046</v>
      </c>
      <c r="AA130">
        <v>2047</v>
      </c>
      <c r="AB130">
        <v>2048</v>
      </c>
      <c r="AC130">
        <v>2049</v>
      </c>
      <c r="AD130">
        <v>2050</v>
      </c>
      <c r="AE130" s="7" t="s">
        <v>208</v>
      </c>
      <c r="AF130" t="s">
        <v>501</v>
      </c>
      <c r="AG130" t="s">
        <v>502</v>
      </c>
      <c r="AH130" t="s">
        <v>190</v>
      </c>
    </row>
    <row r="131" spans="4:36">
      <c r="D131" s="146" t="s">
        <v>404</v>
      </c>
      <c r="E131" s="7" t="s">
        <v>494</v>
      </c>
      <c r="AI131" t="s">
        <v>531</v>
      </c>
      <c r="AJ131" s="65">
        <f>'BaU Model'!AM92</f>
        <v>1603.8032454077324</v>
      </c>
    </row>
    <row r="132" spans="4:36">
      <c r="D132" s="7" t="s">
        <v>495</v>
      </c>
      <c r="E132" s="117">
        <f>'BaU Model'!M23</f>
        <v>190008.44456000003</v>
      </c>
      <c r="F132" s="117">
        <f>'BaU Model'!N23</f>
        <v>475558.33633279998</v>
      </c>
      <c r="G132" s="117">
        <f>'BaU Model'!O23</f>
        <v>515651.50088976207</v>
      </c>
      <c r="H132" s="117">
        <f>'BaU Model'!P23</f>
        <v>515651.50088976207</v>
      </c>
      <c r="I132" s="117">
        <f>'BaU Model'!Q23</f>
        <v>605806.50088976207</v>
      </c>
      <c r="J132" s="117">
        <f>'BaU Model'!R23</f>
        <v>605806.50088976207</v>
      </c>
      <c r="K132" s="117">
        <f>'BaU Model'!S23</f>
        <v>720131.56418090127</v>
      </c>
      <c r="L132" s="117">
        <f>'BaU Model'!T23</f>
        <v>720131.56418090127</v>
      </c>
      <c r="M132" s="117">
        <f>'BaU Model'!U23</f>
        <v>720131.56418090127</v>
      </c>
      <c r="N132" s="117">
        <f>'BaU Model'!V23</f>
        <v>720131.56418090127</v>
      </c>
      <c r="O132" s="117">
        <f>'BaU Model'!W23</f>
        <v>720131.56418090127</v>
      </c>
      <c r="P132" s="117">
        <f>'BaU Model'!X23</f>
        <v>720131.56418090127</v>
      </c>
      <c r="Q132" s="117">
        <f>'BaU Model'!Y23</f>
        <v>720131.56418090127</v>
      </c>
      <c r="R132" s="117">
        <f>'BaU Model'!Z23</f>
        <v>720131.56418090127</v>
      </c>
      <c r="S132" s="117">
        <f>'BaU Model'!AA23</f>
        <v>720131.56418090127</v>
      </c>
      <c r="T132" s="117">
        <f>'BaU Model'!AB23</f>
        <v>720131.56418090127</v>
      </c>
      <c r="U132" s="117">
        <f>'BaU Model'!AC23</f>
        <v>720131.56418090127</v>
      </c>
      <c r="V132" s="117">
        <f>'BaU Model'!AD23</f>
        <v>720131.56418090127</v>
      </c>
      <c r="W132" s="117">
        <f>'BaU Model'!AE23</f>
        <v>720131.56418090127</v>
      </c>
      <c r="X132" s="117">
        <f>'BaU Model'!AF23</f>
        <v>720131.56418090127</v>
      </c>
      <c r="Y132" s="117">
        <f>'BaU Model'!AG23</f>
        <v>720131.56418090127</v>
      </c>
      <c r="Z132" s="117">
        <f>'BaU Model'!AH23</f>
        <v>720131.56418090127</v>
      </c>
      <c r="AA132" s="117">
        <f>'BaU Model'!AI23</f>
        <v>720131.56418090127</v>
      </c>
      <c r="AB132" s="117">
        <f>'BaU Model'!AJ23</f>
        <v>720131.56418090127</v>
      </c>
      <c r="AC132" s="117">
        <f>'BaU Model'!AK23</f>
        <v>720131.56418090127</v>
      </c>
      <c r="AD132" s="117">
        <f>'BaU Model'!AL23</f>
        <v>720131.56418090127</v>
      </c>
    </row>
    <row r="133" spans="4:36">
      <c r="D133" s="7" t="s">
        <v>496</v>
      </c>
      <c r="E133" s="117">
        <f>E132</f>
        <v>190008.44456000003</v>
      </c>
      <c r="F133" s="117">
        <f>F132</f>
        <v>475558.33633279998</v>
      </c>
      <c r="G133" s="117">
        <f>G132*0.92</f>
        <v>474399.38081858115</v>
      </c>
      <c r="H133" s="117">
        <f t="shared" ref="H133:AD133" si="11">H132*0.92</f>
        <v>474399.38081858115</v>
      </c>
      <c r="I133" s="117">
        <f t="shared" si="11"/>
        <v>557341.98081858119</v>
      </c>
      <c r="J133" s="117">
        <f t="shared" si="11"/>
        <v>557341.98081858119</v>
      </c>
      <c r="K133" s="117">
        <f t="shared" si="11"/>
        <v>662521.03904642921</v>
      </c>
      <c r="L133" s="117">
        <f t="shared" si="11"/>
        <v>662521.03904642921</v>
      </c>
      <c r="M133" s="117">
        <f t="shared" si="11"/>
        <v>662521.03904642921</v>
      </c>
      <c r="N133" s="117">
        <f t="shared" si="11"/>
        <v>662521.03904642921</v>
      </c>
      <c r="O133" s="117">
        <f t="shared" si="11"/>
        <v>662521.03904642921</v>
      </c>
      <c r="P133" s="117">
        <f t="shared" si="11"/>
        <v>662521.03904642921</v>
      </c>
      <c r="Q133" s="117">
        <f t="shared" si="11"/>
        <v>662521.03904642921</v>
      </c>
      <c r="R133" s="117">
        <f t="shared" si="11"/>
        <v>662521.03904642921</v>
      </c>
      <c r="S133" s="117">
        <f t="shared" si="11"/>
        <v>662521.03904642921</v>
      </c>
      <c r="T133" s="117">
        <f t="shared" si="11"/>
        <v>662521.03904642921</v>
      </c>
      <c r="U133" s="117">
        <f t="shared" si="11"/>
        <v>662521.03904642921</v>
      </c>
      <c r="V133" s="117">
        <f t="shared" si="11"/>
        <v>662521.03904642921</v>
      </c>
      <c r="W133" s="117">
        <f t="shared" si="11"/>
        <v>662521.03904642921</v>
      </c>
      <c r="X133" s="117">
        <f t="shared" si="11"/>
        <v>662521.03904642921</v>
      </c>
      <c r="Y133" s="117">
        <f t="shared" si="11"/>
        <v>662521.03904642921</v>
      </c>
      <c r="Z133" s="117">
        <f t="shared" si="11"/>
        <v>662521.03904642921</v>
      </c>
      <c r="AA133" s="117">
        <f t="shared" si="11"/>
        <v>662521.03904642921</v>
      </c>
      <c r="AB133" s="117">
        <f t="shared" si="11"/>
        <v>662521.03904642921</v>
      </c>
      <c r="AC133" s="117">
        <f t="shared" si="11"/>
        <v>662521.03904642921</v>
      </c>
      <c r="AD133" s="117">
        <f t="shared" si="11"/>
        <v>662521.03904642921</v>
      </c>
    </row>
    <row r="134" spans="4:36">
      <c r="D134" s="7" t="s">
        <v>585</v>
      </c>
      <c r="E134" s="117">
        <f>'Strategic Model'!M18</f>
        <v>320178</v>
      </c>
      <c r="F134" s="117">
        <f>'Strategic Model'!N18</f>
        <v>640356</v>
      </c>
      <c r="G134" s="117">
        <f>'Strategic Model'!O18</f>
        <v>640356</v>
      </c>
      <c r="H134" s="117">
        <f>'Strategic Model'!P18</f>
        <v>640356</v>
      </c>
      <c r="I134" s="117">
        <f>'Strategic Model'!Q18</f>
        <v>640356</v>
      </c>
      <c r="J134" s="117">
        <f>'Strategic Model'!R18</f>
        <v>640356</v>
      </c>
      <c r="K134" s="117">
        <f>'Strategic Model'!S18</f>
        <v>640356</v>
      </c>
      <c r="L134" s="117">
        <f>'Strategic Model'!T18</f>
        <v>640356</v>
      </c>
      <c r="M134" s="117">
        <f>'Strategic Model'!U18</f>
        <v>640356</v>
      </c>
      <c r="N134" s="117">
        <f>'Strategic Model'!V18</f>
        <v>640356</v>
      </c>
      <c r="O134" s="117">
        <f>'Strategic Model'!W18</f>
        <v>640356</v>
      </c>
      <c r="P134" s="117">
        <f>'Strategic Model'!X18</f>
        <v>640356</v>
      </c>
      <c r="Q134" s="117">
        <f>'Strategic Model'!Y18</f>
        <v>640356</v>
      </c>
      <c r="R134" s="117">
        <f>'Strategic Model'!Z18</f>
        <v>640356</v>
      </c>
      <c r="S134" s="117">
        <f>'Strategic Model'!AA18</f>
        <v>640356</v>
      </c>
      <c r="T134" s="117">
        <f>'Strategic Model'!AB18</f>
        <v>640356</v>
      </c>
      <c r="U134" s="117">
        <f>'Strategic Model'!AC18</f>
        <v>640356</v>
      </c>
      <c r="V134" s="117">
        <f>'Strategic Model'!AD18</f>
        <v>640356</v>
      </c>
      <c r="W134" s="117">
        <f>'Strategic Model'!AE18</f>
        <v>640356</v>
      </c>
      <c r="X134" s="117">
        <f>'Strategic Model'!AF18</f>
        <v>640356</v>
      </c>
      <c r="Y134" s="117">
        <f>'Strategic Model'!AG18</f>
        <v>640356</v>
      </c>
      <c r="Z134" s="117">
        <f>'Strategic Model'!AH18</f>
        <v>640356</v>
      </c>
      <c r="AA134" s="117">
        <f>'Strategic Model'!AI18</f>
        <v>640356</v>
      </c>
      <c r="AB134" s="117">
        <f>'Strategic Model'!AJ18</f>
        <v>640356</v>
      </c>
      <c r="AC134" s="117">
        <f>'Strategic Model'!AK18</f>
        <v>640356</v>
      </c>
      <c r="AD134" s="117">
        <f>'Strategic Model'!AL18</f>
        <v>640356</v>
      </c>
    </row>
    <row r="135" spans="4:36">
      <c r="D135" s="7" t="s">
        <v>587</v>
      </c>
      <c r="E135" s="117">
        <f>'BaU Model'!M81</f>
        <v>4022098.7544460809</v>
      </c>
      <c r="F135" s="117">
        <f>'BaU Model'!N81</f>
        <v>7623200.1314147841</v>
      </c>
      <c r="G135" s="117">
        <v>0</v>
      </c>
      <c r="H135" s="117">
        <v>0</v>
      </c>
      <c r="I135" s="117">
        <v>0</v>
      </c>
      <c r="J135" s="117">
        <v>0</v>
      </c>
      <c r="K135" s="117">
        <f>(K133-K134)*'BaU Model'!S65</f>
        <v>941902.76848435693</v>
      </c>
      <c r="L135" s="117">
        <f>(L133-L134)*'BaU Model'!T65</f>
        <v>998416.9345934185</v>
      </c>
      <c r="M135" s="117">
        <f>(M133-M134)*'BaU Model'!U65</f>
        <v>1058321.9506690237</v>
      </c>
      <c r="N135" s="117">
        <f>(N133-N134)*'BaU Model'!V65</f>
        <v>1121821.2677091651</v>
      </c>
      <c r="O135" s="117">
        <f>(O133-O134)*'BaU Model'!W65</f>
        <v>1189130.5437717151</v>
      </c>
      <c r="P135" s="117">
        <f>(P133-P134)*'BaU Model'!X65</f>
        <v>1260478.3763980179</v>
      </c>
      <c r="Q135" s="117">
        <f>(Q133-Q134)*'BaU Model'!Y65</f>
        <v>1336107.078981899</v>
      </c>
      <c r="R135" s="117">
        <f>(R133-R134)*'BaU Model'!Z65</f>
        <v>1416273.503720813</v>
      </c>
      <c r="S135" s="117">
        <f>(S133-S134)*'BaU Model'!AA65</f>
        <v>1501249.9139440618</v>
      </c>
      <c r="T135" s="117">
        <f>(T133-T134)*'BaU Model'!AB65</f>
        <v>1591324.9087807054</v>
      </c>
      <c r="U135" s="117">
        <f>(U133-U134)*'BaU Model'!AC65</f>
        <v>1686804.403307548</v>
      </c>
      <c r="V135" s="117">
        <f>(V133-V134)*'BaU Model'!AD65</f>
        <v>1788012.6675060012</v>
      </c>
      <c r="W135" s="117">
        <f>(W133-W134)*'BaU Model'!AE65</f>
        <v>1895293.4275563613</v>
      </c>
      <c r="X135" s="117">
        <f>(X133-X134)*'BaU Model'!AF65</f>
        <v>2009011.0332097432</v>
      </c>
      <c r="Y135" s="117">
        <f>(Y133-Y134)*'BaU Model'!AG65</f>
        <v>2129551.6952023278</v>
      </c>
      <c r="Z135" s="117">
        <f>(Z133-Z134)*'BaU Model'!AH65</f>
        <v>2257324.7969144676</v>
      </c>
      <c r="AA135" s="117">
        <f>(AA133-AA134)*'BaU Model'!AI65</f>
        <v>2392764.2847293359</v>
      </c>
      <c r="AB135" s="117">
        <f>(AB133-AB134)*'BaU Model'!AJ65</f>
        <v>2536330.1418130961</v>
      </c>
      <c r="AC135" s="117">
        <f>(AC133-AC134)*'BaU Model'!AK65</f>
        <v>2688509.950321882</v>
      </c>
      <c r="AD135" s="117">
        <f>(AD133-AD134)*'BaU Model'!AL65</f>
        <v>2849820.5473411954</v>
      </c>
    </row>
    <row r="136" spans="4:36">
      <c r="D136" s="7" t="s">
        <v>586</v>
      </c>
      <c r="E136" s="117">
        <f>'BaU Model'!M82</f>
        <v>492889.37674629915</v>
      </c>
      <c r="F136" s="117">
        <f>'BaU Model'!N82</f>
        <v>3502487.1470910721</v>
      </c>
      <c r="G136" s="117">
        <f>G133*'BaU Model'!O69</f>
        <v>7641970.5889749406</v>
      </c>
      <c r="H136" s="117">
        <f>H133*'BaU Model'!P69</f>
        <v>8357259.0361029953</v>
      </c>
      <c r="I136" s="117">
        <f>I133*'BaU Model'!Q69</f>
        <v>10737421.661030015</v>
      </c>
      <c r="J136" s="117">
        <f>J133*'BaU Model'!R69</f>
        <v>11742444.328502422</v>
      </c>
      <c r="K136" s="117">
        <f>K133*'BaU Model'!S69</f>
        <v>15264933.930947281</v>
      </c>
      <c r="L136" s="117">
        <f>L133*'BaU Model'!T69</f>
        <v>16693731.746883947</v>
      </c>
      <c r="M136" s="117">
        <f>M133*'BaU Model'!U69</f>
        <v>18256265.038392283</v>
      </c>
      <c r="N136" s="117">
        <f>N133*'BaU Model'!V69</f>
        <v>19965051.445985798</v>
      </c>
      <c r="O136" s="117">
        <f>O133*'BaU Model'!W69</f>
        <v>21833780.261330064</v>
      </c>
      <c r="P136" s="117">
        <f>P133*'BaU Model'!X69</f>
        <v>23877422.093790557</v>
      </c>
      <c r="Q136" s="117">
        <f>Q133*'BaU Model'!Y69</f>
        <v>26112348.80176935</v>
      </c>
      <c r="R136" s="117">
        <f>R133*'BaU Model'!Z69</f>
        <v>28556464.64961496</v>
      </c>
      <c r="S136" s="117">
        <f>S133*'BaU Model'!AA69</f>
        <v>31229349.740818914</v>
      </c>
      <c r="T136" s="117">
        <f>T133*'BaU Model'!AB69</f>
        <v>34152416.876559563</v>
      </c>
      <c r="U136" s="117">
        <f>U133*'BaU Model'!AC69</f>
        <v>37349083.09620554</v>
      </c>
      <c r="V136" s="117">
        <f>V133*'BaU Model'!AD69</f>
        <v>40844957.274010368</v>
      </c>
      <c r="W136" s="117">
        <f>W133*'BaU Model'!AE69</f>
        <v>44668045.274857737</v>
      </c>
      <c r="X136" s="117">
        <f>X133*'BaU Model'!AF69</f>
        <v>48848974.312584423</v>
      </c>
      <c r="Y136" s="117">
        <f>Y133*'BaU Model'!AG69</f>
        <v>53421238.308242321</v>
      </c>
      <c r="Z136" s="117">
        <f>Z133*'BaU Model'!AH69</f>
        <v>58421466.213893801</v>
      </c>
      <c r="AA136" s="117">
        <f>AA133*'BaU Model'!AI69</f>
        <v>63889715.451514252</v>
      </c>
      <c r="AB136" s="117">
        <f>AB133*'BaU Model'!AJ69</f>
        <v>69869792.81777598</v>
      </c>
      <c r="AC136" s="117">
        <f>AC133*'BaU Model'!AK69</f>
        <v>76409605.425519809</v>
      </c>
      <c r="AD136" s="117">
        <f>AD133*'BaU Model'!AL69</f>
        <v>83561544.493348464</v>
      </c>
    </row>
    <row r="137" spans="4:36">
      <c r="D137" s="7" t="s">
        <v>497</v>
      </c>
      <c r="E137" s="117">
        <f>'BaU Model'!M80-Results!E135-Results!E136</f>
        <v>0</v>
      </c>
      <c r="F137" s="117">
        <f>'BaU Model'!N80-Results!F135-Results!F136</f>
        <v>0</v>
      </c>
      <c r="G137" s="117">
        <f>'BaU Model'!O80-Results!G135-Results!G136</f>
        <v>664519.18164999411</v>
      </c>
      <c r="H137" s="117">
        <f>'BaU Model'!P80-Results!H135-Results!H136</f>
        <v>726718.17705243267</v>
      </c>
      <c r="I137" s="117">
        <f>'BaU Model'!Q80-Results!I135-Results!I136</f>
        <v>933688.84008956514</v>
      </c>
      <c r="J137" s="117">
        <f>'BaU Model'!R80-Results!J135-Results!J136</f>
        <v>1021082.1155219469</v>
      </c>
      <c r="K137" s="117">
        <f>'BaU Model'!S80-Results!K135-Results!K136</f>
        <v>1937460.2674051933</v>
      </c>
      <c r="L137" s="117">
        <f>'BaU Model'!T80-Results!L135-Results!L136</f>
        <v>2036548.4465223178</v>
      </c>
      <c r="M137" s="117">
        <f>'BaU Model'!U80-Results!M135-Results!M136</f>
        <v>2139975.7930900827</v>
      </c>
      <c r="N137" s="117">
        <f>'BaU Model'!V80-Results!N135-Results!N136</f>
        <v>2247852.3240149878</v>
      </c>
      <c r="O137" s="117">
        <f>'BaU Model'!W80-Results!O135-Results!O136</f>
        <v>2360280.5860359669</v>
      </c>
      <c r="P137" s="117">
        <f>'BaU Model'!X80-Results!P135-Results!P136</f>
        <v>2477353.8904516958</v>
      </c>
      <c r="Q137" s="117">
        <f>'BaU Model'!Y80-Results!Q135-Results!Q136</f>
        <v>2599154.3186545074</v>
      </c>
      <c r="R137" s="117">
        <f>'BaU Model'!Z80-Results!R135-Results!R136</f>
        <v>2725750.4731804878</v>
      </c>
      <c r="S137" s="117">
        <f>'BaU Model'!AA80-Results!S135-Results!S136</f>
        <v>2857194.9463880993</v>
      </c>
      <c r="T137" s="117">
        <f>'BaU Model'!AB80-Results!T135-Results!T136</f>
        <v>2993521.4760230184</v>
      </c>
      <c r="U137" s="117">
        <f>'BaU Model'!AC80-Results!U135-Results!U136</f>
        <v>3134741.7537909448</v>
      </c>
      <c r="V137" s="117">
        <f>'BaU Model'!AD80-Results!V135-Results!V136</f>
        <v>3280841.8496146873</v>
      </c>
      <c r="W137" s="117">
        <f>'BaU Model'!AE80-Results!W135-Results!W136</f>
        <v>3431778.2104676589</v>
      </c>
      <c r="X137" s="117">
        <f>'BaU Model'!AF80-Results!X135-Results!X136</f>
        <v>3587473.188520208</v>
      </c>
      <c r="Y137" s="117">
        <f>'BaU Model'!AG80-Results!Y135-Results!Y136</f>
        <v>3747810.0487716421</v>
      </c>
      <c r="Z137" s="117">
        <f>'BaU Model'!AH80-Results!Z135-Results!Z136</f>
        <v>3912627.4013309702</v>
      </c>
      <c r="AA137" s="117">
        <f>'BaU Model'!AI80-Results!AA135-Results!AA136</f>
        <v>4081712.9980095252</v>
      </c>
      <c r="AB137" s="117">
        <f>'BaU Model'!AJ80-Results!AB135-Results!AB136</f>
        <v>4254796.8268520087</v>
      </c>
      <c r="AC137" s="117">
        <f>'BaU Model'!AK80-Results!AC135-Results!AC136</f>
        <v>4431543.4316078722</v>
      </c>
      <c r="AD137" s="117">
        <f>'BaU Model'!AL80-Results!AD135-Results!AD136</f>
        <v>4611543.3758746535</v>
      </c>
      <c r="AE137" s="189">
        <f>AVERAGE(G137:AD137)</f>
        <v>2758165.4133716859</v>
      </c>
      <c r="AH137" s="133">
        <f>SUM(G137:AD137)/10^6</f>
        <v>66.195969920920462</v>
      </c>
      <c r="AJ137" s="65">
        <f>($AJ$131-AH137)/1000</f>
        <v>1.537607275486812</v>
      </c>
    </row>
    <row r="138" spans="4:36">
      <c r="D138" s="7" t="s">
        <v>591</v>
      </c>
      <c r="E138" s="117">
        <f>E132-E133</f>
        <v>0</v>
      </c>
      <c r="F138" s="117">
        <f t="shared" ref="F138:AD138" si="12">F132-F133</f>
        <v>0</v>
      </c>
      <c r="G138" s="117">
        <f t="shared" si="12"/>
        <v>41252.120071180922</v>
      </c>
      <c r="H138" s="117">
        <f t="shared" si="12"/>
        <v>41252.120071180922</v>
      </c>
      <c r="I138" s="117">
        <f t="shared" si="12"/>
        <v>48464.520071180887</v>
      </c>
      <c r="J138" s="117">
        <f t="shared" si="12"/>
        <v>48464.520071180887</v>
      </c>
      <c r="K138" s="117">
        <f t="shared" si="12"/>
        <v>57610.52513447206</v>
      </c>
      <c r="L138" s="117">
        <f t="shared" si="12"/>
        <v>57610.52513447206</v>
      </c>
      <c r="M138" s="117">
        <f t="shared" si="12"/>
        <v>57610.52513447206</v>
      </c>
      <c r="N138" s="117">
        <f t="shared" si="12"/>
        <v>57610.52513447206</v>
      </c>
      <c r="O138" s="117">
        <f t="shared" si="12"/>
        <v>57610.52513447206</v>
      </c>
      <c r="P138" s="117">
        <f t="shared" si="12"/>
        <v>57610.52513447206</v>
      </c>
      <c r="Q138" s="117">
        <f t="shared" si="12"/>
        <v>57610.52513447206</v>
      </c>
      <c r="R138" s="117">
        <f t="shared" si="12"/>
        <v>57610.52513447206</v>
      </c>
      <c r="S138" s="117">
        <f t="shared" si="12"/>
        <v>57610.52513447206</v>
      </c>
      <c r="T138" s="117">
        <f t="shared" si="12"/>
        <v>57610.52513447206</v>
      </c>
      <c r="U138" s="117">
        <f t="shared" si="12"/>
        <v>57610.52513447206</v>
      </c>
      <c r="V138" s="117">
        <f t="shared" si="12"/>
        <v>57610.52513447206</v>
      </c>
      <c r="W138" s="117">
        <f t="shared" si="12"/>
        <v>57610.52513447206</v>
      </c>
      <c r="X138" s="117">
        <f t="shared" si="12"/>
        <v>57610.52513447206</v>
      </c>
      <c r="Y138" s="117">
        <f t="shared" si="12"/>
        <v>57610.52513447206</v>
      </c>
      <c r="Z138" s="117">
        <f t="shared" si="12"/>
        <v>57610.52513447206</v>
      </c>
      <c r="AA138" s="117">
        <f t="shared" si="12"/>
        <v>57610.52513447206</v>
      </c>
      <c r="AB138" s="117">
        <f t="shared" si="12"/>
        <v>57610.52513447206</v>
      </c>
      <c r="AC138" s="117">
        <f t="shared" si="12"/>
        <v>57610.52513447206</v>
      </c>
      <c r="AD138" s="117">
        <f t="shared" si="12"/>
        <v>57610.52513447206</v>
      </c>
      <c r="AE138" s="189">
        <f>AVERAGE(G138:AD138)</f>
        <v>55485.157623923558</v>
      </c>
      <c r="AH138" s="133"/>
      <c r="AJ138" s="65"/>
    </row>
    <row r="140" spans="4:36">
      <c r="D140" s="146" t="s">
        <v>412</v>
      </c>
      <c r="U140" s="133"/>
    </row>
    <row r="141" spans="4:36">
      <c r="D141" s="7" t="s">
        <v>589</v>
      </c>
      <c r="E141">
        <f>'BaU Model'!M23</f>
        <v>190008.44456000003</v>
      </c>
      <c r="F141">
        <f>'BaU Model'!N23</f>
        <v>475558.33633279998</v>
      </c>
      <c r="G141">
        <f>'BaU Model'!O23</f>
        <v>515651.50088976207</v>
      </c>
      <c r="H141">
        <f>'BaU Model'!P23</f>
        <v>515651.50088976207</v>
      </c>
      <c r="I141">
        <f>'BaU Model'!Q23</f>
        <v>605806.50088976207</v>
      </c>
      <c r="J141">
        <f>'BaU Model'!R23</f>
        <v>605806.50088976207</v>
      </c>
      <c r="K141">
        <f>'BaU Model'!S23</f>
        <v>720131.56418090127</v>
      </c>
      <c r="L141">
        <f>'BaU Model'!T23</f>
        <v>720131.56418090127</v>
      </c>
      <c r="M141">
        <f>'BaU Model'!U23</f>
        <v>720131.56418090127</v>
      </c>
      <c r="N141">
        <f>'BaU Model'!V23</f>
        <v>720131.56418090127</v>
      </c>
      <c r="O141">
        <f>'BaU Model'!W23</f>
        <v>720131.56418090127</v>
      </c>
      <c r="P141">
        <f>'BaU Model'!X23</f>
        <v>720131.56418090127</v>
      </c>
      <c r="Q141">
        <f>'BaU Model'!Y23</f>
        <v>720131.56418090127</v>
      </c>
      <c r="R141">
        <f>'BaU Model'!Z23</f>
        <v>720131.56418090127</v>
      </c>
      <c r="S141">
        <f>'BaU Model'!AA23</f>
        <v>720131.56418090127</v>
      </c>
      <c r="T141">
        <f>'BaU Model'!AB23</f>
        <v>720131.56418090127</v>
      </c>
      <c r="U141">
        <f>'BaU Model'!AC23</f>
        <v>720131.56418090127</v>
      </c>
      <c r="V141">
        <f>'BaU Model'!AD23</f>
        <v>720131.56418090127</v>
      </c>
      <c r="W141">
        <f>'BaU Model'!AE23</f>
        <v>720131.56418090127</v>
      </c>
      <c r="X141">
        <f>'BaU Model'!AF23</f>
        <v>720131.56418090127</v>
      </c>
      <c r="Y141">
        <f>'BaU Model'!AG23</f>
        <v>720131.56418090127</v>
      </c>
      <c r="Z141">
        <f>'BaU Model'!AH23</f>
        <v>720131.56418090127</v>
      </c>
      <c r="AA141">
        <f>'BaU Model'!AI23</f>
        <v>720131.56418090127</v>
      </c>
      <c r="AB141">
        <f>'BaU Model'!AJ23</f>
        <v>720131.56418090127</v>
      </c>
      <c r="AC141">
        <f>'BaU Model'!AK23</f>
        <v>720131.56418090127</v>
      </c>
      <c r="AD141">
        <f>'BaU Model'!AL23</f>
        <v>720131.56418090127</v>
      </c>
    </row>
    <row r="142" spans="4:36">
      <c r="D142" s="7" t="s">
        <v>499</v>
      </c>
      <c r="E142">
        <f>'BaU Model'!M24</f>
        <v>133005.91119200003</v>
      </c>
      <c r="F142">
        <f>'BaU Model'!N24</f>
        <v>237779.16816639999</v>
      </c>
      <c r="G142">
        <f>'BaU Model'!O24</f>
        <v>0</v>
      </c>
      <c r="H142">
        <f>'BaU Model'!P24</f>
        <v>0</v>
      </c>
      <c r="I142">
        <f>'BaU Model'!Q24</f>
        <v>0</v>
      </c>
      <c r="J142">
        <f>'BaU Model'!R24</f>
        <v>0</v>
      </c>
      <c r="K142">
        <f>'BaU Model'!S24</f>
        <v>79775.564180901274</v>
      </c>
      <c r="L142">
        <f>'BaU Model'!T24</f>
        <v>79775.564180901274</v>
      </c>
      <c r="M142">
        <f>'BaU Model'!U24</f>
        <v>79775.564180901274</v>
      </c>
      <c r="N142">
        <f>'BaU Model'!V24</f>
        <v>79775.564180901274</v>
      </c>
      <c r="O142">
        <f>'BaU Model'!W24</f>
        <v>79775.564180901274</v>
      </c>
      <c r="P142">
        <f>'BaU Model'!X24</f>
        <v>79775.564180901274</v>
      </c>
      <c r="Q142">
        <f>'BaU Model'!Y24</f>
        <v>79775.564180901274</v>
      </c>
      <c r="R142">
        <f>'BaU Model'!Z24</f>
        <v>79775.564180901274</v>
      </c>
      <c r="S142">
        <f>'BaU Model'!AA24</f>
        <v>79775.564180901274</v>
      </c>
      <c r="T142">
        <f>'BaU Model'!AB24</f>
        <v>79775.564180901274</v>
      </c>
      <c r="U142">
        <f>'BaU Model'!AC24</f>
        <v>79775.564180901274</v>
      </c>
      <c r="V142">
        <f>'BaU Model'!AD24</f>
        <v>79775.564180901274</v>
      </c>
      <c r="W142">
        <f>'BaU Model'!AE24</f>
        <v>79775.564180901274</v>
      </c>
      <c r="X142">
        <f>'BaU Model'!AF24</f>
        <v>79775.564180901274</v>
      </c>
      <c r="Y142">
        <f>'BaU Model'!AG24</f>
        <v>79775.564180901274</v>
      </c>
      <c r="Z142">
        <f>'BaU Model'!AH24</f>
        <v>79775.564180901274</v>
      </c>
      <c r="AA142">
        <f>'BaU Model'!AI24</f>
        <v>79775.564180901274</v>
      </c>
      <c r="AB142">
        <f>'BaU Model'!AJ24</f>
        <v>79775.564180901274</v>
      </c>
      <c r="AC142">
        <f>'BaU Model'!AK24</f>
        <v>79775.564180901274</v>
      </c>
      <c r="AD142">
        <f>'BaU Model'!AL24</f>
        <v>79775.564180901274</v>
      </c>
    </row>
    <row r="143" spans="4:36">
      <c r="D143" s="7" t="s">
        <v>500</v>
      </c>
      <c r="E143">
        <f>'BaU Model'!M25</f>
        <v>57002.533368000011</v>
      </c>
      <c r="F143">
        <f>'BaU Model'!N25</f>
        <v>237779.16816639999</v>
      </c>
      <c r="G143">
        <f>'BaU Model'!O25</f>
        <v>515651.50088976207</v>
      </c>
      <c r="H143">
        <f>'BaU Model'!P25</f>
        <v>515651.50088976207</v>
      </c>
      <c r="I143">
        <f>'BaU Model'!Q25</f>
        <v>605806.50088976207</v>
      </c>
      <c r="J143">
        <f>'BaU Model'!R25</f>
        <v>605806.50088976207</v>
      </c>
      <c r="K143">
        <f>'BaU Model'!S25</f>
        <v>640356</v>
      </c>
      <c r="L143">
        <f>'BaU Model'!T25</f>
        <v>640356</v>
      </c>
      <c r="M143">
        <f>'BaU Model'!U25</f>
        <v>640356</v>
      </c>
      <c r="N143">
        <f>'BaU Model'!V25</f>
        <v>640356</v>
      </c>
      <c r="O143">
        <f>'BaU Model'!W25</f>
        <v>640356</v>
      </c>
      <c r="P143">
        <f>'BaU Model'!X25</f>
        <v>640356</v>
      </c>
      <c r="Q143">
        <f>'BaU Model'!Y25</f>
        <v>640356</v>
      </c>
      <c r="R143">
        <f>'BaU Model'!Z25</f>
        <v>640356</v>
      </c>
      <c r="S143">
        <f>'BaU Model'!AA25</f>
        <v>640356</v>
      </c>
      <c r="T143">
        <f>'BaU Model'!AB25</f>
        <v>640356</v>
      </c>
      <c r="U143">
        <f>'BaU Model'!AC25</f>
        <v>640356</v>
      </c>
      <c r="V143">
        <f>'BaU Model'!AD25</f>
        <v>640356</v>
      </c>
      <c r="W143">
        <f>'BaU Model'!AE25</f>
        <v>640356</v>
      </c>
      <c r="X143">
        <f>'BaU Model'!AF25</f>
        <v>640356</v>
      </c>
      <c r="Y143">
        <f>'BaU Model'!AG25</f>
        <v>640356</v>
      </c>
      <c r="Z143">
        <f>'BaU Model'!AH25</f>
        <v>640356</v>
      </c>
      <c r="AA143">
        <f>'BaU Model'!AI25</f>
        <v>640356</v>
      </c>
      <c r="AB143">
        <f>'BaU Model'!AJ25</f>
        <v>640356</v>
      </c>
      <c r="AC143">
        <f>'BaU Model'!AK25</f>
        <v>640356</v>
      </c>
      <c r="AD143">
        <f>'BaU Model'!AL25</f>
        <v>640356</v>
      </c>
    </row>
    <row r="144" spans="4:36">
      <c r="D144" s="7" t="s">
        <v>588</v>
      </c>
      <c r="E144">
        <v>0</v>
      </c>
      <c r="F144">
        <v>0</v>
      </c>
      <c r="G144">
        <v>0</v>
      </c>
      <c r="H144">
        <v>0</v>
      </c>
      <c r="I144">
        <v>0</v>
      </c>
      <c r="J144">
        <v>0</v>
      </c>
      <c r="K144">
        <f>17000*'Strategic Model'!S84</f>
        <v>171700</v>
      </c>
      <c r="L144">
        <f>17000*'Strategic Model'!T84</f>
        <v>187771.11999999997</v>
      </c>
      <c r="M144">
        <f>17000*'Strategic Model'!U84</f>
        <v>205346.49683199995</v>
      </c>
      <c r="N144">
        <f>17000*'Strategic Model'!V84</f>
        <v>224566.92893547512</v>
      </c>
      <c r="O144">
        <f>17000*'Strategic Model'!W84</f>
        <v>245586.39348383556</v>
      </c>
      <c r="P144">
        <f>17000*'Strategic Model'!X84</f>
        <v>268573.27991392254</v>
      </c>
      <c r="Q144">
        <f>17000*'Strategic Model'!Y84</f>
        <v>293711.7389138657</v>
      </c>
      <c r="R144">
        <f>17000*'Strategic Model'!Z84</f>
        <v>321203.15767620347</v>
      </c>
      <c r="S144">
        <f>17000*'Strategic Model'!AA84</f>
        <v>351267.77323469607</v>
      </c>
      <c r="T144">
        <f>17000*'Strategic Model'!AB84</f>
        <v>384146.4368094636</v>
      </c>
      <c r="U144">
        <f>17000*'Strategic Model'!AC84</f>
        <v>420102.54329482937</v>
      </c>
      <c r="V144">
        <f>17000*'Strategic Model'!AD84</f>
        <v>459424.14134722535</v>
      </c>
      <c r="W144">
        <f>17000*'Strategic Model'!AE84</f>
        <v>502426.24097732559</v>
      </c>
      <c r="X144">
        <f>17000*'Strategic Model'!AF84</f>
        <v>549453.33713280328</v>
      </c>
      <c r="Y144">
        <f>17000*'Strategic Model'!AG84</f>
        <v>600882.16948843363</v>
      </c>
      <c r="Z144">
        <f>17000*'Strategic Model'!AH84</f>
        <v>657124.740552551</v>
      </c>
      <c r="AA144">
        <f>17000*'Strategic Model'!AI84</f>
        <v>718631.61626826972</v>
      </c>
      <c r="AB144">
        <f>17000*'Strategic Model'!AJ84</f>
        <v>785895.53555097955</v>
      </c>
      <c r="AC144">
        <f>17000*'Strategic Model'!AK84</f>
        <v>859455.35767855123</v>
      </c>
      <c r="AD144">
        <f>17000*'Strategic Model'!AL84</f>
        <v>939900.37915726344</v>
      </c>
    </row>
    <row r="145" spans="4:36">
      <c r="D145" s="63" t="s">
        <v>587</v>
      </c>
      <c r="E145" s="117">
        <f>'BaU Model'!M81</f>
        <v>4022098.7544460809</v>
      </c>
      <c r="F145" s="117">
        <f>'BaU Model'!N81</f>
        <v>7623200.1314147841</v>
      </c>
      <c r="G145">
        <v>0</v>
      </c>
      <c r="H145">
        <v>0</v>
      </c>
      <c r="I145">
        <v>0</v>
      </c>
      <c r="J145">
        <v>0</v>
      </c>
      <c r="K145">
        <f>(K141-K143-17000)*'BaU Model'!S65</f>
        <v>2667645.9974332387</v>
      </c>
      <c r="L145">
        <f>(L141-L143-17000)*'BaU Model'!T65</f>
        <v>2827704.7572792331</v>
      </c>
      <c r="M145">
        <f>(M141-M143-17000)*'BaU Model'!U65</f>
        <v>2997367.0427159877</v>
      </c>
      <c r="N145">
        <f>(N141-N143-17000)*'BaU Model'!V65</f>
        <v>3177209.0652789469</v>
      </c>
      <c r="O145">
        <f>(O141-O143-17000)*'BaU Model'!W65</f>
        <v>3367841.6091956836</v>
      </c>
      <c r="P145">
        <f>(P141-P143-17000)*'BaU Model'!X65</f>
        <v>3569912.105747425</v>
      </c>
      <c r="Q145">
        <f>(Q141-Q143-17000)*'BaU Model'!Y65</f>
        <v>3784106.8320922703</v>
      </c>
      <c r="R145">
        <f>(R141-R143-17000)*'BaU Model'!Z65</f>
        <v>4011153.2420178065</v>
      </c>
      <c r="S145">
        <f>(S141-S143-17000)*'BaU Model'!AA65</f>
        <v>4251822.4365388751</v>
      </c>
      <c r="T145">
        <f>(T141-T143-17000)*'BaU Model'!AB65</f>
        <v>4506931.782731208</v>
      </c>
      <c r="U145">
        <f>(U141-U143-17000)*'BaU Model'!AC65</f>
        <v>4777347.6896950807</v>
      </c>
      <c r="V145">
        <f>(V141-V143-17000)*'BaU Model'!AD65</f>
        <v>5063988.5510767857</v>
      </c>
      <c r="W145">
        <f>(W141-W143-17000)*'BaU Model'!AE65</f>
        <v>5367827.8641413935</v>
      </c>
      <c r="X145">
        <f>(X141-X143-17000)*'BaU Model'!AF65</f>
        <v>5689897.5359898778</v>
      </c>
      <c r="Y145">
        <f>(Y141-Y143-17000)*'BaU Model'!AG65</f>
        <v>6031291.3881492708</v>
      </c>
      <c r="Z145">
        <f>(Z141-Z143-17000)*'BaU Model'!AH65</f>
        <v>6393168.8714382276</v>
      </c>
      <c r="AA145">
        <f>(AA141-AA143-17000)*'BaU Model'!AI65</f>
        <v>6776759.003724522</v>
      </c>
      <c r="AB145">
        <f>(AB141-AB143-17000)*'BaU Model'!AJ65</f>
        <v>7183364.5439479938</v>
      </c>
      <c r="AC145">
        <f>(AC141-AC143-17000)*'BaU Model'!AK65</f>
        <v>7614366.4165848736</v>
      </c>
      <c r="AD145">
        <f>(AD141-AD143-17000)*'BaU Model'!AL65</f>
        <v>8071228.4015799658</v>
      </c>
    </row>
    <row r="146" spans="4:36">
      <c r="D146" s="63" t="s">
        <v>586</v>
      </c>
      <c r="E146" s="117">
        <f>'BaU Model'!M82</f>
        <v>492889.37674629915</v>
      </c>
      <c r="F146" s="117">
        <f>'BaU Model'!N82</f>
        <v>3502487.1470910721</v>
      </c>
      <c r="G146">
        <f>G143*'BaU Model'!O69</f>
        <v>8306489.7706249347</v>
      </c>
      <c r="H146">
        <f>H143*'BaU Model'!P69</f>
        <v>9083977.2131554279</v>
      </c>
      <c r="I146">
        <f>I143*'BaU Model'!Q69</f>
        <v>11671110.50111958</v>
      </c>
      <c r="J146">
        <f>J143*'BaU Model'!R69</f>
        <v>12763526.444024369</v>
      </c>
      <c r="K146">
        <f>K143*'BaU Model'!S69</f>
        <v>14754236.403352393</v>
      </c>
      <c r="L146">
        <f>L143*'BaU Model'!T69</f>
        <v>16135232.930706175</v>
      </c>
      <c r="M146">
        <f>M143*'BaU Model'!U69</f>
        <v>17645490.733020272</v>
      </c>
      <c r="N146">
        <f>N143*'BaU Model'!V69</f>
        <v>19297108.665630966</v>
      </c>
      <c r="O146">
        <f>O143*'BaU Model'!W69</f>
        <v>21103318.036734022</v>
      </c>
      <c r="P146">
        <f>P143*'BaU Model'!X69</f>
        <v>23078588.604972325</v>
      </c>
      <c r="Q146">
        <f>Q143*'BaU Model'!Y69</f>
        <v>25238744.498397734</v>
      </c>
      <c r="R146">
        <f>R143*'BaU Model'!Z69</f>
        <v>27601090.983447757</v>
      </c>
      <c r="S146">
        <f>S143*'BaU Model'!AA69</f>
        <v>30184553.099498462</v>
      </c>
      <c r="T146">
        <f>T143*'BaU Model'!AB69</f>
        <v>33009827.269611519</v>
      </c>
      <c r="U146">
        <f>U143*'BaU Model'!AC69</f>
        <v>36099547.102047153</v>
      </c>
      <c r="V146">
        <f>V143*'BaU Model'!AD69</f>
        <v>39478464.710798763</v>
      </c>
      <c r="W146">
        <f>W143*'BaU Model'!AE69</f>
        <v>43173649.007729523</v>
      </c>
      <c r="X146">
        <f>X143*'BaU Model'!AF69</f>
        <v>47214702.554853007</v>
      </c>
      <c r="Y146">
        <f>Y143*'BaU Model'!AG69</f>
        <v>51633998.713987246</v>
      </c>
      <c r="Z146">
        <f>Z143*'BaU Model'!AH69</f>
        <v>56466940.993616447</v>
      </c>
      <c r="AA146">
        <f>AA143*'BaU Model'!AI69</f>
        <v>61752246.670618944</v>
      </c>
      <c r="AB146">
        <f>AB143*'BaU Model'!AJ69</f>
        <v>67532256.958988875</v>
      </c>
      <c r="AC146">
        <f>AC143*'BaU Model'!AK69</f>
        <v>73853276.21035023</v>
      </c>
      <c r="AD146">
        <f>AD143*'BaU Model'!AL69</f>
        <v>80765942.863639012</v>
      </c>
    </row>
    <row r="147" spans="4:36">
      <c r="D147" s="7" t="s">
        <v>497</v>
      </c>
      <c r="E147" s="133">
        <f>'BaU Model'!M80-Results!E144-Results!E145-Results!E146</f>
        <v>0</v>
      </c>
      <c r="F147" s="133">
        <f>'BaU Model'!N80-Results!F144-Results!F145-Results!F146</f>
        <v>0</v>
      </c>
      <c r="G147" s="133">
        <f>'BaU Model'!O80-Results!G144-Results!G145-Results!G146</f>
        <v>0</v>
      </c>
      <c r="H147" s="133">
        <f>'BaU Model'!P80-Results!H144-Results!H145-Results!H146</f>
        <v>0</v>
      </c>
      <c r="I147" s="133">
        <f>'BaU Model'!Q80-Results!I144-Results!I145-Results!I146</f>
        <v>0</v>
      </c>
      <c r="J147" s="133">
        <f>'BaU Model'!R80-Results!J144-Results!J145-Results!J146</f>
        <v>0</v>
      </c>
      <c r="K147" s="133">
        <f>'BaU Model'!S80-Results!K144-Results!K145-Results!K146</f>
        <v>550714.56605120189</v>
      </c>
      <c r="L147" s="133">
        <f>'BaU Model'!T80-Results!L144-Results!L145-Results!L146</f>
        <v>577988.32001427375</v>
      </c>
      <c r="M147" s="133">
        <f>'BaU Model'!U80-Results!M144-Results!M145-Results!M146</f>
        <v>606358.50958313048</v>
      </c>
      <c r="N147" s="133">
        <f>'BaU Model'!V80-Results!N144-Results!N145-Results!N146</f>
        <v>635840.37786456198</v>
      </c>
      <c r="O147" s="133">
        <f>'BaU Model'!W80-Results!O144-Results!O145-Results!O146</f>
        <v>666445.35172420368</v>
      </c>
      <c r="P147" s="133">
        <f>'BaU Model'!X80-Results!P144-Results!P145-Results!P146</f>
        <v>698180.37000660226</v>
      </c>
      <c r="Q147" s="133">
        <f>'BaU Model'!Y80-Results!Q144-Results!Q145-Results!Q146</f>
        <v>731047.13000188768</v>
      </c>
      <c r="R147" s="133">
        <f>'BaU Model'!Z80-Results!R144-Results!R145-Results!R146</f>
        <v>765041.24337449297</v>
      </c>
      <c r="S147" s="133">
        <f>'BaU Model'!AA80-Results!S144-Results!S145-Results!S146</f>
        <v>800151.29187904671</v>
      </c>
      <c r="T147" s="133">
        <f>'BaU Model'!AB80-Results!T144-Results!T145-Results!T146</f>
        <v>836357.77221110091</v>
      </c>
      <c r="U147" s="133">
        <f>'BaU Model'!AC80-Results!U144-Results!U145-Results!U146</f>
        <v>873631.91826696694</v>
      </c>
      <c r="V147" s="133">
        <f>'BaU Model'!AD80-Results!V144-Results!V145-Results!V146</f>
        <v>911934.38790828735</v>
      </c>
      <c r="W147" s="133">
        <f>'BaU Model'!AE80-Results!W144-Results!W145-Results!W146</f>
        <v>951213.80003351718</v>
      </c>
      <c r="X147" s="133">
        <f>'BaU Model'!AF80-Results!X144-Results!X145-Results!X146</f>
        <v>991405.10633867979</v>
      </c>
      <c r="Y147" s="133">
        <f>'BaU Model'!AG80-Results!Y144-Results!Y145-Results!Y146</f>
        <v>1032427.7805913463</v>
      </c>
      <c r="Z147" s="133">
        <f>'BaU Model'!AH80-Results!Z144-Results!Z145-Results!Z146</f>
        <v>1074183.8065320104</v>
      </c>
      <c r="AA147" s="133">
        <f>'BaU Model'!AI80-Results!AA144-Results!AA145-Results!AA146</f>
        <v>1116555.4436413646</v>
      </c>
      <c r="AB147" s="133">
        <f>'BaU Model'!AJ80-Results!AB144-Results!AB145-Results!AB146</f>
        <v>1159402.7479532361</v>
      </c>
      <c r="AC147" s="133">
        <f>'BaU Model'!AK80-Results!AC144-Results!AC145-Results!AC146</f>
        <v>1202560.8228359073</v>
      </c>
      <c r="AD147" s="133">
        <f>'BaU Model'!AL80-Results!AD144-Results!AD145-Results!AD146</f>
        <v>1245836.7721880823</v>
      </c>
      <c r="AE147" s="189">
        <f>AVERAGE(H147:AD147)</f>
        <v>757707.71821738698</v>
      </c>
      <c r="AH147" s="133">
        <f>SUM(G147:AD147)/10^6</f>
        <v>17.427277518999901</v>
      </c>
      <c r="AJ147" s="65">
        <f>($AJ$131-AH147)/1000</f>
        <v>1.5863759678887326</v>
      </c>
    </row>
    <row r="149" spans="4:36">
      <c r="D149" s="146" t="s">
        <v>415</v>
      </c>
    </row>
    <row r="150" spans="4:36">
      <c r="D150" s="7" t="s">
        <v>498</v>
      </c>
      <c r="E150">
        <f>'BaU Model'!M23</f>
        <v>190008.44456000003</v>
      </c>
      <c r="F150">
        <f>'BaU Model'!N23</f>
        <v>475558.33633279998</v>
      </c>
      <c r="G150">
        <f>'BaU Model'!O23</f>
        <v>515651.50088976207</v>
      </c>
      <c r="H150">
        <f>'BaU Model'!P23</f>
        <v>515651.50088976207</v>
      </c>
      <c r="I150">
        <f>'BaU Model'!Q23</f>
        <v>605806.50088976207</v>
      </c>
      <c r="J150">
        <f>'BaU Model'!R23</f>
        <v>605806.50088976207</v>
      </c>
      <c r="K150">
        <f>'BaU Model'!S23</f>
        <v>720131.56418090127</v>
      </c>
      <c r="L150">
        <f>'BaU Model'!T23</f>
        <v>720131.56418090127</v>
      </c>
      <c r="M150">
        <f>'BaU Model'!U23</f>
        <v>720131.56418090127</v>
      </c>
      <c r="N150">
        <f>'BaU Model'!V23</f>
        <v>720131.56418090127</v>
      </c>
      <c r="O150">
        <f>'BaU Model'!W23</f>
        <v>720131.56418090127</v>
      </c>
      <c r="P150">
        <f>'BaU Model'!X23</f>
        <v>720131.56418090127</v>
      </c>
      <c r="Q150">
        <f>'BaU Model'!Y23</f>
        <v>720131.56418090127</v>
      </c>
      <c r="R150">
        <f>'BaU Model'!Z23</f>
        <v>720131.56418090127</v>
      </c>
      <c r="S150">
        <f>'BaU Model'!AA23</f>
        <v>720131.56418090127</v>
      </c>
      <c r="T150">
        <f>'BaU Model'!AB23</f>
        <v>720131.56418090127</v>
      </c>
      <c r="U150">
        <f>'BaU Model'!AC23</f>
        <v>720131.56418090127</v>
      </c>
      <c r="V150">
        <f>'BaU Model'!AD23</f>
        <v>720131.56418090127</v>
      </c>
      <c r="W150">
        <f>'BaU Model'!AE23</f>
        <v>720131.56418090127</v>
      </c>
      <c r="X150">
        <f>'BaU Model'!AF23</f>
        <v>720131.56418090127</v>
      </c>
      <c r="Y150">
        <f>'BaU Model'!AG23</f>
        <v>720131.56418090127</v>
      </c>
      <c r="Z150">
        <f>'BaU Model'!AH23</f>
        <v>720131.56418090127</v>
      </c>
      <c r="AA150">
        <f>'BaU Model'!AI23</f>
        <v>720131.56418090127</v>
      </c>
      <c r="AB150">
        <f>'BaU Model'!AJ23</f>
        <v>720131.56418090127</v>
      </c>
      <c r="AC150">
        <f>'BaU Model'!AK23</f>
        <v>720131.56418090127</v>
      </c>
      <c r="AD150">
        <f>'BaU Model'!AL23</f>
        <v>720131.56418090127</v>
      </c>
    </row>
    <row r="151" spans="4:36">
      <c r="D151" s="7" t="s">
        <v>499</v>
      </c>
      <c r="E151">
        <f>'BaU Model'!M24</f>
        <v>133005.91119200003</v>
      </c>
      <c r="F151">
        <f>'BaU Model'!N24</f>
        <v>237779.16816639999</v>
      </c>
      <c r="G151">
        <f>'BaU Model'!O24</f>
        <v>0</v>
      </c>
      <c r="H151">
        <f>'BaU Model'!P24</f>
        <v>0</v>
      </c>
      <c r="I151">
        <f>'BaU Model'!Q24</f>
        <v>0</v>
      </c>
      <c r="J151">
        <f>'BaU Model'!R24</f>
        <v>0</v>
      </c>
      <c r="K151">
        <f>'BaU Model'!S24</f>
        <v>79775.564180901274</v>
      </c>
      <c r="L151">
        <f>'BaU Model'!T24</f>
        <v>79775.564180901274</v>
      </c>
      <c r="M151">
        <f>'BaU Model'!U24</f>
        <v>79775.564180901274</v>
      </c>
      <c r="N151">
        <f>'BaU Model'!V24</f>
        <v>79775.564180901274</v>
      </c>
      <c r="O151">
        <f>'BaU Model'!W24</f>
        <v>79775.564180901274</v>
      </c>
      <c r="P151">
        <f>'BaU Model'!X24</f>
        <v>79775.564180901274</v>
      </c>
      <c r="Q151">
        <f>'BaU Model'!Y24</f>
        <v>79775.564180901274</v>
      </c>
      <c r="R151">
        <f>'BaU Model'!Z24</f>
        <v>79775.564180901274</v>
      </c>
      <c r="S151">
        <f>'BaU Model'!AA24</f>
        <v>79775.564180901274</v>
      </c>
      <c r="T151">
        <f>'BaU Model'!AB24</f>
        <v>79775.564180901274</v>
      </c>
      <c r="U151">
        <f>'BaU Model'!AC24</f>
        <v>79775.564180901274</v>
      </c>
      <c r="V151">
        <f>'BaU Model'!AD24</f>
        <v>79775.564180901274</v>
      </c>
      <c r="W151">
        <f>'BaU Model'!AE24</f>
        <v>79775.564180901274</v>
      </c>
      <c r="X151">
        <f>'BaU Model'!AF24</f>
        <v>79775.564180901274</v>
      </c>
      <c r="Y151">
        <f>'BaU Model'!AG24</f>
        <v>79775.564180901274</v>
      </c>
      <c r="Z151">
        <f>'BaU Model'!AH24</f>
        <v>79775.564180901274</v>
      </c>
      <c r="AA151">
        <f>'BaU Model'!AI24</f>
        <v>79775.564180901274</v>
      </c>
      <c r="AB151">
        <f>'BaU Model'!AJ24</f>
        <v>79775.564180901274</v>
      </c>
      <c r="AC151">
        <f>'BaU Model'!AK24</f>
        <v>79775.564180901274</v>
      </c>
      <c r="AD151">
        <f>'BaU Model'!AL24</f>
        <v>79775.564180901274</v>
      </c>
    </row>
    <row r="152" spans="4:36">
      <c r="D152" s="7" t="s">
        <v>500</v>
      </c>
      <c r="E152">
        <f>'BaU Model'!M25</f>
        <v>57002.533368000011</v>
      </c>
      <c r="F152">
        <f>'BaU Model'!N25</f>
        <v>237779.16816639999</v>
      </c>
      <c r="G152">
        <f>'BaU Model'!O25</f>
        <v>515651.50088976207</v>
      </c>
      <c r="H152">
        <f>'BaU Model'!P25</f>
        <v>515651.50088976207</v>
      </c>
      <c r="I152">
        <f>'BaU Model'!Q25</f>
        <v>605806.50088976207</v>
      </c>
      <c r="J152">
        <f>'BaU Model'!R25</f>
        <v>605806.50088976207</v>
      </c>
      <c r="K152">
        <f>'BaU Model'!S25</f>
        <v>640356</v>
      </c>
      <c r="L152">
        <f>'BaU Model'!T25</f>
        <v>640356</v>
      </c>
      <c r="M152">
        <f>'BaU Model'!U25</f>
        <v>640356</v>
      </c>
      <c r="N152">
        <f>'BaU Model'!V25</f>
        <v>640356</v>
      </c>
      <c r="O152">
        <f>'BaU Model'!W25</f>
        <v>640356</v>
      </c>
      <c r="P152">
        <f>'BaU Model'!X25</f>
        <v>640356</v>
      </c>
      <c r="Q152">
        <f>'BaU Model'!Y25</f>
        <v>640356</v>
      </c>
      <c r="R152">
        <f>'BaU Model'!Z25</f>
        <v>640356</v>
      </c>
      <c r="S152">
        <f>'BaU Model'!AA25</f>
        <v>640356</v>
      </c>
      <c r="T152">
        <f>'BaU Model'!AB25</f>
        <v>640356</v>
      </c>
      <c r="U152">
        <f>'BaU Model'!AC25</f>
        <v>640356</v>
      </c>
      <c r="V152">
        <f>'BaU Model'!AD25</f>
        <v>640356</v>
      </c>
      <c r="W152">
        <f>'BaU Model'!AE25</f>
        <v>640356</v>
      </c>
      <c r="X152">
        <f>'BaU Model'!AF25</f>
        <v>640356</v>
      </c>
      <c r="Y152">
        <f>'BaU Model'!AG25</f>
        <v>640356</v>
      </c>
      <c r="Z152">
        <f>'BaU Model'!AH25</f>
        <v>640356</v>
      </c>
      <c r="AA152">
        <f>'BaU Model'!AI25</f>
        <v>640356</v>
      </c>
      <c r="AB152">
        <f>'BaU Model'!AJ25</f>
        <v>640356</v>
      </c>
      <c r="AC152">
        <f>'BaU Model'!AK25</f>
        <v>640356</v>
      </c>
      <c r="AD152">
        <f>'BaU Model'!AL25</f>
        <v>640356</v>
      </c>
    </row>
    <row r="153" spans="4:36">
      <c r="D153" s="7" t="s">
        <v>503</v>
      </c>
      <c r="E153">
        <f>'Strategic Model'!M35</f>
        <v>0</v>
      </c>
      <c r="F153">
        <f>'Strategic Model'!N35</f>
        <v>0</v>
      </c>
      <c r="G153">
        <f>'Strategic Model'!O35</f>
        <v>0</v>
      </c>
      <c r="H153">
        <f>'Strategic Model'!P35</f>
        <v>0</v>
      </c>
      <c r="I153">
        <f>'Strategic Model'!Q35</f>
        <v>0</v>
      </c>
      <c r="J153">
        <f>'Strategic Model'!R35</f>
        <v>0</v>
      </c>
      <c r="K153">
        <f>'Strategic Model'!S35</f>
        <v>0</v>
      </c>
      <c r="L153">
        <f>'Strategic Model'!T35</f>
        <v>0</v>
      </c>
      <c r="M153">
        <f>'Strategic Model'!U35</f>
        <v>0</v>
      </c>
      <c r="N153">
        <f>'Strategic Model'!V35</f>
        <v>232687.5</v>
      </c>
      <c r="O153">
        <f>'Strategic Model'!W35</f>
        <v>232687.5</v>
      </c>
      <c r="P153">
        <f>'Strategic Model'!X35</f>
        <v>233325</v>
      </c>
      <c r="Q153">
        <f>'Strategic Model'!Y35</f>
        <v>232687.5</v>
      </c>
      <c r="R153">
        <f>'Strategic Model'!Z35</f>
        <v>232687.5</v>
      </c>
      <c r="S153">
        <f>'Strategic Model'!AA35</f>
        <v>232687.5</v>
      </c>
      <c r="T153">
        <f>'Strategic Model'!AB35</f>
        <v>233325</v>
      </c>
      <c r="U153">
        <f>'Strategic Model'!AC35</f>
        <v>232687.5</v>
      </c>
      <c r="V153">
        <f>'Strategic Model'!AD35</f>
        <v>232687.5</v>
      </c>
      <c r="W153">
        <f>'Strategic Model'!AE35</f>
        <v>232687.5</v>
      </c>
      <c r="X153">
        <f>'Strategic Model'!AF35</f>
        <v>233325</v>
      </c>
      <c r="Y153">
        <f>'Strategic Model'!AG35</f>
        <v>232687.5</v>
      </c>
      <c r="Z153">
        <f>'Strategic Model'!AH35</f>
        <v>232687.5</v>
      </c>
      <c r="AA153">
        <f>'Strategic Model'!AI35</f>
        <v>232687.5</v>
      </c>
      <c r="AB153">
        <f>'Strategic Model'!AJ35</f>
        <v>233325</v>
      </c>
      <c r="AC153">
        <f>'Strategic Model'!AK35</f>
        <v>232687.5</v>
      </c>
      <c r="AD153">
        <f>'Strategic Model'!AL35</f>
        <v>232687.5</v>
      </c>
    </row>
    <row r="154" spans="4:36">
      <c r="D154" s="63" t="s">
        <v>587</v>
      </c>
      <c r="E154">
        <f>E151*'BaU Model'!M65</f>
        <v>4022098.7544460809</v>
      </c>
      <c r="F154">
        <f>F151*'BaU Model'!N65</f>
        <v>7623200.1314147841</v>
      </c>
      <c r="G154">
        <f>G151*'BaU Model'!O65</f>
        <v>0</v>
      </c>
      <c r="H154">
        <f>H151*'BaU Model'!P65</f>
        <v>0</v>
      </c>
      <c r="I154">
        <f>I151*'BaU Model'!Q65</f>
        <v>0</v>
      </c>
      <c r="J154">
        <f>J151*'BaU Model'!R65</f>
        <v>0</v>
      </c>
      <c r="K154">
        <f>(K150-K152)*'BaU Model'!S65</f>
        <v>3390060.5634844387</v>
      </c>
      <c r="L154">
        <f>(L150-L152)*'BaU Model'!T65</f>
        <v>3593464.1972935055</v>
      </c>
      <c r="M154">
        <f>(M150-M152)*'BaU Model'!U65</f>
        <v>3809072.0491311164</v>
      </c>
      <c r="N154">
        <v>0</v>
      </c>
      <c r="O154">
        <v>0</v>
      </c>
      <c r="P154">
        <v>0</v>
      </c>
      <c r="Q154">
        <v>0</v>
      </c>
      <c r="R154">
        <v>0</v>
      </c>
      <c r="S154">
        <v>0</v>
      </c>
      <c r="T154">
        <v>0</v>
      </c>
      <c r="U154">
        <v>0</v>
      </c>
      <c r="V154">
        <v>0</v>
      </c>
      <c r="W154">
        <v>0</v>
      </c>
      <c r="X154">
        <v>0</v>
      </c>
      <c r="Y154">
        <v>0</v>
      </c>
      <c r="Z154">
        <v>0</v>
      </c>
      <c r="AA154">
        <v>0</v>
      </c>
      <c r="AB154">
        <v>0</v>
      </c>
      <c r="AC154">
        <v>0</v>
      </c>
      <c r="AD154">
        <v>0</v>
      </c>
    </row>
    <row r="155" spans="4:36">
      <c r="D155" s="63" t="s">
        <v>586</v>
      </c>
      <c r="E155">
        <f>E152*'BaU Model'!M69</f>
        <v>492889.37674629915</v>
      </c>
      <c r="F155">
        <f>F152*'BaU Model'!N69</f>
        <v>3502487.1470910721</v>
      </c>
      <c r="G155">
        <f>G152*'BaU Model'!O69</f>
        <v>8306489.7706249347</v>
      </c>
      <c r="H155">
        <f>H152*'BaU Model'!P69</f>
        <v>9083977.2131554279</v>
      </c>
      <c r="I155">
        <f>I152*'BaU Model'!Q69</f>
        <v>11671110.50111958</v>
      </c>
      <c r="J155">
        <f>J152*'BaU Model'!R69</f>
        <v>12763526.444024369</v>
      </c>
      <c r="K155">
        <f>K152*'BaU Model'!S69</f>
        <v>14754236.403352393</v>
      </c>
      <c r="L155">
        <f>L152*'BaU Model'!T69</f>
        <v>16135232.930706175</v>
      </c>
      <c r="M155">
        <f>M152*'BaU Model'!U69</f>
        <v>17645490.733020272</v>
      </c>
      <c r="N155">
        <f>(N150-N153)*'BaU Model'!V69</f>
        <v>14689112.110943986</v>
      </c>
      <c r="O155">
        <f>(O150-O153)*'BaU Model'!W69</f>
        <v>16064013.00452834</v>
      </c>
      <c r="P155">
        <f>(P150-P153)*'BaU Model'!X69</f>
        <v>17544628.964093532</v>
      </c>
      <c r="Q155">
        <f>(Q150-Q153)*'BaU Model'!Y69</f>
        <v>19211932.414348196</v>
      </c>
      <c r="R155">
        <f>(R150-R153)*'BaU Model'!Z69</f>
        <v>21010169.288331185</v>
      </c>
      <c r="S155">
        <f>(S150-S153)*'BaU Model'!AA69</f>
        <v>22976721.133718982</v>
      </c>
      <c r="T155">
        <f>(T150-T153)*'BaU Model'!AB69</f>
        <v>25094479.629026048</v>
      </c>
      <c r="U155">
        <f>(U150-U153)*'BaU Model'!AC69</f>
        <v>27479261.464734837</v>
      </c>
      <c r="V155">
        <f>(V150-V153)*'BaU Model'!AD69</f>
        <v>30051320.337834015</v>
      </c>
      <c r="W155">
        <f>(W150-W153)*'BaU Model'!AE69</f>
        <v>32864123.921455279</v>
      </c>
      <c r="X155">
        <f>(X150-X153)*'BaU Model'!AF69</f>
        <v>35893201.796424508</v>
      </c>
      <c r="Y155">
        <f>(Y150-Y153)*'BaU Model'!AG69</f>
        <v>39304209.194662616</v>
      </c>
      <c r="Z155">
        <f>(Z150-Z153)*'BaU Model'!AH69</f>
        <v>42983083.17528303</v>
      </c>
      <c r="AA155">
        <f>(AA150-AA153)*'BaU Model'!AI69</f>
        <v>47006299.760489516</v>
      </c>
      <c r="AB155">
        <f>(AB150-AB153)*'BaU Model'!AJ69</f>
        <v>51338858.356269218</v>
      </c>
      <c r="AC155">
        <f>(AC150-AC153)*'BaU Model'!AK69</f>
        <v>56217699.387602814</v>
      </c>
      <c r="AD155">
        <f>(AD150-AD153)*'BaU Model'!AL69</f>
        <v>61479676.050282434</v>
      </c>
    </row>
    <row r="156" spans="4:36">
      <c r="D156" s="63" t="s">
        <v>590</v>
      </c>
      <c r="E156">
        <v>0</v>
      </c>
      <c r="F156">
        <v>0</v>
      </c>
      <c r="G156">
        <v>0</v>
      </c>
      <c r="H156">
        <v>0</v>
      </c>
      <c r="I156">
        <v>0</v>
      </c>
      <c r="J156">
        <v>0</v>
      </c>
      <c r="K156">
        <v>0</v>
      </c>
      <c r="L156">
        <v>0</v>
      </c>
      <c r="M156">
        <v>0</v>
      </c>
      <c r="N156">
        <f>N153*'Strategic Model'!V85</f>
        <v>10470937.5</v>
      </c>
      <c r="O156">
        <f>O153*'Strategic Model'!W85</f>
        <v>11451017.25</v>
      </c>
      <c r="P156">
        <f>P153*'Strategic Model'!X85</f>
        <v>12557141.594639998</v>
      </c>
      <c r="Q156">
        <f>Q153*'Strategic Model'!Y85</f>
        <v>13694969.583286555</v>
      </c>
      <c r="R156">
        <f>R153*'Strategic Model'!Z85</f>
        <v>14976818.736282175</v>
      </c>
      <c r="S156">
        <f>S153*'Strategic Model'!AA85</f>
        <v>16378648.969998186</v>
      </c>
      <c r="T156">
        <f>T153*'Strategic Model'!AB85</f>
        <v>17960763.638284784</v>
      </c>
      <c r="U156">
        <f>U153*'Strategic Model'!AC85</f>
        <v>19588224.745662041</v>
      </c>
      <c r="V156">
        <f>V153*'Strategic Model'!AD85</f>
        <v>21421682.581856005</v>
      </c>
      <c r="W156">
        <f>W153*'Strategic Model'!AE85</f>
        <v>23426752.071517725</v>
      </c>
      <c r="X156">
        <f>X153*'Strategic Model'!AF85</f>
        <v>25689686.465590995</v>
      </c>
      <c r="Y156">
        <f>Y153*'Strategic Model'!AG85</f>
        <v>28017480.897134326</v>
      </c>
      <c r="Z156">
        <f>Z153*'Strategic Model'!AH85</f>
        <v>30639917.109106094</v>
      </c>
      <c r="AA156">
        <f>AA153*'Strategic Model'!AI85</f>
        <v>33507813.350518424</v>
      </c>
      <c r="AB156">
        <f>AB153*'Strategic Model'!AJ85</f>
        <v>36744539.597058795</v>
      </c>
      <c r="AC156">
        <f>AC153*'Strategic Model'!AK85</f>
        <v>40074036.622186825</v>
      </c>
      <c r="AD156">
        <f>AD153*'Strategic Model'!AL85</f>
        <v>43824966.450023502</v>
      </c>
    </row>
    <row r="157" spans="4:36">
      <c r="D157" s="63" t="s">
        <v>497</v>
      </c>
      <c r="E157" s="105">
        <f>'BaU Model'!M80-Results!E154-Results!E155-Results!E156</f>
        <v>-4.0745362639427185E-10</v>
      </c>
      <c r="F157" s="105">
        <f>'BaU Model'!N80-Results!F154-Results!F155-Results!F156</f>
        <v>0</v>
      </c>
      <c r="G157" s="105">
        <f>'BaU Model'!O80-Results!G154-Results!G155-Results!G156</f>
        <v>0</v>
      </c>
      <c r="H157" s="105">
        <f>'BaU Model'!P80-Results!H154-Results!H155-Results!H156</f>
        <v>0</v>
      </c>
      <c r="I157" s="105">
        <f>'BaU Model'!Q80-Results!I154-Results!I155-Results!I156</f>
        <v>0</v>
      </c>
      <c r="J157" s="105">
        <f>'BaU Model'!R80-Results!J154-Results!J155-Results!J156</f>
        <v>0</v>
      </c>
      <c r="K157" s="105">
        <f>'BaU Model'!S80-Results!K154-Results!K155-Results!K156</f>
        <v>1.862645149230957E-9</v>
      </c>
      <c r="L157" s="105">
        <f>'BaU Model'!T80-Results!L154-Results!L155-Results!L156</f>
        <v>1.862645149230957E-9</v>
      </c>
      <c r="M157" s="105">
        <f>'BaU Model'!U80-Results!M154-Results!M155-Results!M156</f>
        <v>0</v>
      </c>
      <c r="N157" s="105">
        <f>'BaU Model'!V80-Results!N154-Results!N155-Results!N156</f>
        <v>-1825324.5732340347</v>
      </c>
      <c r="O157" s="105">
        <f>'BaU Model'!W80-Results!O154-Results!O155-Results!O156</f>
        <v>-2131838.8633905947</v>
      </c>
      <c r="P157" s="105">
        <f>'BaU Model'!X80-Results!P154-Results!P155-Results!P156</f>
        <v>-2486516.1980932578</v>
      </c>
      <c r="Q157" s="105">
        <f>'BaU Model'!Y80-Results!Q154-Results!Q155-Results!Q156</f>
        <v>-2859291.7982289959</v>
      </c>
      <c r="R157" s="105">
        <f>'BaU Model'!Z80-Results!R154-Results!R155-Results!R156</f>
        <v>-3288499.3980970997</v>
      </c>
      <c r="S157" s="105">
        <f>'BaU Model'!AA80-Results!S154-Results!S155-Results!S156</f>
        <v>-3767575.5025660899</v>
      </c>
      <c r="T157" s="105">
        <f>'BaU Model'!AB80-Results!T154-Results!T155-Results!T156</f>
        <v>-4317980.0059475414</v>
      </c>
      <c r="U157" s="105">
        <f>'BaU Model'!AC80-Results!U154-Results!U155-Results!U156</f>
        <v>-4896856.9570928439</v>
      </c>
      <c r="V157" s="105">
        <f>'BaU Model'!AD80-Results!V154-Results!V155-Results!V156</f>
        <v>-5559191.1285589635</v>
      </c>
      <c r="W157" s="105">
        <f>'BaU Model'!AE80-Results!W154-Results!W155-Results!W156</f>
        <v>-6295759.0800912492</v>
      </c>
      <c r="X157" s="105">
        <f>'BaU Model'!AF80-Results!X154-Results!X155-Results!X156</f>
        <v>-7137429.7277011313</v>
      </c>
      <c r="Y157" s="105">
        <f>'BaU Model'!AG80-Results!Y154-Results!Y155-Results!Y156</f>
        <v>-8023090.0395806506</v>
      </c>
      <c r="Z157" s="105">
        <f>'BaU Model'!AH80-Results!Z154-Results!Z155-Results!Z156</f>
        <v>-9031581.8722498864</v>
      </c>
      <c r="AA157" s="105">
        <f>'BaU Model'!AI80-Results!AA154-Results!AA155-Results!AA156</f>
        <v>-10149920.376754832</v>
      </c>
      <c r="AB157" s="105">
        <f>'BaU Model'!AJ80-Results!AB154-Results!AB155-Results!AB156</f>
        <v>-11422478.166886926</v>
      </c>
      <c r="AC157" s="105">
        <f>'BaU Model'!AK80-Results!AC154-Results!AC155-Results!AC156</f>
        <v>-12762077.202340074</v>
      </c>
      <c r="AD157" s="105">
        <f>'BaU Model'!AL80-Results!AD154-Results!AD155-Results!AD156</f>
        <v>-14281734.08374162</v>
      </c>
      <c r="AE157" s="191">
        <f>AVERAGE(M157:AD157)</f>
        <v>-6124285.8319197651</v>
      </c>
      <c r="AH157" s="133">
        <f>SUM(G157:AD157)/10^6</f>
        <v>-110.23714497455578</v>
      </c>
      <c r="AJ157" s="65"/>
    </row>
    <row r="158" spans="4:36">
      <c r="D158" s="7" t="s">
        <v>517</v>
      </c>
      <c r="E158" s="65">
        <f>'BaU Model'!M52</f>
        <v>72203.208932800015</v>
      </c>
      <c r="F158" s="65">
        <f>'BaU Model'!N52</f>
        <v>190805.41951615998</v>
      </c>
      <c r="G158" s="65">
        <f>'BaU Model'!O52</f>
        <v>228893.92584527395</v>
      </c>
      <c r="H158" s="65">
        <f>'BaU Model'!P52</f>
        <v>228893.92584527395</v>
      </c>
      <c r="I158" s="65">
        <f>'BaU Model'!Q52</f>
        <v>314541.17584527389</v>
      </c>
      <c r="J158" s="65">
        <f>'BaU Model'!R52</f>
        <v>314541.17584527389</v>
      </c>
      <c r="K158" s="65">
        <f>'BaU Model'!S52</f>
        <v>423149.98597185616</v>
      </c>
      <c r="L158" s="65">
        <f>'BaU Model'!T52</f>
        <v>423149.98597185616</v>
      </c>
      <c r="M158" s="65">
        <f>'BaU Model'!U52</f>
        <v>423149.98597185616</v>
      </c>
      <c r="N158" s="65">
        <f>'BaU Model'!V52</f>
        <v>423149.98597185616</v>
      </c>
      <c r="O158" s="65">
        <f>'BaU Model'!W52</f>
        <v>423149.98597185616</v>
      </c>
      <c r="P158" s="65">
        <f>'BaU Model'!X52</f>
        <v>423149.98597185616</v>
      </c>
      <c r="Q158" s="65">
        <f>'BaU Model'!Y52</f>
        <v>423149.98597185616</v>
      </c>
      <c r="R158" s="65">
        <f>'BaU Model'!Z52</f>
        <v>423149.98597185616</v>
      </c>
      <c r="S158" s="65">
        <f>'BaU Model'!AA52</f>
        <v>423149.98597185616</v>
      </c>
      <c r="T158" s="65">
        <f>'BaU Model'!AB52</f>
        <v>423149.98597185616</v>
      </c>
      <c r="U158" s="65">
        <f>'BaU Model'!AC52</f>
        <v>423149.98597185616</v>
      </c>
      <c r="V158" s="65">
        <f>'BaU Model'!AD52</f>
        <v>423149.98597185616</v>
      </c>
      <c r="W158" s="65">
        <f>'BaU Model'!AE52</f>
        <v>423149.98597185616</v>
      </c>
      <c r="X158" s="65">
        <f>'BaU Model'!AF52</f>
        <v>423149.98597185616</v>
      </c>
      <c r="Y158" s="65">
        <f>'BaU Model'!AG52</f>
        <v>423149.98597185616</v>
      </c>
      <c r="Z158" s="65">
        <f>'BaU Model'!AH52</f>
        <v>423149.98597185616</v>
      </c>
      <c r="AA158" s="65">
        <f>'BaU Model'!AI52</f>
        <v>423149.98597185616</v>
      </c>
      <c r="AB158" s="65">
        <f>'BaU Model'!AJ52</f>
        <v>423149.98597185616</v>
      </c>
      <c r="AC158" s="65">
        <f>'BaU Model'!AK52</f>
        <v>423149.98597185616</v>
      </c>
      <c r="AD158" s="65">
        <f>'BaU Model'!AL52</f>
        <v>423149.98597185616</v>
      </c>
      <c r="AE158" s="9"/>
    </row>
    <row r="159" spans="4:36">
      <c r="D159" s="7" t="s">
        <v>516</v>
      </c>
      <c r="E159" s="10">
        <v>0</v>
      </c>
      <c r="F159" s="10">
        <v>0</v>
      </c>
      <c r="G159" s="10">
        <v>0</v>
      </c>
      <c r="H159" s="10">
        <v>0</v>
      </c>
      <c r="I159" s="10">
        <v>0</v>
      </c>
      <c r="J159" s="10">
        <v>0</v>
      </c>
      <c r="K159" s="10">
        <v>0</v>
      </c>
      <c r="L159" s="10">
        <v>0</v>
      </c>
      <c r="M159" s="10">
        <v>0</v>
      </c>
      <c r="N159" s="10">
        <v>0.75</v>
      </c>
      <c r="O159" s="10">
        <v>0.75</v>
      </c>
      <c r="P159" s="10">
        <v>0.75</v>
      </c>
      <c r="Q159" s="10">
        <v>0.75</v>
      </c>
      <c r="R159" s="10">
        <v>0.75</v>
      </c>
      <c r="S159" s="10">
        <v>0.75</v>
      </c>
      <c r="T159" s="10">
        <v>0.75</v>
      </c>
      <c r="U159" s="10">
        <v>0.75</v>
      </c>
      <c r="V159" s="10">
        <v>0.75</v>
      </c>
      <c r="W159" s="10">
        <v>0.75</v>
      </c>
      <c r="X159" s="10">
        <v>0.75</v>
      </c>
      <c r="Y159" s="10">
        <v>0.75</v>
      </c>
      <c r="Z159" s="10">
        <v>0.75</v>
      </c>
      <c r="AA159" s="10">
        <v>0.75</v>
      </c>
      <c r="AB159" s="10">
        <v>0.75</v>
      </c>
      <c r="AC159" s="10">
        <v>0.75</v>
      </c>
      <c r="AD159" s="10">
        <v>0.75</v>
      </c>
      <c r="AE159" s="9"/>
    </row>
    <row r="160" spans="4:36">
      <c r="D160" s="7" t="s">
        <v>515</v>
      </c>
      <c r="E160" s="65">
        <f>IF(E159&gt;0,E158*E159,E158)</f>
        <v>72203.208932800015</v>
      </c>
      <c r="F160" s="65">
        <f t="shared" ref="F160:L160" si="13">IF(F159&gt;0,F158*F159,F158)</f>
        <v>190805.41951615998</v>
      </c>
      <c r="G160" s="65">
        <f t="shared" si="13"/>
        <v>228893.92584527395</v>
      </c>
      <c r="H160" s="65">
        <f t="shared" si="13"/>
        <v>228893.92584527395</v>
      </c>
      <c r="I160" s="65">
        <f t="shared" si="13"/>
        <v>314541.17584527389</v>
      </c>
      <c r="J160" s="65">
        <f t="shared" si="13"/>
        <v>314541.17584527389</v>
      </c>
      <c r="K160" s="65">
        <f t="shared" si="13"/>
        <v>423149.98597185616</v>
      </c>
      <c r="L160" s="65">
        <f t="shared" si="13"/>
        <v>423149.98597185616</v>
      </c>
      <c r="M160" s="65">
        <f>M158*(1-M159)</f>
        <v>423149.98597185616</v>
      </c>
      <c r="N160" s="65">
        <f t="shared" ref="N160:AD160" si="14">N158*(1-N159)</f>
        <v>105787.49649296404</v>
      </c>
      <c r="O160" s="65">
        <f t="shared" si="14"/>
        <v>105787.49649296404</v>
      </c>
      <c r="P160" s="65">
        <f t="shared" si="14"/>
        <v>105787.49649296404</v>
      </c>
      <c r="Q160" s="65">
        <f t="shared" si="14"/>
        <v>105787.49649296404</v>
      </c>
      <c r="R160" s="65">
        <f t="shared" si="14"/>
        <v>105787.49649296404</v>
      </c>
      <c r="S160" s="65">
        <f t="shared" si="14"/>
        <v>105787.49649296404</v>
      </c>
      <c r="T160" s="65">
        <f t="shared" si="14"/>
        <v>105787.49649296404</v>
      </c>
      <c r="U160" s="65">
        <f t="shared" si="14"/>
        <v>105787.49649296404</v>
      </c>
      <c r="V160" s="65">
        <f t="shared" si="14"/>
        <v>105787.49649296404</v>
      </c>
      <c r="W160" s="65">
        <f t="shared" si="14"/>
        <v>105787.49649296404</v>
      </c>
      <c r="X160" s="65">
        <f t="shared" si="14"/>
        <v>105787.49649296404</v>
      </c>
      <c r="Y160" s="65">
        <f t="shared" si="14"/>
        <v>105787.49649296404</v>
      </c>
      <c r="Z160" s="65">
        <f t="shared" si="14"/>
        <v>105787.49649296404</v>
      </c>
      <c r="AA160" s="65">
        <f t="shared" si="14"/>
        <v>105787.49649296404</v>
      </c>
      <c r="AB160" s="65">
        <f t="shared" si="14"/>
        <v>105787.49649296404</v>
      </c>
      <c r="AC160" s="65">
        <f t="shared" si="14"/>
        <v>105787.49649296404</v>
      </c>
      <c r="AD160" s="65">
        <f t="shared" si="14"/>
        <v>105787.49649296404</v>
      </c>
      <c r="AE160" s="9"/>
    </row>
    <row r="161" spans="4:36">
      <c r="D161" s="7" t="s">
        <v>514</v>
      </c>
      <c r="E161" s="65">
        <f>E160*'BaU Model'!M68</f>
        <v>1936490.0635776964</v>
      </c>
      <c r="F161" s="65">
        <f>F160*'BaU Model'!N68</f>
        <v>5423644.0497468477</v>
      </c>
      <c r="G161" s="65">
        <f>G160*'BaU Model'!O68</f>
        <v>6896688.4326810278</v>
      </c>
      <c r="H161" s="65">
        <f>H160*'BaU Model'!P68</f>
        <v>7310489.7386418898</v>
      </c>
      <c r="I161" s="65">
        <f>I160*'BaU Model'!Q68</f>
        <v>10648675.065098453</v>
      </c>
      <c r="J161" s="65">
        <f>J160*'BaU Model'!R68</f>
        <v>11287595.569004359</v>
      </c>
      <c r="K161" s="65">
        <f>K160*'BaU Model'!S68</f>
        <v>16096228.569996504</v>
      </c>
      <c r="L161" s="65">
        <f>L160*'BaU Model'!T68</f>
        <v>17062002.284196295</v>
      </c>
      <c r="M161" s="65">
        <f>M160*'BaU Model'!U68</f>
        <v>18085722.421248075</v>
      </c>
      <c r="N161" s="65">
        <f>N160*'BaU Model'!V68</f>
        <v>4792716.4416307397</v>
      </c>
      <c r="O161" s="65">
        <f>O160*'BaU Model'!W68</f>
        <v>5080279.4281285843</v>
      </c>
      <c r="P161" s="65">
        <f>P160*'BaU Model'!X68</f>
        <v>5385096.1938163005</v>
      </c>
      <c r="Q161" s="65">
        <f>Q160*'BaU Model'!Y68</f>
        <v>5708201.9654452791</v>
      </c>
      <c r="R161" s="65">
        <f>R160*'BaU Model'!Z68</f>
        <v>6050694.0833719959</v>
      </c>
      <c r="S161" s="65">
        <f>S160*'BaU Model'!AA68</f>
        <v>6413735.7283743145</v>
      </c>
      <c r="T161" s="65">
        <f>T160*'BaU Model'!AB68</f>
        <v>6798559.8720767749</v>
      </c>
      <c r="U161" s="65">
        <f>U160*'BaU Model'!AC68</f>
        <v>7206473.4644013811</v>
      </c>
      <c r="V161" s="65">
        <f>V160*'BaU Model'!AD68</f>
        <v>7638861.8722654646</v>
      </c>
      <c r="W161" s="65">
        <f>W160*'BaU Model'!AE68</f>
        <v>8097193.584601392</v>
      </c>
      <c r="X161" s="65">
        <f>X160*'BaU Model'!AF68</f>
        <v>8583025.1996774767</v>
      </c>
      <c r="Y161" s="65">
        <f>Y160*'BaU Model'!AG68</f>
        <v>9098006.7116581257</v>
      </c>
      <c r="Z161" s="65">
        <f>Z160*'BaU Model'!AH68</f>
        <v>9643887.114357613</v>
      </c>
      <c r="AA161" s="65">
        <f>AA160*'BaU Model'!AI68</f>
        <v>10222520.341219071</v>
      </c>
      <c r="AB161" s="65">
        <f>AB160*'BaU Model'!AJ68</f>
        <v>10835871.561692216</v>
      </c>
      <c r="AC161" s="65">
        <f>AC160*'BaU Model'!AK68</f>
        <v>11486023.855393749</v>
      </c>
      <c r="AD161" s="65">
        <f>AD160*'BaU Model'!AL68</f>
        <v>12175185.286717376</v>
      </c>
      <c r="AE161" s="9"/>
    </row>
    <row r="162" spans="4:36">
      <c r="D162" s="7" t="s">
        <v>513</v>
      </c>
      <c r="E162" s="65">
        <f>'BaU Model'!M88-Results!E161</f>
        <v>0</v>
      </c>
      <c r="F162" s="65">
        <f>'BaU Model'!N88-Results!F161</f>
        <v>0</v>
      </c>
      <c r="G162" s="65">
        <f>'BaU Model'!O88-Results!G161</f>
        <v>0</v>
      </c>
      <c r="H162" s="65">
        <f>'BaU Model'!P88-Results!H161</f>
        <v>0</v>
      </c>
      <c r="I162" s="65">
        <f>'BaU Model'!Q88-Results!I161</f>
        <v>0</v>
      </c>
      <c r="J162" s="65">
        <f>'BaU Model'!R88-Results!J161</f>
        <v>0</v>
      </c>
      <c r="K162" s="65">
        <f>'BaU Model'!S88-Results!K161</f>
        <v>0</v>
      </c>
      <c r="L162" s="65">
        <f>'BaU Model'!T88-Results!L161</f>
        <v>0</v>
      </c>
      <c r="M162" s="65">
        <f>'BaU Model'!U88-Results!M161</f>
        <v>0</v>
      </c>
      <c r="N162" s="65">
        <f>'BaU Model'!V88-Results!N161</f>
        <v>14378149.324892223</v>
      </c>
      <c r="O162" s="65">
        <f>'BaU Model'!W88-Results!O161</f>
        <v>15240838.284385756</v>
      </c>
      <c r="P162" s="65">
        <f>'BaU Model'!X88-Results!P161</f>
        <v>16155288.581448898</v>
      </c>
      <c r="Q162" s="65">
        <f>'BaU Model'!Y88-Results!Q161</f>
        <v>17124605.896335833</v>
      </c>
      <c r="R162" s="65">
        <f>'BaU Model'!Z88-Results!R161</f>
        <v>18152082.250115983</v>
      </c>
      <c r="S162" s="65">
        <f>'BaU Model'!AA88-Results!S161</f>
        <v>19241207.185122948</v>
      </c>
      <c r="T162" s="65">
        <f>'BaU Model'!AB88-Results!T161</f>
        <v>20395679.616230324</v>
      </c>
      <c r="U162" s="65">
        <f>'BaU Model'!AC88-Results!U161</f>
        <v>21619420.393204145</v>
      </c>
      <c r="V162" s="65">
        <f>'BaU Model'!AD88-Results!V161</f>
        <v>22916585.616796389</v>
      </c>
      <c r="W162" s="65">
        <f>'BaU Model'!AE88-Results!W161</f>
        <v>24291580.753804181</v>
      </c>
      <c r="X162" s="65">
        <f>'BaU Model'!AF88-Results!X161</f>
        <v>25749075.599032432</v>
      </c>
      <c r="Y162" s="65">
        <f>'BaU Model'!AG88-Results!Y161</f>
        <v>27294020.134974375</v>
      </c>
      <c r="Z162" s="65">
        <f>'BaU Model'!AH88-Results!Z161</f>
        <v>28931661.343072847</v>
      </c>
      <c r="AA162" s="65">
        <f>'BaU Model'!AI88-Results!AA161</f>
        <v>30667561.023657221</v>
      </c>
      <c r="AB162" s="65">
        <f>'BaU Model'!AJ88-Results!AB161</f>
        <v>32507614.685076647</v>
      </c>
      <c r="AC162" s="65">
        <f>'BaU Model'!AK88-Results!AC161</f>
        <v>34458071.566181257</v>
      </c>
      <c r="AD162" s="65">
        <f>'BaU Model'!AL88-Results!AD161</f>
        <v>36525555.860152125</v>
      </c>
      <c r="AE162" s="191">
        <f>AVERAGE(M162:AD162)</f>
        <v>22536055.45080464</v>
      </c>
      <c r="AF162" s="193">
        <f>AE162+AE157</f>
        <v>16411769.618884875</v>
      </c>
      <c r="AH162" s="133">
        <f>SUM(G162:AD162)/10^6</f>
        <v>405.64899811448356</v>
      </c>
      <c r="AJ162" s="65">
        <f>($AJ$131-AH162-AH157)/1000</f>
        <v>1.3083913922678045</v>
      </c>
    </row>
    <row r="164" spans="4:36">
      <c r="D164" s="188" t="s">
        <v>416</v>
      </c>
      <c r="M164" s="190"/>
    </row>
    <row r="165" spans="4:36">
      <c r="D165" s="7" t="s">
        <v>498</v>
      </c>
      <c r="E165">
        <f>'BaU Model'!M23</f>
        <v>190008.44456000003</v>
      </c>
      <c r="F165">
        <f>'BaU Model'!N23</f>
        <v>475558.33633279998</v>
      </c>
      <c r="G165">
        <f>'BaU Model'!O23</f>
        <v>515651.50088976207</v>
      </c>
      <c r="H165">
        <f>'BaU Model'!P23</f>
        <v>515651.50088976207</v>
      </c>
      <c r="I165">
        <f>'BaU Model'!Q23</f>
        <v>605806.50088976207</v>
      </c>
      <c r="J165">
        <f>'BaU Model'!R23</f>
        <v>605806.50088976207</v>
      </c>
      <c r="K165">
        <f>'BaU Model'!S23</f>
        <v>720131.56418090127</v>
      </c>
      <c r="L165">
        <f>'BaU Model'!T23</f>
        <v>720131.56418090127</v>
      </c>
      <c r="M165">
        <f>'BaU Model'!U23</f>
        <v>720131.56418090127</v>
      </c>
      <c r="N165">
        <f>'BaU Model'!V23</f>
        <v>720131.56418090127</v>
      </c>
      <c r="O165">
        <f>'BaU Model'!W23</f>
        <v>720131.56418090127</v>
      </c>
      <c r="P165">
        <f>'BaU Model'!X23</f>
        <v>720131.56418090127</v>
      </c>
      <c r="Q165">
        <f>'BaU Model'!Y23</f>
        <v>720131.56418090127</v>
      </c>
      <c r="R165">
        <f>'BaU Model'!Z23</f>
        <v>720131.56418090127</v>
      </c>
      <c r="S165">
        <f>'BaU Model'!AA23</f>
        <v>720131.56418090127</v>
      </c>
      <c r="T165">
        <f>'BaU Model'!AB23</f>
        <v>720131.56418090127</v>
      </c>
      <c r="U165">
        <f>'BaU Model'!AC23</f>
        <v>720131.56418090127</v>
      </c>
      <c r="V165">
        <f>'BaU Model'!AD23</f>
        <v>720131.56418090127</v>
      </c>
      <c r="W165">
        <f>'BaU Model'!AE23</f>
        <v>720131.56418090127</v>
      </c>
      <c r="X165">
        <f>'BaU Model'!AF23</f>
        <v>720131.56418090127</v>
      </c>
      <c r="Y165">
        <f>'BaU Model'!AG23</f>
        <v>720131.56418090127</v>
      </c>
      <c r="Z165">
        <f>'BaU Model'!AH23</f>
        <v>720131.56418090127</v>
      </c>
      <c r="AA165">
        <f>'BaU Model'!AI23</f>
        <v>720131.56418090127</v>
      </c>
      <c r="AB165">
        <f>'BaU Model'!AJ23</f>
        <v>720131.56418090127</v>
      </c>
      <c r="AC165">
        <f>'BaU Model'!AK23</f>
        <v>720131.56418090127</v>
      </c>
      <c r="AD165">
        <f>'BaU Model'!AL23</f>
        <v>720131.56418090127</v>
      </c>
    </row>
    <row r="166" spans="4:36">
      <c r="D166" s="7" t="s">
        <v>499</v>
      </c>
      <c r="E166">
        <f>'BaU Model'!M24</f>
        <v>133005.91119200003</v>
      </c>
      <c r="F166">
        <f>'BaU Model'!N24</f>
        <v>237779.16816639999</v>
      </c>
      <c r="G166">
        <f>'BaU Model'!O24</f>
        <v>0</v>
      </c>
      <c r="H166">
        <f>'BaU Model'!P24</f>
        <v>0</v>
      </c>
      <c r="I166">
        <f>'BaU Model'!Q24</f>
        <v>0</v>
      </c>
      <c r="J166">
        <f>'BaU Model'!R24</f>
        <v>0</v>
      </c>
      <c r="K166">
        <f>'BaU Model'!S24</f>
        <v>79775.564180901274</v>
      </c>
      <c r="L166">
        <f>'BaU Model'!T24</f>
        <v>79775.564180901274</v>
      </c>
      <c r="M166">
        <f>'BaU Model'!U24</f>
        <v>79775.564180901274</v>
      </c>
      <c r="N166">
        <f>'BaU Model'!V24</f>
        <v>79775.564180901274</v>
      </c>
      <c r="O166">
        <f>'BaU Model'!W24</f>
        <v>79775.564180901274</v>
      </c>
      <c r="P166">
        <f>'BaU Model'!X24</f>
        <v>79775.564180901274</v>
      </c>
      <c r="Q166">
        <f>'BaU Model'!Y24</f>
        <v>79775.564180901274</v>
      </c>
      <c r="R166">
        <f>'BaU Model'!Z24</f>
        <v>79775.564180901274</v>
      </c>
      <c r="S166">
        <f>'BaU Model'!AA24</f>
        <v>79775.564180901274</v>
      </c>
      <c r="T166">
        <f>'BaU Model'!AB24</f>
        <v>79775.564180901274</v>
      </c>
      <c r="U166">
        <f>'BaU Model'!AC24</f>
        <v>79775.564180901274</v>
      </c>
      <c r="V166">
        <f>'BaU Model'!AD24</f>
        <v>79775.564180901274</v>
      </c>
      <c r="W166">
        <f>'BaU Model'!AE24</f>
        <v>79775.564180901274</v>
      </c>
      <c r="X166">
        <f>'BaU Model'!AF24</f>
        <v>79775.564180901274</v>
      </c>
      <c r="Y166">
        <f>'BaU Model'!AG24</f>
        <v>79775.564180901274</v>
      </c>
      <c r="Z166">
        <f>'BaU Model'!AH24</f>
        <v>79775.564180901274</v>
      </c>
      <c r="AA166">
        <f>'BaU Model'!AI24</f>
        <v>79775.564180901274</v>
      </c>
      <c r="AB166">
        <f>'BaU Model'!AJ24</f>
        <v>79775.564180901274</v>
      </c>
      <c r="AC166">
        <f>'BaU Model'!AK24</f>
        <v>79775.564180901274</v>
      </c>
      <c r="AD166">
        <f>'BaU Model'!AL24</f>
        <v>79775.564180901274</v>
      </c>
    </row>
    <row r="167" spans="4:36">
      <c r="D167" s="7" t="s">
        <v>500</v>
      </c>
      <c r="E167">
        <f>'BaU Model'!M25</f>
        <v>57002.533368000011</v>
      </c>
      <c r="F167">
        <f>'BaU Model'!N25</f>
        <v>237779.16816639999</v>
      </c>
      <c r="G167">
        <f>'BaU Model'!O25</f>
        <v>515651.50088976207</v>
      </c>
      <c r="H167">
        <f>'BaU Model'!P25</f>
        <v>515651.50088976207</v>
      </c>
      <c r="I167">
        <f>'BaU Model'!Q25</f>
        <v>605806.50088976207</v>
      </c>
      <c r="J167">
        <f>'BaU Model'!R25</f>
        <v>605806.50088976207</v>
      </c>
      <c r="K167">
        <f>'BaU Model'!S25</f>
        <v>640356</v>
      </c>
      <c r="L167">
        <f>'BaU Model'!T25</f>
        <v>640356</v>
      </c>
      <c r="M167">
        <f>'BaU Model'!U25</f>
        <v>640356</v>
      </c>
      <c r="N167">
        <f>'BaU Model'!V25</f>
        <v>640356</v>
      </c>
      <c r="O167">
        <f>'BaU Model'!W25</f>
        <v>640356</v>
      </c>
      <c r="P167">
        <f>'BaU Model'!X25</f>
        <v>640356</v>
      </c>
      <c r="Q167">
        <f>'BaU Model'!Y25</f>
        <v>640356</v>
      </c>
      <c r="R167">
        <f>'BaU Model'!Z25</f>
        <v>640356</v>
      </c>
      <c r="S167">
        <f>'BaU Model'!AA25</f>
        <v>640356</v>
      </c>
      <c r="T167">
        <f>'BaU Model'!AB25</f>
        <v>640356</v>
      </c>
      <c r="U167">
        <f>'BaU Model'!AC25</f>
        <v>640356</v>
      </c>
      <c r="V167">
        <f>'BaU Model'!AD25</f>
        <v>640356</v>
      </c>
      <c r="W167">
        <f>'BaU Model'!AE25</f>
        <v>640356</v>
      </c>
      <c r="X167">
        <f>'BaU Model'!AF25</f>
        <v>640356</v>
      </c>
      <c r="Y167">
        <f>'BaU Model'!AG25</f>
        <v>640356</v>
      </c>
      <c r="Z167">
        <f>'BaU Model'!AH25</f>
        <v>640356</v>
      </c>
      <c r="AA167">
        <f>'BaU Model'!AI25</f>
        <v>640356</v>
      </c>
      <c r="AB167">
        <f>'BaU Model'!AJ25</f>
        <v>640356</v>
      </c>
      <c r="AC167">
        <f>'BaU Model'!AK25</f>
        <v>640356</v>
      </c>
      <c r="AD167">
        <f>'BaU Model'!AL25</f>
        <v>640356</v>
      </c>
    </row>
    <row r="168" spans="4:36">
      <c r="D168" s="7" t="s">
        <v>504</v>
      </c>
      <c r="E168">
        <f>'Strategic Model'!M36</f>
        <v>0</v>
      </c>
      <c r="F168">
        <f>'Strategic Model'!N36</f>
        <v>0</v>
      </c>
      <c r="G168">
        <f>'Strategic Model'!O36</f>
        <v>0</v>
      </c>
      <c r="H168">
        <f>'Strategic Model'!P36</f>
        <v>0</v>
      </c>
      <c r="I168">
        <f>'Strategic Model'!Q36</f>
        <v>0</v>
      </c>
      <c r="J168">
        <f>'Strategic Model'!R36</f>
        <v>0</v>
      </c>
      <c r="K168">
        <f>'Strategic Model'!S36</f>
        <v>0</v>
      </c>
      <c r="L168">
        <f>'Strategic Model'!T36</f>
        <v>0</v>
      </c>
      <c r="M168">
        <f>'Strategic Model'!U36</f>
        <v>0</v>
      </c>
      <c r="N168">
        <f>'Strategic Model'!V36</f>
        <v>0</v>
      </c>
      <c r="O168">
        <f>'Strategic Model'!W36</f>
        <v>0</v>
      </c>
      <c r="P168">
        <f>'Strategic Model'!X36</f>
        <v>0</v>
      </c>
      <c r="Q168">
        <f>'Strategic Model'!Y36</f>
        <v>0</v>
      </c>
      <c r="R168">
        <f>'Strategic Model'!Z36</f>
        <v>0</v>
      </c>
      <c r="S168">
        <f>'Strategic Model'!AA36</f>
        <v>0</v>
      </c>
      <c r="T168">
        <f>'Strategic Model'!AB36</f>
        <v>0</v>
      </c>
      <c r="U168">
        <f>'Strategic Model'!AC36</f>
        <v>0</v>
      </c>
      <c r="V168">
        <f>'Strategic Model'!AD36</f>
        <v>0</v>
      </c>
      <c r="W168">
        <f>'Strategic Model'!AE36</f>
        <v>0</v>
      </c>
      <c r="X168">
        <f>'Strategic Model'!AF36</f>
        <v>0</v>
      </c>
      <c r="Y168">
        <f>'Strategic Model'!AG36</f>
        <v>0</v>
      </c>
      <c r="Z168">
        <f>'Strategic Model'!AH36</f>
        <v>0</v>
      </c>
      <c r="AA168">
        <f>'Strategic Model'!AI36</f>
        <v>0</v>
      </c>
      <c r="AB168">
        <f>'Strategic Model'!AJ36</f>
        <v>0</v>
      </c>
      <c r="AC168">
        <f>'Strategic Model'!AK36</f>
        <v>0</v>
      </c>
      <c r="AD168">
        <f>'Strategic Model'!AL36</f>
        <v>0</v>
      </c>
    </row>
    <row r="169" spans="4:36">
      <c r="D169" s="7" t="s">
        <v>497</v>
      </c>
      <c r="E169">
        <v>0</v>
      </c>
      <c r="F169">
        <v>0</v>
      </c>
      <c r="G169">
        <f>((G168-G166)*('BaU Model'!O69-'BaU Model'!O74))+(Results!G166*('BaU Model'!O65-'BaU Model'!O74))</f>
        <v>0</v>
      </c>
      <c r="H169">
        <f>((H168-H166)*('BaU Model'!P69-'BaU Model'!P74))+(Results!H166*('BaU Model'!P65-'BaU Model'!P74))</f>
        <v>0</v>
      </c>
      <c r="I169">
        <f>((I168-I166)*('BaU Model'!Q69-'BaU Model'!Q74))+(Results!I166*('BaU Model'!Q65-'BaU Model'!Q74))</f>
        <v>0</v>
      </c>
      <c r="J169">
        <f>((J168-J166)*('BaU Model'!R69-'BaU Model'!R74))+(Results!J166*('BaU Model'!R65-'BaU Model'!R74))</f>
        <v>0</v>
      </c>
      <c r="K169">
        <f>((K168-K166)*('BaU Model'!S69-'BaU Model'!S74))+(Results!K166*('BaU Model'!S65-'BaU Model'!S74))</f>
        <v>1551977.4766767432</v>
      </c>
      <c r="L169">
        <f>((L168-L166)*('BaU Model'!T69-'BaU Model'!T74))+(Results!L166*('BaU Model'!T65-'BaU Model'!T74))</f>
        <v>1583336.5335606099</v>
      </c>
      <c r="M169">
        <f>((M168-M166)*('BaU Model'!U69-'BaU Model'!U74))+(Results!M166*('BaU Model'!U65-'BaU Model'!U74))</f>
        <v>1610796.4360728215</v>
      </c>
      <c r="N169">
        <f>((N168-N166)*('BaU Model'!V69-'BaU Model'!V74))+(Results!N166*('BaU Model'!V65-'BaU Model'!V74))</f>
        <v>1633582.1616384322</v>
      </c>
      <c r="O169">
        <f>((O168-O166)*('BaU Model'!W69-'BaU Model'!W74))+(Results!O166*('BaU Model'!W65-'BaU Model'!W74))</f>
        <v>1650821.5418659365</v>
      </c>
      <c r="P169">
        <v>0</v>
      </c>
      <c r="Q169">
        <v>0</v>
      </c>
      <c r="R169">
        <v>0</v>
      </c>
      <c r="S169">
        <v>0</v>
      </c>
      <c r="T169">
        <f>((T168-T166)*('BaU Model'!AB69-'BaU Model'!AB74))+(Results!T166*('BaU Model'!AB65-'BaU Model'!AB74))</f>
        <v>1615071.0042333314</v>
      </c>
      <c r="U169">
        <f>U168*'BaU Model'!AC65</f>
        <v>0</v>
      </c>
      <c r="V169">
        <f>V168*'BaU Model'!AD65</f>
        <v>0</v>
      </c>
      <c r="W169">
        <f>W168*'BaU Model'!AE65</f>
        <v>0</v>
      </c>
      <c r="X169">
        <f>X168*'BaU Model'!AF65</f>
        <v>0</v>
      </c>
      <c r="Y169">
        <f>Y168*'BaU Model'!AG65</f>
        <v>0</v>
      </c>
      <c r="Z169">
        <f>Z168*'BaU Model'!AH65</f>
        <v>0</v>
      </c>
      <c r="AA169">
        <f>AA168*'BaU Model'!AI65</f>
        <v>0</v>
      </c>
      <c r="AB169">
        <f>AB168*'BaU Model'!AJ65</f>
        <v>0</v>
      </c>
      <c r="AC169">
        <f>AC168*'BaU Model'!AK65</f>
        <v>0</v>
      </c>
      <c r="AD169">
        <f>AD168*'BaU Model'!AL65</f>
        <v>0</v>
      </c>
      <c r="AE169" s="9">
        <f>AVERAGE(T169:AD169)</f>
        <v>146824.63674848469</v>
      </c>
      <c r="AH169" s="133">
        <f>SUM(G169:AD169)/10^6</f>
        <v>9.6455851540478754</v>
      </c>
      <c r="AJ169" s="116"/>
    </row>
    <row r="170" spans="4:36">
      <c r="D170" s="7" t="s">
        <v>519</v>
      </c>
      <c r="E170" s="65">
        <f>'BaU Model'!M52</f>
        <v>72203.208932800015</v>
      </c>
      <c r="F170" s="65">
        <f>'BaU Model'!N52</f>
        <v>190805.41951615998</v>
      </c>
      <c r="G170" s="65">
        <f>'BaU Model'!O52</f>
        <v>228893.92584527395</v>
      </c>
      <c r="H170" s="65">
        <f>'BaU Model'!P52</f>
        <v>228893.92584527395</v>
      </c>
      <c r="I170" s="65">
        <f>'BaU Model'!Q52</f>
        <v>314541.17584527389</v>
      </c>
      <c r="J170" s="65">
        <f>'BaU Model'!R52</f>
        <v>314541.17584527389</v>
      </c>
      <c r="K170" s="65">
        <f>'BaU Model'!S52</f>
        <v>423149.98597185616</v>
      </c>
      <c r="L170" s="65">
        <f>'BaU Model'!T52</f>
        <v>423149.98597185616</v>
      </c>
      <c r="M170" s="65">
        <f>'BaU Model'!U52</f>
        <v>423149.98597185616</v>
      </c>
      <c r="N170" s="65">
        <f>'BaU Model'!V52</f>
        <v>423149.98597185616</v>
      </c>
      <c r="O170" s="65">
        <f>'BaU Model'!W52</f>
        <v>423149.98597185616</v>
      </c>
      <c r="P170" s="65">
        <f>'BaU Model'!X52</f>
        <v>423149.98597185616</v>
      </c>
      <c r="Q170" s="65">
        <f>'BaU Model'!Y52</f>
        <v>423149.98597185616</v>
      </c>
      <c r="R170" s="65">
        <f>'BaU Model'!Z52</f>
        <v>423149.98597185616</v>
      </c>
      <c r="S170" s="65">
        <f>'BaU Model'!AA52</f>
        <v>423149.98597185616</v>
      </c>
      <c r="T170" s="65">
        <f>'BaU Model'!AB52</f>
        <v>423149.98597185616</v>
      </c>
      <c r="U170" s="65">
        <f>'BaU Model'!AC52</f>
        <v>423149.98597185616</v>
      </c>
      <c r="V170" s="65">
        <f>'BaU Model'!AD52</f>
        <v>423149.98597185616</v>
      </c>
      <c r="W170" s="65">
        <f>'BaU Model'!AE52</f>
        <v>423149.98597185616</v>
      </c>
      <c r="X170" s="65">
        <f>'BaU Model'!AF52</f>
        <v>423149.98597185616</v>
      </c>
      <c r="Y170" s="65">
        <f>'BaU Model'!AG52</f>
        <v>423149.98597185616</v>
      </c>
      <c r="Z170" s="65">
        <f>'BaU Model'!AH52</f>
        <v>423149.98597185616</v>
      </c>
      <c r="AA170" s="65">
        <f>'BaU Model'!AI52</f>
        <v>423149.98597185616</v>
      </c>
      <c r="AB170" s="65">
        <f>'BaU Model'!AJ52</f>
        <v>423149.98597185616</v>
      </c>
      <c r="AC170" s="65">
        <f>'BaU Model'!AK52</f>
        <v>423149.98597185616</v>
      </c>
      <c r="AD170" s="65">
        <f>'BaU Model'!AL52</f>
        <v>423149.98597185616</v>
      </c>
      <c r="AE170" s="9"/>
    </row>
    <row r="171" spans="4:36">
      <c r="D171" s="7" t="s">
        <v>520</v>
      </c>
      <c r="E171">
        <v>0</v>
      </c>
      <c r="F171">
        <v>0</v>
      </c>
      <c r="G171">
        <v>0</v>
      </c>
      <c r="H171">
        <v>0</v>
      </c>
      <c r="I171">
        <v>0</v>
      </c>
      <c r="J171">
        <v>0</v>
      </c>
      <c r="K171">
        <v>0</v>
      </c>
      <c r="L171">
        <v>0</v>
      </c>
      <c r="M171">
        <v>0</v>
      </c>
      <c r="N171">
        <v>0</v>
      </c>
      <c r="O171">
        <v>0</v>
      </c>
      <c r="P171">
        <v>0</v>
      </c>
      <c r="Q171">
        <v>0</v>
      </c>
      <c r="R171">
        <v>0</v>
      </c>
      <c r="S171">
        <v>0</v>
      </c>
      <c r="T171">
        <f>(Inputs!$E$192-Inputs!$E$194)*'BaU Model'!AB11</f>
        <v>128100</v>
      </c>
      <c r="U171">
        <f>(Inputs!$E$192-Inputs!$E$194)*'BaU Model'!AC11</f>
        <v>127750</v>
      </c>
      <c r="V171">
        <f>(Inputs!$E$192-Inputs!$E$194)*'BaU Model'!AD11</f>
        <v>127750</v>
      </c>
      <c r="W171">
        <f>(Inputs!$E$192-Inputs!$E$194)*'BaU Model'!AE11</f>
        <v>127750</v>
      </c>
      <c r="X171">
        <f>(Inputs!$E$192-Inputs!$E$194)*'BaU Model'!AF11</f>
        <v>128100</v>
      </c>
      <c r="Y171">
        <f>(Inputs!$E$192-Inputs!$E$194)*'BaU Model'!AG11</f>
        <v>127750</v>
      </c>
      <c r="Z171">
        <f>(Inputs!$E$192-Inputs!$E$194)*'BaU Model'!AH11</f>
        <v>127750</v>
      </c>
      <c r="AA171">
        <f>(Inputs!$E$192-Inputs!$E$194)*'BaU Model'!AI11</f>
        <v>127750</v>
      </c>
      <c r="AB171">
        <f>(Inputs!$E$192-Inputs!$E$194)*'BaU Model'!AJ11</f>
        <v>128100</v>
      </c>
      <c r="AC171">
        <f>(Inputs!$E$192-Inputs!$E$194)*'BaU Model'!AK11</f>
        <v>127750</v>
      </c>
      <c r="AD171">
        <f>(Inputs!$E$192-Inputs!$E$194)*'BaU Model'!AL11</f>
        <v>127750</v>
      </c>
      <c r="AE171" s="9"/>
    </row>
    <row r="172" spans="4:36">
      <c r="D172" s="7" t="s">
        <v>521</v>
      </c>
      <c r="E172" s="65">
        <f>E170+E171</f>
        <v>72203.208932800015</v>
      </c>
      <c r="F172" s="65">
        <f t="shared" ref="F172:AD172" si="15">F170+F171</f>
        <v>190805.41951615998</v>
      </c>
      <c r="G172" s="65">
        <f t="shared" si="15"/>
        <v>228893.92584527395</v>
      </c>
      <c r="H172" s="65">
        <f t="shared" si="15"/>
        <v>228893.92584527395</v>
      </c>
      <c r="I172" s="65">
        <f t="shared" si="15"/>
        <v>314541.17584527389</v>
      </c>
      <c r="J172" s="65">
        <f t="shared" si="15"/>
        <v>314541.17584527389</v>
      </c>
      <c r="K172" s="65">
        <f t="shared" si="15"/>
        <v>423149.98597185616</v>
      </c>
      <c r="L172" s="65">
        <f t="shared" si="15"/>
        <v>423149.98597185616</v>
      </c>
      <c r="M172" s="65">
        <f t="shared" si="15"/>
        <v>423149.98597185616</v>
      </c>
      <c r="N172" s="65">
        <f t="shared" si="15"/>
        <v>423149.98597185616</v>
      </c>
      <c r="O172" s="65">
        <f t="shared" si="15"/>
        <v>423149.98597185616</v>
      </c>
      <c r="P172" s="65">
        <f t="shared" si="15"/>
        <v>423149.98597185616</v>
      </c>
      <c r="Q172" s="65">
        <f t="shared" si="15"/>
        <v>423149.98597185616</v>
      </c>
      <c r="R172" s="65">
        <f t="shared" si="15"/>
        <v>423149.98597185616</v>
      </c>
      <c r="S172" s="65">
        <f t="shared" si="15"/>
        <v>423149.98597185616</v>
      </c>
      <c r="T172" s="65">
        <f t="shared" si="15"/>
        <v>551249.98597185616</v>
      </c>
      <c r="U172" s="65">
        <f t="shared" si="15"/>
        <v>550899.98597185616</v>
      </c>
      <c r="V172" s="65">
        <f t="shared" si="15"/>
        <v>550899.98597185616</v>
      </c>
      <c r="W172" s="65">
        <f t="shared" si="15"/>
        <v>550899.98597185616</v>
      </c>
      <c r="X172" s="65">
        <f t="shared" si="15"/>
        <v>551249.98597185616</v>
      </c>
      <c r="Y172" s="65">
        <f t="shared" si="15"/>
        <v>550899.98597185616</v>
      </c>
      <c r="Z172" s="65">
        <f t="shared" si="15"/>
        <v>550899.98597185616</v>
      </c>
      <c r="AA172" s="65">
        <f t="shared" si="15"/>
        <v>550899.98597185616</v>
      </c>
      <c r="AB172" s="65">
        <f t="shared" si="15"/>
        <v>551249.98597185616</v>
      </c>
      <c r="AC172" s="65">
        <f t="shared" si="15"/>
        <v>550899.98597185616</v>
      </c>
      <c r="AD172" s="65">
        <f t="shared" si="15"/>
        <v>550899.98597185616</v>
      </c>
      <c r="AE172" s="9"/>
    </row>
    <row r="173" spans="4:36">
      <c r="D173" s="7" t="s">
        <v>522</v>
      </c>
      <c r="E173" s="65">
        <f>E172*'BaU Model'!M68</f>
        <v>1936490.0635776964</v>
      </c>
      <c r="F173" s="65">
        <f>F172*'BaU Model'!N68</f>
        <v>5423644.0497468477</v>
      </c>
      <c r="G173" s="65">
        <f>G172*'BaU Model'!O68</f>
        <v>6896688.4326810278</v>
      </c>
      <c r="H173" s="65">
        <f>H172*'BaU Model'!P68</f>
        <v>7310489.7386418898</v>
      </c>
      <c r="I173" s="65">
        <f>I172*'BaU Model'!Q68</f>
        <v>10648675.065098453</v>
      </c>
      <c r="J173" s="65">
        <f>J172*'BaU Model'!R68</f>
        <v>11287595.569004359</v>
      </c>
      <c r="K173" s="65">
        <f>K172*'BaU Model'!S68</f>
        <v>16096228.569996504</v>
      </c>
      <c r="L173" s="65">
        <f>L172*'BaU Model'!T68</f>
        <v>17062002.284196295</v>
      </c>
      <c r="M173" s="65">
        <f>M172*'BaU Model'!U68</f>
        <v>18085722.421248075</v>
      </c>
      <c r="N173" s="65">
        <f>N172*'BaU Model'!V68</f>
        <v>19170865.766522959</v>
      </c>
      <c r="O173" s="65">
        <f>O172*'BaU Model'!W68</f>
        <v>20321117.712514337</v>
      </c>
      <c r="P173" s="65">
        <f>P172*'BaU Model'!X68</f>
        <v>21540384.775265202</v>
      </c>
      <c r="Q173" s="65">
        <f>Q172*'BaU Model'!Y68</f>
        <v>22832807.861781117</v>
      </c>
      <c r="R173" s="65">
        <f>R172*'BaU Model'!Z68</f>
        <v>24202776.333487984</v>
      </c>
      <c r="S173" s="65">
        <f>S172*'BaU Model'!AA68</f>
        <v>25654942.913497258</v>
      </c>
      <c r="T173" s="65">
        <f>T172*'BaU Model'!AB68</f>
        <v>35426739.060418241</v>
      </c>
      <c r="U173" s="65">
        <f>U172*'BaU Model'!AC68</f>
        <v>37528500.645719729</v>
      </c>
      <c r="V173" s="65">
        <f>V172*'BaU Model'!AD68</f>
        <v>39780210.684462912</v>
      </c>
      <c r="W173" s="65">
        <f>W172*'BaU Model'!AE68</f>
        <v>42167023.325530693</v>
      </c>
      <c r="X173" s="65">
        <f>X172*'BaU Model'!AF68</f>
        <v>44725441.831710078</v>
      </c>
      <c r="Y173" s="65">
        <f>Y172*'BaU Model'!AG68</f>
        <v>47378867.408566289</v>
      </c>
      <c r="Z173" s="65">
        <f>Z172*'BaU Model'!AH68</f>
        <v>50221599.453080267</v>
      </c>
      <c r="AA173" s="65">
        <f>AA172*'BaU Model'!AI68</f>
        <v>53234895.420265086</v>
      </c>
      <c r="AB173" s="65">
        <f>AB172*'BaU Model'!AJ68</f>
        <v>56464839.838354178</v>
      </c>
      <c r="AC173" s="65">
        <f>AC172*'BaU Model'!AK68</f>
        <v>59814728.494209856</v>
      </c>
      <c r="AD173" s="65">
        <f>AD172*'BaU Model'!AL68</f>
        <v>63403612.203862458</v>
      </c>
      <c r="AE173" s="9"/>
    </row>
    <row r="174" spans="4:36">
      <c r="D174" s="7" t="s">
        <v>523</v>
      </c>
      <c r="E174" s="65">
        <f>'BaU Model'!M88-Results!E173</f>
        <v>0</v>
      </c>
      <c r="F174" s="65">
        <f>'BaU Model'!N88-Results!F173</f>
        <v>0</v>
      </c>
      <c r="G174" s="65">
        <f>'BaU Model'!O88-Results!G173</f>
        <v>0</v>
      </c>
      <c r="H174" s="65">
        <f>'BaU Model'!P88-Results!H173</f>
        <v>0</v>
      </c>
      <c r="I174" s="65">
        <f>'BaU Model'!Q88-Results!I173</f>
        <v>0</v>
      </c>
      <c r="J174" s="65">
        <f>'BaU Model'!R88-Results!J173</f>
        <v>0</v>
      </c>
      <c r="K174" s="65">
        <f>'BaU Model'!S88-Results!K173</f>
        <v>0</v>
      </c>
      <c r="L174" s="65">
        <f>'BaU Model'!T88-Results!L173</f>
        <v>0</v>
      </c>
      <c r="M174" s="65">
        <f>'BaU Model'!U88-Results!M173</f>
        <v>0</v>
      </c>
      <c r="N174" s="65">
        <f>'BaU Model'!V88-Results!N173</f>
        <v>0</v>
      </c>
      <c r="O174" s="65">
        <f>'BaU Model'!W88-Results!O173</f>
        <v>0</v>
      </c>
      <c r="P174" s="65">
        <f>'BaU Model'!X88-Results!P173</f>
        <v>0</v>
      </c>
      <c r="Q174" s="65">
        <f>'BaU Model'!Y88-Results!Q173</f>
        <v>0</v>
      </c>
      <c r="R174" s="65">
        <f>'BaU Model'!Z88-Results!R173</f>
        <v>0</v>
      </c>
      <c r="S174" s="65">
        <f>'BaU Model'!AA88-Results!S173</f>
        <v>0</v>
      </c>
      <c r="T174" s="65">
        <f>'BaU Model'!AB88-Results!T173</f>
        <v>-8232499.5721111409</v>
      </c>
      <c r="U174" s="65">
        <f>'BaU Model'!AC88-Results!U173</f>
        <v>-8702606.788114205</v>
      </c>
      <c r="V174" s="65">
        <f>'BaU Model'!AD88-Results!V173</f>
        <v>-9224763.1954010576</v>
      </c>
      <c r="W174" s="65">
        <f>'BaU Model'!AE88-Results!W173</f>
        <v>-9778248.9871251211</v>
      </c>
      <c r="X174" s="65">
        <f>'BaU Model'!AF88-Results!X173</f>
        <v>-10393341.033000171</v>
      </c>
      <c r="Y174" s="65">
        <f>'BaU Model'!AG88-Results!Y173</f>
        <v>-10986840.561933786</v>
      </c>
      <c r="Z174" s="65">
        <f>'BaU Model'!AH88-Results!Z173</f>
        <v>-11646050.995649807</v>
      </c>
      <c r="AA174" s="65">
        <f>'BaU Model'!AI88-Results!AA173</f>
        <v>-12344814.055388793</v>
      </c>
      <c r="AB174" s="65">
        <f>'BaU Model'!AJ88-Results!AB173</f>
        <v>-13121353.591585316</v>
      </c>
      <c r="AC174" s="65">
        <f>'BaU Model'!AK88-Results!AC173</f>
        <v>-13870633.072634853</v>
      </c>
      <c r="AD174" s="65">
        <f>'BaU Model'!AL88-Results!AD173</f>
        <v>-14702871.056992956</v>
      </c>
      <c r="AE174" s="9">
        <f>AVERAGE(T174:AD174)</f>
        <v>-11182183.900903381</v>
      </c>
      <c r="AH174" s="133">
        <f>SUM(G174:AD174)/10^6</f>
        <v>-123.00402290993721</v>
      </c>
      <c r="AJ174" s="65">
        <f>($AJ$131-AH174-AH169)/1000</f>
        <v>1.7171616831636218</v>
      </c>
    </row>
    <row r="175" spans="4:36">
      <c r="D175" s="7"/>
      <c r="AE175" s="9"/>
    </row>
    <row r="177" spans="4:36">
      <c r="D177" s="146" t="s">
        <v>417</v>
      </c>
    </row>
    <row r="178" spans="4:36">
      <c r="D178" s="7" t="s">
        <v>506</v>
      </c>
      <c r="E178" s="65">
        <f>'BaU Model'!M18</f>
        <v>800</v>
      </c>
      <c r="F178" s="65">
        <f>'BaU Model'!N18</f>
        <v>1800</v>
      </c>
      <c r="G178" s="65">
        <f>'BaU Model'!O18</f>
        <v>1800</v>
      </c>
      <c r="H178" s="65">
        <f>'BaU Model'!P18</f>
        <v>1800</v>
      </c>
      <c r="I178" s="65">
        <f>'BaU Model'!Q18</f>
        <v>1800</v>
      </c>
      <c r="J178" s="65">
        <f>'BaU Model'!R18</f>
        <v>1800</v>
      </c>
      <c r="K178" s="65">
        <f>'BaU Model'!S18</f>
        <v>1800</v>
      </c>
      <c r="L178" s="65">
        <f>'BaU Model'!T18</f>
        <v>1800</v>
      </c>
      <c r="M178" s="65">
        <f>'BaU Model'!U18</f>
        <v>1800</v>
      </c>
      <c r="N178" s="65">
        <f>'BaU Model'!V18</f>
        <v>1800</v>
      </c>
      <c r="O178" s="65">
        <f>'BaU Model'!W18</f>
        <v>1800</v>
      </c>
      <c r="P178" s="65">
        <f>'BaU Model'!X18</f>
        <v>1800</v>
      </c>
      <c r="Q178" s="65">
        <f>'BaU Model'!Y18</f>
        <v>1800</v>
      </c>
      <c r="R178" s="65">
        <f>'BaU Model'!Z18</f>
        <v>1800</v>
      </c>
      <c r="S178" s="65">
        <f>'BaU Model'!AA18</f>
        <v>1800</v>
      </c>
      <c r="T178" s="65">
        <f>'BaU Model'!AB18</f>
        <v>1800</v>
      </c>
      <c r="U178" s="65">
        <f>'BaU Model'!AC18</f>
        <v>1800</v>
      </c>
      <c r="V178" s="65">
        <f>'BaU Model'!AD18</f>
        <v>1800</v>
      </c>
      <c r="W178" s="65">
        <f>'BaU Model'!AE18</f>
        <v>1800</v>
      </c>
      <c r="X178" s="65">
        <f>'BaU Model'!AF18</f>
        <v>1800</v>
      </c>
      <c r="Y178" s="65">
        <f>'BaU Model'!AG18</f>
        <v>1800</v>
      </c>
      <c r="Z178" s="65">
        <f>'BaU Model'!AH18</f>
        <v>1800</v>
      </c>
      <c r="AA178" s="65">
        <f>'BaU Model'!AI18</f>
        <v>1800</v>
      </c>
      <c r="AB178" s="65">
        <f>'BaU Model'!AJ18</f>
        <v>1800</v>
      </c>
      <c r="AC178" s="65">
        <f>'BaU Model'!AK18</f>
        <v>1800</v>
      </c>
      <c r="AD178" s="65">
        <f>'BaU Model'!AL18</f>
        <v>1800</v>
      </c>
    </row>
    <row r="179" spans="4:36">
      <c r="D179" s="7" t="s">
        <v>507</v>
      </c>
      <c r="E179" s="65">
        <f>'Strategic Model'!M26</f>
        <v>800</v>
      </c>
      <c r="F179" s="65">
        <f>'Strategic Model'!N26</f>
        <v>1800</v>
      </c>
      <c r="G179" s="65">
        <f>'Strategic Model'!O26</f>
        <v>1800</v>
      </c>
      <c r="H179" s="65">
        <f>'Strategic Model'!P26</f>
        <v>1800</v>
      </c>
      <c r="I179" s="65">
        <f>'Strategic Model'!Q26</f>
        <v>2450</v>
      </c>
      <c r="J179" s="65">
        <f>'Strategic Model'!R26</f>
        <v>2450</v>
      </c>
      <c r="K179" s="65">
        <f>'Strategic Model'!S26</f>
        <v>2450</v>
      </c>
      <c r="L179" s="65">
        <f>'Strategic Model'!T26</f>
        <v>2450</v>
      </c>
      <c r="M179" s="65">
        <f>'Strategic Model'!U26</f>
        <v>2450</v>
      </c>
      <c r="N179" s="65">
        <f>'Strategic Model'!V26</f>
        <v>2450</v>
      </c>
      <c r="O179" s="65">
        <f>'Strategic Model'!W26</f>
        <v>2450</v>
      </c>
      <c r="P179" s="65">
        <f>'Strategic Model'!X26</f>
        <v>2450</v>
      </c>
      <c r="Q179" s="65">
        <f>'Strategic Model'!Y26</f>
        <v>2450</v>
      </c>
      <c r="R179" s="65">
        <f>'Strategic Model'!Z26</f>
        <v>2450</v>
      </c>
      <c r="S179" s="65">
        <f>'Strategic Model'!AA26</f>
        <v>2450</v>
      </c>
      <c r="T179" s="65">
        <f>'Strategic Model'!AB26</f>
        <v>2450</v>
      </c>
      <c r="U179" s="65">
        <f>'Strategic Model'!AC26</f>
        <v>2450</v>
      </c>
      <c r="V179" s="65">
        <f>'Strategic Model'!AD26</f>
        <v>2450</v>
      </c>
      <c r="W179" s="65">
        <f>'Strategic Model'!AE26</f>
        <v>2450</v>
      </c>
      <c r="X179" s="65">
        <f>'Strategic Model'!AF26</f>
        <v>2450</v>
      </c>
      <c r="Y179" s="65">
        <f>'Strategic Model'!AG26</f>
        <v>2450</v>
      </c>
      <c r="Z179" s="65">
        <f>'Strategic Model'!AH26</f>
        <v>2450</v>
      </c>
      <c r="AA179" s="65">
        <f>'Strategic Model'!AI26</f>
        <v>2450</v>
      </c>
      <c r="AB179" s="65">
        <f>'Strategic Model'!AJ26</f>
        <v>2450</v>
      </c>
      <c r="AC179" s="65">
        <f>'Strategic Model'!AK26</f>
        <v>2450</v>
      </c>
      <c r="AD179" s="65">
        <f>'Strategic Model'!AL26</f>
        <v>2450</v>
      </c>
    </row>
    <row r="180" spans="4:36">
      <c r="D180" s="7" t="s">
        <v>508</v>
      </c>
      <c r="E180" s="65">
        <f>'BaU Model'!M19</f>
        <v>1.8367738032705883</v>
      </c>
      <c r="F180" s="65">
        <f>'BaU Model'!N19</f>
        <v>1.8815339776532183</v>
      </c>
      <c r="G180" s="65">
        <f>'BaU Model'!O19</f>
        <v>2.274116334125547</v>
      </c>
      <c r="H180" s="65">
        <f>'BaU Model'!P19</f>
        <v>2.2713840936883885</v>
      </c>
      <c r="I180" s="65">
        <f>'BaU Model'!Q19</f>
        <v>2.0845047041176494</v>
      </c>
      <c r="J180" s="65">
        <f>'BaU Model'!R19</f>
        <v>2.0845047041176494</v>
      </c>
      <c r="K180" s="65">
        <f>'BaU Model'!S19</f>
        <v>1.8015541388963427</v>
      </c>
      <c r="L180" s="65">
        <f>'BaU Model'!T19</f>
        <v>1.7991245737385273</v>
      </c>
      <c r="M180" s="65">
        <f>'BaU Model'!U19</f>
        <v>1.8015541388963427</v>
      </c>
      <c r="N180" s="65">
        <f>'BaU Model'!V19</f>
        <v>1.8015541388963427</v>
      </c>
      <c r="O180" s="65">
        <f>'BaU Model'!W19</f>
        <v>1.8015541388963427</v>
      </c>
      <c r="P180" s="65">
        <f>'BaU Model'!X19</f>
        <v>1.7991245737385273</v>
      </c>
      <c r="Q180" s="65">
        <f>'BaU Model'!Y19</f>
        <v>1.8015541388963427</v>
      </c>
      <c r="R180" s="65">
        <f>'BaU Model'!Z19</f>
        <v>1.8015541388963427</v>
      </c>
      <c r="S180" s="65">
        <f>'BaU Model'!AA19</f>
        <v>1.8015541388963427</v>
      </c>
      <c r="T180" s="65">
        <f>'BaU Model'!AB19</f>
        <v>1.7991245737385273</v>
      </c>
      <c r="U180" s="65">
        <f>'BaU Model'!AC19</f>
        <v>1.8015541388963427</v>
      </c>
      <c r="V180" s="65">
        <f>'BaU Model'!AD19</f>
        <v>1.8015541388963427</v>
      </c>
      <c r="W180" s="65">
        <f>'BaU Model'!AE19</f>
        <v>1.8015541388963427</v>
      </c>
      <c r="X180" s="65">
        <f>'BaU Model'!AF19</f>
        <v>1.7991245737385273</v>
      </c>
      <c r="Y180" s="65">
        <f>'BaU Model'!AG19</f>
        <v>1.8015541388963427</v>
      </c>
      <c r="Z180" s="65">
        <f>'BaU Model'!AH19</f>
        <v>1.8015541388963427</v>
      </c>
      <c r="AA180" s="65">
        <f>'BaU Model'!AI19</f>
        <v>1.8015541388963427</v>
      </c>
      <c r="AB180" s="65">
        <f>'BaU Model'!AJ19</f>
        <v>1.7991245737385273</v>
      </c>
      <c r="AC180" s="65">
        <f>'BaU Model'!AK19</f>
        <v>1.8015541388963427</v>
      </c>
      <c r="AD180" s="65">
        <f>'BaU Model'!AL19</f>
        <v>1.8015541388963427</v>
      </c>
    </row>
    <row r="181" spans="4:36">
      <c r="D181" s="7" t="s">
        <v>509</v>
      </c>
      <c r="E181" s="65">
        <f>(E179+SUM('BaU Model'!M31))/'BaU Model'!M29</f>
        <v>1.8367738032705883</v>
      </c>
      <c r="F181" s="65">
        <f>(F179+SUM('BaU Model'!N31))/'BaU Model'!N29</f>
        <v>1.8815339776532183</v>
      </c>
      <c r="G181" s="65">
        <f>(G179+SUM('BaU Model'!O31))/'BaU Model'!O29</f>
        <v>2.274116334125547</v>
      </c>
      <c r="H181" s="65">
        <f>(H179+SUM('BaU Model'!P31))/'BaU Model'!P29</f>
        <v>2.2713840936883885</v>
      </c>
      <c r="I181" s="65">
        <f>(I179+SUM('BaU Model'!Q31))/'BaU Model'!Q29</f>
        <v>2.4761314028268004</v>
      </c>
      <c r="J181" s="65">
        <f>(J179+SUM('BaU Model'!R31))/'BaU Model'!R29</f>
        <v>2.4761314028268004</v>
      </c>
      <c r="K181" s="65">
        <f>(K179+SUM('BaU Model'!S31))/'BaU Model'!S29</f>
        <v>2.1310078273620814</v>
      </c>
      <c r="L181" s="65">
        <f>(L179+SUM('BaU Model'!T31))/'BaU Model'!T29</f>
        <v>2.1285782622042664</v>
      </c>
      <c r="M181" s="65">
        <f>(M179+SUM('BaU Model'!U31))/'BaU Model'!U29</f>
        <v>2.1310078273620814</v>
      </c>
      <c r="N181" s="65">
        <f>(N179+SUM('BaU Model'!V31))/'BaU Model'!V29</f>
        <v>2.1310078273620814</v>
      </c>
      <c r="O181" s="65">
        <f>(O179+SUM('BaU Model'!W31))/'BaU Model'!W29</f>
        <v>2.1310078273620814</v>
      </c>
      <c r="P181" s="65">
        <f>(P179+SUM('BaU Model'!X31))/'BaU Model'!X29</f>
        <v>2.1285782622042664</v>
      </c>
      <c r="Q181" s="65">
        <f>(Q179+SUM('BaU Model'!Y31))/'BaU Model'!Y29</f>
        <v>2.1310078273620814</v>
      </c>
      <c r="R181" s="65">
        <f>(R179+SUM('BaU Model'!Z31))/'BaU Model'!Z29</f>
        <v>2.1310078273620814</v>
      </c>
      <c r="S181" s="65">
        <f>(S179+SUM('BaU Model'!AA31))/'BaU Model'!AA29</f>
        <v>2.1310078273620814</v>
      </c>
      <c r="T181" s="65">
        <f>(T179+SUM('BaU Model'!AB31))/'BaU Model'!AB29</f>
        <v>2.1285782622042664</v>
      </c>
      <c r="U181" s="65">
        <f>(U179+SUM('BaU Model'!AC31))/'BaU Model'!AC29</f>
        <v>2.1310078273620814</v>
      </c>
      <c r="V181" s="65">
        <f>(V179+SUM('BaU Model'!AD31))/'BaU Model'!AD29</f>
        <v>2.1310078273620814</v>
      </c>
      <c r="W181" s="65">
        <f>(W179+SUM('BaU Model'!AE31))/'BaU Model'!AE29</f>
        <v>2.1310078273620814</v>
      </c>
      <c r="X181" s="65">
        <f>(X179+SUM('BaU Model'!AF31))/'BaU Model'!AF29</f>
        <v>2.1285782622042664</v>
      </c>
      <c r="Y181" s="65">
        <f>(Y179+SUM('BaU Model'!AG31))/'BaU Model'!AG29</f>
        <v>2.1310078273620814</v>
      </c>
      <c r="Z181" s="65">
        <f>(Z179+SUM('BaU Model'!AH31))/'BaU Model'!AH29</f>
        <v>2.1310078273620814</v>
      </c>
      <c r="AA181" s="65">
        <f>(AA179+SUM('BaU Model'!AI31))/'BaU Model'!AI29</f>
        <v>2.1310078273620814</v>
      </c>
      <c r="AB181" s="65">
        <f>(AB179+SUM('BaU Model'!AJ31))/'BaU Model'!AJ29</f>
        <v>2.1285782622042664</v>
      </c>
      <c r="AC181" s="65">
        <f>(AC179+SUM('BaU Model'!AK31))/'BaU Model'!AK29</f>
        <v>2.1310078273620814</v>
      </c>
      <c r="AD181" s="65">
        <f>(AD179+SUM('BaU Model'!AL31))/'BaU Model'!AL29</f>
        <v>2.1310078273620814</v>
      </c>
    </row>
    <row r="182" spans="4:36">
      <c r="D182" s="43" t="s">
        <v>511</v>
      </c>
      <c r="E182" s="65"/>
      <c r="F182" s="65"/>
      <c r="G182" s="65"/>
      <c r="H182" s="65"/>
      <c r="I182" s="65"/>
      <c r="J182" s="65"/>
      <c r="K182" s="65"/>
      <c r="L182" s="65"/>
      <c r="M182" s="65"/>
      <c r="N182" s="65"/>
      <c r="O182" s="65"/>
      <c r="P182" s="65"/>
      <c r="Q182" s="65"/>
      <c r="R182" s="65"/>
      <c r="S182" s="65"/>
      <c r="T182" s="65"/>
      <c r="U182" s="65"/>
      <c r="V182" s="65"/>
      <c r="W182" s="65"/>
      <c r="X182" s="65"/>
      <c r="Y182" s="65"/>
      <c r="Z182" s="65"/>
      <c r="AA182" s="65"/>
      <c r="AB182" s="65"/>
      <c r="AC182" s="65"/>
      <c r="AD182" s="65"/>
    </row>
    <row r="183" spans="4:36">
      <c r="D183" s="7" t="s">
        <v>505</v>
      </c>
      <c r="E183" s="147">
        <v>0</v>
      </c>
      <c r="F183" s="65">
        <f t="shared" ref="F183:AD183" si="16">F181-F180</f>
        <v>0</v>
      </c>
      <c r="G183" s="65">
        <f t="shared" si="16"/>
        <v>0</v>
      </c>
      <c r="H183" s="65">
        <f t="shared" si="16"/>
        <v>0</v>
      </c>
      <c r="I183" s="65">
        <f t="shared" si="16"/>
        <v>0.39162669870915101</v>
      </c>
      <c r="J183" s="65">
        <f t="shared" si="16"/>
        <v>0.39162669870915101</v>
      </c>
      <c r="K183" s="65">
        <f t="shared" si="16"/>
        <v>0.32945368846573864</v>
      </c>
      <c r="L183" s="65">
        <f t="shared" si="16"/>
        <v>0.32945368846573908</v>
      </c>
      <c r="M183" s="65">
        <f t="shared" si="16"/>
        <v>0.32945368846573864</v>
      </c>
      <c r="N183" s="65">
        <f t="shared" si="16"/>
        <v>0.32945368846573864</v>
      </c>
      <c r="O183" s="65">
        <f t="shared" si="16"/>
        <v>0.32945368846573864</v>
      </c>
      <c r="P183" s="65">
        <f t="shared" si="16"/>
        <v>0.32945368846573908</v>
      </c>
      <c r="Q183" s="65">
        <f t="shared" si="16"/>
        <v>0.32945368846573864</v>
      </c>
      <c r="R183" s="65">
        <f t="shared" si="16"/>
        <v>0.32945368846573864</v>
      </c>
      <c r="S183" s="65">
        <f t="shared" si="16"/>
        <v>0.32945368846573864</v>
      </c>
      <c r="T183" s="65">
        <f t="shared" si="16"/>
        <v>0.32945368846573908</v>
      </c>
      <c r="U183" s="65">
        <f t="shared" si="16"/>
        <v>0.32945368846573864</v>
      </c>
      <c r="V183" s="65">
        <f t="shared" si="16"/>
        <v>0.32945368846573864</v>
      </c>
      <c r="W183" s="65">
        <f t="shared" si="16"/>
        <v>0.32945368846573864</v>
      </c>
      <c r="X183" s="65">
        <f t="shared" si="16"/>
        <v>0.32945368846573908</v>
      </c>
      <c r="Y183" s="65">
        <f t="shared" si="16"/>
        <v>0.32945368846573864</v>
      </c>
      <c r="Z183" s="65">
        <f t="shared" si="16"/>
        <v>0.32945368846573864</v>
      </c>
      <c r="AA183" s="65">
        <f t="shared" si="16"/>
        <v>0.32945368846573864</v>
      </c>
      <c r="AB183" s="65">
        <f t="shared" si="16"/>
        <v>0.32945368846573908</v>
      </c>
      <c r="AC183" s="65">
        <f t="shared" si="16"/>
        <v>0.32945368846573864</v>
      </c>
      <c r="AD183" s="65">
        <f t="shared" si="16"/>
        <v>0.32945368846573864</v>
      </c>
    </row>
    <row r="184" spans="4:36">
      <c r="D184" s="7" t="s">
        <v>510</v>
      </c>
      <c r="E184" s="65">
        <f>E183*'BaU Model'!M177</f>
        <v>0</v>
      </c>
      <c r="F184" s="65">
        <f>F183*'BaU Model'!N177</f>
        <v>0</v>
      </c>
      <c r="G184" s="65">
        <f>G183*'BaU Model'!O177</f>
        <v>0</v>
      </c>
      <c r="H184" s="65">
        <f>H183*'BaU Model'!P177</f>
        <v>0</v>
      </c>
      <c r="I184" s="65">
        <f>I183*'BaU Model'!Q177</f>
        <v>3584.2644622870534</v>
      </c>
      <c r="J184" s="65">
        <f>J183*'BaU Model'!R177</f>
        <v>3584.2644622870534</v>
      </c>
      <c r="K184" s="65">
        <f>K183*'BaU Model'!S177</f>
        <v>4627.6052904343114</v>
      </c>
      <c r="L184" s="65">
        <f>L183*'BaU Model'!T177</f>
        <v>4614.961560132585</v>
      </c>
      <c r="M184" s="65">
        <f>M183*'BaU Model'!U177</f>
        <v>4627.6052904343114</v>
      </c>
      <c r="N184" s="65">
        <f>N183*'BaU Model'!V177</f>
        <v>4627.6052904343114</v>
      </c>
      <c r="O184" s="65">
        <f>O183*'BaU Model'!W177</f>
        <v>4627.6052904343114</v>
      </c>
      <c r="P184" s="65">
        <f>P183*'BaU Model'!X177</f>
        <v>4614.961560132585</v>
      </c>
      <c r="Q184" s="65">
        <f>Q183*'BaU Model'!Y177</f>
        <v>4627.6052904343114</v>
      </c>
      <c r="R184" s="65">
        <f>R183*'BaU Model'!Z177</f>
        <v>4627.6052904343114</v>
      </c>
      <c r="S184" s="65">
        <f>S183*'BaU Model'!AA177</f>
        <v>4627.6052904343114</v>
      </c>
      <c r="T184" s="65">
        <f>T183*'BaU Model'!AB177</f>
        <v>4614.961560132585</v>
      </c>
      <c r="U184" s="65">
        <f>U183*'BaU Model'!AC177</f>
        <v>4627.6052904343114</v>
      </c>
      <c r="V184" s="65">
        <f>V183*'BaU Model'!AD177</f>
        <v>4627.6052904343114</v>
      </c>
      <c r="W184" s="65">
        <f>W183*'BaU Model'!AE177</f>
        <v>4627.6052904343114</v>
      </c>
      <c r="X184" s="65">
        <f>X183*'BaU Model'!AF177</f>
        <v>4614.961560132585</v>
      </c>
      <c r="Y184" s="65">
        <f>Y183*'BaU Model'!AG177</f>
        <v>4627.6052904343114</v>
      </c>
      <c r="Z184" s="65">
        <f>Z183*'BaU Model'!AH177</f>
        <v>4627.6052904343114</v>
      </c>
      <c r="AA184" s="65">
        <f>AA183*'BaU Model'!AI177</f>
        <v>4627.6052904343114</v>
      </c>
      <c r="AB184" s="65">
        <f>AB183*'BaU Model'!AJ177</f>
        <v>4614.961560132585</v>
      </c>
      <c r="AC184" s="65">
        <f>AC183*'BaU Model'!AK177</f>
        <v>4627.6052904343114</v>
      </c>
      <c r="AD184" s="65">
        <f>AD183*'BaU Model'!AL177</f>
        <v>4627.6052904343114</v>
      </c>
    </row>
    <row r="185" spans="4:36" ht="18" customHeight="1">
      <c r="D185" s="7" t="s">
        <v>512</v>
      </c>
      <c r="E185" s="65">
        <f>E184*'BaU Model'!K182</f>
        <v>0</v>
      </c>
      <c r="F185" s="65">
        <f>F184*'BaU Model'!L182</f>
        <v>0</v>
      </c>
      <c r="G185" s="65">
        <f>G184*'BaU Model'!M182</f>
        <v>0</v>
      </c>
      <c r="H185" s="65">
        <f>H184*'BaU Model'!N182</f>
        <v>0</v>
      </c>
      <c r="I185" s="65">
        <f>I184*'BaU Model'!O182</f>
        <v>2411132.9242169978</v>
      </c>
      <c r="J185" s="65">
        <f>J184*'BaU Model'!P182</f>
        <v>2555800.899670017</v>
      </c>
      <c r="K185" s="65">
        <f>K184*'BaU Model'!Q182</f>
        <v>3497753.071068529</v>
      </c>
      <c r="L185" s="65">
        <f>L184*'BaU Model'!R182</f>
        <v>3697488.1508098789</v>
      </c>
      <c r="M185" s="65">
        <f>M184*'BaU Model'!S182</f>
        <v>2560747.1435171752</v>
      </c>
      <c r="N185" s="65">
        <f>N184*'BaU Model'!T182</f>
        <v>2714391.9721282059</v>
      </c>
      <c r="O185" s="65">
        <f>O184*'BaU Model'!U182</f>
        <v>2877255.4904558985</v>
      </c>
      <c r="P185" s="65">
        <f>P184*'BaU Model'!V182</f>
        <v>3041557.7848562528</v>
      </c>
      <c r="Q185" s="65">
        <f>Q184*'BaU Model'!W182</f>
        <v>3232884.2690762472</v>
      </c>
      <c r="R185" s="65">
        <f>R184*'BaU Model'!X182</f>
        <v>3426857.3252208224</v>
      </c>
      <c r="S185" s="65">
        <f>S184*'BaU Model'!Y182</f>
        <v>3632468.7647340721</v>
      </c>
      <c r="T185" s="65">
        <f>T184*'BaU Model'!Z182</f>
        <v>3839896.6258896575</v>
      </c>
      <c r="U185" s="65">
        <f>U184*'BaU Model'!AA182</f>
        <v>4081441.9040552033</v>
      </c>
      <c r="V185" s="65">
        <f>V184*'BaU Model'!AB182</f>
        <v>4326328.4182985164</v>
      </c>
      <c r="W185" s="65">
        <f>W184*'BaU Model'!AC182</f>
        <v>4585908.1233964274</v>
      </c>
      <c r="X185" s="65">
        <f>X184*'BaU Model'!AD182</f>
        <v>4847781.0189674329</v>
      </c>
      <c r="Y185" s="65">
        <f>Y184*'BaU Model'!AE182</f>
        <v>5152726.3674482265</v>
      </c>
      <c r="Z185" s="65">
        <f>Z184*'BaU Model'!AF182</f>
        <v>5461889.9494951209</v>
      </c>
      <c r="AA185" s="65">
        <f>AA184*'BaU Model'!AG182</f>
        <v>5789603.3464648286</v>
      </c>
      <c r="AB185" s="65">
        <f>AB184*'BaU Model'!AH182</f>
        <v>6120211.8435717076</v>
      </c>
      <c r="AC185" s="65">
        <f>AC184*'BaU Model'!AI182</f>
        <v>6505198.3200878808</v>
      </c>
      <c r="AD185" s="65">
        <f>AD184*'BaU Model'!AJ182</f>
        <v>6895510.2192931529</v>
      </c>
      <c r="AE185" s="192">
        <f>AVERAGE(I185:AD185)</f>
        <v>4147946.9969419199</v>
      </c>
      <c r="AH185" s="133">
        <f>SUM(G185:AD185)/10^6</f>
        <v>91.254833932722235</v>
      </c>
      <c r="AJ185" s="65">
        <f>($AJ$131-AH185)/1000</f>
        <v>1.5125484114750103</v>
      </c>
    </row>
    <row r="186" spans="4:36" ht="18" customHeight="1">
      <c r="D186" s="7"/>
      <c r="E186" s="65"/>
      <c r="F186" s="65"/>
      <c r="G186" s="65"/>
      <c r="H186" s="65"/>
      <c r="I186" s="65"/>
      <c r="J186" s="65"/>
      <c r="K186" s="65"/>
      <c r="L186" s="65"/>
      <c r="M186" s="65"/>
      <c r="N186" s="65"/>
      <c r="O186" s="65"/>
      <c r="P186" s="65"/>
      <c r="Q186" s="65"/>
      <c r="R186" s="65"/>
      <c r="S186" s="65"/>
      <c r="T186" s="65"/>
      <c r="U186" s="65"/>
      <c r="V186" s="65"/>
      <c r="W186" s="65"/>
      <c r="X186" s="65"/>
      <c r="Y186" s="65"/>
      <c r="Z186" s="65"/>
      <c r="AA186" s="65"/>
      <c r="AB186" s="65"/>
      <c r="AC186" s="65"/>
      <c r="AD186" s="65"/>
    </row>
    <row r="187" spans="4:36">
      <c r="D187" s="7"/>
    </row>
    <row r="188" spans="4:36">
      <c r="D188" s="141" t="s">
        <v>448</v>
      </c>
      <c r="E188" s="7" t="s">
        <v>450</v>
      </c>
    </row>
    <row r="189" spans="4:36">
      <c r="D189" s="7" t="s">
        <v>189</v>
      </c>
    </row>
    <row r="190" spans="4:36">
      <c r="D190" s="7" t="s">
        <v>437</v>
      </c>
    </row>
    <row r="191" spans="4:36">
      <c r="D191" s="7" t="s">
        <v>434</v>
      </c>
    </row>
    <row r="192" spans="4:36">
      <c r="D192" s="7" t="s">
        <v>433</v>
      </c>
    </row>
    <row r="193" spans="4:4">
      <c r="D193" s="7" t="s">
        <v>449</v>
      </c>
    </row>
  </sheetData>
  <mergeCells count="8">
    <mergeCell ref="E78:AD78"/>
    <mergeCell ref="E92:AD92"/>
    <mergeCell ref="D16:AD16"/>
    <mergeCell ref="D32:AD32"/>
    <mergeCell ref="E48:AD48"/>
    <mergeCell ref="E55:AD55"/>
    <mergeCell ref="E63:J63"/>
    <mergeCell ref="K63:O63"/>
  </mergeCell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FAB36-A11A-47BA-A656-1A6753B07F2A}">
  <dimension ref="J13:V33"/>
  <sheetViews>
    <sheetView topLeftCell="A37" zoomScale="85" zoomScaleNormal="85" workbookViewId="0">
      <selection activeCell="Z67" sqref="Z67"/>
    </sheetView>
  </sheetViews>
  <sheetFormatPr defaultRowHeight="12.75"/>
  <sheetData>
    <row r="13" spans="10:10">
      <c r="J13" t="s">
        <v>470</v>
      </c>
    </row>
    <row r="33" spans="22:22">
      <c r="V33" t="s">
        <v>471</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AB109-F870-4729-B73D-FE87BED247C5}">
  <dimension ref="A1:AA35"/>
  <sheetViews>
    <sheetView topLeftCell="A32" workbookViewId="0">
      <selection activeCell="B32" sqref="B32:AA32"/>
    </sheetView>
  </sheetViews>
  <sheetFormatPr defaultRowHeight="12.75"/>
  <cols>
    <col min="1" max="1" width="26.28515625" customWidth="1"/>
  </cols>
  <sheetData>
    <row r="1" spans="1:27">
      <c r="A1" s="43" t="s">
        <v>162</v>
      </c>
    </row>
    <row r="2" spans="1:27">
      <c r="A2" s="43" t="s">
        <v>533</v>
      </c>
      <c r="B2" s="146" t="s">
        <v>534</v>
      </c>
    </row>
    <row r="3" spans="1:27">
      <c r="A3" s="146" t="s">
        <v>525</v>
      </c>
      <c r="B3">
        <v>2025</v>
      </c>
      <c r="C3">
        <v>2026</v>
      </c>
      <c r="D3">
        <v>2027</v>
      </c>
      <c r="E3">
        <v>2028</v>
      </c>
      <c r="F3">
        <v>2029</v>
      </c>
      <c r="G3">
        <v>2030</v>
      </c>
      <c r="H3">
        <v>2031</v>
      </c>
      <c r="I3">
        <v>2032</v>
      </c>
      <c r="J3">
        <v>2033</v>
      </c>
      <c r="K3">
        <v>2034</v>
      </c>
      <c r="L3">
        <v>2035</v>
      </c>
      <c r="M3">
        <v>2036</v>
      </c>
      <c r="N3">
        <v>2037</v>
      </c>
      <c r="O3">
        <v>2038</v>
      </c>
      <c r="P3">
        <v>2039</v>
      </c>
      <c r="Q3">
        <v>2040</v>
      </c>
      <c r="R3">
        <v>2041</v>
      </c>
      <c r="S3">
        <v>2042</v>
      </c>
      <c r="T3">
        <v>2043</v>
      </c>
      <c r="U3">
        <v>2044</v>
      </c>
      <c r="V3">
        <v>2045</v>
      </c>
      <c r="W3">
        <v>2046</v>
      </c>
      <c r="X3">
        <v>2047</v>
      </c>
      <c r="Y3">
        <v>2048</v>
      </c>
      <c r="Z3">
        <v>2049</v>
      </c>
      <c r="AA3">
        <v>2050</v>
      </c>
    </row>
    <row r="4" spans="1:27">
      <c r="A4" t="s">
        <v>486</v>
      </c>
      <c r="B4" s="139">
        <f>'BaU Model'!M29</f>
        <v>520.57108098630147</v>
      </c>
      <c r="C4" s="139">
        <f>'BaU Model'!N29</f>
        <v>1302.8995515967122</v>
      </c>
      <c r="D4" s="139">
        <f>'BaU Model'!O29</f>
        <v>1412.7438380541428</v>
      </c>
      <c r="E4" s="139">
        <f>'BaU Model'!P29</f>
        <v>1412.7438380541428</v>
      </c>
      <c r="F4" s="139">
        <f>'BaU Model'!Q29</f>
        <v>1659.7438380541428</v>
      </c>
      <c r="G4" s="139">
        <f>'BaU Model'!R29</f>
        <v>1659.7438380541428</v>
      </c>
      <c r="H4" s="139">
        <f>'BaU Model'!S29</f>
        <v>1972.9631895367158</v>
      </c>
      <c r="I4" s="139">
        <f>'BaU Model'!T29</f>
        <v>1972.9631895367158</v>
      </c>
      <c r="J4" s="139">
        <f>'BaU Model'!U29</f>
        <v>1972.9631895367158</v>
      </c>
      <c r="K4" s="139">
        <f>'BaU Model'!V29</f>
        <v>1972.9631895367158</v>
      </c>
      <c r="L4" s="139">
        <f>'BaU Model'!W29</f>
        <v>1972.9631895367158</v>
      </c>
      <c r="M4" s="139">
        <f>'BaU Model'!X29</f>
        <v>1972.9631895367158</v>
      </c>
      <c r="N4" s="139">
        <f>'BaU Model'!Y29</f>
        <v>1972.9631895367158</v>
      </c>
      <c r="O4" s="139">
        <f>'BaU Model'!Z29</f>
        <v>1972.9631895367158</v>
      </c>
      <c r="P4" s="139">
        <f>'BaU Model'!AA29</f>
        <v>1972.9631895367158</v>
      </c>
      <c r="Q4" s="139">
        <f>'BaU Model'!AB29</f>
        <v>1972.9631895367158</v>
      </c>
      <c r="R4" s="139">
        <f>'BaU Model'!AC29</f>
        <v>1972.9631895367158</v>
      </c>
      <c r="S4" s="139">
        <f>'BaU Model'!AD29</f>
        <v>1972.9631895367158</v>
      </c>
      <c r="T4" s="139">
        <f>'BaU Model'!AE29</f>
        <v>1972.9631895367158</v>
      </c>
      <c r="U4" s="139">
        <f>'BaU Model'!AF29</f>
        <v>1972.9631895367158</v>
      </c>
      <c r="V4" s="139">
        <f>'BaU Model'!AG29</f>
        <v>1972.9631895367158</v>
      </c>
      <c r="W4" s="139">
        <f>'BaU Model'!AH29</f>
        <v>1972.9631895367158</v>
      </c>
      <c r="X4" s="139">
        <f>'BaU Model'!AI29</f>
        <v>1972.9631895367158</v>
      </c>
      <c r="Y4" s="139">
        <f>'BaU Model'!AJ29</f>
        <v>1972.9631895367158</v>
      </c>
      <c r="Z4" s="139">
        <f>'BaU Model'!AK29</f>
        <v>1972.9631895367158</v>
      </c>
      <c r="AA4" s="139">
        <f>'BaU Model'!AL29</f>
        <v>1972.9631895367158</v>
      </c>
    </row>
    <row r="5" spans="1:27">
      <c r="A5" s="7" t="s">
        <v>487</v>
      </c>
      <c r="B5" s="139">
        <f>0.7*B4</f>
        <v>364.39975669041098</v>
      </c>
      <c r="C5" s="139">
        <f>0.5*C4</f>
        <v>651.44977579835609</v>
      </c>
      <c r="D5" s="139">
        <f t="shared" ref="D5:AA5" si="0">D4-D6</f>
        <v>535.54383805414284</v>
      </c>
      <c r="E5" s="139">
        <f t="shared" si="0"/>
        <v>537.94055936561824</v>
      </c>
      <c r="F5" s="139">
        <f t="shared" si="0"/>
        <v>782.54383805414284</v>
      </c>
      <c r="G5" s="139">
        <f t="shared" si="0"/>
        <v>782.54383805414284</v>
      </c>
      <c r="H5" s="139">
        <f t="shared" si="0"/>
        <v>1095.7631895367158</v>
      </c>
      <c r="I5" s="139">
        <f t="shared" si="0"/>
        <v>1098.1599108481914</v>
      </c>
      <c r="J5" s="139">
        <f t="shared" si="0"/>
        <v>1095.7631895367158</v>
      </c>
      <c r="K5" s="139">
        <f t="shared" si="0"/>
        <v>1095.7631895367158</v>
      </c>
      <c r="L5" s="139">
        <f t="shared" si="0"/>
        <v>1095.7631895367158</v>
      </c>
      <c r="M5" s="139">
        <f t="shared" si="0"/>
        <v>1098.1599108481914</v>
      </c>
      <c r="N5" s="139">
        <f t="shared" si="0"/>
        <v>1095.7631895367158</v>
      </c>
      <c r="O5" s="139">
        <f t="shared" si="0"/>
        <v>1095.7631895367158</v>
      </c>
      <c r="P5" s="139">
        <f t="shared" si="0"/>
        <v>1095.7631895367158</v>
      </c>
      <c r="Q5" s="139">
        <f t="shared" si="0"/>
        <v>1098.1599108481914</v>
      </c>
      <c r="R5" s="139">
        <f t="shared" si="0"/>
        <v>1972.9631895367158</v>
      </c>
      <c r="S5" s="139">
        <f t="shared" si="0"/>
        <v>1972.9631895367158</v>
      </c>
      <c r="T5" s="139">
        <f t="shared" si="0"/>
        <v>1972.9631895367158</v>
      </c>
      <c r="U5" s="139">
        <f t="shared" si="0"/>
        <v>1972.9631895367158</v>
      </c>
      <c r="V5" s="139">
        <f t="shared" si="0"/>
        <v>1972.9631895367158</v>
      </c>
      <c r="W5" s="139">
        <f t="shared" si="0"/>
        <v>1972.9631895367158</v>
      </c>
      <c r="X5" s="139">
        <f t="shared" si="0"/>
        <v>1972.9631895367158</v>
      </c>
      <c r="Y5" s="139">
        <f t="shared" si="0"/>
        <v>1972.9631895367158</v>
      </c>
      <c r="Z5" s="139">
        <f t="shared" si="0"/>
        <v>1972.9631895367158</v>
      </c>
      <c r="AA5" s="139">
        <f t="shared" si="0"/>
        <v>1972.9631895367158</v>
      </c>
    </row>
    <row r="6" spans="1:27">
      <c r="A6" s="7" t="s">
        <v>488</v>
      </c>
      <c r="B6" s="139">
        <f>0.3*B4</f>
        <v>156.17132429589043</v>
      </c>
      <c r="C6" s="139">
        <f>0.5*C4</f>
        <v>651.44977579835609</v>
      </c>
      <c r="D6" s="139">
        <f t="shared" ref="D6:AA6" si="1">IF(D4&lt;(0.85*D7),D4,(0.85*D7))</f>
        <v>877.19999999999993</v>
      </c>
      <c r="E6" s="139">
        <f t="shared" si="1"/>
        <v>874.80327868852453</v>
      </c>
      <c r="F6" s="139">
        <f t="shared" si="1"/>
        <v>877.19999999999993</v>
      </c>
      <c r="G6" s="139">
        <f t="shared" si="1"/>
        <v>877.19999999999993</v>
      </c>
      <c r="H6" s="139">
        <f t="shared" si="1"/>
        <v>877.19999999999993</v>
      </c>
      <c r="I6" s="139">
        <f t="shared" si="1"/>
        <v>874.80327868852453</v>
      </c>
      <c r="J6" s="139">
        <f t="shared" si="1"/>
        <v>877.19999999999993</v>
      </c>
      <c r="K6" s="139">
        <f t="shared" si="1"/>
        <v>877.19999999999993</v>
      </c>
      <c r="L6" s="139">
        <f t="shared" si="1"/>
        <v>877.19999999999993</v>
      </c>
      <c r="M6" s="139">
        <f t="shared" si="1"/>
        <v>874.80327868852453</v>
      </c>
      <c r="N6" s="139">
        <f t="shared" si="1"/>
        <v>877.19999999999993</v>
      </c>
      <c r="O6" s="139">
        <f t="shared" si="1"/>
        <v>877.19999999999993</v>
      </c>
      <c r="P6" s="139">
        <f t="shared" si="1"/>
        <v>877.19999999999993</v>
      </c>
      <c r="Q6" s="139">
        <f t="shared" si="1"/>
        <v>874.80327868852453</v>
      </c>
      <c r="R6" s="139">
        <f t="shared" si="1"/>
        <v>0</v>
      </c>
      <c r="S6" s="139">
        <f t="shared" si="1"/>
        <v>0</v>
      </c>
      <c r="T6" s="139">
        <f t="shared" si="1"/>
        <v>0</v>
      </c>
      <c r="U6" s="139">
        <f t="shared" si="1"/>
        <v>0</v>
      </c>
      <c r="V6" s="139">
        <f t="shared" si="1"/>
        <v>0</v>
      </c>
      <c r="W6" s="139">
        <f t="shared" si="1"/>
        <v>0</v>
      </c>
      <c r="X6" s="139">
        <f t="shared" si="1"/>
        <v>0</v>
      </c>
      <c r="Y6" s="139">
        <f t="shared" si="1"/>
        <v>0</v>
      </c>
      <c r="Z6" s="139">
        <f t="shared" si="1"/>
        <v>0</v>
      </c>
      <c r="AA6" s="139">
        <f t="shared" si="1"/>
        <v>0</v>
      </c>
    </row>
    <row r="7" spans="1:27">
      <c r="A7" s="7" t="s">
        <v>147</v>
      </c>
      <c r="B7" s="139">
        <f>'BaU Model'!$M$15/'BaU Model'!M11</f>
        <v>1032</v>
      </c>
      <c r="C7" s="139">
        <f>'BaU Model'!$M$15/'BaU Model'!N11</f>
        <v>1032</v>
      </c>
      <c r="D7" s="139">
        <f>'BaU Model'!$M$15/'BaU Model'!O11</f>
        <v>1032</v>
      </c>
      <c r="E7" s="139">
        <f>'BaU Model'!$M$15/'BaU Model'!P11</f>
        <v>1029.1803278688524</v>
      </c>
      <c r="F7" s="139">
        <f>'BaU Model'!$M$15/'BaU Model'!Q11</f>
        <v>1032</v>
      </c>
      <c r="G7" s="139">
        <f>'BaU Model'!$M$15/'BaU Model'!R11</f>
        <v>1032</v>
      </c>
      <c r="H7" s="139">
        <f>'BaU Model'!$M$15/'BaU Model'!S11</f>
        <v>1032</v>
      </c>
      <c r="I7" s="139">
        <f>'BaU Model'!$M$15/'BaU Model'!T11</f>
        <v>1029.1803278688524</v>
      </c>
      <c r="J7" s="139">
        <f>'BaU Model'!$M$15/'BaU Model'!U11</f>
        <v>1032</v>
      </c>
      <c r="K7" s="139">
        <f>'BaU Model'!$M$15/'BaU Model'!V11</f>
        <v>1032</v>
      </c>
      <c r="L7" s="139">
        <f>'BaU Model'!$M$15/'BaU Model'!W11</f>
        <v>1032</v>
      </c>
      <c r="M7" s="139">
        <f>'BaU Model'!$M$15/'BaU Model'!X11</f>
        <v>1029.1803278688524</v>
      </c>
      <c r="N7" s="139">
        <f>'BaU Model'!$M$15/'BaU Model'!Y11</f>
        <v>1032</v>
      </c>
      <c r="O7" s="139">
        <f>'BaU Model'!$M$15/'BaU Model'!Z11</f>
        <v>1032</v>
      </c>
      <c r="P7" s="139">
        <f>'BaU Model'!$M$15/'BaU Model'!AA11</f>
        <v>1032</v>
      </c>
      <c r="Q7" s="139">
        <f>'BaU Model'!$M$15/'BaU Model'!AB11</f>
        <v>1029.1803278688524</v>
      </c>
      <c r="R7" s="139">
        <v>0</v>
      </c>
      <c r="S7" s="139">
        <v>0</v>
      </c>
      <c r="T7" s="139">
        <v>0</v>
      </c>
      <c r="U7" s="139">
        <v>0</v>
      </c>
      <c r="V7" s="139">
        <v>0</v>
      </c>
      <c r="W7" s="139">
        <v>0</v>
      </c>
      <c r="X7" s="139">
        <v>0</v>
      </c>
      <c r="Y7" s="139">
        <v>0</v>
      </c>
      <c r="Z7" s="139">
        <v>0</v>
      </c>
      <c r="AA7" s="139">
        <v>0</v>
      </c>
    </row>
    <row r="8" spans="1:27">
      <c r="A8" s="7" t="s">
        <v>535</v>
      </c>
      <c r="B8" s="139">
        <f>0.85*B7</f>
        <v>877.19999999999993</v>
      </c>
      <c r="C8" s="139">
        <f t="shared" ref="C8:AA8" si="2">0.85*C7</f>
        <v>877.19999999999993</v>
      </c>
      <c r="D8" s="139">
        <f t="shared" si="2"/>
        <v>877.19999999999993</v>
      </c>
      <c r="E8" s="139">
        <f t="shared" si="2"/>
        <v>874.80327868852453</v>
      </c>
      <c r="F8" s="139">
        <f t="shared" si="2"/>
        <v>877.19999999999993</v>
      </c>
      <c r="G8" s="139">
        <f t="shared" si="2"/>
        <v>877.19999999999993</v>
      </c>
      <c r="H8" s="139">
        <f t="shared" si="2"/>
        <v>877.19999999999993</v>
      </c>
      <c r="I8" s="139">
        <f t="shared" si="2"/>
        <v>874.80327868852453</v>
      </c>
      <c r="J8" s="139">
        <f t="shared" si="2"/>
        <v>877.19999999999993</v>
      </c>
      <c r="K8" s="139">
        <f t="shared" si="2"/>
        <v>877.19999999999993</v>
      </c>
      <c r="L8" s="139">
        <f t="shared" si="2"/>
        <v>877.19999999999993</v>
      </c>
      <c r="M8" s="139">
        <f t="shared" si="2"/>
        <v>874.80327868852453</v>
      </c>
      <c r="N8" s="139">
        <f t="shared" si="2"/>
        <v>877.19999999999993</v>
      </c>
      <c r="O8" s="139">
        <f t="shared" si="2"/>
        <v>877.19999999999993</v>
      </c>
      <c r="P8" s="139">
        <f t="shared" si="2"/>
        <v>877.19999999999993</v>
      </c>
      <c r="Q8" s="139">
        <f t="shared" si="2"/>
        <v>874.80327868852453</v>
      </c>
      <c r="R8" s="139">
        <f t="shared" si="2"/>
        <v>0</v>
      </c>
      <c r="S8" s="139">
        <f t="shared" si="2"/>
        <v>0</v>
      </c>
      <c r="T8" s="139">
        <f t="shared" si="2"/>
        <v>0</v>
      </c>
      <c r="U8" s="139">
        <f t="shared" si="2"/>
        <v>0</v>
      </c>
      <c r="V8" s="139">
        <f t="shared" si="2"/>
        <v>0</v>
      </c>
      <c r="W8" s="139">
        <f t="shared" si="2"/>
        <v>0</v>
      </c>
      <c r="X8" s="139">
        <f t="shared" si="2"/>
        <v>0</v>
      </c>
      <c r="Y8" s="139">
        <f t="shared" si="2"/>
        <v>0</v>
      </c>
      <c r="Z8" s="139">
        <f t="shared" si="2"/>
        <v>0</v>
      </c>
      <c r="AA8" s="139">
        <f t="shared" si="2"/>
        <v>0</v>
      </c>
    </row>
    <row r="10" spans="1:27">
      <c r="A10" s="43" t="s">
        <v>536</v>
      </c>
      <c r="B10" s="146" t="s">
        <v>537</v>
      </c>
    </row>
    <row r="11" spans="1:27">
      <c r="A11" s="146" t="s">
        <v>525</v>
      </c>
      <c r="B11">
        <v>2025</v>
      </c>
      <c r="C11">
        <v>2026</v>
      </c>
      <c r="D11">
        <v>2027</v>
      </c>
      <c r="E11">
        <v>2028</v>
      </c>
      <c r="F11">
        <v>2029</v>
      </c>
      <c r="G11">
        <v>2030</v>
      </c>
      <c r="H11">
        <v>2031</v>
      </c>
      <c r="I11">
        <v>2032</v>
      </c>
      <c r="J11">
        <v>2033</v>
      </c>
      <c r="K11">
        <v>2034</v>
      </c>
      <c r="L11">
        <v>2035</v>
      </c>
      <c r="M11">
        <v>2036</v>
      </c>
      <c r="N11">
        <v>2037</v>
      </c>
      <c r="O11">
        <v>2038</v>
      </c>
      <c r="P11">
        <v>2039</v>
      </c>
      <c r="Q11">
        <v>2040</v>
      </c>
      <c r="R11">
        <v>2041</v>
      </c>
      <c r="S11">
        <v>2042</v>
      </c>
      <c r="T11">
        <v>2043</v>
      </c>
      <c r="U11">
        <v>2044</v>
      </c>
      <c r="V11">
        <v>2045</v>
      </c>
      <c r="W11">
        <v>2046</v>
      </c>
      <c r="X11">
        <v>2047</v>
      </c>
      <c r="Y11">
        <v>2048</v>
      </c>
      <c r="Z11">
        <v>2049</v>
      </c>
      <c r="AA11">
        <v>2050</v>
      </c>
    </row>
    <row r="12" spans="1:27">
      <c r="A12" t="s">
        <v>486</v>
      </c>
      <c r="B12" s="139">
        <f>B4</f>
        <v>520.57108098630147</v>
      </c>
      <c r="C12" s="139">
        <f t="shared" ref="C12:AA12" si="3">C4</f>
        <v>1302.8995515967122</v>
      </c>
      <c r="D12" s="139">
        <f t="shared" si="3"/>
        <v>1412.7438380541428</v>
      </c>
      <c r="E12" s="139">
        <f t="shared" si="3"/>
        <v>1412.7438380541428</v>
      </c>
      <c r="F12" s="139">
        <f t="shared" si="3"/>
        <v>1659.7438380541428</v>
      </c>
      <c r="G12" s="139">
        <f t="shared" si="3"/>
        <v>1659.7438380541428</v>
      </c>
      <c r="H12" s="139">
        <f t="shared" si="3"/>
        <v>1972.9631895367158</v>
      </c>
      <c r="I12" s="139">
        <f t="shared" si="3"/>
        <v>1972.9631895367158</v>
      </c>
      <c r="J12" s="139">
        <f t="shared" si="3"/>
        <v>1972.9631895367158</v>
      </c>
      <c r="K12" s="139">
        <f t="shared" si="3"/>
        <v>1972.9631895367158</v>
      </c>
      <c r="L12" s="139">
        <f t="shared" si="3"/>
        <v>1972.9631895367158</v>
      </c>
      <c r="M12" s="139">
        <f t="shared" si="3"/>
        <v>1972.9631895367158</v>
      </c>
      <c r="N12" s="139">
        <f t="shared" si="3"/>
        <v>1972.9631895367158</v>
      </c>
      <c r="O12" s="139">
        <f t="shared" si="3"/>
        <v>1972.9631895367158</v>
      </c>
      <c r="P12" s="139">
        <f t="shared" si="3"/>
        <v>1972.9631895367158</v>
      </c>
      <c r="Q12" s="139">
        <f t="shared" si="3"/>
        <v>1972.9631895367158</v>
      </c>
      <c r="R12" s="139">
        <f t="shared" si="3"/>
        <v>1972.9631895367158</v>
      </c>
      <c r="S12" s="139">
        <f t="shared" si="3"/>
        <v>1972.9631895367158</v>
      </c>
      <c r="T12" s="139">
        <f t="shared" si="3"/>
        <v>1972.9631895367158</v>
      </c>
      <c r="U12" s="139">
        <f t="shared" si="3"/>
        <v>1972.9631895367158</v>
      </c>
      <c r="V12" s="139">
        <f t="shared" si="3"/>
        <v>1972.9631895367158</v>
      </c>
      <c r="W12" s="139">
        <f t="shared" si="3"/>
        <v>1972.9631895367158</v>
      </c>
      <c r="X12" s="139">
        <f t="shared" si="3"/>
        <v>1972.9631895367158</v>
      </c>
      <c r="Y12" s="139">
        <f t="shared" si="3"/>
        <v>1972.9631895367158</v>
      </c>
      <c r="Z12" s="139">
        <f t="shared" si="3"/>
        <v>1972.9631895367158</v>
      </c>
      <c r="AA12" s="139">
        <f t="shared" si="3"/>
        <v>1972.9631895367158</v>
      </c>
    </row>
    <row r="13" spans="1:27">
      <c r="A13" s="7" t="s">
        <v>487</v>
      </c>
      <c r="B13" s="139">
        <f>0.7*B12</f>
        <v>364.39975669041098</v>
      </c>
      <c r="C13" s="139">
        <f>0.5*C12</f>
        <v>651.44977579835609</v>
      </c>
      <c r="D13" s="139">
        <f t="shared" ref="D13" si="4">D12-D14</f>
        <v>535.54383805414284</v>
      </c>
      <c r="E13" s="139">
        <f t="shared" ref="E13" si="5">E12-E14</f>
        <v>537.94055936561824</v>
      </c>
      <c r="F13" s="139">
        <f t="shared" ref="F13" si="6">F12-F14</f>
        <v>782.54383805414284</v>
      </c>
      <c r="G13" s="139">
        <f t="shared" ref="G13" si="7">G12-G14</f>
        <v>782.54383805414284</v>
      </c>
      <c r="H13" s="139">
        <f t="shared" ref="H13" si="8">H12-H14</f>
        <v>1095.7631895367158</v>
      </c>
      <c r="I13" s="139">
        <f t="shared" ref="I13" si="9">I12-I14</f>
        <v>1098.1599108481914</v>
      </c>
      <c r="J13" s="139">
        <f t="shared" ref="J13" si="10">J12-J14</f>
        <v>1095.7631895367158</v>
      </c>
      <c r="K13" s="139">
        <f t="shared" ref="K13" si="11">K12-K14</f>
        <v>1095.7631895367158</v>
      </c>
      <c r="L13" s="139">
        <f t="shared" ref="L13" si="12">L12-L14</f>
        <v>1095.7631895367158</v>
      </c>
      <c r="M13" s="139">
        <f t="shared" ref="M13" si="13">M12-M14</f>
        <v>1098.1599108481914</v>
      </c>
      <c r="N13" s="139">
        <f t="shared" ref="N13" si="14">N12-N14</f>
        <v>1095.7631895367158</v>
      </c>
      <c r="O13" s="139">
        <f t="shared" ref="O13" si="15">O12-O14</f>
        <v>1095.7631895367158</v>
      </c>
      <c r="P13" s="139">
        <f t="shared" ref="P13" si="16">P12-P14</f>
        <v>1095.7631895367158</v>
      </c>
      <c r="Q13" s="139">
        <f t="shared" ref="Q13" si="17">Q12-Q14</f>
        <v>1098.1599108481914</v>
      </c>
      <c r="R13" s="139">
        <f t="shared" ref="R13" si="18">R12-R14</f>
        <v>1095.7631895367158</v>
      </c>
      <c r="S13" s="139">
        <f t="shared" ref="S13" si="19">S12-S14</f>
        <v>1095.7631895367158</v>
      </c>
      <c r="T13" s="139">
        <f t="shared" ref="T13" si="20">T12-T14</f>
        <v>1095.7631895367158</v>
      </c>
      <c r="U13" s="139">
        <f t="shared" ref="U13" si="21">U12-U14</f>
        <v>1098.1599108481914</v>
      </c>
      <c r="V13" s="139">
        <f t="shared" ref="V13" si="22">V12-V14</f>
        <v>1095.7631895367158</v>
      </c>
      <c r="W13" s="139">
        <f t="shared" ref="W13" si="23">W12-W14</f>
        <v>1095.7631895367158</v>
      </c>
      <c r="X13" s="139">
        <f t="shared" ref="X13" si="24">X12-X14</f>
        <v>1095.7631895367158</v>
      </c>
      <c r="Y13" s="139">
        <f t="shared" ref="Y13" si="25">Y12-Y14</f>
        <v>1098.1599108481914</v>
      </c>
      <c r="Z13" s="139">
        <f t="shared" ref="Z13" si="26">Z12-Z14</f>
        <v>1095.7631895367158</v>
      </c>
      <c r="AA13" s="139">
        <f t="shared" ref="AA13" si="27">AA12-AA14</f>
        <v>1095.7631895367158</v>
      </c>
    </row>
    <row r="14" spans="1:27">
      <c r="A14" s="7" t="s">
        <v>488</v>
      </c>
      <c r="B14" s="139">
        <f>0.3*B12</f>
        <v>156.17132429589043</v>
      </c>
      <c r="C14" s="139">
        <f>0.5*C12</f>
        <v>651.44977579835609</v>
      </c>
      <c r="D14" s="139">
        <f>IF(D12&lt;D16,D12,D16)</f>
        <v>877.19999999999993</v>
      </c>
      <c r="E14" s="139">
        <f t="shared" ref="E14:AA14" si="28">IF(E12&lt;E16,E12,E16)</f>
        <v>874.80327868852453</v>
      </c>
      <c r="F14" s="139">
        <f t="shared" si="28"/>
        <v>877.19999999999993</v>
      </c>
      <c r="G14" s="139">
        <f t="shared" si="28"/>
        <v>877.19999999999993</v>
      </c>
      <c r="H14" s="139">
        <f t="shared" si="28"/>
        <v>877.19999999999993</v>
      </c>
      <c r="I14" s="139">
        <f t="shared" si="28"/>
        <v>874.80327868852453</v>
      </c>
      <c r="J14" s="139">
        <f t="shared" si="28"/>
        <v>877.19999999999993</v>
      </c>
      <c r="K14" s="139">
        <f t="shared" si="28"/>
        <v>877.19999999999993</v>
      </c>
      <c r="L14" s="139">
        <f t="shared" si="28"/>
        <v>877.19999999999993</v>
      </c>
      <c r="M14" s="139">
        <f t="shared" si="28"/>
        <v>874.80327868852453</v>
      </c>
      <c r="N14" s="139">
        <f t="shared" si="28"/>
        <v>877.19999999999993</v>
      </c>
      <c r="O14" s="139">
        <f t="shared" si="28"/>
        <v>877.19999999999993</v>
      </c>
      <c r="P14" s="139">
        <f t="shared" si="28"/>
        <v>877.19999999999993</v>
      </c>
      <c r="Q14" s="139">
        <f t="shared" si="28"/>
        <v>874.80327868852453</v>
      </c>
      <c r="R14" s="139">
        <f t="shared" si="28"/>
        <v>877.19999999999993</v>
      </c>
      <c r="S14" s="139">
        <f t="shared" si="28"/>
        <v>877.19999999999993</v>
      </c>
      <c r="T14" s="139">
        <f t="shared" si="28"/>
        <v>877.19999999999993</v>
      </c>
      <c r="U14" s="139">
        <f t="shared" si="28"/>
        <v>874.80327868852453</v>
      </c>
      <c r="V14" s="139">
        <f t="shared" si="28"/>
        <v>877.19999999999993</v>
      </c>
      <c r="W14" s="139">
        <f t="shared" si="28"/>
        <v>877.19999999999993</v>
      </c>
      <c r="X14" s="139">
        <f t="shared" si="28"/>
        <v>877.19999999999993</v>
      </c>
      <c r="Y14" s="139">
        <f t="shared" si="28"/>
        <v>874.80327868852453</v>
      </c>
      <c r="Z14" s="139">
        <f t="shared" si="28"/>
        <v>877.19999999999993</v>
      </c>
      <c r="AA14" s="139">
        <f t="shared" si="28"/>
        <v>877.19999999999993</v>
      </c>
    </row>
    <row r="15" spans="1:27">
      <c r="A15" s="7" t="s">
        <v>147</v>
      </c>
      <c r="B15" s="139">
        <f>'BaU Model'!$M$15/'BaU Model'!M11</f>
        <v>1032</v>
      </c>
      <c r="C15" s="139">
        <f>'BaU Model'!$M$15/'BaU Model'!N11</f>
        <v>1032</v>
      </c>
      <c r="D15" s="139">
        <f>'BaU Model'!$M$15/'BaU Model'!O11</f>
        <v>1032</v>
      </c>
      <c r="E15" s="139">
        <f>'BaU Model'!$M$15/'BaU Model'!P11</f>
        <v>1029.1803278688524</v>
      </c>
      <c r="F15" s="139">
        <f>'BaU Model'!$M$15/'BaU Model'!Q11</f>
        <v>1032</v>
      </c>
      <c r="G15" s="139">
        <f>'BaU Model'!$M$15/'BaU Model'!R11</f>
        <v>1032</v>
      </c>
      <c r="H15" s="139">
        <f>'BaU Model'!$M$15/'BaU Model'!S11</f>
        <v>1032</v>
      </c>
      <c r="I15" s="139">
        <f>'BaU Model'!$M$15/'BaU Model'!T11</f>
        <v>1029.1803278688524</v>
      </c>
      <c r="J15" s="139">
        <f>'BaU Model'!$M$15/'BaU Model'!U11</f>
        <v>1032</v>
      </c>
      <c r="K15" s="139">
        <f>'BaU Model'!$M$15/'BaU Model'!V11</f>
        <v>1032</v>
      </c>
      <c r="L15" s="139">
        <f>'BaU Model'!$M$15/'BaU Model'!W11</f>
        <v>1032</v>
      </c>
      <c r="M15" s="139">
        <f>'BaU Model'!$M$15/'BaU Model'!X11</f>
        <v>1029.1803278688524</v>
      </c>
      <c r="N15" s="139">
        <f>'BaU Model'!$M$15/'BaU Model'!Y11</f>
        <v>1032</v>
      </c>
      <c r="O15" s="139">
        <f>'BaU Model'!$M$15/'BaU Model'!Z11</f>
        <v>1032</v>
      </c>
      <c r="P15" s="139">
        <f>'BaU Model'!$M$15/'BaU Model'!AA11</f>
        <v>1032</v>
      </c>
      <c r="Q15" s="139">
        <f>'BaU Model'!$M$15/'BaU Model'!AB11</f>
        <v>1029.1803278688524</v>
      </c>
      <c r="R15" s="139">
        <f>'BaU Model'!$M$15/'BaU Model'!AC11</f>
        <v>1032</v>
      </c>
      <c r="S15" s="139">
        <f>'BaU Model'!$M$15/'BaU Model'!AD11</f>
        <v>1032</v>
      </c>
      <c r="T15" s="139">
        <f>'BaU Model'!$M$15/'BaU Model'!AE11</f>
        <v>1032</v>
      </c>
      <c r="U15" s="139">
        <f>'BaU Model'!$M$15/'BaU Model'!AF11</f>
        <v>1029.1803278688524</v>
      </c>
      <c r="V15" s="139">
        <f>'BaU Model'!$M$15/'BaU Model'!AG11</f>
        <v>1032</v>
      </c>
      <c r="W15" s="139">
        <f>'BaU Model'!$M$15/'BaU Model'!AH11</f>
        <v>1032</v>
      </c>
      <c r="X15" s="139">
        <f>'BaU Model'!$M$15/'BaU Model'!AI11</f>
        <v>1032</v>
      </c>
      <c r="Y15" s="139">
        <f>'BaU Model'!$M$15/'BaU Model'!AJ11</f>
        <v>1029.1803278688524</v>
      </c>
      <c r="Z15" s="139">
        <f>'BaU Model'!$M$15/'BaU Model'!AK11</f>
        <v>1032</v>
      </c>
      <c r="AA15" s="139">
        <f>'BaU Model'!$M$15/'BaU Model'!AL11</f>
        <v>1032</v>
      </c>
    </row>
    <row r="16" spans="1:27">
      <c r="A16" s="7" t="s">
        <v>535</v>
      </c>
      <c r="B16" s="139">
        <f>0.85*B15</f>
        <v>877.19999999999993</v>
      </c>
      <c r="C16" s="139">
        <f t="shared" ref="C16:AA16" si="29">0.85*C15</f>
        <v>877.19999999999993</v>
      </c>
      <c r="D16" s="139">
        <f t="shared" si="29"/>
        <v>877.19999999999993</v>
      </c>
      <c r="E16" s="139">
        <f t="shared" si="29"/>
        <v>874.80327868852453</v>
      </c>
      <c r="F16" s="139">
        <f t="shared" si="29"/>
        <v>877.19999999999993</v>
      </c>
      <c r="G16" s="139">
        <f t="shared" si="29"/>
        <v>877.19999999999993</v>
      </c>
      <c r="H16" s="139">
        <f t="shared" si="29"/>
        <v>877.19999999999993</v>
      </c>
      <c r="I16" s="139">
        <f t="shared" si="29"/>
        <v>874.80327868852453</v>
      </c>
      <c r="J16" s="139">
        <f t="shared" si="29"/>
        <v>877.19999999999993</v>
      </c>
      <c r="K16" s="139">
        <f t="shared" si="29"/>
        <v>877.19999999999993</v>
      </c>
      <c r="L16" s="139">
        <f t="shared" si="29"/>
        <v>877.19999999999993</v>
      </c>
      <c r="M16" s="139">
        <f t="shared" si="29"/>
        <v>874.80327868852453</v>
      </c>
      <c r="N16" s="139">
        <f t="shared" si="29"/>
        <v>877.19999999999993</v>
      </c>
      <c r="O16" s="139">
        <f t="shared" si="29"/>
        <v>877.19999999999993</v>
      </c>
      <c r="P16" s="139">
        <f t="shared" si="29"/>
        <v>877.19999999999993</v>
      </c>
      <c r="Q16" s="139">
        <f t="shared" si="29"/>
        <v>874.80327868852453</v>
      </c>
      <c r="R16" s="139">
        <f t="shared" si="29"/>
        <v>877.19999999999993</v>
      </c>
      <c r="S16" s="139">
        <f t="shared" si="29"/>
        <v>877.19999999999993</v>
      </c>
      <c r="T16" s="139">
        <f t="shared" si="29"/>
        <v>877.19999999999993</v>
      </c>
      <c r="U16" s="139">
        <f t="shared" si="29"/>
        <v>874.80327868852453</v>
      </c>
      <c r="V16" s="139">
        <f t="shared" si="29"/>
        <v>877.19999999999993</v>
      </c>
      <c r="W16" s="139">
        <f t="shared" si="29"/>
        <v>877.19999999999993</v>
      </c>
      <c r="X16" s="139">
        <f t="shared" si="29"/>
        <v>877.19999999999993</v>
      </c>
      <c r="Y16" s="139">
        <f t="shared" si="29"/>
        <v>874.80327868852453</v>
      </c>
      <c r="Z16" s="139">
        <f t="shared" si="29"/>
        <v>877.19999999999993</v>
      </c>
      <c r="AA16" s="139">
        <f t="shared" si="29"/>
        <v>877.19999999999993</v>
      </c>
    </row>
    <row r="18" spans="1:27">
      <c r="A18" s="43" t="s">
        <v>538</v>
      </c>
      <c r="B18" s="146" t="s">
        <v>539</v>
      </c>
    </row>
    <row r="19" spans="1:27">
      <c r="A19" s="146" t="s">
        <v>525</v>
      </c>
      <c r="B19">
        <v>2025</v>
      </c>
      <c r="C19">
        <v>2026</v>
      </c>
      <c r="D19">
        <v>2027</v>
      </c>
      <c r="E19">
        <v>2028</v>
      </c>
      <c r="F19">
        <v>2029</v>
      </c>
      <c r="G19">
        <v>2030</v>
      </c>
      <c r="H19">
        <v>2031</v>
      </c>
      <c r="I19">
        <v>2032</v>
      </c>
      <c r="J19">
        <v>2033</v>
      </c>
      <c r="K19">
        <v>2034</v>
      </c>
      <c r="L19">
        <v>2035</v>
      </c>
      <c r="M19">
        <v>2036</v>
      </c>
      <c r="N19">
        <v>2037</v>
      </c>
      <c r="O19">
        <v>2038</v>
      </c>
      <c r="P19">
        <v>2039</v>
      </c>
      <c r="Q19">
        <v>2040</v>
      </c>
      <c r="R19">
        <v>2041</v>
      </c>
      <c r="S19">
        <v>2042</v>
      </c>
      <c r="T19">
        <v>2043</v>
      </c>
      <c r="U19">
        <v>2044</v>
      </c>
      <c r="V19">
        <v>2045</v>
      </c>
      <c r="W19">
        <v>2046</v>
      </c>
      <c r="X19">
        <v>2047</v>
      </c>
      <c r="Y19">
        <v>2048</v>
      </c>
      <c r="Z19">
        <v>2049</v>
      </c>
      <c r="AA19">
        <v>2050</v>
      </c>
    </row>
    <row r="20" spans="1:27">
      <c r="A20" t="s">
        <v>486</v>
      </c>
      <c r="B20" s="139">
        <f>B12</f>
        <v>520.57108098630147</v>
      </c>
      <c r="C20" s="139">
        <f t="shared" ref="C20:AA20" si="30">C12</f>
        <v>1302.8995515967122</v>
      </c>
      <c r="D20" s="139">
        <f t="shared" si="30"/>
        <v>1412.7438380541428</v>
      </c>
      <c r="E20" s="139">
        <f t="shared" si="30"/>
        <v>1412.7438380541428</v>
      </c>
      <c r="F20" s="139">
        <f t="shared" si="30"/>
        <v>1659.7438380541428</v>
      </c>
      <c r="G20" s="139">
        <f t="shared" si="30"/>
        <v>1659.7438380541428</v>
      </c>
      <c r="H20" s="139">
        <f t="shared" si="30"/>
        <v>1972.9631895367158</v>
      </c>
      <c r="I20" s="139">
        <f t="shared" si="30"/>
        <v>1972.9631895367158</v>
      </c>
      <c r="J20" s="139">
        <f t="shared" si="30"/>
        <v>1972.9631895367158</v>
      </c>
      <c r="K20" s="139">
        <f t="shared" si="30"/>
        <v>1972.9631895367158</v>
      </c>
      <c r="L20" s="139">
        <f t="shared" si="30"/>
        <v>1972.9631895367158</v>
      </c>
      <c r="M20" s="139">
        <f t="shared" si="30"/>
        <v>1972.9631895367158</v>
      </c>
      <c r="N20" s="139">
        <f t="shared" si="30"/>
        <v>1972.9631895367158</v>
      </c>
      <c r="O20" s="139">
        <f t="shared" si="30"/>
        <v>1972.9631895367158</v>
      </c>
      <c r="P20" s="139">
        <f t="shared" si="30"/>
        <v>1972.9631895367158</v>
      </c>
      <c r="Q20" s="139">
        <f t="shared" si="30"/>
        <v>1972.9631895367158</v>
      </c>
      <c r="R20" s="139">
        <f t="shared" si="30"/>
        <v>1972.9631895367158</v>
      </c>
      <c r="S20" s="139">
        <f t="shared" si="30"/>
        <v>1972.9631895367158</v>
      </c>
      <c r="T20" s="139">
        <f t="shared" si="30"/>
        <v>1972.9631895367158</v>
      </c>
      <c r="U20" s="139">
        <f t="shared" si="30"/>
        <v>1972.9631895367158</v>
      </c>
      <c r="V20" s="139">
        <f t="shared" si="30"/>
        <v>1972.9631895367158</v>
      </c>
      <c r="W20" s="139">
        <f t="shared" si="30"/>
        <v>1972.9631895367158</v>
      </c>
      <c r="X20" s="139">
        <f t="shared" si="30"/>
        <v>1972.9631895367158</v>
      </c>
      <c r="Y20" s="139">
        <f t="shared" si="30"/>
        <v>1972.9631895367158</v>
      </c>
      <c r="Z20" s="139">
        <f t="shared" si="30"/>
        <v>1972.9631895367158</v>
      </c>
      <c r="AA20" s="139">
        <f t="shared" si="30"/>
        <v>1972.9631895367158</v>
      </c>
    </row>
    <row r="21" spans="1:27">
      <c r="A21" s="7" t="s">
        <v>487</v>
      </c>
      <c r="B21" s="139">
        <f>0.7*B20</f>
        <v>364.39975669041098</v>
      </c>
      <c r="C21" s="139">
        <f>0.5*C20</f>
        <v>651.44977579835609</v>
      </c>
      <c r="D21" s="139">
        <f>D20-D22</f>
        <v>0</v>
      </c>
      <c r="E21" s="139">
        <f t="shared" ref="E21:AA21" si="31">E20-E22</f>
        <v>0</v>
      </c>
      <c r="F21" s="139">
        <f t="shared" si="31"/>
        <v>0</v>
      </c>
      <c r="G21" s="139">
        <f t="shared" si="31"/>
        <v>0</v>
      </c>
      <c r="H21" s="139">
        <f t="shared" si="31"/>
        <v>218.56318953671598</v>
      </c>
      <c r="I21" s="139">
        <f t="shared" si="31"/>
        <v>223.35663215966679</v>
      </c>
      <c r="J21" s="139">
        <f t="shared" si="31"/>
        <v>218.56318953671598</v>
      </c>
      <c r="K21" s="139">
        <f t="shared" si="31"/>
        <v>218.56318953671598</v>
      </c>
      <c r="L21" s="139">
        <f t="shared" si="31"/>
        <v>218.56318953671598</v>
      </c>
      <c r="M21" s="139">
        <f t="shared" si="31"/>
        <v>223.35663215966679</v>
      </c>
      <c r="N21" s="139">
        <f t="shared" si="31"/>
        <v>218.56318953671598</v>
      </c>
      <c r="O21" s="139">
        <f t="shared" si="31"/>
        <v>218.56318953671598</v>
      </c>
      <c r="P21" s="139">
        <f t="shared" si="31"/>
        <v>218.56318953671598</v>
      </c>
      <c r="Q21" s="139">
        <f t="shared" si="31"/>
        <v>223.35663215966679</v>
      </c>
      <c r="R21" s="139">
        <f t="shared" si="31"/>
        <v>218.56318953671598</v>
      </c>
      <c r="S21" s="139">
        <f t="shared" si="31"/>
        <v>218.56318953671598</v>
      </c>
      <c r="T21" s="139">
        <f t="shared" si="31"/>
        <v>218.56318953671598</v>
      </c>
      <c r="U21" s="139">
        <f t="shared" si="31"/>
        <v>223.35663215966679</v>
      </c>
      <c r="V21" s="139">
        <f t="shared" si="31"/>
        <v>218.56318953671598</v>
      </c>
      <c r="W21" s="139">
        <f t="shared" si="31"/>
        <v>218.56318953671598</v>
      </c>
      <c r="X21" s="139">
        <f t="shared" si="31"/>
        <v>218.56318953671598</v>
      </c>
      <c r="Y21" s="139">
        <f t="shared" si="31"/>
        <v>223.35663215966679</v>
      </c>
      <c r="Z21" s="139">
        <f t="shared" si="31"/>
        <v>218.56318953671598</v>
      </c>
      <c r="AA21" s="139">
        <f t="shared" si="31"/>
        <v>218.56318953671598</v>
      </c>
    </row>
    <row r="22" spans="1:27">
      <c r="A22" s="7" t="s">
        <v>488</v>
      </c>
      <c r="B22" s="139">
        <f>0.3*B20</f>
        <v>156.17132429589043</v>
      </c>
      <c r="C22" s="139">
        <f>0.5*C20</f>
        <v>651.44977579835609</v>
      </c>
      <c r="D22" s="139">
        <f>IF(D20&lt;D24,D20,D24)</f>
        <v>1412.7438380541428</v>
      </c>
      <c r="E22" s="139">
        <f t="shared" ref="E22:AA22" si="32">IF(E20&lt;E24,E20,E24)</f>
        <v>1412.7438380541428</v>
      </c>
      <c r="F22" s="139">
        <f t="shared" si="32"/>
        <v>1659.7438380541428</v>
      </c>
      <c r="G22" s="139">
        <f t="shared" si="32"/>
        <v>1659.7438380541428</v>
      </c>
      <c r="H22" s="139">
        <f t="shared" si="32"/>
        <v>1754.3999999999999</v>
      </c>
      <c r="I22" s="139">
        <f t="shared" si="32"/>
        <v>1749.6065573770491</v>
      </c>
      <c r="J22" s="139">
        <f t="shared" si="32"/>
        <v>1754.3999999999999</v>
      </c>
      <c r="K22" s="139">
        <f t="shared" si="32"/>
        <v>1754.3999999999999</v>
      </c>
      <c r="L22" s="139">
        <f t="shared" si="32"/>
        <v>1754.3999999999999</v>
      </c>
      <c r="M22" s="139">
        <f t="shared" si="32"/>
        <v>1749.6065573770491</v>
      </c>
      <c r="N22" s="139">
        <f t="shared" si="32"/>
        <v>1754.3999999999999</v>
      </c>
      <c r="O22" s="139">
        <f t="shared" si="32"/>
        <v>1754.3999999999999</v>
      </c>
      <c r="P22" s="139">
        <f t="shared" si="32"/>
        <v>1754.3999999999999</v>
      </c>
      <c r="Q22" s="139">
        <f t="shared" si="32"/>
        <v>1749.6065573770491</v>
      </c>
      <c r="R22" s="139">
        <f t="shared" si="32"/>
        <v>1754.3999999999999</v>
      </c>
      <c r="S22" s="139">
        <f t="shared" si="32"/>
        <v>1754.3999999999999</v>
      </c>
      <c r="T22" s="139">
        <f t="shared" si="32"/>
        <v>1754.3999999999999</v>
      </c>
      <c r="U22" s="139">
        <f t="shared" si="32"/>
        <v>1749.6065573770491</v>
      </c>
      <c r="V22" s="139">
        <f t="shared" si="32"/>
        <v>1754.3999999999999</v>
      </c>
      <c r="W22" s="139">
        <f t="shared" si="32"/>
        <v>1754.3999999999999</v>
      </c>
      <c r="X22" s="139">
        <f t="shared" si="32"/>
        <v>1754.3999999999999</v>
      </c>
      <c r="Y22" s="139">
        <f t="shared" si="32"/>
        <v>1749.6065573770491</v>
      </c>
      <c r="Z22" s="139">
        <f t="shared" si="32"/>
        <v>1754.3999999999999</v>
      </c>
      <c r="AA22" s="139">
        <f t="shared" si="32"/>
        <v>1754.3999999999999</v>
      </c>
    </row>
    <row r="23" spans="1:27">
      <c r="A23" s="7" t="s">
        <v>147</v>
      </c>
      <c r="B23" s="139">
        <f>'BaU Model'!M15/'BaU Model'!M11</f>
        <v>1032</v>
      </c>
      <c r="C23" s="139">
        <f>'BaU Model'!N15/'BaU Model'!N11</f>
        <v>2064</v>
      </c>
      <c r="D23" s="139">
        <f>'BaU Model'!O15/'BaU Model'!O11</f>
        <v>2064</v>
      </c>
      <c r="E23" s="139">
        <f>'BaU Model'!P15/'BaU Model'!P11</f>
        <v>2058.3606557377047</v>
      </c>
      <c r="F23" s="139">
        <f>'BaU Model'!Q15/'BaU Model'!Q11</f>
        <v>2064</v>
      </c>
      <c r="G23" s="139">
        <f>'BaU Model'!R15/'BaU Model'!R11</f>
        <v>2064</v>
      </c>
      <c r="H23" s="139">
        <f>'BaU Model'!S15/'BaU Model'!S11</f>
        <v>2064</v>
      </c>
      <c r="I23" s="139">
        <f>'BaU Model'!T15/'BaU Model'!T11</f>
        <v>2058.3606557377047</v>
      </c>
      <c r="J23" s="139">
        <f>'BaU Model'!U15/'BaU Model'!U11</f>
        <v>2064</v>
      </c>
      <c r="K23" s="139">
        <f>'BaU Model'!V15/'BaU Model'!V11</f>
        <v>2064</v>
      </c>
      <c r="L23" s="139">
        <f>'BaU Model'!W15/'BaU Model'!W11</f>
        <v>2064</v>
      </c>
      <c r="M23" s="139">
        <f>'BaU Model'!X15/'BaU Model'!X11</f>
        <v>2058.3606557377047</v>
      </c>
      <c r="N23" s="139">
        <f>'BaU Model'!Y15/'BaU Model'!Y11</f>
        <v>2064</v>
      </c>
      <c r="O23" s="139">
        <f>'BaU Model'!Z15/'BaU Model'!Z11</f>
        <v>2064</v>
      </c>
      <c r="P23" s="139">
        <f>'BaU Model'!AA15/'BaU Model'!AA11</f>
        <v>2064</v>
      </c>
      <c r="Q23" s="139">
        <f>'BaU Model'!AB15/'BaU Model'!AB11</f>
        <v>2058.3606557377047</v>
      </c>
      <c r="R23" s="139">
        <f>'BaU Model'!AC15/'BaU Model'!AC11</f>
        <v>2064</v>
      </c>
      <c r="S23" s="139">
        <f>'BaU Model'!AD15/'BaU Model'!AD11</f>
        <v>2064</v>
      </c>
      <c r="T23" s="139">
        <f>'BaU Model'!AE15/'BaU Model'!AE11</f>
        <v>2064</v>
      </c>
      <c r="U23" s="139">
        <f>'BaU Model'!AF15/'BaU Model'!AF11</f>
        <v>2058.3606557377047</v>
      </c>
      <c r="V23" s="139">
        <f>'BaU Model'!AG15/'BaU Model'!AG11</f>
        <v>2064</v>
      </c>
      <c r="W23" s="139">
        <f>'BaU Model'!AH15/'BaU Model'!AH11</f>
        <v>2064</v>
      </c>
      <c r="X23" s="139">
        <f>'BaU Model'!AI15/'BaU Model'!AI11</f>
        <v>2064</v>
      </c>
      <c r="Y23" s="139">
        <f>'BaU Model'!AJ15/'BaU Model'!AJ11</f>
        <v>2058.3606557377047</v>
      </c>
      <c r="Z23" s="139">
        <f>'BaU Model'!AK15/'BaU Model'!AK11</f>
        <v>2064</v>
      </c>
      <c r="AA23" s="139">
        <f>'BaU Model'!AL15/'BaU Model'!AL11</f>
        <v>2064</v>
      </c>
    </row>
    <row r="24" spans="1:27">
      <c r="A24" s="7" t="s">
        <v>535</v>
      </c>
      <c r="B24" s="139">
        <f>0.85*B23</f>
        <v>877.19999999999993</v>
      </c>
      <c r="C24" s="139">
        <f t="shared" ref="C24:AA24" si="33">0.85*C23</f>
        <v>1754.3999999999999</v>
      </c>
      <c r="D24" s="139">
        <f t="shared" si="33"/>
        <v>1754.3999999999999</v>
      </c>
      <c r="E24" s="139">
        <f t="shared" si="33"/>
        <v>1749.6065573770491</v>
      </c>
      <c r="F24" s="139">
        <f t="shared" si="33"/>
        <v>1754.3999999999999</v>
      </c>
      <c r="G24" s="139">
        <f t="shared" si="33"/>
        <v>1754.3999999999999</v>
      </c>
      <c r="H24" s="139">
        <f t="shared" si="33"/>
        <v>1754.3999999999999</v>
      </c>
      <c r="I24" s="139">
        <f t="shared" si="33"/>
        <v>1749.6065573770491</v>
      </c>
      <c r="J24" s="139">
        <f t="shared" si="33"/>
        <v>1754.3999999999999</v>
      </c>
      <c r="K24" s="139">
        <f t="shared" si="33"/>
        <v>1754.3999999999999</v>
      </c>
      <c r="L24" s="139">
        <f t="shared" si="33"/>
        <v>1754.3999999999999</v>
      </c>
      <c r="M24" s="139">
        <f t="shared" si="33"/>
        <v>1749.6065573770491</v>
      </c>
      <c r="N24" s="139">
        <f t="shared" si="33"/>
        <v>1754.3999999999999</v>
      </c>
      <c r="O24" s="139">
        <f t="shared" si="33"/>
        <v>1754.3999999999999</v>
      </c>
      <c r="P24" s="139">
        <f t="shared" si="33"/>
        <v>1754.3999999999999</v>
      </c>
      <c r="Q24" s="139">
        <f t="shared" si="33"/>
        <v>1749.6065573770491</v>
      </c>
      <c r="R24" s="139">
        <f t="shared" si="33"/>
        <v>1754.3999999999999</v>
      </c>
      <c r="S24" s="139">
        <f t="shared" si="33"/>
        <v>1754.3999999999999</v>
      </c>
      <c r="T24" s="139">
        <f t="shared" si="33"/>
        <v>1754.3999999999999</v>
      </c>
      <c r="U24" s="139">
        <f t="shared" si="33"/>
        <v>1749.6065573770491</v>
      </c>
      <c r="V24" s="139">
        <f t="shared" si="33"/>
        <v>1754.3999999999999</v>
      </c>
      <c r="W24" s="139">
        <f t="shared" si="33"/>
        <v>1754.3999999999999</v>
      </c>
      <c r="X24" s="139">
        <f t="shared" si="33"/>
        <v>1754.3999999999999</v>
      </c>
      <c r="Y24" s="139">
        <f t="shared" si="33"/>
        <v>1749.6065573770491</v>
      </c>
      <c r="Z24" s="139">
        <f t="shared" si="33"/>
        <v>1754.3999999999999</v>
      </c>
      <c r="AA24" s="139">
        <f t="shared" si="33"/>
        <v>1754.3999999999999</v>
      </c>
    </row>
    <row r="25" spans="1:27">
      <c r="A25" s="7" t="s">
        <v>545</v>
      </c>
      <c r="B25" s="139"/>
      <c r="C25" s="139"/>
      <c r="D25" s="139"/>
      <c r="E25" s="139"/>
      <c r="F25" s="139">
        <f>F21*'BaU Model'!R11</f>
        <v>0</v>
      </c>
      <c r="G25" s="139">
        <f>G21*'BaU Model'!S11</f>
        <v>0</v>
      </c>
      <c r="H25" s="139">
        <f>H21*'BaU Model'!T11</f>
        <v>79994.127370438044</v>
      </c>
      <c r="I25" s="139">
        <f>I21*'BaU Model'!U11</f>
        <v>81525.170738278379</v>
      </c>
      <c r="J25" s="139">
        <f>J21*'BaU Model'!V11</f>
        <v>79775.564180901332</v>
      </c>
      <c r="K25" s="139">
        <f>K21*'BaU Model'!W11</f>
        <v>79775.564180901332</v>
      </c>
      <c r="L25" s="139">
        <f>L21*'BaU Model'!X11</f>
        <v>79994.127370438044</v>
      </c>
      <c r="M25" s="139"/>
      <c r="N25" s="139"/>
      <c r="O25" s="139"/>
      <c r="P25" s="139"/>
      <c r="Q25" s="139"/>
      <c r="R25" s="139"/>
      <c r="S25" s="139"/>
      <c r="T25" s="139"/>
      <c r="U25" s="139"/>
      <c r="V25" s="139"/>
      <c r="W25" s="139"/>
      <c r="X25" s="139"/>
      <c r="Y25" s="139"/>
      <c r="Z25" s="139"/>
      <c r="AA25" s="139"/>
    </row>
    <row r="27" spans="1:27">
      <c r="A27" s="43" t="s">
        <v>540</v>
      </c>
      <c r="B27" s="146" t="s">
        <v>541</v>
      </c>
    </row>
    <row r="28" spans="1:27">
      <c r="A28" s="146" t="s">
        <v>525</v>
      </c>
      <c r="B28">
        <v>2025</v>
      </c>
      <c r="C28">
        <v>2026</v>
      </c>
      <c r="D28">
        <v>2027</v>
      </c>
      <c r="E28">
        <v>2028</v>
      </c>
      <c r="F28">
        <v>2029</v>
      </c>
      <c r="G28">
        <v>2030</v>
      </c>
      <c r="H28">
        <v>2031</v>
      </c>
      <c r="I28">
        <v>2032</v>
      </c>
      <c r="J28">
        <v>2033</v>
      </c>
      <c r="K28">
        <v>2034</v>
      </c>
      <c r="L28">
        <v>2035</v>
      </c>
      <c r="M28">
        <v>2036</v>
      </c>
      <c r="N28">
        <v>2037</v>
      </c>
      <c r="O28">
        <v>2038</v>
      </c>
      <c r="P28">
        <v>2039</v>
      </c>
      <c r="Q28">
        <v>2040</v>
      </c>
      <c r="R28">
        <v>2041</v>
      </c>
      <c r="S28">
        <v>2042</v>
      </c>
      <c r="T28">
        <v>2043</v>
      </c>
      <c r="U28">
        <v>2044</v>
      </c>
      <c r="V28">
        <v>2045</v>
      </c>
      <c r="W28">
        <v>2046</v>
      </c>
      <c r="X28">
        <v>2047</v>
      </c>
      <c r="Y28">
        <v>2048</v>
      </c>
      <c r="Z28">
        <v>2049</v>
      </c>
      <c r="AA28">
        <v>2050</v>
      </c>
    </row>
    <row r="29" spans="1:27">
      <c r="A29" t="s">
        <v>486</v>
      </c>
      <c r="B29" s="139">
        <f>B20</f>
        <v>520.57108098630147</v>
      </c>
      <c r="C29" s="139">
        <f t="shared" ref="C29:AA29" si="34">C20</f>
        <v>1302.8995515967122</v>
      </c>
      <c r="D29" s="139">
        <f t="shared" si="34"/>
        <v>1412.7438380541428</v>
      </c>
      <c r="E29" s="139">
        <f t="shared" si="34"/>
        <v>1412.7438380541428</v>
      </c>
      <c r="F29" s="139">
        <f t="shared" si="34"/>
        <v>1659.7438380541428</v>
      </c>
      <c r="G29" s="139">
        <f t="shared" si="34"/>
        <v>1659.7438380541428</v>
      </c>
      <c r="H29" s="139">
        <f t="shared" si="34"/>
        <v>1972.9631895367158</v>
      </c>
      <c r="I29" s="139">
        <f t="shared" si="34"/>
        <v>1972.9631895367158</v>
      </c>
      <c r="J29" s="139">
        <f t="shared" si="34"/>
        <v>1972.9631895367158</v>
      </c>
      <c r="K29" s="139">
        <f t="shared" si="34"/>
        <v>1972.9631895367158</v>
      </c>
      <c r="L29" s="139">
        <f t="shared" si="34"/>
        <v>1972.9631895367158</v>
      </c>
      <c r="M29" s="139">
        <f t="shared" si="34"/>
        <v>1972.9631895367158</v>
      </c>
      <c r="N29" s="139">
        <f t="shared" si="34"/>
        <v>1972.9631895367158</v>
      </c>
      <c r="O29" s="139">
        <f t="shared" si="34"/>
        <v>1972.9631895367158</v>
      </c>
      <c r="P29" s="139">
        <f t="shared" si="34"/>
        <v>1972.9631895367158</v>
      </c>
      <c r="Q29" s="139">
        <f t="shared" si="34"/>
        <v>1972.9631895367158</v>
      </c>
      <c r="R29" s="139">
        <f t="shared" si="34"/>
        <v>1972.9631895367158</v>
      </c>
      <c r="S29" s="139">
        <f t="shared" si="34"/>
        <v>1972.9631895367158</v>
      </c>
      <c r="T29" s="139">
        <f t="shared" si="34"/>
        <v>1972.9631895367158</v>
      </c>
      <c r="U29" s="139">
        <f t="shared" si="34"/>
        <v>1972.9631895367158</v>
      </c>
      <c r="V29" s="139">
        <f t="shared" si="34"/>
        <v>1972.9631895367158</v>
      </c>
      <c r="W29" s="139">
        <f t="shared" si="34"/>
        <v>1972.9631895367158</v>
      </c>
      <c r="X29" s="139">
        <f t="shared" si="34"/>
        <v>1972.9631895367158</v>
      </c>
      <c r="Y29" s="139">
        <f t="shared" si="34"/>
        <v>1972.9631895367158</v>
      </c>
      <c r="Z29" s="139">
        <f t="shared" si="34"/>
        <v>1972.9631895367158</v>
      </c>
      <c r="AA29" s="139">
        <f t="shared" si="34"/>
        <v>1972.9631895367158</v>
      </c>
    </row>
    <row r="30" spans="1:27">
      <c r="A30" s="7" t="s">
        <v>487</v>
      </c>
      <c r="B30" s="139">
        <f>0.7*B29</f>
        <v>364.39975669041098</v>
      </c>
      <c r="C30" s="139">
        <f>0.5*C29</f>
        <v>651.44977579835609</v>
      </c>
      <c r="D30" s="139">
        <f>D29-D31</f>
        <v>0</v>
      </c>
      <c r="E30" s="139">
        <f t="shared" ref="E30:AA30" si="35">E29-E31</f>
        <v>0</v>
      </c>
      <c r="F30" s="139">
        <f t="shared" si="35"/>
        <v>0</v>
      </c>
      <c r="G30" s="139">
        <f t="shared" si="35"/>
        <v>0</v>
      </c>
      <c r="H30" s="139">
        <f t="shared" si="35"/>
        <v>218.56318953671598</v>
      </c>
      <c r="I30" s="139">
        <f t="shared" si="35"/>
        <v>223.35663215966679</v>
      </c>
      <c r="J30" s="139">
        <f t="shared" si="35"/>
        <v>218.56318953671598</v>
      </c>
      <c r="K30" s="139">
        <f t="shared" si="35"/>
        <v>218.56318953671598</v>
      </c>
      <c r="L30" s="139">
        <f t="shared" si="35"/>
        <v>218.56318953671598</v>
      </c>
      <c r="M30" s="139">
        <f t="shared" si="35"/>
        <v>223.35663215966679</v>
      </c>
      <c r="N30" s="139">
        <f t="shared" si="35"/>
        <v>218.56318953671598</v>
      </c>
      <c r="O30" s="139">
        <f t="shared" si="35"/>
        <v>218.56318953671598</v>
      </c>
      <c r="P30" s="139">
        <f t="shared" si="35"/>
        <v>218.56318953671598</v>
      </c>
      <c r="Q30" s="139">
        <f t="shared" si="35"/>
        <v>223.35663215966679</v>
      </c>
      <c r="R30" s="139">
        <f t="shared" si="35"/>
        <v>218.56318953671598</v>
      </c>
      <c r="S30" s="139">
        <f t="shared" si="35"/>
        <v>218.56318953671598</v>
      </c>
      <c r="T30" s="139">
        <f t="shared" si="35"/>
        <v>218.56318953671598</v>
      </c>
      <c r="U30" s="139">
        <f t="shared" si="35"/>
        <v>223.35663215966679</v>
      </c>
      <c r="V30" s="139">
        <f t="shared" si="35"/>
        <v>218.56318953671598</v>
      </c>
      <c r="W30" s="139">
        <f t="shared" si="35"/>
        <v>218.56318953671598</v>
      </c>
      <c r="X30" s="139">
        <f t="shared" si="35"/>
        <v>218.56318953671598</v>
      </c>
      <c r="Y30" s="139">
        <f t="shared" si="35"/>
        <v>223.35663215966679</v>
      </c>
      <c r="Z30" s="139">
        <f t="shared" si="35"/>
        <v>218.56318953671598</v>
      </c>
      <c r="AA30" s="139">
        <f t="shared" si="35"/>
        <v>218.56318953671598</v>
      </c>
    </row>
    <row r="31" spans="1:27">
      <c r="A31" s="7" t="s">
        <v>488</v>
      </c>
      <c r="B31" s="139">
        <f>0.3*B29</f>
        <v>156.17132429589043</v>
      </c>
      <c r="C31" s="139">
        <f>0.5*C29</f>
        <v>651.44977579835609</v>
      </c>
      <c r="D31" s="139">
        <f>IF(D29&lt;D33,D29,D33)</f>
        <v>1412.7438380541428</v>
      </c>
      <c r="E31" s="139">
        <f t="shared" ref="E31:AA31" si="36">IF(E29&lt;E33,E29,E33)</f>
        <v>1412.7438380541428</v>
      </c>
      <c r="F31" s="139">
        <f t="shared" si="36"/>
        <v>1659.7438380541428</v>
      </c>
      <c r="G31" s="139">
        <f t="shared" si="36"/>
        <v>1659.7438380541428</v>
      </c>
      <c r="H31" s="139">
        <f t="shared" si="36"/>
        <v>1754.3999999999999</v>
      </c>
      <c r="I31" s="139">
        <f t="shared" si="36"/>
        <v>1749.6065573770491</v>
      </c>
      <c r="J31" s="139">
        <f t="shared" si="36"/>
        <v>1754.3999999999999</v>
      </c>
      <c r="K31" s="139">
        <f t="shared" si="36"/>
        <v>1754.3999999999999</v>
      </c>
      <c r="L31" s="139">
        <f t="shared" si="36"/>
        <v>1754.3999999999999</v>
      </c>
      <c r="M31" s="139">
        <f t="shared" si="36"/>
        <v>1749.6065573770491</v>
      </c>
      <c r="N31" s="139">
        <f t="shared" si="36"/>
        <v>1754.3999999999999</v>
      </c>
      <c r="O31" s="139">
        <f t="shared" si="36"/>
        <v>1754.3999999999999</v>
      </c>
      <c r="P31" s="139">
        <f t="shared" si="36"/>
        <v>1754.3999999999999</v>
      </c>
      <c r="Q31" s="139">
        <f t="shared" si="36"/>
        <v>1749.6065573770491</v>
      </c>
      <c r="R31" s="139">
        <f t="shared" si="36"/>
        <v>1754.3999999999999</v>
      </c>
      <c r="S31" s="139">
        <f t="shared" si="36"/>
        <v>1754.3999999999999</v>
      </c>
      <c r="T31" s="139">
        <f t="shared" si="36"/>
        <v>1754.3999999999999</v>
      </c>
      <c r="U31" s="139">
        <f t="shared" si="36"/>
        <v>1749.6065573770491</v>
      </c>
      <c r="V31" s="139">
        <f t="shared" si="36"/>
        <v>1754.3999999999999</v>
      </c>
      <c r="W31" s="139">
        <f t="shared" si="36"/>
        <v>1754.3999999999999</v>
      </c>
      <c r="X31" s="139">
        <f t="shared" si="36"/>
        <v>1754.3999999999999</v>
      </c>
      <c r="Y31" s="139">
        <f t="shared" si="36"/>
        <v>1749.6065573770491</v>
      </c>
      <c r="Z31" s="139">
        <f t="shared" si="36"/>
        <v>1754.3999999999999</v>
      </c>
      <c r="AA31" s="139">
        <f t="shared" si="36"/>
        <v>1754.3999999999999</v>
      </c>
    </row>
    <row r="32" spans="1:27">
      <c r="A32" s="7" t="s">
        <v>147</v>
      </c>
      <c r="B32" s="139">
        <f>B23</f>
        <v>1032</v>
      </c>
      <c r="C32" s="139">
        <f t="shared" ref="C32:AA32" si="37">C23</f>
        <v>2064</v>
      </c>
      <c r="D32" s="139">
        <f t="shared" si="37"/>
        <v>2064</v>
      </c>
      <c r="E32" s="139">
        <f t="shared" si="37"/>
        <v>2058.3606557377047</v>
      </c>
      <c r="F32" s="139">
        <f t="shared" si="37"/>
        <v>2064</v>
      </c>
      <c r="G32" s="139">
        <f t="shared" si="37"/>
        <v>2064</v>
      </c>
      <c r="H32" s="139">
        <f t="shared" si="37"/>
        <v>2064</v>
      </c>
      <c r="I32" s="139">
        <f t="shared" si="37"/>
        <v>2058.3606557377047</v>
      </c>
      <c r="J32" s="139">
        <f t="shared" si="37"/>
        <v>2064</v>
      </c>
      <c r="K32" s="139">
        <f t="shared" si="37"/>
        <v>2064</v>
      </c>
      <c r="L32" s="139">
        <f t="shared" si="37"/>
        <v>2064</v>
      </c>
      <c r="M32" s="139">
        <f t="shared" si="37"/>
        <v>2058.3606557377047</v>
      </c>
      <c r="N32" s="139">
        <f t="shared" si="37"/>
        <v>2064</v>
      </c>
      <c r="O32" s="139">
        <f t="shared" si="37"/>
        <v>2064</v>
      </c>
      <c r="P32" s="139">
        <f t="shared" si="37"/>
        <v>2064</v>
      </c>
      <c r="Q32" s="139">
        <f t="shared" si="37"/>
        <v>2058.3606557377047</v>
      </c>
      <c r="R32" s="139">
        <f t="shared" si="37"/>
        <v>2064</v>
      </c>
      <c r="S32" s="139">
        <f t="shared" si="37"/>
        <v>2064</v>
      </c>
      <c r="T32" s="139">
        <f t="shared" si="37"/>
        <v>2064</v>
      </c>
      <c r="U32" s="139">
        <f t="shared" si="37"/>
        <v>2058.3606557377047</v>
      </c>
      <c r="V32" s="139">
        <f t="shared" si="37"/>
        <v>2064</v>
      </c>
      <c r="W32" s="139">
        <f t="shared" si="37"/>
        <v>2064</v>
      </c>
      <c r="X32" s="139">
        <f t="shared" si="37"/>
        <v>2064</v>
      </c>
      <c r="Y32" s="139">
        <f t="shared" si="37"/>
        <v>2058.3606557377047</v>
      </c>
      <c r="Z32" s="139">
        <f t="shared" si="37"/>
        <v>2064</v>
      </c>
      <c r="AA32" s="139">
        <f t="shared" si="37"/>
        <v>2064</v>
      </c>
    </row>
    <row r="33" spans="1:27">
      <c r="A33" s="7" t="s">
        <v>535</v>
      </c>
      <c r="B33" s="139">
        <f>0.85*B32</f>
        <v>877.19999999999993</v>
      </c>
      <c r="C33" s="139">
        <f t="shared" ref="C33:AA33" si="38">0.85*C32</f>
        <v>1754.3999999999999</v>
      </c>
      <c r="D33" s="139">
        <f t="shared" si="38"/>
        <v>1754.3999999999999</v>
      </c>
      <c r="E33" s="139">
        <f t="shared" si="38"/>
        <v>1749.6065573770491</v>
      </c>
      <c r="F33" s="139">
        <f t="shared" si="38"/>
        <v>1754.3999999999999</v>
      </c>
      <c r="G33" s="139">
        <f t="shared" si="38"/>
        <v>1754.3999999999999</v>
      </c>
      <c r="H33" s="139">
        <f t="shared" si="38"/>
        <v>1754.3999999999999</v>
      </c>
      <c r="I33" s="139">
        <f t="shared" si="38"/>
        <v>1749.6065573770491</v>
      </c>
      <c r="J33" s="139">
        <f t="shared" si="38"/>
        <v>1754.3999999999999</v>
      </c>
      <c r="K33" s="139">
        <f t="shared" si="38"/>
        <v>1754.3999999999999</v>
      </c>
      <c r="L33" s="139">
        <f t="shared" si="38"/>
        <v>1754.3999999999999</v>
      </c>
      <c r="M33" s="139">
        <f t="shared" si="38"/>
        <v>1749.6065573770491</v>
      </c>
      <c r="N33" s="139">
        <f t="shared" si="38"/>
        <v>1754.3999999999999</v>
      </c>
      <c r="O33" s="139">
        <f t="shared" si="38"/>
        <v>1754.3999999999999</v>
      </c>
      <c r="P33" s="139">
        <f t="shared" si="38"/>
        <v>1754.3999999999999</v>
      </c>
      <c r="Q33" s="139">
        <f t="shared" si="38"/>
        <v>1749.6065573770491</v>
      </c>
      <c r="R33" s="139">
        <f t="shared" si="38"/>
        <v>1754.3999999999999</v>
      </c>
      <c r="S33" s="139">
        <f t="shared" si="38"/>
        <v>1754.3999999999999</v>
      </c>
      <c r="T33" s="139">
        <f t="shared" si="38"/>
        <v>1754.3999999999999</v>
      </c>
      <c r="U33" s="139">
        <f t="shared" si="38"/>
        <v>1749.6065573770491</v>
      </c>
      <c r="V33" s="139">
        <f t="shared" si="38"/>
        <v>1754.3999999999999</v>
      </c>
      <c r="W33" s="139">
        <f t="shared" si="38"/>
        <v>1754.3999999999999</v>
      </c>
      <c r="X33" s="139">
        <f t="shared" si="38"/>
        <v>1754.3999999999999</v>
      </c>
      <c r="Y33" s="139">
        <f t="shared" si="38"/>
        <v>1749.6065573770491</v>
      </c>
      <c r="Z33" s="139">
        <f t="shared" si="38"/>
        <v>1754.3999999999999</v>
      </c>
      <c r="AA33" s="139">
        <f t="shared" si="38"/>
        <v>1754.3999999999999</v>
      </c>
    </row>
    <row r="35" spans="1:27">
      <c r="A35" s="43" t="s">
        <v>542</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A3B01-EB47-4C2F-846A-024BE666FAC4}">
  <dimension ref="A1"/>
  <sheetViews>
    <sheetView topLeftCell="A19" zoomScale="70" zoomScaleNormal="70" workbookViewId="0">
      <selection activeCell="N12" sqref="N12"/>
    </sheetView>
  </sheetViews>
  <sheetFormatPr defaultRowHeight="12.75"/>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F2414-C68B-4F12-BEBA-7D3C4EAA4815}">
  <sheetPr codeName="Sheet27">
    <tabColor theme="0" tint="-0.14999847407452621"/>
  </sheetPr>
  <dimension ref="A1:AO186"/>
  <sheetViews>
    <sheetView zoomScale="55" zoomScaleNormal="55" workbookViewId="0">
      <selection activeCell="P100" sqref="P100"/>
    </sheetView>
  </sheetViews>
  <sheetFormatPr defaultColWidth="9.140625" defaultRowHeight="12.75"/>
  <cols>
    <col min="1" max="3" width="2.140625" customWidth="1"/>
    <col min="4" max="4" width="39.7109375" bestFit="1" customWidth="1"/>
    <col min="5" max="5" width="13.5703125" customWidth="1"/>
    <col min="6" max="6" width="14" customWidth="1"/>
    <col min="7" max="7" width="15.28515625" customWidth="1"/>
    <col min="8" max="8" width="2.140625" customWidth="1"/>
    <col min="9" max="9" width="2.42578125" customWidth="1"/>
    <col min="10" max="10" width="16.140625" bestFit="1" customWidth="1"/>
    <col min="11" max="11" width="18.7109375" bestFit="1" customWidth="1"/>
    <col min="12" max="12" width="18.42578125" bestFit="1" customWidth="1"/>
    <col min="13" max="13" width="18.85546875" bestFit="1" customWidth="1"/>
    <col min="14" max="14" width="20" bestFit="1" customWidth="1"/>
    <col min="15" max="16" width="19.5703125" bestFit="1" customWidth="1"/>
    <col min="17" max="17" width="20" bestFit="1" customWidth="1"/>
    <col min="18" max="18" width="19.140625" bestFit="1" customWidth="1"/>
    <col min="19" max="19" width="20.28515625" bestFit="1" customWidth="1"/>
    <col min="20" max="21" width="19.5703125" bestFit="1" customWidth="1"/>
    <col min="22" max="22" width="20.28515625" bestFit="1" customWidth="1"/>
    <col min="23" max="23" width="19.28515625" style="128" bestFit="1" customWidth="1"/>
    <col min="24" max="24" width="19.5703125" bestFit="1" customWidth="1"/>
    <col min="25" max="25" width="21.28515625" bestFit="1" customWidth="1"/>
    <col min="26" max="26" width="19.85546875" bestFit="1" customWidth="1"/>
    <col min="27" max="27" width="21" bestFit="1" customWidth="1"/>
    <col min="28" max="28" width="21" style="128" bestFit="1" customWidth="1"/>
    <col min="29" max="32" width="20" bestFit="1" customWidth="1"/>
    <col min="33" max="33" width="21" bestFit="1" customWidth="1"/>
    <col min="34" max="34" width="20.5703125" bestFit="1" customWidth="1"/>
    <col min="35" max="35" width="20" bestFit="1" customWidth="1"/>
    <col min="36" max="36" width="21.28515625" bestFit="1" customWidth="1"/>
    <col min="37" max="37" width="21.42578125" bestFit="1" customWidth="1"/>
    <col min="38" max="38" width="21.7109375" bestFit="1" customWidth="1"/>
    <col min="39" max="39" width="16" bestFit="1" customWidth="1"/>
    <col min="40" max="40" width="15.28515625" customWidth="1"/>
    <col min="41" max="41" width="13.140625" customWidth="1"/>
    <col min="56" max="56" width="1.28515625" customWidth="1"/>
    <col min="57" max="57" width="0.7109375" customWidth="1"/>
    <col min="58" max="58" width="1.28515625" customWidth="1"/>
    <col min="60" max="69" width="14" customWidth="1"/>
    <col min="70" max="70" width="16.28515625" customWidth="1"/>
  </cols>
  <sheetData>
    <row r="1" spans="1:38" ht="23.25">
      <c r="A1" s="30" t="s">
        <v>162</v>
      </c>
      <c r="B1" s="30"/>
      <c r="C1" s="30"/>
      <c r="D1" s="30"/>
      <c r="E1" s="30"/>
      <c r="F1" s="30"/>
      <c r="G1" s="30"/>
      <c r="H1" s="30"/>
      <c r="I1" s="30"/>
      <c r="J1" s="30"/>
      <c r="K1" s="30"/>
      <c r="L1" s="30"/>
      <c r="M1" s="30"/>
      <c r="N1" s="30"/>
      <c r="O1" s="30"/>
      <c r="P1" s="30"/>
      <c r="Q1" s="30"/>
      <c r="R1" s="30"/>
      <c r="S1" s="30"/>
      <c r="T1" s="30"/>
      <c r="U1" s="30"/>
      <c r="V1" s="30"/>
      <c r="W1" s="124"/>
      <c r="X1" s="30"/>
      <c r="Y1" s="30"/>
      <c r="Z1" s="30"/>
      <c r="AA1" s="30"/>
    </row>
    <row r="2" spans="1:38" ht="15.75">
      <c r="A2" s="17" t="str">
        <f>Name_Model</f>
        <v>Aspen PE</v>
      </c>
      <c r="B2" s="17"/>
      <c r="C2" s="17"/>
      <c r="D2" s="17"/>
      <c r="E2" s="17"/>
      <c r="F2" s="17"/>
      <c r="G2" s="17"/>
      <c r="H2" s="17"/>
      <c r="I2" s="17"/>
      <c r="J2" s="17"/>
      <c r="K2" s="17"/>
      <c r="L2" s="17"/>
      <c r="M2" s="17"/>
      <c r="N2" s="17"/>
      <c r="O2" s="17"/>
      <c r="P2" s="17"/>
      <c r="Q2" s="17"/>
      <c r="R2" s="17"/>
      <c r="S2" s="17"/>
      <c r="T2" s="17"/>
      <c r="U2" s="17"/>
      <c r="V2" s="17"/>
      <c r="W2" s="125"/>
      <c r="X2" s="17"/>
      <c r="Y2" s="17"/>
      <c r="Z2" s="17"/>
      <c r="AA2" s="17"/>
    </row>
    <row r="3" spans="1:38" ht="15.75">
      <c r="A3" s="64"/>
      <c r="B3" s="64"/>
      <c r="C3" s="64"/>
      <c r="D3" s="64"/>
      <c r="E3" s="64"/>
      <c r="F3" s="64"/>
      <c r="G3" s="64"/>
      <c r="H3" s="64"/>
      <c r="I3" s="64"/>
      <c r="J3" s="64"/>
      <c r="K3" s="64"/>
      <c r="L3" s="64"/>
      <c r="M3" s="64"/>
      <c r="N3" s="64"/>
      <c r="O3" s="64"/>
      <c r="P3" s="64"/>
      <c r="Q3" s="64"/>
      <c r="R3" s="64"/>
      <c r="S3" s="64"/>
      <c r="T3" s="64"/>
      <c r="U3" s="64"/>
      <c r="V3" s="64"/>
      <c r="W3" s="125"/>
      <c r="X3" s="64"/>
      <c r="Y3" s="64"/>
      <c r="Z3" s="64"/>
      <c r="AA3" s="64"/>
    </row>
    <row r="4" spans="1:38">
      <c r="D4" t="s">
        <v>70</v>
      </c>
      <c r="E4" s="16" t="s">
        <v>17</v>
      </c>
      <c r="K4" s="37">
        <f>J5+1</f>
        <v>44743</v>
      </c>
      <c r="L4" s="37">
        <f t="shared" ref="L4:AL4" si="0">K5+1</f>
        <v>45108</v>
      </c>
      <c r="M4" s="37">
        <f t="shared" si="0"/>
        <v>45474</v>
      </c>
      <c r="N4" s="37">
        <f t="shared" si="0"/>
        <v>45839</v>
      </c>
      <c r="O4" s="37">
        <f t="shared" si="0"/>
        <v>46204</v>
      </c>
      <c r="P4" s="37">
        <f t="shared" si="0"/>
        <v>46569</v>
      </c>
      <c r="Q4" s="37">
        <f t="shared" si="0"/>
        <v>46935</v>
      </c>
      <c r="R4" s="37">
        <f t="shared" si="0"/>
        <v>47300</v>
      </c>
      <c r="S4" s="37">
        <f t="shared" si="0"/>
        <v>47665</v>
      </c>
      <c r="T4" s="37">
        <f t="shared" si="0"/>
        <v>48030</v>
      </c>
      <c r="U4" s="37">
        <f t="shared" si="0"/>
        <v>48396</v>
      </c>
      <c r="V4" s="37">
        <f t="shared" si="0"/>
        <v>48761</v>
      </c>
      <c r="W4" s="126">
        <f t="shared" si="0"/>
        <v>49126</v>
      </c>
      <c r="X4" s="37">
        <f t="shared" si="0"/>
        <v>49491</v>
      </c>
      <c r="Y4" s="37">
        <f t="shared" si="0"/>
        <v>49857</v>
      </c>
      <c r="Z4" s="37">
        <f t="shared" si="0"/>
        <v>50222</v>
      </c>
      <c r="AA4" s="37">
        <f t="shared" si="0"/>
        <v>50587</v>
      </c>
      <c r="AB4" s="126">
        <f t="shared" si="0"/>
        <v>50952</v>
      </c>
      <c r="AC4" s="37">
        <f t="shared" si="0"/>
        <v>51318</v>
      </c>
      <c r="AD4" s="37">
        <f t="shared" si="0"/>
        <v>51683</v>
      </c>
      <c r="AE4" s="37">
        <f t="shared" si="0"/>
        <v>52048</v>
      </c>
      <c r="AF4" s="37">
        <f t="shared" si="0"/>
        <v>52413</v>
      </c>
      <c r="AG4" s="37">
        <f t="shared" si="0"/>
        <v>52779</v>
      </c>
      <c r="AH4" s="37">
        <f t="shared" si="0"/>
        <v>53144</v>
      </c>
      <c r="AI4" s="37">
        <f t="shared" si="0"/>
        <v>53509</v>
      </c>
      <c r="AJ4" s="37">
        <f t="shared" si="0"/>
        <v>53874</v>
      </c>
      <c r="AK4" s="37">
        <f t="shared" si="0"/>
        <v>54240</v>
      </c>
      <c r="AL4" s="37">
        <f t="shared" si="0"/>
        <v>54605</v>
      </c>
    </row>
    <row r="5" spans="1:38">
      <c r="D5" t="s">
        <v>71</v>
      </c>
      <c r="E5" s="16" t="s">
        <v>17</v>
      </c>
      <c r="F5" s="36" t="s">
        <v>16</v>
      </c>
      <c r="G5" s="36" t="s">
        <v>18</v>
      </c>
      <c r="J5" s="38">
        <f>Model_Start</f>
        <v>44742</v>
      </c>
      <c r="K5" s="37">
        <f>EOMONTH(K4,11)</f>
        <v>45107</v>
      </c>
      <c r="L5" s="37">
        <f t="shared" ref="L5:AL5" si="1">EOMONTH(L4,11)</f>
        <v>45473</v>
      </c>
      <c r="M5" s="37">
        <f t="shared" si="1"/>
        <v>45838</v>
      </c>
      <c r="N5" s="37">
        <f t="shared" si="1"/>
        <v>46203</v>
      </c>
      <c r="O5" s="37">
        <f t="shared" si="1"/>
        <v>46568</v>
      </c>
      <c r="P5" s="37">
        <f t="shared" si="1"/>
        <v>46934</v>
      </c>
      <c r="Q5" s="37">
        <f t="shared" si="1"/>
        <v>47299</v>
      </c>
      <c r="R5" s="37">
        <f t="shared" si="1"/>
        <v>47664</v>
      </c>
      <c r="S5" s="37">
        <f t="shared" si="1"/>
        <v>48029</v>
      </c>
      <c r="T5" s="37">
        <f t="shared" si="1"/>
        <v>48395</v>
      </c>
      <c r="U5" s="37">
        <f t="shared" si="1"/>
        <v>48760</v>
      </c>
      <c r="V5" s="37">
        <f t="shared" si="1"/>
        <v>49125</v>
      </c>
      <c r="W5" s="126">
        <f t="shared" si="1"/>
        <v>49490</v>
      </c>
      <c r="X5" s="37">
        <f t="shared" si="1"/>
        <v>49856</v>
      </c>
      <c r="Y5" s="37">
        <f t="shared" si="1"/>
        <v>50221</v>
      </c>
      <c r="Z5" s="37">
        <f t="shared" si="1"/>
        <v>50586</v>
      </c>
      <c r="AA5" s="37">
        <f t="shared" si="1"/>
        <v>50951</v>
      </c>
      <c r="AB5" s="126">
        <f t="shared" si="1"/>
        <v>51317</v>
      </c>
      <c r="AC5" s="37">
        <f t="shared" si="1"/>
        <v>51682</v>
      </c>
      <c r="AD5" s="37">
        <f t="shared" si="1"/>
        <v>52047</v>
      </c>
      <c r="AE5" s="37">
        <f t="shared" si="1"/>
        <v>52412</v>
      </c>
      <c r="AF5" s="37">
        <f t="shared" si="1"/>
        <v>52778</v>
      </c>
      <c r="AG5" s="37">
        <f t="shared" si="1"/>
        <v>53143</v>
      </c>
      <c r="AH5" s="37">
        <f t="shared" si="1"/>
        <v>53508</v>
      </c>
      <c r="AI5" s="37">
        <f t="shared" si="1"/>
        <v>53873</v>
      </c>
      <c r="AJ5" s="37">
        <f t="shared" si="1"/>
        <v>54239</v>
      </c>
      <c r="AK5" s="37">
        <f t="shared" si="1"/>
        <v>54604</v>
      </c>
      <c r="AL5" s="37">
        <f t="shared" si="1"/>
        <v>54969</v>
      </c>
    </row>
    <row r="6" spans="1:38">
      <c r="D6" s="7" t="s">
        <v>95</v>
      </c>
      <c r="E6" s="16" t="s">
        <v>72</v>
      </c>
      <c r="F6" s="38">
        <f>Inputs!E9</f>
        <v>44743</v>
      </c>
      <c r="G6" s="38">
        <f>Inputs!E11</f>
        <v>45473</v>
      </c>
      <c r="K6" s="8">
        <f t="shared" ref="K6:Z7" si="2">IF(AND(K$4&gt;=$F6,K$5&lt;=$G6),1,0)</f>
        <v>1</v>
      </c>
      <c r="L6" s="8">
        <f t="shared" si="2"/>
        <v>1</v>
      </c>
      <c r="M6" s="8">
        <f t="shared" si="2"/>
        <v>0</v>
      </c>
      <c r="N6" s="8">
        <f t="shared" si="2"/>
        <v>0</v>
      </c>
      <c r="O6" s="8">
        <f t="shared" si="2"/>
        <v>0</v>
      </c>
      <c r="P6" s="8">
        <f t="shared" si="2"/>
        <v>0</v>
      </c>
      <c r="Q6" s="8">
        <f t="shared" si="2"/>
        <v>0</v>
      </c>
      <c r="R6" s="8">
        <f t="shared" si="2"/>
        <v>0</v>
      </c>
      <c r="S6" s="8">
        <f t="shared" si="2"/>
        <v>0</v>
      </c>
      <c r="T6" s="8">
        <f t="shared" si="2"/>
        <v>0</v>
      </c>
      <c r="U6" s="8">
        <f t="shared" si="2"/>
        <v>0</v>
      </c>
      <c r="V6" s="8">
        <f t="shared" si="2"/>
        <v>0</v>
      </c>
      <c r="W6" s="127">
        <f t="shared" si="2"/>
        <v>0</v>
      </c>
      <c r="X6" s="8">
        <f t="shared" si="2"/>
        <v>0</v>
      </c>
      <c r="Y6" s="8">
        <f t="shared" si="2"/>
        <v>0</v>
      </c>
      <c r="Z6" s="8">
        <f t="shared" si="2"/>
        <v>0</v>
      </c>
      <c r="AA6" s="8">
        <f t="shared" ref="AA6:AL7" si="3">IF(AND(AA$4&gt;=$F6,AA$5&lt;=$G6),1,0)</f>
        <v>0</v>
      </c>
      <c r="AB6" s="127">
        <f t="shared" si="3"/>
        <v>0</v>
      </c>
      <c r="AC6" s="8">
        <f t="shared" si="3"/>
        <v>0</v>
      </c>
      <c r="AD6" s="8">
        <f t="shared" si="3"/>
        <v>0</v>
      </c>
      <c r="AE6" s="8">
        <f t="shared" si="3"/>
        <v>0</v>
      </c>
      <c r="AF6" s="8">
        <f t="shared" si="3"/>
        <v>0</v>
      </c>
      <c r="AG6" s="8">
        <f t="shared" si="3"/>
        <v>0</v>
      </c>
      <c r="AH6" s="8">
        <f t="shared" si="3"/>
        <v>0</v>
      </c>
      <c r="AI6" s="8">
        <f t="shared" si="3"/>
        <v>0</v>
      </c>
      <c r="AJ6" s="8">
        <f t="shared" si="3"/>
        <v>0</v>
      </c>
      <c r="AK6" s="8">
        <f t="shared" si="3"/>
        <v>0</v>
      </c>
      <c r="AL6" s="8">
        <f t="shared" si="3"/>
        <v>0</v>
      </c>
    </row>
    <row r="7" spans="1:38">
      <c r="D7" s="7" t="s">
        <v>103</v>
      </c>
      <c r="E7" s="16" t="s">
        <v>72</v>
      </c>
      <c r="F7" s="38">
        <f>Inputs!E14</f>
        <v>45474</v>
      </c>
      <c r="G7" s="38">
        <f>Inputs!E16</f>
        <v>54604</v>
      </c>
      <c r="K7" s="8">
        <f t="shared" si="2"/>
        <v>0</v>
      </c>
      <c r="L7" s="8">
        <f t="shared" si="2"/>
        <v>0</v>
      </c>
      <c r="M7" s="8">
        <f t="shared" si="2"/>
        <v>1</v>
      </c>
      <c r="N7" s="8">
        <f t="shared" si="2"/>
        <v>1</v>
      </c>
      <c r="O7" s="8">
        <f t="shared" si="2"/>
        <v>1</v>
      </c>
      <c r="P7" s="8">
        <f t="shared" si="2"/>
        <v>1</v>
      </c>
      <c r="Q7" s="8">
        <f t="shared" si="2"/>
        <v>1</v>
      </c>
      <c r="R7" s="8">
        <f t="shared" si="2"/>
        <v>1</v>
      </c>
      <c r="S7" s="8">
        <f t="shared" si="2"/>
        <v>1</v>
      </c>
      <c r="T7" s="8">
        <f t="shared" si="2"/>
        <v>1</v>
      </c>
      <c r="U7" s="8">
        <f t="shared" si="2"/>
        <v>1</v>
      </c>
      <c r="V7" s="8">
        <f t="shared" si="2"/>
        <v>1</v>
      </c>
      <c r="W7" s="127">
        <f t="shared" si="2"/>
        <v>1</v>
      </c>
      <c r="X7" s="8">
        <f t="shared" si="2"/>
        <v>1</v>
      </c>
      <c r="Y7" s="8">
        <f t="shared" si="2"/>
        <v>1</v>
      </c>
      <c r="Z7" s="8">
        <f t="shared" si="2"/>
        <v>1</v>
      </c>
      <c r="AA7" s="8">
        <f t="shared" si="3"/>
        <v>1</v>
      </c>
      <c r="AB7" s="127">
        <f t="shared" si="3"/>
        <v>1</v>
      </c>
      <c r="AC7" s="8">
        <f t="shared" si="3"/>
        <v>1</v>
      </c>
      <c r="AD7" s="8">
        <f t="shared" si="3"/>
        <v>1</v>
      </c>
      <c r="AE7" s="8">
        <f t="shared" si="3"/>
        <v>1</v>
      </c>
      <c r="AF7" s="8">
        <f t="shared" si="3"/>
        <v>1</v>
      </c>
      <c r="AG7" s="8">
        <f t="shared" si="3"/>
        <v>1</v>
      </c>
      <c r="AH7" s="8">
        <f t="shared" si="3"/>
        <v>1</v>
      </c>
      <c r="AI7" s="8">
        <f t="shared" si="3"/>
        <v>1</v>
      </c>
      <c r="AJ7" s="8">
        <f t="shared" si="3"/>
        <v>1</v>
      </c>
      <c r="AK7" s="8">
        <f t="shared" si="3"/>
        <v>1</v>
      </c>
      <c r="AL7" s="8">
        <f t="shared" si="3"/>
        <v>0</v>
      </c>
    </row>
    <row r="9" spans="1:38" ht="18">
      <c r="D9" s="15" t="s">
        <v>74</v>
      </c>
    </row>
    <row r="10" spans="1:38">
      <c r="D10" s="7" t="s">
        <v>77</v>
      </c>
      <c r="E10" s="16" t="s">
        <v>21</v>
      </c>
      <c r="K10">
        <f t="shared" ref="K10:AL10" si="4">YEAR(K5)</f>
        <v>2023</v>
      </c>
      <c r="L10">
        <f t="shared" si="4"/>
        <v>2024</v>
      </c>
      <c r="M10">
        <f t="shared" si="4"/>
        <v>2025</v>
      </c>
      <c r="N10">
        <f t="shared" si="4"/>
        <v>2026</v>
      </c>
      <c r="O10">
        <f t="shared" si="4"/>
        <v>2027</v>
      </c>
      <c r="P10">
        <f t="shared" si="4"/>
        <v>2028</v>
      </c>
      <c r="Q10">
        <f t="shared" si="4"/>
        <v>2029</v>
      </c>
      <c r="R10">
        <f t="shared" si="4"/>
        <v>2030</v>
      </c>
      <c r="S10">
        <f t="shared" si="4"/>
        <v>2031</v>
      </c>
      <c r="T10">
        <f t="shared" si="4"/>
        <v>2032</v>
      </c>
      <c r="U10">
        <f t="shared" si="4"/>
        <v>2033</v>
      </c>
      <c r="V10">
        <f t="shared" si="4"/>
        <v>2034</v>
      </c>
      <c r="W10" s="128">
        <f t="shared" si="4"/>
        <v>2035</v>
      </c>
      <c r="X10">
        <f t="shared" si="4"/>
        <v>2036</v>
      </c>
      <c r="Y10">
        <f t="shared" si="4"/>
        <v>2037</v>
      </c>
      <c r="Z10">
        <f t="shared" si="4"/>
        <v>2038</v>
      </c>
      <c r="AA10">
        <f t="shared" si="4"/>
        <v>2039</v>
      </c>
      <c r="AB10" s="128">
        <f t="shared" si="4"/>
        <v>2040</v>
      </c>
      <c r="AC10">
        <f t="shared" si="4"/>
        <v>2041</v>
      </c>
      <c r="AD10">
        <f t="shared" si="4"/>
        <v>2042</v>
      </c>
      <c r="AE10">
        <f t="shared" si="4"/>
        <v>2043</v>
      </c>
      <c r="AF10">
        <f t="shared" si="4"/>
        <v>2044</v>
      </c>
      <c r="AG10">
        <f t="shared" si="4"/>
        <v>2045</v>
      </c>
      <c r="AH10">
        <f t="shared" si="4"/>
        <v>2046</v>
      </c>
      <c r="AI10">
        <f t="shared" si="4"/>
        <v>2047</v>
      </c>
      <c r="AJ10">
        <f t="shared" si="4"/>
        <v>2048</v>
      </c>
      <c r="AK10">
        <f t="shared" si="4"/>
        <v>2049</v>
      </c>
      <c r="AL10">
        <f t="shared" si="4"/>
        <v>2050</v>
      </c>
    </row>
    <row r="11" spans="1:38">
      <c r="D11" s="7" t="s">
        <v>78</v>
      </c>
      <c r="E11" s="16" t="s">
        <v>76</v>
      </c>
      <c r="K11">
        <f>K5-K4+1</f>
        <v>365</v>
      </c>
      <c r="L11">
        <f t="shared" ref="L11:AL11" si="5">L5-L4+1</f>
        <v>366</v>
      </c>
      <c r="M11">
        <f t="shared" si="5"/>
        <v>365</v>
      </c>
      <c r="N11">
        <f t="shared" si="5"/>
        <v>365</v>
      </c>
      <c r="O11">
        <f t="shared" si="5"/>
        <v>365</v>
      </c>
      <c r="P11">
        <f t="shared" si="5"/>
        <v>366</v>
      </c>
      <c r="Q11">
        <f t="shared" si="5"/>
        <v>365</v>
      </c>
      <c r="R11">
        <f t="shared" si="5"/>
        <v>365</v>
      </c>
      <c r="S11">
        <f t="shared" si="5"/>
        <v>365</v>
      </c>
      <c r="T11">
        <f t="shared" si="5"/>
        <v>366</v>
      </c>
      <c r="U11">
        <f t="shared" si="5"/>
        <v>365</v>
      </c>
      <c r="V11">
        <f t="shared" si="5"/>
        <v>365</v>
      </c>
      <c r="W11" s="128">
        <f t="shared" si="5"/>
        <v>365</v>
      </c>
      <c r="X11">
        <f t="shared" si="5"/>
        <v>366</v>
      </c>
      <c r="Y11">
        <f t="shared" si="5"/>
        <v>365</v>
      </c>
      <c r="Z11">
        <f t="shared" si="5"/>
        <v>365</v>
      </c>
      <c r="AA11">
        <f t="shared" si="5"/>
        <v>365</v>
      </c>
      <c r="AB11" s="128">
        <f t="shared" si="5"/>
        <v>366</v>
      </c>
      <c r="AC11">
        <f t="shared" si="5"/>
        <v>365</v>
      </c>
      <c r="AD11">
        <f t="shared" si="5"/>
        <v>365</v>
      </c>
      <c r="AE11">
        <f t="shared" si="5"/>
        <v>365</v>
      </c>
      <c r="AF11">
        <f t="shared" si="5"/>
        <v>366</v>
      </c>
      <c r="AG11">
        <f t="shared" si="5"/>
        <v>365</v>
      </c>
      <c r="AH11">
        <f t="shared" si="5"/>
        <v>365</v>
      </c>
      <c r="AI11">
        <f t="shared" si="5"/>
        <v>365</v>
      </c>
      <c r="AJ11">
        <f t="shared" si="5"/>
        <v>366</v>
      </c>
      <c r="AK11">
        <f t="shared" si="5"/>
        <v>365</v>
      </c>
      <c r="AL11">
        <f t="shared" si="5"/>
        <v>365</v>
      </c>
    </row>
    <row r="12" spans="1:38" ht="15.75">
      <c r="A12" s="64"/>
      <c r="B12" s="64"/>
      <c r="C12" s="64"/>
      <c r="D12" s="64"/>
      <c r="E12" s="64"/>
      <c r="F12" s="64"/>
      <c r="G12" s="64"/>
      <c r="H12" s="64"/>
      <c r="I12" s="64"/>
      <c r="J12" s="64"/>
      <c r="K12" s="64"/>
      <c r="L12" s="64"/>
      <c r="M12" s="64"/>
      <c r="N12" s="64"/>
      <c r="O12" s="64"/>
      <c r="P12" s="64"/>
      <c r="Q12" s="64"/>
      <c r="R12" s="64"/>
      <c r="S12" s="64"/>
      <c r="T12" s="64"/>
      <c r="U12" s="64"/>
      <c r="V12" s="64"/>
      <c r="W12" s="125"/>
      <c r="X12" s="64"/>
      <c r="Y12" s="64"/>
      <c r="Z12" s="64"/>
      <c r="AA12" s="64"/>
    </row>
    <row r="13" spans="1:38" ht="24" thickBot="1">
      <c r="D13" s="57" t="s">
        <v>188</v>
      </c>
    </row>
    <row r="14" spans="1:38" ht="18">
      <c r="D14" s="15" t="s">
        <v>331</v>
      </c>
    </row>
    <row r="15" spans="1:38" ht="15">
      <c r="D15" s="4" t="s">
        <v>558</v>
      </c>
      <c r="E15" s="16" t="s">
        <v>306</v>
      </c>
      <c r="K15">
        <f>Inputs!E86</f>
        <v>376680</v>
      </c>
      <c r="L15">
        <f>Inputs!F86</f>
        <v>376680</v>
      </c>
      <c r="M15">
        <f>Inputs!G86</f>
        <v>376680</v>
      </c>
      <c r="N15">
        <f>M15</f>
        <v>376680</v>
      </c>
      <c r="O15">
        <f t="shared" ref="O15:AL15" si="6">N15</f>
        <v>376680</v>
      </c>
      <c r="P15">
        <f t="shared" si="6"/>
        <v>376680</v>
      </c>
      <c r="Q15">
        <f t="shared" si="6"/>
        <v>376680</v>
      </c>
      <c r="R15">
        <f t="shared" si="6"/>
        <v>376680</v>
      </c>
      <c r="S15">
        <f t="shared" si="6"/>
        <v>376680</v>
      </c>
      <c r="T15">
        <f t="shared" si="6"/>
        <v>376680</v>
      </c>
      <c r="U15">
        <f t="shared" si="6"/>
        <v>376680</v>
      </c>
      <c r="V15">
        <f t="shared" si="6"/>
        <v>376680</v>
      </c>
      <c r="W15">
        <f t="shared" si="6"/>
        <v>376680</v>
      </c>
      <c r="X15">
        <f t="shared" si="6"/>
        <v>376680</v>
      </c>
      <c r="Y15">
        <f t="shared" si="6"/>
        <v>376680</v>
      </c>
      <c r="Z15">
        <f t="shared" si="6"/>
        <v>376680</v>
      </c>
      <c r="AA15">
        <f t="shared" si="6"/>
        <v>376680</v>
      </c>
      <c r="AB15">
        <f t="shared" si="6"/>
        <v>376680</v>
      </c>
      <c r="AC15">
        <f t="shared" si="6"/>
        <v>376680</v>
      </c>
      <c r="AD15">
        <f t="shared" si="6"/>
        <v>376680</v>
      </c>
      <c r="AE15">
        <f t="shared" si="6"/>
        <v>376680</v>
      </c>
      <c r="AF15">
        <f t="shared" si="6"/>
        <v>376680</v>
      </c>
      <c r="AG15">
        <f t="shared" si="6"/>
        <v>376680</v>
      </c>
      <c r="AH15">
        <f t="shared" si="6"/>
        <v>376680</v>
      </c>
      <c r="AI15">
        <f t="shared" si="6"/>
        <v>376680</v>
      </c>
      <c r="AJ15">
        <f t="shared" si="6"/>
        <v>376680</v>
      </c>
      <c r="AK15">
        <f t="shared" si="6"/>
        <v>376680</v>
      </c>
      <c r="AL15">
        <f t="shared" si="6"/>
        <v>376680</v>
      </c>
    </row>
    <row r="16" spans="1:38" ht="15">
      <c r="D16" s="131" t="s">
        <v>559</v>
      </c>
      <c r="E16" s="16" t="s">
        <v>306</v>
      </c>
      <c r="K16" s="117">
        <f>0.85*K15</f>
        <v>320178</v>
      </c>
      <c r="L16" s="117">
        <f t="shared" ref="L16:AL16" si="7">0.85*L15</f>
        <v>320178</v>
      </c>
      <c r="M16" s="117">
        <f t="shared" si="7"/>
        <v>320178</v>
      </c>
      <c r="N16" s="117">
        <f t="shared" si="7"/>
        <v>320178</v>
      </c>
      <c r="O16" s="117">
        <f t="shared" si="7"/>
        <v>320178</v>
      </c>
      <c r="P16" s="117">
        <f t="shared" si="7"/>
        <v>320178</v>
      </c>
      <c r="Q16" s="117">
        <f t="shared" si="7"/>
        <v>320178</v>
      </c>
      <c r="R16" s="117">
        <f t="shared" si="7"/>
        <v>320178</v>
      </c>
      <c r="S16" s="117">
        <f t="shared" si="7"/>
        <v>320178</v>
      </c>
      <c r="T16" s="117">
        <f t="shared" si="7"/>
        <v>320178</v>
      </c>
      <c r="U16" s="117">
        <f t="shared" si="7"/>
        <v>320178</v>
      </c>
      <c r="V16" s="117">
        <f t="shared" si="7"/>
        <v>320178</v>
      </c>
      <c r="W16" s="117">
        <f t="shared" si="7"/>
        <v>320178</v>
      </c>
      <c r="X16" s="117">
        <f t="shared" si="7"/>
        <v>320178</v>
      </c>
      <c r="Y16" s="117">
        <f t="shared" si="7"/>
        <v>320178</v>
      </c>
      <c r="Z16" s="117">
        <f t="shared" si="7"/>
        <v>320178</v>
      </c>
      <c r="AA16" s="117">
        <f t="shared" si="7"/>
        <v>320178</v>
      </c>
      <c r="AB16" s="117">
        <f t="shared" si="7"/>
        <v>320178</v>
      </c>
      <c r="AC16" s="117">
        <f t="shared" si="7"/>
        <v>320178</v>
      </c>
      <c r="AD16" s="117">
        <f t="shared" si="7"/>
        <v>320178</v>
      </c>
      <c r="AE16" s="117">
        <f t="shared" si="7"/>
        <v>320178</v>
      </c>
      <c r="AF16" s="117">
        <f t="shared" si="7"/>
        <v>320178</v>
      </c>
      <c r="AG16" s="117">
        <f t="shared" si="7"/>
        <v>320178</v>
      </c>
      <c r="AH16" s="117">
        <f t="shared" si="7"/>
        <v>320178</v>
      </c>
      <c r="AI16" s="117">
        <f t="shared" si="7"/>
        <v>320178</v>
      </c>
      <c r="AJ16" s="117">
        <f t="shared" si="7"/>
        <v>320178</v>
      </c>
      <c r="AK16" s="117">
        <f t="shared" si="7"/>
        <v>320178</v>
      </c>
      <c r="AL16" s="117">
        <f t="shared" si="7"/>
        <v>320178</v>
      </c>
    </row>
    <row r="17" spans="4:39" ht="15">
      <c r="D17" s="4" t="s">
        <v>402</v>
      </c>
      <c r="E17" s="16" t="s">
        <v>306</v>
      </c>
      <c r="K17" s="65">
        <f>K15-K23</f>
        <v>183680</v>
      </c>
      <c r="L17" s="65">
        <f t="shared" ref="L17:AL17" si="8">L15-L23</f>
        <v>194438.02599999998</v>
      </c>
      <c r="M17" s="65">
        <f t="shared" si="8"/>
        <v>186671.55543999997</v>
      </c>
      <c r="N17" s="65">
        <f t="shared" si="8"/>
        <v>-130238.33633279998</v>
      </c>
      <c r="O17" s="65">
        <f t="shared" si="8"/>
        <v>-130238.33633279998</v>
      </c>
      <c r="P17" s="65">
        <f t="shared" si="8"/>
        <v>-130238.33633279998</v>
      </c>
      <c r="Q17" s="65">
        <f t="shared" si="8"/>
        <v>-220393.33633279998</v>
      </c>
      <c r="R17" s="65">
        <f t="shared" si="8"/>
        <v>-220393.33633279998</v>
      </c>
      <c r="S17" s="65">
        <f t="shared" si="8"/>
        <v>-220393.33633279998</v>
      </c>
      <c r="T17" s="65">
        <f t="shared" si="8"/>
        <v>-220393.33633279998</v>
      </c>
      <c r="U17" s="65">
        <f t="shared" si="8"/>
        <v>-220393.33633279998</v>
      </c>
      <c r="V17" s="65">
        <f t="shared" si="8"/>
        <v>-220393.33633279998</v>
      </c>
      <c r="W17" s="65">
        <f t="shared" si="8"/>
        <v>-220393.33633279998</v>
      </c>
      <c r="X17" s="65">
        <f t="shared" si="8"/>
        <v>-220393.33633279998</v>
      </c>
      <c r="Y17" s="65">
        <f t="shared" si="8"/>
        <v>-220393.33633279998</v>
      </c>
      <c r="Z17" s="65">
        <f t="shared" si="8"/>
        <v>-220393.33633279998</v>
      </c>
      <c r="AA17" s="65">
        <f t="shared" si="8"/>
        <v>-410791.88074306946</v>
      </c>
      <c r="AB17" s="65">
        <f t="shared" si="8"/>
        <v>-410791.88074306946</v>
      </c>
      <c r="AC17" s="65">
        <f>AC15-AC23</f>
        <v>-410791.88074306946</v>
      </c>
      <c r="AD17" s="65">
        <f t="shared" si="8"/>
        <v>-410791.88074306946</v>
      </c>
      <c r="AE17" s="65">
        <f t="shared" si="8"/>
        <v>-410791.88074306946</v>
      </c>
      <c r="AF17" s="65">
        <f t="shared" si="8"/>
        <v>-410791.88074306946</v>
      </c>
      <c r="AG17" s="65">
        <f t="shared" si="8"/>
        <v>-410791.88074306946</v>
      </c>
      <c r="AH17" s="65">
        <f t="shared" si="8"/>
        <v>-410791.88074306946</v>
      </c>
      <c r="AI17" s="65">
        <f t="shared" si="8"/>
        <v>-410791.88074306946</v>
      </c>
      <c r="AJ17" s="65">
        <f t="shared" si="8"/>
        <v>-410791.88074306946</v>
      </c>
      <c r="AK17" s="65">
        <f t="shared" si="8"/>
        <v>-410791.88074306946</v>
      </c>
      <c r="AL17" s="65">
        <f t="shared" si="8"/>
        <v>-410791.88074306946</v>
      </c>
    </row>
    <row r="18" spans="4:39" ht="15">
      <c r="D18" s="4" t="s">
        <v>180</v>
      </c>
      <c r="E18" s="16" t="s">
        <v>306</v>
      </c>
      <c r="K18" s="65">
        <f>Inputs!E108</f>
        <v>800</v>
      </c>
      <c r="L18" s="65">
        <f>Inputs!F108</f>
        <v>800</v>
      </c>
      <c r="M18" s="65">
        <f>Inputs!G108</f>
        <v>800</v>
      </c>
      <c r="N18" s="65">
        <f>Inputs!H108</f>
        <v>1800</v>
      </c>
      <c r="O18" s="65">
        <f>Inputs!I108</f>
        <v>1800</v>
      </c>
      <c r="P18" s="65">
        <f>Inputs!J108</f>
        <v>1800</v>
      </c>
      <c r="Q18" s="65">
        <f>P18</f>
        <v>1800</v>
      </c>
      <c r="R18" s="65">
        <f t="shared" ref="R18:AL18" si="9">Q18</f>
        <v>1800</v>
      </c>
      <c r="S18" s="65">
        <f t="shared" si="9"/>
        <v>1800</v>
      </c>
      <c r="T18" s="65">
        <f t="shared" si="9"/>
        <v>1800</v>
      </c>
      <c r="U18" s="65">
        <f t="shared" si="9"/>
        <v>1800</v>
      </c>
      <c r="V18" s="65">
        <f t="shared" si="9"/>
        <v>1800</v>
      </c>
      <c r="W18" s="65">
        <f t="shared" si="9"/>
        <v>1800</v>
      </c>
      <c r="X18" s="65">
        <f t="shared" si="9"/>
        <v>1800</v>
      </c>
      <c r="Y18" s="65">
        <f t="shared" si="9"/>
        <v>1800</v>
      </c>
      <c r="Z18" s="65">
        <f t="shared" si="9"/>
        <v>1800</v>
      </c>
      <c r="AA18" s="65">
        <f t="shared" si="9"/>
        <v>1800</v>
      </c>
      <c r="AB18" s="65">
        <f t="shared" si="9"/>
        <v>1800</v>
      </c>
      <c r="AC18" s="65">
        <f t="shared" si="9"/>
        <v>1800</v>
      </c>
      <c r="AD18" s="65">
        <f t="shared" si="9"/>
        <v>1800</v>
      </c>
      <c r="AE18" s="65">
        <f t="shared" si="9"/>
        <v>1800</v>
      </c>
      <c r="AF18" s="65">
        <f t="shared" si="9"/>
        <v>1800</v>
      </c>
      <c r="AG18" s="65">
        <f t="shared" si="9"/>
        <v>1800</v>
      </c>
      <c r="AH18" s="65">
        <f t="shared" si="9"/>
        <v>1800</v>
      </c>
      <c r="AI18" s="65">
        <f t="shared" si="9"/>
        <v>1800</v>
      </c>
      <c r="AJ18" s="65">
        <f t="shared" si="9"/>
        <v>1800</v>
      </c>
      <c r="AK18" s="65">
        <f t="shared" si="9"/>
        <v>1800</v>
      </c>
      <c r="AL18" s="65">
        <f t="shared" si="9"/>
        <v>1800</v>
      </c>
    </row>
    <row r="19" spans="4:39" ht="15">
      <c r="D19" s="4" t="s">
        <v>427</v>
      </c>
      <c r="E19" s="16" t="s">
        <v>106</v>
      </c>
      <c r="K19" s="65">
        <f>(K18+SUM(K31:K33))/K29</f>
        <v>1.8129533678756478</v>
      </c>
      <c r="L19" s="65">
        <f t="shared" ref="L19:AL19" si="10">(L18+SUM(L31:L33))/L29</f>
        <v>1.9014456764652192</v>
      </c>
      <c r="M19" s="65">
        <f t="shared" si="10"/>
        <v>1.8367738032705883</v>
      </c>
      <c r="N19" s="65">
        <f t="shared" si="10"/>
        <v>1.7960667486462139</v>
      </c>
      <c r="O19" s="65">
        <f t="shared" si="10"/>
        <v>1.9276832774864687</v>
      </c>
      <c r="P19" s="65">
        <f t="shared" si="10"/>
        <v>1.9259575492655938</v>
      </c>
      <c r="Q19" s="65">
        <f t="shared" si="10"/>
        <v>1.6366130264697252</v>
      </c>
      <c r="R19" s="65">
        <f t="shared" si="10"/>
        <v>1.6366130264697252</v>
      </c>
      <c r="S19" s="65">
        <f t="shared" si="10"/>
        <v>1.6366130264697252</v>
      </c>
      <c r="T19" s="65">
        <f t="shared" si="10"/>
        <v>1.6351478743260013</v>
      </c>
      <c r="U19" s="65">
        <f t="shared" si="10"/>
        <v>1.6366130264697252</v>
      </c>
      <c r="V19" s="65">
        <f t="shared" si="10"/>
        <v>1.6366130264697252</v>
      </c>
      <c r="W19" s="65">
        <f t="shared" si="10"/>
        <v>1.6366130264697252</v>
      </c>
      <c r="X19" s="65">
        <f t="shared" si="10"/>
        <v>1.6351478743260013</v>
      </c>
      <c r="Y19" s="65">
        <f t="shared" si="10"/>
        <v>1.6366130264697252</v>
      </c>
      <c r="Z19" s="65">
        <f t="shared" si="10"/>
        <v>1.6366130264697252</v>
      </c>
      <c r="AA19" s="65">
        <f t="shared" si="10"/>
        <v>1.2409052613763443</v>
      </c>
      <c r="AB19" s="65">
        <f t="shared" si="10"/>
        <v>1.2397943604031401</v>
      </c>
      <c r="AC19" s="65">
        <f>(AC18+SUM(AC31:AC33))/AC29</f>
        <v>1.2409052613763443</v>
      </c>
      <c r="AD19" s="65">
        <f t="shared" si="10"/>
        <v>1.2409052613763443</v>
      </c>
      <c r="AE19" s="65">
        <f t="shared" si="10"/>
        <v>1.2409052613763443</v>
      </c>
      <c r="AF19" s="65">
        <f t="shared" si="10"/>
        <v>1.2397943604031401</v>
      </c>
      <c r="AG19" s="65">
        <f t="shared" si="10"/>
        <v>1.2409052613763443</v>
      </c>
      <c r="AH19" s="65">
        <f t="shared" si="10"/>
        <v>1.2409052613763443</v>
      </c>
      <c r="AI19" s="65">
        <f t="shared" si="10"/>
        <v>1.2409052613763443</v>
      </c>
      <c r="AJ19" s="65">
        <f t="shared" si="10"/>
        <v>1.2397943604031401</v>
      </c>
      <c r="AK19" s="65">
        <f t="shared" si="10"/>
        <v>1.2409052613763443</v>
      </c>
      <c r="AL19" s="65">
        <f t="shared" si="10"/>
        <v>1.2409052613763443</v>
      </c>
    </row>
    <row r="20" spans="4:39" ht="24" thickBot="1">
      <c r="D20" s="57"/>
      <c r="N20" s="65">
        <f>3000-N18</f>
        <v>1200</v>
      </c>
      <c r="AC20">
        <f>ABS(AC17)/AC23</f>
        <v>0.52165911036142709</v>
      </c>
    </row>
    <row r="21" spans="4:39" ht="18">
      <c r="D21" s="15" t="s">
        <v>225</v>
      </c>
    </row>
    <row r="22" spans="4:39" ht="15">
      <c r="D22" s="4" t="s">
        <v>310</v>
      </c>
    </row>
    <row r="23" spans="4:39">
      <c r="D23" t="s">
        <v>190</v>
      </c>
      <c r="E23" s="16" t="s">
        <v>145</v>
      </c>
      <c r="K23" s="59">
        <f>Inputs!F34*Inputs!F37</f>
        <v>193000</v>
      </c>
      <c r="L23" s="59">
        <f>Inputs!G34*Inputs!G37</f>
        <v>182241.97400000002</v>
      </c>
      <c r="M23" s="59">
        <f>Inputs!H34*Inputs!H37</f>
        <v>190008.44456000003</v>
      </c>
      <c r="N23" s="59">
        <f>(N58*Inputs!$F$38)+Inputs!$E$146</f>
        <v>506918.33633279998</v>
      </c>
      <c r="O23" s="59">
        <f>(O58*Inputs!$F$38)+Inputs!$E$146</f>
        <v>506918.33633279998</v>
      </c>
      <c r="P23" s="59">
        <f>(P58*Inputs!$F$38)+Inputs!$E$146</f>
        <v>506918.33633279998</v>
      </c>
      <c r="Q23" s="59">
        <f>(Q58*Inputs!$F$38)+Inputs!$E$146+Inputs!$E$137</f>
        <v>597073.33633279998</v>
      </c>
      <c r="R23" s="59">
        <f>(R58*Inputs!$F$38)+Inputs!$E$146+Inputs!$E$137</f>
        <v>597073.33633279998</v>
      </c>
      <c r="S23" s="59">
        <f>(S58*Inputs!$F$38)+Inputs!$E$146+Inputs!$E$137</f>
        <v>597073.33633279998</v>
      </c>
      <c r="T23" s="59">
        <f>(T58*Inputs!$F$38)+Inputs!$E$146+Inputs!$E$137</f>
        <v>597073.33633279998</v>
      </c>
      <c r="U23" s="59">
        <f>(U58*Inputs!$F$38)+Inputs!$E$146+Inputs!$E$137</f>
        <v>597073.33633279998</v>
      </c>
      <c r="V23" s="59">
        <f>(V58*Inputs!$F$38)+Inputs!$E$146+Inputs!$E$137</f>
        <v>597073.33633279998</v>
      </c>
      <c r="W23" s="129">
        <f>(W58*Inputs!$F$38)+Inputs!$E$146+Inputs!$E$137</f>
        <v>597073.33633279998</v>
      </c>
      <c r="X23" s="59">
        <f>(X58*Inputs!$F$38)+Inputs!$E$146+Inputs!$E$137</f>
        <v>597073.33633279998</v>
      </c>
      <c r="Y23" s="59">
        <f>(Y58*Inputs!$F$38)+Inputs!$E$146+Inputs!$E$137</f>
        <v>597073.33633279998</v>
      </c>
      <c r="Z23" s="59">
        <f>(Z58*Inputs!$F$38)+Inputs!$E$146+Inputs!$E$137</f>
        <v>597073.33633279998</v>
      </c>
      <c r="AA23" s="59">
        <f>(AA58*Inputs!$F$38)+Inputs!$E$146+Inputs!$E$137</f>
        <v>787471.88074306946</v>
      </c>
      <c r="AB23" s="129">
        <f>(AB58*Inputs!$F$38)+Inputs!$E$146+Inputs!$E$137</f>
        <v>787471.88074306946</v>
      </c>
      <c r="AC23" s="59">
        <f>(AC58*Inputs!$F$38)+Inputs!$E$146+Inputs!$E$137</f>
        <v>787471.88074306946</v>
      </c>
      <c r="AD23" s="59">
        <f>(AD58*Inputs!$F$38)+Inputs!$E$146+Inputs!$E$137</f>
        <v>787471.88074306946</v>
      </c>
      <c r="AE23" s="59">
        <f>(AE58*Inputs!$F$38)+Inputs!$E$146+Inputs!$E$137</f>
        <v>787471.88074306946</v>
      </c>
      <c r="AF23" s="59">
        <f>(AF58*Inputs!$F$38)+Inputs!$E$146+Inputs!$E$137</f>
        <v>787471.88074306946</v>
      </c>
      <c r="AG23" s="59">
        <f>(AG58*Inputs!$F$38)+Inputs!$E$146+Inputs!$E$137</f>
        <v>787471.88074306946</v>
      </c>
      <c r="AH23" s="59">
        <f>(AH58*Inputs!$F$38)+Inputs!$E$146+Inputs!$E$137</f>
        <v>787471.88074306946</v>
      </c>
      <c r="AI23" s="59">
        <f>(AI58*Inputs!$F$38)+Inputs!$E$146+Inputs!$E$137</f>
        <v>787471.88074306946</v>
      </c>
      <c r="AJ23" s="59">
        <f>(AJ58*Inputs!$F$38)+Inputs!$E$146+Inputs!$E$137</f>
        <v>787471.88074306946</v>
      </c>
      <c r="AK23" s="59">
        <f>(AK58*Inputs!$F$38)+Inputs!$E$146+Inputs!$E$137</f>
        <v>787471.88074306946</v>
      </c>
      <c r="AL23" s="59">
        <f>(AL58*Inputs!$F$38)+Inputs!$E$146+Inputs!$E$137</f>
        <v>787471.88074306946</v>
      </c>
    </row>
    <row r="24" spans="4:39">
      <c r="D24" t="s">
        <v>189</v>
      </c>
      <c r="E24" s="16" t="s">
        <v>145</v>
      </c>
      <c r="K24" s="59">
        <f>Inputs!E93/100*'Risk exposure pessimistic view'!K23</f>
        <v>135100</v>
      </c>
      <c r="L24" s="59">
        <f>Inputs!F93/100*'Risk exposure pessimistic view'!L23</f>
        <v>127569.3818</v>
      </c>
      <c r="M24" s="59">
        <f>Inputs!G93/100*'Risk exposure pessimistic view'!M23</f>
        <v>133005.91119200003</v>
      </c>
      <c r="N24" s="59">
        <f>Inputs!H93/100*'Risk exposure pessimistic view'!N23</f>
        <v>253459.16816639999</v>
      </c>
      <c r="O24" s="59">
        <f>O23-O25</f>
        <v>186740.33633279998</v>
      </c>
      <c r="P24" s="59">
        <f t="shared" ref="P24:AL24" si="11">P23-P25</f>
        <v>186740.33633279998</v>
      </c>
      <c r="Q24" s="59">
        <f t="shared" si="11"/>
        <v>276895.33633279998</v>
      </c>
      <c r="R24" s="59">
        <f t="shared" si="11"/>
        <v>276895.33633279998</v>
      </c>
      <c r="S24" s="59">
        <f t="shared" si="11"/>
        <v>276895.33633279998</v>
      </c>
      <c r="T24" s="59">
        <f t="shared" si="11"/>
        <v>276895.33633279998</v>
      </c>
      <c r="U24" s="59">
        <f t="shared" si="11"/>
        <v>276895.33633279998</v>
      </c>
      <c r="V24" s="59">
        <f t="shared" si="11"/>
        <v>276895.33633279998</v>
      </c>
      <c r="W24" s="59">
        <f t="shared" si="11"/>
        <v>276895.33633279998</v>
      </c>
      <c r="X24" s="59">
        <f t="shared" si="11"/>
        <v>276895.33633279998</v>
      </c>
      <c r="Y24" s="59">
        <f t="shared" si="11"/>
        <v>276895.33633279998</v>
      </c>
      <c r="Z24" s="59">
        <f t="shared" si="11"/>
        <v>276895.33633279998</v>
      </c>
      <c r="AA24" s="59">
        <f t="shared" si="11"/>
        <v>467293.88074306946</v>
      </c>
      <c r="AB24" s="59">
        <f t="shared" si="11"/>
        <v>467293.88074306946</v>
      </c>
      <c r="AC24" s="59">
        <f t="shared" si="11"/>
        <v>467293.88074306946</v>
      </c>
      <c r="AD24" s="59">
        <f t="shared" si="11"/>
        <v>467293.88074306946</v>
      </c>
      <c r="AE24" s="59">
        <f t="shared" si="11"/>
        <v>467293.88074306946</v>
      </c>
      <c r="AF24" s="59">
        <f t="shared" si="11"/>
        <v>467293.88074306946</v>
      </c>
      <c r="AG24" s="59">
        <f t="shared" si="11"/>
        <v>467293.88074306946</v>
      </c>
      <c r="AH24" s="59">
        <f t="shared" si="11"/>
        <v>467293.88074306946</v>
      </c>
      <c r="AI24" s="59">
        <f t="shared" si="11"/>
        <v>467293.88074306946</v>
      </c>
      <c r="AJ24" s="59">
        <f t="shared" si="11"/>
        <v>467293.88074306946</v>
      </c>
      <c r="AK24" s="59">
        <f t="shared" si="11"/>
        <v>467293.88074306946</v>
      </c>
      <c r="AL24" s="59">
        <f t="shared" si="11"/>
        <v>467293.88074306946</v>
      </c>
      <c r="AM24" s="149">
        <f>SUM(M24:AL24)/SUM(M11:AL11)</f>
        <v>962.13412850345753</v>
      </c>
    </row>
    <row r="25" spans="4:39">
      <c r="D25" s="89" t="s">
        <v>144</v>
      </c>
      <c r="E25" s="16" t="s">
        <v>145</v>
      </c>
      <c r="K25" s="59">
        <f>Inputs!E89/100*'Risk exposure pessimistic view'!K23</f>
        <v>57900</v>
      </c>
      <c r="L25" s="59">
        <f>Inputs!F89/100*'Risk exposure pessimistic view'!L23</f>
        <v>54672.592200000006</v>
      </c>
      <c r="M25" s="59">
        <f>Inputs!G89/100*'Risk exposure pessimistic view'!M23</f>
        <v>57002.533368000011</v>
      </c>
      <c r="N25" s="59">
        <f>Inputs!H89/100*'Risk exposure pessimistic view'!N23</f>
        <v>253459.16816639999</v>
      </c>
      <c r="O25" s="59">
        <f>IF(O23&lt;O16,O23,O16)</f>
        <v>320178</v>
      </c>
      <c r="P25" s="59">
        <f t="shared" ref="P25:AL25" si="12">IF(P23&lt;P16,P23,P16)</f>
        <v>320178</v>
      </c>
      <c r="Q25" s="59">
        <f t="shared" si="12"/>
        <v>320178</v>
      </c>
      <c r="R25" s="59">
        <f t="shared" si="12"/>
        <v>320178</v>
      </c>
      <c r="S25" s="59">
        <f t="shared" si="12"/>
        <v>320178</v>
      </c>
      <c r="T25" s="59">
        <f t="shared" si="12"/>
        <v>320178</v>
      </c>
      <c r="U25" s="59">
        <f t="shared" si="12"/>
        <v>320178</v>
      </c>
      <c r="V25" s="59">
        <f t="shared" si="12"/>
        <v>320178</v>
      </c>
      <c r="W25" s="59">
        <f t="shared" si="12"/>
        <v>320178</v>
      </c>
      <c r="X25" s="59">
        <f t="shared" si="12"/>
        <v>320178</v>
      </c>
      <c r="Y25" s="59">
        <f t="shared" si="12"/>
        <v>320178</v>
      </c>
      <c r="Z25" s="59">
        <f t="shared" si="12"/>
        <v>320178</v>
      </c>
      <c r="AA25" s="59">
        <f t="shared" si="12"/>
        <v>320178</v>
      </c>
      <c r="AB25" s="59">
        <f t="shared" si="12"/>
        <v>320178</v>
      </c>
      <c r="AC25" s="59">
        <f t="shared" si="12"/>
        <v>320178</v>
      </c>
      <c r="AD25" s="59">
        <f t="shared" si="12"/>
        <v>320178</v>
      </c>
      <c r="AE25" s="59">
        <f t="shared" si="12"/>
        <v>320178</v>
      </c>
      <c r="AF25" s="59">
        <f t="shared" si="12"/>
        <v>320178</v>
      </c>
      <c r="AG25" s="59">
        <f t="shared" si="12"/>
        <v>320178</v>
      </c>
      <c r="AH25" s="59">
        <f t="shared" si="12"/>
        <v>320178</v>
      </c>
      <c r="AI25" s="59">
        <f t="shared" si="12"/>
        <v>320178</v>
      </c>
      <c r="AJ25" s="59">
        <f t="shared" si="12"/>
        <v>320178</v>
      </c>
      <c r="AK25" s="59">
        <f t="shared" si="12"/>
        <v>320178</v>
      </c>
      <c r="AL25" s="59">
        <f t="shared" si="12"/>
        <v>320178</v>
      </c>
    </row>
    <row r="26" spans="4:39">
      <c r="D26" t="s">
        <v>125</v>
      </c>
      <c r="E26" s="16" t="s">
        <v>145</v>
      </c>
      <c r="K26" s="59">
        <f>Inputs!E99/100*'Risk exposure pessimistic view'!K23</f>
        <v>0</v>
      </c>
      <c r="L26" s="59">
        <f>Inputs!F99/100*'Risk exposure pessimistic view'!L23</f>
        <v>0</v>
      </c>
      <c r="M26" s="59">
        <f>Inputs!G99/100*'Risk exposure pessimistic view'!M23</f>
        <v>0</v>
      </c>
      <c r="N26" s="59">
        <f>Inputs!H99/100*'Risk exposure pessimistic view'!N23</f>
        <v>0</v>
      </c>
      <c r="O26" s="59">
        <f>Inputs!I99/100*'Risk exposure pessimistic view'!O23</f>
        <v>0</v>
      </c>
      <c r="P26" s="59">
        <f>Inputs!J99/100*'Risk exposure pessimistic view'!P23</f>
        <v>0</v>
      </c>
      <c r="Q26" s="59">
        <f>Inputs!K99/100*'Risk exposure pessimistic view'!Q23</f>
        <v>0</v>
      </c>
      <c r="R26" s="59">
        <f>Inputs!L99/100*'Risk exposure pessimistic view'!R23</f>
        <v>0</v>
      </c>
      <c r="S26" s="59">
        <f>Inputs!M99/100*'Risk exposure pessimistic view'!S23</f>
        <v>0</v>
      </c>
      <c r="T26" s="59">
        <f>Inputs!N99/100*'Risk exposure pessimistic view'!T23</f>
        <v>0</v>
      </c>
      <c r="U26" s="59">
        <f>Inputs!O99/100*'Risk exposure pessimistic view'!U23</f>
        <v>0</v>
      </c>
      <c r="V26" s="59">
        <f>Inputs!P99/100*'Risk exposure pessimistic view'!V23</f>
        <v>0</v>
      </c>
      <c r="W26" s="129">
        <f>Inputs!Q99/100*'Risk exposure pessimistic view'!W23</f>
        <v>0</v>
      </c>
      <c r="X26" s="59">
        <f>Inputs!R99/100*'Risk exposure pessimistic view'!X23</f>
        <v>0</v>
      </c>
      <c r="Y26" s="59">
        <f>Inputs!S99/100*'Risk exposure pessimistic view'!Y23</f>
        <v>0</v>
      </c>
      <c r="Z26" s="59">
        <f>Inputs!T99/100*'Risk exposure pessimistic view'!Z23</f>
        <v>0</v>
      </c>
      <c r="AA26" s="59">
        <f>Inputs!U99/100*'Risk exposure pessimistic view'!AA23</f>
        <v>0</v>
      </c>
      <c r="AB26" s="129">
        <f>Inputs!V99/100*'Risk exposure pessimistic view'!AB23</f>
        <v>0</v>
      </c>
      <c r="AC26" s="59">
        <f>Inputs!W99/100*'Risk exposure pessimistic view'!AC23</f>
        <v>0</v>
      </c>
      <c r="AD26" s="59">
        <f>Inputs!X99/100*'Risk exposure pessimistic view'!AD23</f>
        <v>0</v>
      </c>
      <c r="AE26" s="59">
        <f>Inputs!Y99/100*'Risk exposure pessimistic view'!AE23</f>
        <v>0</v>
      </c>
      <c r="AF26" s="59">
        <f>Inputs!Z99/100*'Risk exposure pessimistic view'!AF23</f>
        <v>0</v>
      </c>
      <c r="AG26" s="59">
        <f>Inputs!AA99/100*'Risk exposure pessimistic view'!AG23</f>
        <v>0</v>
      </c>
      <c r="AH26" s="59">
        <f>Inputs!AB99/100*'Risk exposure pessimistic view'!AH23</f>
        <v>0</v>
      </c>
      <c r="AI26" s="59">
        <f>Inputs!AC99/100*'Risk exposure pessimistic view'!AI23</f>
        <v>0</v>
      </c>
      <c r="AJ26" s="59">
        <f>Inputs!AD99/100*'Risk exposure pessimistic view'!AJ23</f>
        <v>0</v>
      </c>
      <c r="AK26" s="59">
        <f>Inputs!AE99/100*'Risk exposure pessimistic view'!AK23</f>
        <v>0</v>
      </c>
      <c r="AL26" s="59">
        <f>Inputs!AF99/100*'Risk exposure pessimistic view'!AL23</f>
        <v>0</v>
      </c>
    </row>
    <row r="27" spans="4:39">
      <c r="D27" t="s">
        <v>191</v>
      </c>
      <c r="E27" s="16" t="s">
        <v>145</v>
      </c>
      <c r="K27" s="59">
        <f>Inputs!E104/100*'Risk exposure pessimistic view'!K23</f>
        <v>0</v>
      </c>
      <c r="L27" s="59">
        <f>Inputs!F104/100*'Risk exposure pessimistic view'!L23</f>
        <v>0</v>
      </c>
      <c r="M27" s="59">
        <f>Inputs!G104/100*'Risk exposure pessimistic view'!M23</f>
        <v>0</v>
      </c>
      <c r="N27" s="59">
        <f>Inputs!H104/100*'Risk exposure pessimistic view'!N23</f>
        <v>0</v>
      </c>
      <c r="O27" s="59">
        <f>Inputs!I104/100*'Risk exposure pessimistic view'!O23</f>
        <v>0</v>
      </c>
      <c r="P27" s="59">
        <f>Inputs!J104/100*'Risk exposure pessimistic view'!P23</f>
        <v>0</v>
      </c>
      <c r="Q27" s="59">
        <f>Inputs!K104/100*'Risk exposure pessimistic view'!Q23</f>
        <v>0</v>
      </c>
      <c r="R27" s="59">
        <f>Inputs!L104/100*'Risk exposure pessimistic view'!R23</f>
        <v>0</v>
      </c>
      <c r="S27" s="59">
        <f>Inputs!M104/100*'Risk exposure pessimistic view'!S23</f>
        <v>0</v>
      </c>
      <c r="T27" s="59">
        <f>Inputs!N104/100*'Risk exposure pessimistic view'!T23</f>
        <v>0</v>
      </c>
      <c r="U27" s="59">
        <f>Inputs!O104/100*'Risk exposure pessimistic view'!U23</f>
        <v>0</v>
      </c>
      <c r="V27" s="59">
        <f>Inputs!P104/100*'Risk exposure pessimistic view'!V23</f>
        <v>0</v>
      </c>
      <c r="W27" s="129">
        <f>Inputs!Q104/100*'Risk exposure pessimistic view'!W23</f>
        <v>0</v>
      </c>
      <c r="X27" s="59">
        <f>Inputs!R104/100*'Risk exposure pessimistic view'!X23</f>
        <v>0</v>
      </c>
      <c r="Y27" s="59">
        <f>Inputs!S104/100*'Risk exposure pessimistic view'!Y23</f>
        <v>0</v>
      </c>
      <c r="Z27" s="59">
        <f>Inputs!T104/100*'Risk exposure pessimistic view'!Z23</f>
        <v>0</v>
      </c>
      <c r="AA27" s="59">
        <f>Inputs!U104/100*'Risk exposure pessimistic view'!AA23</f>
        <v>0</v>
      </c>
      <c r="AB27" s="129">
        <f>Inputs!V104/100*'Risk exposure pessimistic view'!AB23</f>
        <v>0</v>
      </c>
      <c r="AC27" s="59">
        <f>Inputs!W104/100*'Risk exposure pessimistic view'!AC23</f>
        <v>0</v>
      </c>
      <c r="AD27" s="59">
        <f>Inputs!X104/100*'Risk exposure pessimistic view'!AD23</f>
        <v>0</v>
      </c>
      <c r="AE27" s="59">
        <f>Inputs!Y104/100*'Risk exposure pessimistic view'!AE23</f>
        <v>0</v>
      </c>
      <c r="AF27" s="59">
        <f>Inputs!Z104/100*'Risk exposure pessimistic view'!AF23</f>
        <v>0</v>
      </c>
      <c r="AG27" s="59">
        <f>Inputs!AA104/100*'Risk exposure pessimistic view'!AG23</f>
        <v>0</v>
      </c>
      <c r="AH27" s="59">
        <f>Inputs!AB104/100*'Risk exposure pessimistic view'!AH23</f>
        <v>0</v>
      </c>
      <c r="AI27" s="59">
        <f>Inputs!AC104/100*'Risk exposure pessimistic view'!AI23</f>
        <v>0</v>
      </c>
      <c r="AJ27" s="59">
        <f>Inputs!AD104/100*'Risk exposure pessimistic view'!AJ23</f>
        <v>0</v>
      </c>
      <c r="AK27" s="59">
        <f>Inputs!AE104/100*'Risk exposure pessimistic view'!AK23</f>
        <v>0</v>
      </c>
      <c r="AL27" s="59">
        <f>Inputs!AF104/100*'Risk exposure pessimistic view'!AL23</f>
        <v>0</v>
      </c>
    </row>
    <row r="28" spans="4:39" ht="15">
      <c r="D28" s="4" t="s">
        <v>311</v>
      </c>
    </row>
    <row r="29" spans="4:39">
      <c r="D29" t="s">
        <v>190</v>
      </c>
      <c r="E29" s="16" t="s">
        <v>156</v>
      </c>
      <c r="K29" s="59">
        <f>K23/$K$11</f>
        <v>528.76712328767121</v>
      </c>
      <c r="L29" s="59">
        <f t="shared" ref="L29:AL33" si="13">L23/$K$11</f>
        <v>499.29307945205483</v>
      </c>
      <c r="M29" s="59">
        <f t="shared" si="13"/>
        <v>520.57108098630147</v>
      </c>
      <c r="N29" s="59">
        <f t="shared" si="13"/>
        <v>1388.8173598158903</v>
      </c>
      <c r="O29" s="59">
        <f t="shared" si="13"/>
        <v>1388.8173598158903</v>
      </c>
      <c r="P29" s="59">
        <f t="shared" si="13"/>
        <v>1388.8173598158903</v>
      </c>
      <c r="Q29" s="59">
        <f t="shared" si="13"/>
        <v>1635.8173598158903</v>
      </c>
      <c r="R29" s="59">
        <f t="shared" si="13"/>
        <v>1635.8173598158903</v>
      </c>
      <c r="S29" s="59">
        <f t="shared" si="13"/>
        <v>1635.8173598158903</v>
      </c>
      <c r="T29" s="59">
        <f t="shared" si="13"/>
        <v>1635.8173598158903</v>
      </c>
      <c r="U29" s="59">
        <f t="shared" si="13"/>
        <v>1635.8173598158903</v>
      </c>
      <c r="V29" s="59">
        <f t="shared" si="13"/>
        <v>1635.8173598158903</v>
      </c>
      <c r="W29" s="129">
        <f t="shared" si="13"/>
        <v>1635.8173598158903</v>
      </c>
      <c r="X29" s="59">
        <f t="shared" si="13"/>
        <v>1635.8173598158903</v>
      </c>
      <c r="Y29" s="59">
        <f t="shared" si="13"/>
        <v>1635.8173598158903</v>
      </c>
      <c r="Z29" s="59">
        <f t="shared" si="13"/>
        <v>1635.8173598158903</v>
      </c>
      <c r="AA29" s="59">
        <f t="shared" si="13"/>
        <v>2157.4572075152587</v>
      </c>
      <c r="AB29" s="129">
        <f t="shared" si="13"/>
        <v>2157.4572075152587</v>
      </c>
      <c r="AC29" s="59">
        <f t="shared" si="13"/>
        <v>2157.4572075152587</v>
      </c>
      <c r="AD29" s="59">
        <f t="shared" si="13"/>
        <v>2157.4572075152587</v>
      </c>
      <c r="AE29" s="59">
        <f t="shared" si="13"/>
        <v>2157.4572075152587</v>
      </c>
      <c r="AF29" s="59">
        <f t="shared" si="13"/>
        <v>2157.4572075152587</v>
      </c>
      <c r="AG29" s="59">
        <f t="shared" si="13"/>
        <v>2157.4572075152587</v>
      </c>
      <c r="AH29" s="59">
        <f t="shared" si="13"/>
        <v>2157.4572075152587</v>
      </c>
      <c r="AI29" s="59">
        <f t="shared" si="13"/>
        <v>2157.4572075152587</v>
      </c>
      <c r="AJ29" s="59">
        <f t="shared" si="13"/>
        <v>2157.4572075152587</v>
      </c>
      <c r="AK29" s="59">
        <f t="shared" si="13"/>
        <v>2157.4572075152587</v>
      </c>
      <c r="AL29" s="59">
        <f t="shared" si="13"/>
        <v>2157.4572075152587</v>
      </c>
    </row>
    <row r="30" spans="4:39">
      <c r="D30" t="s">
        <v>189</v>
      </c>
      <c r="E30" s="16" t="s">
        <v>156</v>
      </c>
      <c r="K30" s="59">
        <f t="shared" ref="K30:Z33" si="14">K24/$K$11</f>
        <v>370.13698630136986</v>
      </c>
      <c r="L30" s="59">
        <f t="shared" si="14"/>
        <v>349.50515561643834</v>
      </c>
      <c r="M30" s="59">
        <f t="shared" si="14"/>
        <v>364.39975669041104</v>
      </c>
      <c r="N30" s="59">
        <f t="shared" si="14"/>
        <v>694.40867990794516</v>
      </c>
      <c r="O30" s="59">
        <f t="shared" si="14"/>
        <v>511.61735981589038</v>
      </c>
      <c r="P30" s="59">
        <f t="shared" si="14"/>
        <v>511.61735981589038</v>
      </c>
      <c r="Q30" s="59">
        <f t="shared" si="14"/>
        <v>758.61735981589038</v>
      </c>
      <c r="R30" s="59">
        <f t="shared" si="14"/>
        <v>758.61735981589038</v>
      </c>
      <c r="S30" s="59">
        <f t="shared" si="14"/>
        <v>758.61735981589038</v>
      </c>
      <c r="T30" s="59">
        <f t="shared" si="14"/>
        <v>758.61735981589038</v>
      </c>
      <c r="U30" s="59">
        <f t="shared" si="14"/>
        <v>758.61735981589038</v>
      </c>
      <c r="V30" s="59">
        <f t="shared" si="14"/>
        <v>758.61735981589038</v>
      </c>
      <c r="W30" s="129">
        <f t="shared" si="14"/>
        <v>758.61735981589038</v>
      </c>
      <c r="X30" s="59">
        <f t="shared" si="14"/>
        <v>758.61735981589038</v>
      </c>
      <c r="Y30" s="59">
        <f t="shared" si="14"/>
        <v>758.61735981589038</v>
      </c>
      <c r="Z30" s="59">
        <f t="shared" si="14"/>
        <v>758.61735981589038</v>
      </c>
      <c r="AA30" s="59">
        <f t="shared" si="13"/>
        <v>1280.2572075152589</v>
      </c>
      <c r="AB30" s="129">
        <f t="shared" si="13"/>
        <v>1280.2572075152589</v>
      </c>
      <c r="AC30" s="59">
        <f t="shared" si="13"/>
        <v>1280.2572075152589</v>
      </c>
      <c r="AD30" s="59">
        <f t="shared" si="13"/>
        <v>1280.2572075152589</v>
      </c>
      <c r="AE30" s="59">
        <f t="shared" si="13"/>
        <v>1280.2572075152589</v>
      </c>
      <c r="AF30" s="59">
        <f t="shared" si="13"/>
        <v>1280.2572075152589</v>
      </c>
      <c r="AG30" s="59">
        <f t="shared" si="13"/>
        <v>1280.2572075152589</v>
      </c>
      <c r="AH30" s="59">
        <f t="shared" si="13"/>
        <v>1280.2572075152589</v>
      </c>
      <c r="AI30" s="59">
        <f t="shared" si="13"/>
        <v>1280.2572075152589</v>
      </c>
      <c r="AJ30" s="59">
        <f t="shared" si="13"/>
        <v>1280.2572075152589</v>
      </c>
      <c r="AK30" s="59">
        <f t="shared" si="13"/>
        <v>1280.2572075152589</v>
      </c>
      <c r="AL30" s="59">
        <f t="shared" si="13"/>
        <v>1280.2572075152589</v>
      </c>
      <c r="AM30" s="148">
        <f>SUMPRODUCT(M30:AL30,M11:AL11)/1000</f>
        <v>9142.2953079708277</v>
      </c>
    </row>
    <row r="31" spans="4:39">
      <c r="D31" s="89" t="s">
        <v>144</v>
      </c>
      <c r="E31" s="16" t="s">
        <v>156</v>
      </c>
      <c r="K31" s="59">
        <f>K25/K11</f>
        <v>158.63013698630138</v>
      </c>
      <c r="L31" s="59">
        <f t="shared" ref="L31:AL31" si="15">L25/L11</f>
        <v>149.37866721311477</v>
      </c>
      <c r="M31" s="59">
        <f t="shared" si="15"/>
        <v>156.17132429589043</v>
      </c>
      <c r="N31" s="59">
        <f t="shared" si="15"/>
        <v>694.40867990794516</v>
      </c>
      <c r="O31" s="59">
        <f t="shared" si="15"/>
        <v>877.2</v>
      </c>
      <c r="P31" s="59">
        <f t="shared" si="15"/>
        <v>874.80327868852464</v>
      </c>
      <c r="Q31" s="59">
        <f t="shared" si="15"/>
        <v>877.2</v>
      </c>
      <c r="R31" s="59">
        <f t="shared" si="15"/>
        <v>877.2</v>
      </c>
      <c r="S31" s="59">
        <f t="shared" si="15"/>
        <v>877.2</v>
      </c>
      <c r="T31" s="59">
        <f t="shared" si="15"/>
        <v>874.80327868852464</v>
      </c>
      <c r="U31" s="59">
        <f t="shared" si="15"/>
        <v>877.2</v>
      </c>
      <c r="V31" s="59">
        <f t="shared" si="15"/>
        <v>877.2</v>
      </c>
      <c r="W31" s="59">
        <f t="shared" si="15"/>
        <v>877.2</v>
      </c>
      <c r="X31" s="59">
        <f t="shared" si="15"/>
        <v>874.80327868852464</v>
      </c>
      <c r="Y31" s="59">
        <f t="shared" si="15"/>
        <v>877.2</v>
      </c>
      <c r="Z31" s="59">
        <f t="shared" si="15"/>
        <v>877.2</v>
      </c>
      <c r="AA31" s="59">
        <f t="shared" si="15"/>
        <v>877.2</v>
      </c>
      <c r="AB31" s="59">
        <f t="shared" si="15"/>
        <v>874.80327868852464</v>
      </c>
      <c r="AC31" s="59">
        <f t="shared" si="15"/>
        <v>877.2</v>
      </c>
      <c r="AD31" s="59">
        <f t="shared" si="15"/>
        <v>877.2</v>
      </c>
      <c r="AE31" s="59">
        <f t="shared" si="15"/>
        <v>877.2</v>
      </c>
      <c r="AF31" s="59">
        <f t="shared" si="15"/>
        <v>874.80327868852464</v>
      </c>
      <c r="AG31" s="59">
        <f t="shared" si="15"/>
        <v>877.2</v>
      </c>
      <c r="AH31" s="59">
        <f t="shared" si="15"/>
        <v>877.2</v>
      </c>
      <c r="AI31" s="59">
        <f t="shared" si="15"/>
        <v>877.2</v>
      </c>
      <c r="AJ31" s="59">
        <f t="shared" si="15"/>
        <v>874.80327868852464</v>
      </c>
      <c r="AK31" s="59">
        <f t="shared" si="15"/>
        <v>877.2</v>
      </c>
      <c r="AL31" s="59">
        <f t="shared" si="15"/>
        <v>877.2</v>
      </c>
    </row>
    <row r="32" spans="4:39">
      <c r="D32" t="s">
        <v>125</v>
      </c>
      <c r="E32" s="16" t="s">
        <v>156</v>
      </c>
      <c r="K32" s="59">
        <f t="shared" si="14"/>
        <v>0</v>
      </c>
      <c r="L32" s="59">
        <f t="shared" si="13"/>
        <v>0</v>
      </c>
      <c r="M32" s="59">
        <f t="shared" si="13"/>
        <v>0</v>
      </c>
      <c r="N32" s="59">
        <f t="shared" si="13"/>
        <v>0</v>
      </c>
      <c r="O32" s="59">
        <f t="shared" si="13"/>
        <v>0</v>
      </c>
      <c r="P32" s="59">
        <f t="shared" si="13"/>
        <v>0</v>
      </c>
      <c r="Q32" s="59">
        <f t="shared" si="13"/>
        <v>0</v>
      </c>
      <c r="R32" s="59">
        <f t="shared" si="13"/>
        <v>0</v>
      </c>
      <c r="S32" s="59">
        <f t="shared" si="13"/>
        <v>0</v>
      </c>
      <c r="T32" s="59">
        <f t="shared" si="13"/>
        <v>0</v>
      </c>
      <c r="U32" s="59">
        <f t="shared" si="13"/>
        <v>0</v>
      </c>
      <c r="V32" s="59">
        <f t="shared" si="13"/>
        <v>0</v>
      </c>
      <c r="W32" s="129">
        <f t="shared" si="13"/>
        <v>0</v>
      </c>
      <c r="X32" s="59">
        <f t="shared" si="13"/>
        <v>0</v>
      </c>
      <c r="Y32" s="59">
        <f t="shared" si="13"/>
        <v>0</v>
      </c>
      <c r="Z32" s="59">
        <f t="shared" si="13"/>
        <v>0</v>
      </c>
      <c r="AA32" s="59">
        <f t="shared" si="13"/>
        <v>0</v>
      </c>
      <c r="AB32" s="129">
        <f t="shared" si="13"/>
        <v>0</v>
      </c>
      <c r="AC32" s="59">
        <f t="shared" si="13"/>
        <v>0</v>
      </c>
      <c r="AD32" s="59">
        <f t="shared" si="13"/>
        <v>0</v>
      </c>
      <c r="AE32" s="59">
        <f t="shared" si="13"/>
        <v>0</v>
      </c>
      <c r="AF32" s="59">
        <f t="shared" si="13"/>
        <v>0</v>
      </c>
      <c r="AG32" s="59">
        <f t="shared" si="13"/>
        <v>0</v>
      </c>
      <c r="AH32" s="59">
        <f t="shared" si="13"/>
        <v>0</v>
      </c>
      <c r="AI32" s="59">
        <f t="shared" si="13"/>
        <v>0</v>
      </c>
      <c r="AJ32" s="59">
        <f t="shared" si="13"/>
        <v>0</v>
      </c>
      <c r="AK32" s="59">
        <f t="shared" si="13"/>
        <v>0</v>
      </c>
      <c r="AL32" s="59">
        <f t="shared" si="13"/>
        <v>0</v>
      </c>
    </row>
    <row r="33" spans="4:38">
      <c r="D33" t="s">
        <v>191</v>
      </c>
      <c r="E33" s="16" t="s">
        <v>156</v>
      </c>
      <c r="K33" s="59">
        <f t="shared" si="14"/>
        <v>0</v>
      </c>
      <c r="L33" s="59">
        <f t="shared" si="13"/>
        <v>0</v>
      </c>
      <c r="M33" s="59">
        <f t="shared" si="13"/>
        <v>0</v>
      </c>
      <c r="N33" s="59">
        <f t="shared" si="13"/>
        <v>0</v>
      </c>
      <c r="O33" s="59">
        <f t="shared" si="13"/>
        <v>0</v>
      </c>
      <c r="P33" s="59">
        <f t="shared" si="13"/>
        <v>0</v>
      </c>
      <c r="Q33" s="59">
        <f t="shared" si="13"/>
        <v>0</v>
      </c>
      <c r="R33" s="59">
        <f t="shared" si="13"/>
        <v>0</v>
      </c>
      <c r="S33" s="59">
        <f t="shared" si="13"/>
        <v>0</v>
      </c>
      <c r="T33" s="59">
        <f t="shared" si="13"/>
        <v>0</v>
      </c>
      <c r="U33" s="59">
        <f t="shared" si="13"/>
        <v>0</v>
      </c>
      <c r="V33" s="59">
        <f t="shared" si="13"/>
        <v>0</v>
      </c>
      <c r="W33" s="129">
        <f t="shared" si="13"/>
        <v>0</v>
      </c>
      <c r="X33" s="59">
        <f t="shared" si="13"/>
        <v>0</v>
      </c>
      <c r="Y33" s="59">
        <f t="shared" si="13"/>
        <v>0</v>
      </c>
      <c r="Z33" s="59">
        <f t="shared" si="13"/>
        <v>0</v>
      </c>
      <c r="AA33" s="59">
        <f t="shared" si="13"/>
        <v>0</v>
      </c>
      <c r="AB33" s="129">
        <f t="shared" si="13"/>
        <v>0</v>
      </c>
      <c r="AC33" s="59">
        <f t="shared" si="13"/>
        <v>0</v>
      </c>
      <c r="AD33" s="59">
        <f t="shared" si="13"/>
        <v>0</v>
      </c>
      <c r="AE33" s="59">
        <f t="shared" si="13"/>
        <v>0</v>
      </c>
      <c r="AF33" s="59">
        <f t="shared" si="13"/>
        <v>0</v>
      </c>
      <c r="AG33" s="59">
        <f t="shared" si="13"/>
        <v>0</v>
      </c>
      <c r="AH33" s="59">
        <f t="shared" si="13"/>
        <v>0</v>
      </c>
      <c r="AI33" s="59">
        <f t="shared" si="13"/>
        <v>0</v>
      </c>
      <c r="AJ33" s="59">
        <f t="shared" si="13"/>
        <v>0</v>
      </c>
      <c r="AK33" s="59">
        <f t="shared" si="13"/>
        <v>0</v>
      </c>
      <c r="AL33" s="59">
        <f t="shared" si="13"/>
        <v>0</v>
      </c>
    </row>
    <row r="34" spans="4:38" ht="15">
      <c r="D34" s="4" t="s">
        <v>194</v>
      </c>
      <c r="K34" s="65">
        <f>K31/1000</f>
        <v>0.15863013698630138</v>
      </c>
      <c r="L34" s="65">
        <f>L31/1000</f>
        <v>0.14937866721311477</v>
      </c>
      <c r="M34" s="65">
        <f>M31/1000</f>
        <v>0.15617132429589042</v>
      </c>
      <c r="N34" s="65">
        <f t="shared" ref="N34:AL34" si="16">N31/2000</f>
        <v>0.3472043399539726</v>
      </c>
      <c r="O34" s="65">
        <f t="shared" si="16"/>
        <v>0.43860000000000005</v>
      </c>
      <c r="P34" s="65">
        <f t="shared" si="16"/>
        <v>0.43740163934426229</v>
      </c>
      <c r="Q34" s="65">
        <f>Q31/2000</f>
        <v>0.43860000000000005</v>
      </c>
      <c r="R34" s="65">
        <f t="shared" si="16"/>
        <v>0.43860000000000005</v>
      </c>
      <c r="S34" s="65">
        <f t="shared" si="16"/>
        <v>0.43860000000000005</v>
      </c>
      <c r="T34" s="65">
        <f t="shared" si="16"/>
        <v>0.43740163934426229</v>
      </c>
      <c r="U34" s="65">
        <f t="shared" si="16"/>
        <v>0.43860000000000005</v>
      </c>
      <c r="V34" s="65">
        <f t="shared" si="16"/>
        <v>0.43860000000000005</v>
      </c>
      <c r="W34" s="65">
        <f t="shared" si="16"/>
        <v>0.43860000000000005</v>
      </c>
      <c r="X34" s="65">
        <f t="shared" si="16"/>
        <v>0.43740163934426229</v>
      </c>
      <c r="Y34" s="65">
        <f t="shared" si="16"/>
        <v>0.43860000000000005</v>
      </c>
      <c r="Z34" s="65">
        <f t="shared" si="16"/>
        <v>0.43860000000000005</v>
      </c>
      <c r="AA34" s="65">
        <f t="shared" si="16"/>
        <v>0.43860000000000005</v>
      </c>
      <c r="AB34" s="65">
        <f t="shared" si="16"/>
        <v>0.43740163934426229</v>
      </c>
      <c r="AC34" s="65">
        <f t="shared" si="16"/>
        <v>0.43860000000000005</v>
      </c>
      <c r="AD34" s="65">
        <f t="shared" si="16"/>
        <v>0.43860000000000005</v>
      </c>
      <c r="AE34" s="65">
        <f t="shared" si="16"/>
        <v>0.43860000000000005</v>
      </c>
      <c r="AF34" s="65">
        <f t="shared" si="16"/>
        <v>0.43740163934426229</v>
      </c>
      <c r="AG34" s="65">
        <f t="shared" si="16"/>
        <v>0.43860000000000005</v>
      </c>
      <c r="AH34" s="65">
        <f t="shared" si="16"/>
        <v>0.43860000000000005</v>
      </c>
      <c r="AI34" s="65">
        <f t="shared" si="16"/>
        <v>0.43860000000000005</v>
      </c>
      <c r="AJ34" s="65">
        <f t="shared" si="16"/>
        <v>0.43740163934426229</v>
      </c>
      <c r="AK34" s="65">
        <f t="shared" si="16"/>
        <v>0.43860000000000005</v>
      </c>
      <c r="AL34" s="65">
        <f t="shared" si="16"/>
        <v>0.43860000000000005</v>
      </c>
    </row>
    <row r="35" spans="4:38">
      <c r="D35" t="s">
        <v>189</v>
      </c>
      <c r="E35" s="16" t="s">
        <v>195</v>
      </c>
      <c r="K35" s="60">
        <f>K24/Inputs!F34</f>
        <v>4.48E-2</v>
      </c>
    </row>
    <row r="36" spans="4:38">
      <c r="D36" t="s">
        <v>144</v>
      </c>
      <c r="E36" s="16" t="s">
        <v>195</v>
      </c>
      <c r="K36" s="61">
        <f>K25/Inputs!F34</f>
        <v>1.9199999999999998E-2</v>
      </c>
      <c r="O36">
        <f>0.85*2000</f>
        <v>1700</v>
      </c>
    </row>
    <row r="37" spans="4:38">
      <c r="D37" t="s">
        <v>125</v>
      </c>
      <c r="E37" s="16" t="s">
        <v>195</v>
      </c>
      <c r="K37" s="62"/>
    </row>
    <row r="38" spans="4:38">
      <c r="D38" t="s">
        <v>191</v>
      </c>
      <c r="E38" s="16" t="s">
        <v>195</v>
      </c>
      <c r="K38" s="62"/>
    </row>
    <row r="39" spans="4:38">
      <c r="E39" s="16"/>
      <c r="K39" s="66"/>
    </row>
    <row r="40" spans="4:38" ht="18">
      <c r="D40" s="15" t="s">
        <v>226</v>
      </c>
    </row>
    <row r="41" spans="4:38" ht="15">
      <c r="D41" s="4" t="s">
        <v>212</v>
      </c>
      <c r="E41" s="16" t="s">
        <v>145</v>
      </c>
      <c r="K41" s="116">
        <f>K23*Inputs!E117</f>
        <v>67550</v>
      </c>
      <c r="L41" s="116">
        <f>L23*Inputs!F117</f>
        <v>63784.690900000001</v>
      </c>
      <c r="M41" s="116">
        <f>M23*Inputs!G117</f>
        <v>66502.955596000014</v>
      </c>
      <c r="N41" s="116">
        <f>N23*Inputs!H117</f>
        <v>177421.41771647998</v>
      </c>
      <c r="O41" s="116">
        <f>O23*Inputs!I117</f>
        <v>177421.41771647998</v>
      </c>
      <c r="P41" s="116">
        <f>P23*Inputs!$J$117</f>
        <v>177421.41771647998</v>
      </c>
      <c r="Q41" s="116">
        <f>Q23*Inputs!$J$117</f>
        <v>208975.66771647998</v>
      </c>
      <c r="R41" s="116">
        <f>R23*Inputs!$J$117</f>
        <v>208975.66771647998</v>
      </c>
      <c r="S41" s="116">
        <f>S23*Inputs!$J$117</f>
        <v>208975.66771647998</v>
      </c>
      <c r="T41" s="116">
        <f>T23*Inputs!$J$117</f>
        <v>208975.66771647998</v>
      </c>
      <c r="U41" s="116">
        <f>U23*Inputs!$J$117</f>
        <v>208975.66771647998</v>
      </c>
      <c r="V41" s="116">
        <f>V23*Inputs!$J$117</f>
        <v>208975.66771647998</v>
      </c>
      <c r="W41" s="116">
        <f>W23*Inputs!$J$117</f>
        <v>208975.66771647998</v>
      </c>
      <c r="X41" s="116">
        <f>X23*Inputs!$J$117</f>
        <v>208975.66771647998</v>
      </c>
      <c r="Y41" s="116">
        <f>Y23*Inputs!$J$117</f>
        <v>208975.66771647998</v>
      </c>
      <c r="Z41" s="116">
        <f>Z23*Inputs!$J$117</f>
        <v>208975.66771647998</v>
      </c>
      <c r="AA41" s="116">
        <f>AA23*Inputs!$J$117</f>
        <v>275615.15826007427</v>
      </c>
      <c r="AB41" s="116">
        <f>AB23*Inputs!$J$117</f>
        <v>275615.15826007427</v>
      </c>
      <c r="AC41" s="116">
        <f>AC23*Inputs!$J$117</f>
        <v>275615.15826007427</v>
      </c>
      <c r="AD41" s="116">
        <f>AD23*Inputs!$J$117</f>
        <v>275615.15826007427</v>
      </c>
      <c r="AE41" s="116">
        <f>AE23*Inputs!$J$117</f>
        <v>275615.15826007427</v>
      </c>
      <c r="AF41" s="116">
        <f>AF23*Inputs!$J$117</f>
        <v>275615.15826007427</v>
      </c>
      <c r="AG41" s="116">
        <f>AG23*Inputs!$J$117</f>
        <v>275615.15826007427</v>
      </c>
      <c r="AH41" s="116">
        <f>AH23*Inputs!$J$117</f>
        <v>275615.15826007427</v>
      </c>
      <c r="AI41" s="116">
        <f>AI23*Inputs!$J$117</f>
        <v>275615.15826007427</v>
      </c>
      <c r="AJ41" s="116">
        <f>AJ23*Inputs!$J$117</f>
        <v>275615.15826007427</v>
      </c>
      <c r="AK41" s="116">
        <f>AK23*Inputs!$J$117</f>
        <v>275615.15826007427</v>
      </c>
      <c r="AL41" s="116">
        <f>AL23*Inputs!$J$117</f>
        <v>275615.15826007427</v>
      </c>
    </row>
    <row r="42" spans="4:38">
      <c r="D42" s="7" t="s">
        <v>122</v>
      </c>
      <c r="E42" s="16" t="s">
        <v>145</v>
      </c>
      <c r="K42" s="116">
        <f>(K41*Inputs!E118)*Inputs!E120</f>
        <v>48804.875</v>
      </c>
      <c r="L42" s="116">
        <f>(L41*Inputs!F118)*Inputs!F120</f>
        <v>46084.439175250001</v>
      </c>
      <c r="M42" s="116">
        <f>(M41*Inputs!G118)*Inputs!G120</f>
        <v>48048.385418110011</v>
      </c>
      <c r="N42" s="116">
        <f>(N41*Inputs!H118)*Inputs!H120</f>
        <v>128186.97430015677</v>
      </c>
      <c r="O42" s="116">
        <f>(O41*Inputs!I118)*Inputs!I120</f>
        <v>128186.97430015677</v>
      </c>
      <c r="P42" s="116">
        <f>(P41*Inputs!$J$118)*Inputs!$J$120</f>
        <v>128186.97430015677</v>
      </c>
      <c r="Q42" s="116">
        <f>(Q41*Inputs!$J$118)*Inputs!$J$120</f>
        <v>150984.91992515678</v>
      </c>
      <c r="R42" s="116">
        <f>(R41*Inputs!$J$118)*Inputs!$J$120</f>
        <v>150984.91992515678</v>
      </c>
      <c r="S42" s="116">
        <f>(S41*Inputs!$J$118)*Inputs!$J$120</f>
        <v>150984.91992515678</v>
      </c>
      <c r="T42" s="116">
        <f>(T41*Inputs!$J$118)*Inputs!$J$120</f>
        <v>150984.91992515678</v>
      </c>
      <c r="U42" s="116">
        <f>(U41*Inputs!$J$118)*Inputs!$J$120</f>
        <v>150984.91992515678</v>
      </c>
      <c r="V42" s="116">
        <f>(V41*Inputs!$J$118)*Inputs!$J$120</f>
        <v>150984.91992515678</v>
      </c>
      <c r="W42" s="116">
        <f>(W41*Inputs!$J$118)*Inputs!$J$120</f>
        <v>150984.91992515678</v>
      </c>
      <c r="X42" s="116">
        <f>(X41*Inputs!$J$118)*Inputs!$J$120</f>
        <v>150984.91992515678</v>
      </c>
      <c r="Y42" s="116">
        <f>(Y41*Inputs!$J$118)*Inputs!$J$120</f>
        <v>150984.91992515678</v>
      </c>
      <c r="Z42" s="116">
        <f>(Z41*Inputs!$J$118)*Inputs!$J$120</f>
        <v>150984.91992515678</v>
      </c>
      <c r="AA42" s="116">
        <f>(AA41*Inputs!$J$118)*Inputs!$J$120</f>
        <v>199131.95184290365</v>
      </c>
      <c r="AB42" s="116">
        <f>(AB41*Inputs!$J$118)*Inputs!$J$120</f>
        <v>199131.95184290365</v>
      </c>
      <c r="AC42" s="116">
        <f>(AC41*Inputs!$J$118)*Inputs!$J$120</f>
        <v>199131.95184290365</v>
      </c>
      <c r="AD42" s="116">
        <f>(AD41*Inputs!$J$118)*Inputs!$J$120</f>
        <v>199131.95184290365</v>
      </c>
      <c r="AE42" s="116">
        <f>(AE41*Inputs!$J$118)*Inputs!$J$120</f>
        <v>199131.95184290365</v>
      </c>
      <c r="AF42" s="116">
        <f>(AF41*Inputs!$J$118)*Inputs!$J$120</f>
        <v>199131.95184290365</v>
      </c>
      <c r="AG42" s="116">
        <f>(AG41*Inputs!$J$118)*Inputs!$J$120</f>
        <v>199131.95184290365</v>
      </c>
      <c r="AH42" s="116">
        <f>(AH41*Inputs!$J$118)*Inputs!$J$120</f>
        <v>199131.95184290365</v>
      </c>
      <c r="AI42" s="116">
        <f>(AI41*Inputs!$J$118)*Inputs!$J$120</f>
        <v>199131.95184290365</v>
      </c>
      <c r="AJ42" s="116">
        <f>(AJ41*Inputs!$J$118)*Inputs!$J$120</f>
        <v>199131.95184290365</v>
      </c>
      <c r="AK42" s="116">
        <f>(AK41*Inputs!$J$118)*Inputs!$J$120</f>
        <v>199131.95184290365</v>
      </c>
      <c r="AL42" s="116">
        <f>(AL41*Inputs!$J$118)*Inputs!$J$120</f>
        <v>199131.95184290365</v>
      </c>
    </row>
    <row r="43" spans="4:38">
      <c r="D43" s="7" t="s">
        <v>219</v>
      </c>
      <c r="E43" s="16" t="s">
        <v>145</v>
      </c>
      <c r="K43" s="116">
        <f>K41*Inputs!E119</f>
        <v>10132.5</v>
      </c>
      <c r="L43" s="116">
        <f>L41*Inputs!F119</f>
        <v>9567.7036349999998</v>
      </c>
      <c r="M43" s="116">
        <f>M41*Inputs!G119</f>
        <v>9975.4433394000025</v>
      </c>
      <c r="N43" s="116">
        <f>N41*Inputs!H119</f>
        <v>26613.212657471995</v>
      </c>
      <c r="O43" s="116">
        <f>O41*Inputs!I119</f>
        <v>26613.212657471995</v>
      </c>
      <c r="P43" s="116">
        <f>P41*Inputs!$J$119</f>
        <v>26613.212657471995</v>
      </c>
      <c r="Q43" s="116">
        <f>Q41*Inputs!$J$119</f>
        <v>31346.350157471996</v>
      </c>
      <c r="R43" s="116">
        <f>R41*Inputs!$J$119</f>
        <v>31346.350157471996</v>
      </c>
      <c r="S43" s="116">
        <f>S41*Inputs!$J$119</f>
        <v>31346.350157471996</v>
      </c>
      <c r="T43" s="116">
        <f>T41*Inputs!$J$119</f>
        <v>31346.350157471996</v>
      </c>
      <c r="U43" s="116">
        <f>U41*Inputs!$J$119</f>
        <v>31346.350157471996</v>
      </c>
      <c r="V43" s="116">
        <f>V41*Inputs!$J$119</f>
        <v>31346.350157471996</v>
      </c>
      <c r="W43" s="116">
        <f>W41*Inputs!$J$119</f>
        <v>31346.350157471996</v>
      </c>
      <c r="X43" s="116">
        <f>X41*Inputs!$J$119</f>
        <v>31346.350157471996</v>
      </c>
      <c r="Y43" s="116">
        <f>Y41*Inputs!$J$119</f>
        <v>31346.350157471996</v>
      </c>
      <c r="Z43" s="116">
        <f>Z41*Inputs!$J$119</f>
        <v>31346.350157471996</v>
      </c>
      <c r="AA43" s="116">
        <f>AA41*Inputs!$J$119</f>
        <v>41342.273739011136</v>
      </c>
      <c r="AB43" s="116">
        <f>AB41*Inputs!$J$119</f>
        <v>41342.273739011136</v>
      </c>
      <c r="AC43" s="116">
        <f>AC41*Inputs!$J$119</f>
        <v>41342.273739011136</v>
      </c>
      <c r="AD43" s="116">
        <f>AD41*Inputs!$J$119</f>
        <v>41342.273739011136</v>
      </c>
      <c r="AE43" s="116">
        <f>AE41*Inputs!$J$119</f>
        <v>41342.273739011136</v>
      </c>
      <c r="AF43" s="116">
        <f>AF41*Inputs!$J$119</f>
        <v>41342.273739011136</v>
      </c>
      <c r="AG43" s="116">
        <f>AG41*Inputs!$J$119</f>
        <v>41342.273739011136</v>
      </c>
      <c r="AH43" s="116">
        <f>AH41*Inputs!$J$119</f>
        <v>41342.273739011136</v>
      </c>
      <c r="AI43" s="116">
        <f>AI41*Inputs!$J$119</f>
        <v>41342.273739011136</v>
      </c>
      <c r="AJ43" s="116">
        <f>AJ41*Inputs!$J$119</f>
        <v>41342.273739011136</v>
      </c>
      <c r="AK43" s="116">
        <f>AK41*Inputs!$J$119</f>
        <v>41342.273739011136</v>
      </c>
      <c r="AL43" s="116">
        <f>AL41*Inputs!$J$119</f>
        <v>41342.273739011136</v>
      </c>
    </row>
    <row r="44" spans="4:38" ht="15">
      <c r="D44" s="67" t="s">
        <v>227</v>
      </c>
      <c r="E44" s="16" t="s">
        <v>145</v>
      </c>
      <c r="K44" s="116">
        <f>K23*Inputs!E114</f>
        <v>115800</v>
      </c>
      <c r="L44" s="116">
        <f>L23*Inputs!F114</f>
        <v>109345.18440000001</v>
      </c>
      <c r="M44" s="116">
        <f>M23*Inputs!G114</f>
        <v>114005.06673600002</v>
      </c>
      <c r="N44" s="116">
        <f>N23*Inputs!H114</f>
        <v>304151.00179968</v>
      </c>
      <c r="O44" s="116">
        <f>O23*Inputs!I114</f>
        <v>304151.00179968</v>
      </c>
      <c r="P44" s="116">
        <f>P23*Inputs!$J$114</f>
        <v>304151.00179968</v>
      </c>
      <c r="Q44" s="116">
        <f>Q23*Inputs!$J$114</f>
        <v>358244.00179968</v>
      </c>
      <c r="R44" s="116">
        <f>R23*Inputs!$J$114</f>
        <v>358244.00179968</v>
      </c>
      <c r="S44" s="116">
        <f>S23*Inputs!$J$114</f>
        <v>358244.00179968</v>
      </c>
      <c r="T44" s="116">
        <f>T23*Inputs!$J$114</f>
        <v>358244.00179968</v>
      </c>
      <c r="U44" s="116">
        <f>U23*Inputs!$J$114</f>
        <v>358244.00179968</v>
      </c>
      <c r="V44" s="116">
        <f>V23*Inputs!$J$114</f>
        <v>358244.00179968</v>
      </c>
      <c r="W44" s="116">
        <f>W23*Inputs!$J$114</f>
        <v>358244.00179968</v>
      </c>
      <c r="X44" s="116">
        <f>X23*Inputs!$J$114</f>
        <v>358244.00179968</v>
      </c>
      <c r="Y44" s="116">
        <f>Y23*Inputs!$J$114</f>
        <v>358244.00179968</v>
      </c>
      <c r="Z44" s="116">
        <f>Z23*Inputs!$J$114</f>
        <v>358244.00179968</v>
      </c>
      <c r="AA44" s="116">
        <f>AA23*Inputs!$J$114</f>
        <v>472483.12844584166</v>
      </c>
      <c r="AB44" s="116">
        <f>AB23*Inputs!$J$114</f>
        <v>472483.12844584166</v>
      </c>
      <c r="AC44" s="116">
        <f>AC23*Inputs!$J$114</f>
        <v>472483.12844584166</v>
      </c>
      <c r="AD44" s="116">
        <f>AD23*Inputs!$J$114</f>
        <v>472483.12844584166</v>
      </c>
      <c r="AE44" s="116">
        <f>AE23*Inputs!$J$114</f>
        <v>472483.12844584166</v>
      </c>
      <c r="AF44" s="116">
        <f>AF23*Inputs!$J$114</f>
        <v>472483.12844584166</v>
      </c>
      <c r="AG44" s="116">
        <f>AG23*Inputs!$J$114</f>
        <v>472483.12844584166</v>
      </c>
      <c r="AH44" s="116">
        <f>AH23*Inputs!$J$114</f>
        <v>472483.12844584166</v>
      </c>
      <c r="AI44" s="116">
        <f>AI23*Inputs!$J$114</f>
        <v>472483.12844584166</v>
      </c>
      <c r="AJ44" s="116">
        <f>AJ23*Inputs!$J$114</f>
        <v>472483.12844584166</v>
      </c>
      <c r="AK44" s="116">
        <f>AK23*Inputs!$J$114</f>
        <v>472483.12844584166</v>
      </c>
      <c r="AL44" s="116">
        <f>AL23*Inputs!$J$114</f>
        <v>472483.12844584166</v>
      </c>
    </row>
    <row r="45" spans="4:38">
      <c r="D45" s="7" t="s">
        <v>394</v>
      </c>
      <c r="E45" s="16" t="s">
        <v>145</v>
      </c>
      <c r="J45" s="65"/>
      <c r="K45" s="116">
        <f>K44*Inputs!E115</f>
        <v>11580</v>
      </c>
      <c r="L45" s="116">
        <f>L44*Inputs!F115</f>
        <v>10934.518440000002</v>
      </c>
      <c r="M45" s="116">
        <f>M44*Inputs!G115</f>
        <v>11400.506673600003</v>
      </c>
      <c r="N45" s="116">
        <f>N44*Inputs!H115</f>
        <v>30415.100179968002</v>
      </c>
      <c r="O45" s="116">
        <f>O44*Inputs!I115</f>
        <v>30415.100179968002</v>
      </c>
      <c r="P45" s="116">
        <f>P44*Inputs!J115</f>
        <v>30415.100179968002</v>
      </c>
      <c r="Q45" s="116">
        <f>P45</f>
        <v>30415.100179968002</v>
      </c>
      <c r="R45" s="116">
        <f t="shared" ref="R45:AL45" si="17">Q45</f>
        <v>30415.100179968002</v>
      </c>
      <c r="S45" s="116">
        <f t="shared" si="17"/>
        <v>30415.100179968002</v>
      </c>
      <c r="T45" s="116">
        <f t="shared" si="17"/>
        <v>30415.100179968002</v>
      </c>
      <c r="U45" s="116">
        <f t="shared" si="17"/>
        <v>30415.100179968002</v>
      </c>
      <c r="V45" s="116">
        <f t="shared" si="17"/>
        <v>30415.100179968002</v>
      </c>
      <c r="W45" s="116">
        <f t="shared" si="17"/>
        <v>30415.100179968002</v>
      </c>
      <c r="X45" s="116">
        <f t="shared" si="17"/>
        <v>30415.100179968002</v>
      </c>
      <c r="Y45" s="116">
        <f t="shared" si="17"/>
        <v>30415.100179968002</v>
      </c>
      <c r="Z45" s="116">
        <f t="shared" si="17"/>
        <v>30415.100179968002</v>
      </c>
      <c r="AA45" s="116">
        <f t="shared" si="17"/>
        <v>30415.100179968002</v>
      </c>
      <c r="AB45" s="116">
        <f t="shared" si="17"/>
        <v>30415.100179968002</v>
      </c>
      <c r="AC45" s="116">
        <f t="shared" si="17"/>
        <v>30415.100179968002</v>
      </c>
      <c r="AD45" s="116">
        <f t="shared" si="17"/>
        <v>30415.100179968002</v>
      </c>
      <c r="AE45" s="116">
        <f t="shared" si="17"/>
        <v>30415.100179968002</v>
      </c>
      <c r="AF45" s="116">
        <f t="shared" si="17"/>
        <v>30415.100179968002</v>
      </c>
      <c r="AG45" s="116">
        <f t="shared" si="17"/>
        <v>30415.100179968002</v>
      </c>
      <c r="AH45" s="116">
        <f t="shared" si="17"/>
        <v>30415.100179968002</v>
      </c>
      <c r="AI45" s="116">
        <f t="shared" si="17"/>
        <v>30415.100179968002</v>
      </c>
      <c r="AJ45" s="116">
        <f t="shared" si="17"/>
        <v>30415.100179968002</v>
      </c>
      <c r="AK45" s="116">
        <f t="shared" si="17"/>
        <v>30415.100179968002</v>
      </c>
      <c r="AL45" s="116">
        <f t="shared" si="17"/>
        <v>30415.100179968002</v>
      </c>
    </row>
    <row r="46" spans="4:38">
      <c r="D46" s="7" t="s">
        <v>395</v>
      </c>
      <c r="E46" s="16" t="s">
        <v>145</v>
      </c>
      <c r="J46" s="65"/>
      <c r="K46" s="116">
        <f>Inputs!E116*K44</f>
        <v>104220</v>
      </c>
      <c r="L46" s="116">
        <f>Inputs!F116*L44</f>
        <v>98410.665960000013</v>
      </c>
      <c r="M46" s="116">
        <f>Inputs!G116*M44</f>
        <v>102604.56006240002</v>
      </c>
      <c r="N46" s="116">
        <f>Inputs!H116*N44</f>
        <v>273735.90161971201</v>
      </c>
      <c r="O46" s="116">
        <f>Inputs!I116*O44</f>
        <v>273735.90161971201</v>
      </c>
      <c r="P46" s="116">
        <f>Inputs!J116*P44</f>
        <v>273735.90161971201</v>
      </c>
      <c r="Q46" s="116">
        <f t="shared" ref="Q46:AL46" si="18">P46</f>
        <v>273735.90161971201</v>
      </c>
      <c r="R46" s="116">
        <f t="shared" si="18"/>
        <v>273735.90161971201</v>
      </c>
      <c r="S46" s="116">
        <f t="shared" si="18"/>
        <v>273735.90161971201</v>
      </c>
      <c r="T46" s="116">
        <f t="shared" si="18"/>
        <v>273735.90161971201</v>
      </c>
      <c r="U46" s="116">
        <f t="shared" si="18"/>
        <v>273735.90161971201</v>
      </c>
      <c r="V46" s="116">
        <f t="shared" si="18"/>
        <v>273735.90161971201</v>
      </c>
      <c r="W46" s="116">
        <f t="shared" si="18"/>
        <v>273735.90161971201</v>
      </c>
      <c r="X46" s="116">
        <f t="shared" si="18"/>
        <v>273735.90161971201</v>
      </c>
      <c r="Y46" s="116">
        <f t="shared" si="18"/>
        <v>273735.90161971201</v>
      </c>
      <c r="Z46" s="116">
        <f t="shared" si="18"/>
        <v>273735.90161971201</v>
      </c>
      <c r="AA46" s="116">
        <f t="shared" si="18"/>
        <v>273735.90161971201</v>
      </c>
      <c r="AB46" s="116">
        <f t="shared" si="18"/>
        <v>273735.90161971201</v>
      </c>
      <c r="AC46" s="116">
        <f t="shared" si="18"/>
        <v>273735.90161971201</v>
      </c>
      <c r="AD46" s="116">
        <f t="shared" si="18"/>
        <v>273735.90161971201</v>
      </c>
      <c r="AE46" s="116">
        <f t="shared" si="18"/>
        <v>273735.90161971201</v>
      </c>
      <c r="AF46" s="116">
        <f t="shared" si="18"/>
        <v>273735.90161971201</v>
      </c>
      <c r="AG46" s="116">
        <f t="shared" si="18"/>
        <v>273735.90161971201</v>
      </c>
      <c r="AH46" s="116">
        <f t="shared" si="18"/>
        <v>273735.90161971201</v>
      </c>
      <c r="AI46" s="116">
        <f t="shared" si="18"/>
        <v>273735.90161971201</v>
      </c>
      <c r="AJ46" s="116">
        <f t="shared" si="18"/>
        <v>273735.90161971201</v>
      </c>
      <c r="AK46" s="116">
        <f t="shared" si="18"/>
        <v>273735.90161971201</v>
      </c>
      <c r="AL46" s="116">
        <f t="shared" si="18"/>
        <v>273735.90161971201</v>
      </c>
    </row>
    <row r="47" spans="4:38" ht="15">
      <c r="D47" s="67" t="s">
        <v>228</v>
      </c>
      <c r="E47" s="16" t="s">
        <v>145</v>
      </c>
      <c r="K47" s="116">
        <f>K23*Inputs!E113</f>
        <v>9650</v>
      </c>
      <c r="L47" s="116">
        <f>L23*Inputs!F113</f>
        <v>9112.0987000000005</v>
      </c>
      <c r="M47" s="116">
        <f>M23*Inputs!G113</f>
        <v>9500.4222280000013</v>
      </c>
      <c r="N47" s="116">
        <f>N23*Inputs!H113</f>
        <v>25345.916816640001</v>
      </c>
      <c r="O47" s="116">
        <f>O23*Inputs!I113</f>
        <v>25345.916816640001</v>
      </c>
      <c r="P47" s="116">
        <f>P23*Inputs!$J$113</f>
        <v>25345.916816640001</v>
      </c>
      <c r="Q47" s="116">
        <f>Q23*Inputs!$J$113</f>
        <v>29853.666816640001</v>
      </c>
      <c r="R47" s="116">
        <f>R23*Inputs!$J$113</f>
        <v>29853.666816640001</v>
      </c>
      <c r="S47" s="116">
        <f>S23*Inputs!$J$113</f>
        <v>29853.666816640001</v>
      </c>
      <c r="T47" s="116">
        <f>T23*Inputs!$J$113</f>
        <v>29853.666816640001</v>
      </c>
      <c r="U47" s="116">
        <f>U23*Inputs!$J$113</f>
        <v>29853.666816640001</v>
      </c>
      <c r="V47" s="116">
        <f>V23*Inputs!$J$113</f>
        <v>29853.666816640001</v>
      </c>
      <c r="W47" s="116">
        <f>W23*Inputs!$J$113</f>
        <v>29853.666816640001</v>
      </c>
      <c r="X47" s="116">
        <f>X23*Inputs!$J$113</f>
        <v>29853.666816640001</v>
      </c>
      <c r="Y47" s="116">
        <f>Y23*Inputs!$J$113</f>
        <v>29853.666816640001</v>
      </c>
      <c r="Z47" s="116">
        <f>Z23*Inputs!$J$113</f>
        <v>29853.666816640001</v>
      </c>
      <c r="AA47" s="116">
        <f>AA23*Inputs!$J$113</f>
        <v>39373.594037153474</v>
      </c>
      <c r="AB47" s="116">
        <f>AB23*Inputs!$J$113</f>
        <v>39373.594037153474</v>
      </c>
      <c r="AC47" s="116">
        <f>AC23*Inputs!$J$113</f>
        <v>39373.594037153474</v>
      </c>
      <c r="AD47" s="116">
        <f>AD23*Inputs!$J$113</f>
        <v>39373.594037153474</v>
      </c>
      <c r="AE47" s="116">
        <f>AE23*Inputs!$J$113</f>
        <v>39373.594037153474</v>
      </c>
      <c r="AF47" s="116">
        <f>AF23*Inputs!$J$113</f>
        <v>39373.594037153474</v>
      </c>
      <c r="AG47" s="116">
        <f>AG23*Inputs!$J$113</f>
        <v>39373.594037153474</v>
      </c>
      <c r="AH47" s="116">
        <f>AH23*Inputs!$J$113</f>
        <v>39373.594037153474</v>
      </c>
      <c r="AI47" s="116">
        <f>AI23*Inputs!$J$113</f>
        <v>39373.594037153474</v>
      </c>
      <c r="AJ47" s="116">
        <f>AJ23*Inputs!$J$113</f>
        <v>39373.594037153474</v>
      </c>
      <c r="AK47" s="116">
        <f>AK23*Inputs!$J$113</f>
        <v>39373.594037153474</v>
      </c>
      <c r="AL47" s="116">
        <f>AL23*Inputs!$J$113</f>
        <v>39373.594037153474</v>
      </c>
    </row>
    <row r="48" spans="4:38">
      <c r="N48" s="65"/>
    </row>
    <row r="49" spans="4:41" ht="24" thickBot="1">
      <c r="D49" s="57" t="s">
        <v>230</v>
      </c>
    </row>
    <row r="50" spans="4:41" ht="15">
      <c r="D50" s="4" t="s">
        <v>236</v>
      </c>
      <c r="E50" s="16" t="s">
        <v>145</v>
      </c>
      <c r="K50" s="9">
        <f>Inputs!E124*'Risk exposure pessimistic view'!K23</f>
        <v>183350</v>
      </c>
      <c r="L50" s="9">
        <f>Inputs!F124*'Risk exposure pessimistic view'!L23</f>
        <v>173129.87530000001</v>
      </c>
      <c r="M50" s="9">
        <f>Inputs!G124*'Risk exposure pessimistic view'!M23</f>
        <v>180508.02233200002</v>
      </c>
      <c r="N50" s="9">
        <f>Inputs!H124*'Risk exposure pessimistic view'!N23</f>
        <v>481572.41951615998</v>
      </c>
      <c r="O50" s="9">
        <f>Inputs!I124*'Risk exposure pessimistic view'!O23</f>
        <v>481572.41951615998</v>
      </c>
      <c r="P50" s="9">
        <f>Inputs!$J$124*'Risk exposure pessimistic view'!P23</f>
        <v>481572.41951615998</v>
      </c>
      <c r="Q50" s="9">
        <f>Inputs!$J$124*'Risk exposure pessimistic view'!Q23</f>
        <v>567219.66951615992</v>
      </c>
      <c r="R50" s="9">
        <f>Inputs!$J$124*'Risk exposure pessimistic view'!R23</f>
        <v>567219.66951615992</v>
      </c>
      <c r="S50" s="9">
        <f>Inputs!$J$124*'Risk exposure pessimistic view'!S23</f>
        <v>567219.66951615992</v>
      </c>
      <c r="T50" s="9">
        <f>Inputs!$J$124*'Risk exposure pessimistic view'!T23</f>
        <v>567219.66951615992</v>
      </c>
      <c r="U50" s="9">
        <f>Inputs!$J$124*'Risk exposure pessimistic view'!U23</f>
        <v>567219.66951615992</v>
      </c>
      <c r="V50" s="9">
        <f>Inputs!$J$124*'Risk exposure pessimistic view'!V23</f>
        <v>567219.66951615992</v>
      </c>
      <c r="W50" s="9">
        <f>Inputs!$J$124*'Risk exposure pessimistic view'!W23</f>
        <v>567219.66951615992</v>
      </c>
      <c r="X50" s="9">
        <f>Inputs!$J$124*'Risk exposure pessimistic view'!X23</f>
        <v>567219.66951615992</v>
      </c>
      <c r="Y50" s="9">
        <f>Inputs!$J$124*'Risk exposure pessimistic view'!Y23</f>
        <v>567219.66951615992</v>
      </c>
      <c r="Z50" s="9">
        <f>Inputs!$J$124*'Risk exposure pessimistic view'!Z23</f>
        <v>567219.66951615992</v>
      </c>
      <c r="AA50" s="9">
        <f>Inputs!$J$124*'Risk exposure pessimistic view'!AA23</f>
        <v>748098.28670591593</v>
      </c>
      <c r="AB50" s="9">
        <f>Inputs!$J$124*'Risk exposure pessimistic view'!AB23</f>
        <v>748098.28670591593</v>
      </c>
      <c r="AC50" s="9">
        <f>Inputs!$J$124*'Risk exposure pessimistic view'!AC23</f>
        <v>748098.28670591593</v>
      </c>
      <c r="AD50" s="9">
        <f>Inputs!$J$124*'Risk exposure pessimistic view'!AD23</f>
        <v>748098.28670591593</v>
      </c>
      <c r="AE50" s="9">
        <f>Inputs!$J$124*'Risk exposure pessimistic view'!AE23</f>
        <v>748098.28670591593</v>
      </c>
      <c r="AF50" s="9">
        <f>Inputs!$J$124*'Risk exposure pessimistic view'!AF23</f>
        <v>748098.28670591593</v>
      </c>
      <c r="AG50" s="9">
        <f>Inputs!$J$124*'Risk exposure pessimistic view'!AG23</f>
        <v>748098.28670591593</v>
      </c>
      <c r="AH50" s="9">
        <f>Inputs!$J$124*'Risk exposure pessimistic view'!AH23</f>
        <v>748098.28670591593</v>
      </c>
      <c r="AI50" s="9">
        <f>Inputs!$J$124*'Risk exposure pessimistic view'!AI23</f>
        <v>748098.28670591593</v>
      </c>
      <c r="AJ50" s="9">
        <f>Inputs!$J$124*'Risk exposure pessimistic view'!AJ23</f>
        <v>748098.28670591593</v>
      </c>
      <c r="AK50" s="9">
        <f>Inputs!$J$124*'Risk exposure pessimistic view'!AK23</f>
        <v>748098.28670591593</v>
      </c>
      <c r="AL50" s="9">
        <f>Inputs!$J$124*'Risk exposure pessimistic view'!AL23</f>
        <v>748098.28670591593</v>
      </c>
    </row>
    <row r="51" spans="4:41" ht="15">
      <c r="D51" s="4" t="s">
        <v>378</v>
      </c>
      <c r="E51" s="16" t="s">
        <v>145</v>
      </c>
      <c r="K51" s="65">
        <f>0.6*K50</f>
        <v>110010</v>
      </c>
      <c r="L51" s="65">
        <f t="shared" ref="L51:M51" si="19">0.6*L50</f>
        <v>103877.92518000001</v>
      </c>
      <c r="M51" s="65">
        <f t="shared" si="19"/>
        <v>108304.81339920001</v>
      </c>
      <c r="N51">
        <f>Inputs!H125</f>
        <v>260975</v>
      </c>
      <c r="O51">
        <f>Inputs!I125</f>
        <v>260975</v>
      </c>
      <c r="P51">
        <f>Inputs!J125</f>
        <v>260975</v>
      </c>
      <c r="Q51">
        <f>P51</f>
        <v>260975</v>
      </c>
      <c r="R51">
        <f t="shared" ref="R51:AL51" si="20">Q51</f>
        <v>260975</v>
      </c>
      <c r="S51">
        <f t="shared" si="20"/>
        <v>260975</v>
      </c>
      <c r="T51">
        <f t="shared" si="20"/>
        <v>260975</v>
      </c>
      <c r="U51">
        <f t="shared" si="20"/>
        <v>260975</v>
      </c>
      <c r="V51">
        <f t="shared" si="20"/>
        <v>260975</v>
      </c>
      <c r="W51">
        <f t="shared" si="20"/>
        <v>260975</v>
      </c>
      <c r="X51">
        <f t="shared" si="20"/>
        <v>260975</v>
      </c>
      <c r="Y51">
        <f t="shared" si="20"/>
        <v>260975</v>
      </c>
      <c r="Z51">
        <f t="shared" si="20"/>
        <v>260975</v>
      </c>
      <c r="AA51">
        <f t="shared" si="20"/>
        <v>260975</v>
      </c>
      <c r="AB51">
        <f t="shared" si="20"/>
        <v>260975</v>
      </c>
      <c r="AC51">
        <f t="shared" si="20"/>
        <v>260975</v>
      </c>
      <c r="AD51">
        <f t="shared" si="20"/>
        <v>260975</v>
      </c>
      <c r="AE51">
        <f t="shared" si="20"/>
        <v>260975</v>
      </c>
      <c r="AF51">
        <f t="shared" si="20"/>
        <v>260975</v>
      </c>
      <c r="AG51">
        <f t="shared" si="20"/>
        <v>260975</v>
      </c>
      <c r="AH51">
        <f t="shared" si="20"/>
        <v>260975</v>
      </c>
      <c r="AI51">
        <f t="shared" si="20"/>
        <v>260975</v>
      </c>
      <c r="AJ51">
        <f t="shared" si="20"/>
        <v>260975</v>
      </c>
      <c r="AK51">
        <f t="shared" si="20"/>
        <v>260975</v>
      </c>
      <c r="AL51">
        <f t="shared" si="20"/>
        <v>260975</v>
      </c>
    </row>
    <row r="52" spans="4:41" ht="15">
      <c r="D52" s="67" t="s">
        <v>379</v>
      </c>
      <c r="E52" s="16" t="s">
        <v>145</v>
      </c>
      <c r="K52" s="65">
        <f>K50-K51</f>
        <v>73340</v>
      </c>
      <c r="L52" s="65">
        <f t="shared" ref="L52:AL52" si="21">L50-L51</f>
        <v>69251.950120000009</v>
      </c>
      <c r="M52" s="65">
        <f t="shared" si="21"/>
        <v>72203.208932800015</v>
      </c>
      <c r="N52" s="65">
        <f t="shared" si="21"/>
        <v>220597.41951615998</v>
      </c>
      <c r="O52" s="65">
        <f t="shared" si="21"/>
        <v>220597.41951615998</v>
      </c>
      <c r="P52" s="65">
        <f t="shared" si="21"/>
        <v>220597.41951615998</v>
      </c>
      <c r="Q52" s="65">
        <f t="shared" si="21"/>
        <v>306244.66951615992</v>
      </c>
      <c r="R52" s="65">
        <f t="shared" si="21"/>
        <v>306244.66951615992</v>
      </c>
      <c r="S52" s="65">
        <f t="shared" si="21"/>
        <v>306244.66951615992</v>
      </c>
      <c r="T52" s="65">
        <f t="shared" si="21"/>
        <v>306244.66951615992</v>
      </c>
      <c r="U52" s="65">
        <f t="shared" si="21"/>
        <v>306244.66951615992</v>
      </c>
      <c r="V52" s="65">
        <f t="shared" si="21"/>
        <v>306244.66951615992</v>
      </c>
      <c r="W52" s="65">
        <f t="shared" si="21"/>
        <v>306244.66951615992</v>
      </c>
      <c r="X52" s="65">
        <f t="shared" si="21"/>
        <v>306244.66951615992</v>
      </c>
      <c r="Y52" s="65">
        <f t="shared" si="21"/>
        <v>306244.66951615992</v>
      </c>
      <c r="Z52" s="65">
        <f t="shared" si="21"/>
        <v>306244.66951615992</v>
      </c>
      <c r="AA52" s="65">
        <f t="shared" si="21"/>
        <v>487123.28670591593</v>
      </c>
      <c r="AB52" s="65">
        <f t="shared" si="21"/>
        <v>487123.28670591593</v>
      </c>
      <c r="AC52" s="65">
        <f t="shared" si="21"/>
        <v>487123.28670591593</v>
      </c>
      <c r="AD52" s="65">
        <f t="shared" si="21"/>
        <v>487123.28670591593</v>
      </c>
      <c r="AE52" s="65">
        <f t="shared" si="21"/>
        <v>487123.28670591593</v>
      </c>
      <c r="AF52" s="65">
        <f t="shared" si="21"/>
        <v>487123.28670591593</v>
      </c>
      <c r="AG52" s="65">
        <f t="shared" si="21"/>
        <v>487123.28670591593</v>
      </c>
      <c r="AH52" s="65">
        <f t="shared" si="21"/>
        <v>487123.28670591593</v>
      </c>
      <c r="AI52" s="65">
        <f t="shared" si="21"/>
        <v>487123.28670591593</v>
      </c>
      <c r="AJ52" s="65">
        <f t="shared" si="21"/>
        <v>487123.28670591593</v>
      </c>
      <c r="AK52" s="65">
        <f t="shared" si="21"/>
        <v>487123.28670591593</v>
      </c>
      <c r="AL52" s="65">
        <f t="shared" si="21"/>
        <v>487123.28670591593</v>
      </c>
      <c r="AM52" s="65">
        <f>SUM(M52:AL52)/1000</f>
        <v>9641.9216031138731</v>
      </c>
    </row>
    <row r="53" spans="4:41" ht="15">
      <c r="D53" s="67"/>
      <c r="E53" s="16"/>
    </row>
    <row r="57" spans="4:41" ht="24" thickBot="1">
      <c r="D57" s="57" t="s">
        <v>109</v>
      </c>
    </row>
    <row r="58" spans="4:41">
      <c r="D58" t="s">
        <v>173</v>
      </c>
      <c r="E58" s="16" t="s">
        <v>213</v>
      </c>
      <c r="K58" s="116">
        <f>Inputs!E34*(1+(Inputs!E29/100))</f>
        <v>3204114.6302</v>
      </c>
      <c r="L58" s="116">
        <f>K58*(1+(Inputs!$E$29/100))</f>
        <v>3204114.6302</v>
      </c>
      <c r="M58" s="116">
        <f>L58*(1+(Inputs!$E$29/100))</f>
        <v>3204114.6302</v>
      </c>
      <c r="N58" s="116">
        <f>M58*(1+(Inputs!$E$29/100))</f>
        <v>3204114.6302</v>
      </c>
      <c r="O58" s="116">
        <f>N58*(1+(Inputs!$E$29/100))</f>
        <v>3204114.6302</v>
      </c>
      <c r="P58" s="116">
        <f>O58*(1+(Inputs!$E$29/100))</f>
        <v>3204114.6302</v>
      </c>
      <c r="Q58" s="116">
        <f>P58*(1+(Inputs!$E$29/100))</f>
        <v>3204114.6302</v>
      </c>
      <c r="R58" s="116">
        <f>Q58*(1+(Inputs!$E$29/100))</f>
        <v>3204114.6302</v>
      </c>
      <c r="S58" s="116">
        <f>R58*(1+(Inputs!$E$29/100))</f>
        <v>3204114.6302</v>
      </c>
      <c r="T58" s="116">
        <f>S58*(1+(Inputs!$E$29/100))</f>
        <v>3204114.6302</v>
      </c>
      <c r="U58" s="116">
        <f>T58*(1+(Inputs!$E$29/100))</f>
        <v>3204114.6302</v>
      </c>
      <c r="V58" s="116">
        <f>U58*(1+(Inputs!$E$29/100))</f>
        <v>3204114.6302</v>
      </c>
      <c r="W58" s="130">
        <f>V58*(1+(Inputs!$E$29/100))</f>
        <v>3204114.6302</v>
      </c>
      <c r="X58" s="116">
        <f>W58*(1+(Inputs!$E$29/100))</f>
        <v>3204114.6302</v>
      </c>
      <c r="Y58" s="116">
        <f>X58*(1+(Inputs!$E$29/100))</f>
        <v>3204114.6302</v>
      </c>
      <c r="Z58" s="116">
        <f>Y58*(1+(Inputs!$E$29/100))</f>
        <v>3204114.6302</v>
      </c>
      <c r="AA58" s="116">
        <v>6179091.8866104605</v>
      </c>
      <c r="AB58" s="130">
        <v>6179091.8866104605</v>
      </c>
      <c r="AC58" s="116">
        <v>6179091.8866104605</v>
      </c>
      <c r="AD58" s="116">
        <v>6179091.8866104605</v>
      </c>
      <c r="AE58" s="116">
        <v>6179091.8866104605</v>
      </c>
      <c r="AF58" s="116">
        <v>6179091.8866104605</v>
      </c>
      <c r="AG58" s="116">
        <v>6179091.8866104605</v>
      </c>
      <c r="AH58" s="116">
        <v>6179091.8866104605</v>
      </c>
      <c r="AI58" s="116">
        <v>6179091.8866104605</v>
      </c>
      <c r="AJ58" s="116">
        <v>6179091.8866104605</v>
      </c>
      <c r="AK58" s="116">
        <v>6179091.8866104605</v>
      </c>
      <c r="AL58" s="116">
        <v>6179091.8866104605</v>
      </c>
      <c r="AM58" s="116"/>
      <c r="AN58" s="116"/>
      <c r="AO58" s="116"/>
    </row>
    <row r="59" spans="4:41">
      <c r="D59" s="7" t="s">
        <v>375</v>
      </c>
      <c r="E59" s="16" t="s">
        <v>213</v>
      </c>
      <c r="K59" s="116">
        <f>K58-Inputs!F34</f>
        <v>188489.63020000001</v>
      </c>
      <c r="L59" s="116">
        <f>L58-Inputs!G34</f>
        <v>62011.630200000014</v>
      </c>
      <c r="M59" s="116">
        <f>M58-Inputs!H34</f>
        <v>450369.0568666663</v>
      </c>
      <c r="N59" s="116"/>
      <c r="O59" s="116"/>
      <c r="P59" s="116"/>
      <c r="Q59" s="116"/>
      <c r="R59" s="116"/>
      <c r="S59" s="116"/>
      <c r="T59" s="116"/>
      <c r="U59" s="116"/>
      <c r="V59" s="116"/>
      <c r="W59" s="116"/>
      <c r="X59" s="116"/>
      <c r="Y59" s="116"/>
      <c r="Z59" s="116"/>
      <c r="AA59" s="116"/>
    </row>
    <row r="60" spans="4:41">
      <c r="D60" s="23" t="s">
        <v>217</v>
      </c>
      <c r="E60" s="16" t="s">
        <v>213</v>
      </c>
      <c r="K60" s="117">
        <f>Inputs!F35*Inputs!F34</f>
        <v>2322031.25</v>
      </c>
      <c r="L60" s="117">
        <f>Inputs!G35*Inputs!G34</f>
        <v>2639366.52</v>
      </c>
      <c r="M60" s="117">
        <f>Inputs!H35*Inputs!H34</f>
        <v>2092846.6357333336</v>
      </c>
      <c r="N60" s="117">
        <f>Inputs!I35*N58</f>
        <v>2242880.2411400001</v>
      </c>
      <c r="O60" s="117">
        <f>Inputs!J35*O58</f>
        <v>1922468.7781199999</v>
      </c>
      <c r="P60" s="117">
        <f>Inputs!$K$35*P58</f>
        <v>1281645.8520800001</v>
      </c>
      <c r="Q60" s="117">
        <f>Inputs!$K$35*Q58</f>
        <v>1281645.8520800001</v>
      </c>
      <c r="R60" s="117">
        <f>Inputs!$K$35*R58</f>
        <v>1281645.8520800001</v>
      </c>
      <c r="S60" s="117">
        <f>Inputs!$K$35*S58</f>
        <v>1281645.8520800001</v>
      </c>
      <c r="T60" s="117">
        <f>Inputs!$K$35*T58</f>
        <v>1281645.8520800001</v>
      </c>
      <c r="U60" s="117">
        <f>Inputs!$K$35*U58</f>
        <v>1281645.8520800001</v>
      </c>
      <c r="V60" s="117">
        <f>Inputs!$K$35*V58</f>
        <v>1281645.8520800001</v>
      </c>
      <c r="W60" s="117">
        <f>Inputs!$K$35*W58</f>
        <v>1281645.8520800001</v>
      </c>
      <c r="X60" s="117">
        <f>Inputs!$K$35*X58</f>
        <v>1281645.8520800001</v>
      </c>
      <c r="Y60" s="117">
        <f>Inputs!$K$35*Y58</f>
        <v>1281645.8520800001</v>
      </c>
      <c r="Z60" s="117">
        <f>Inputs!$K$35*Z58</f>
        <v>1281645.8520800001</v>
      </c>
      <c r="AA60" s="117">
        <f>Inputs!$K$35*AA58</f>
        <v>2471636.7546441844</v>
      </c>
      <c r="AB60" s="117">
        <f>Inputs!$K$35*AB58</f>
        <v>2471636.7546441844</v>
      </c>
      <c r="AC60" s="117">
        <f>Inputs!$K$35*AC58</f>
        <v>2471636.7546441844</v>
      </c>
      <c r="AD60" s="117">
        <f>Inputs!$K$35*AD58</f>
        <v>2471636.7546441844</v>
      </c>
      <c r="AE60" s="117">
        <f>Inputs!$K$35*AE58</f>
        <v>2471636.7546441844</v>
      </c>
      <c r="AF60" s="117">
        <f>Inputs!$K$35*AF58</f>
        <v>2471636.7546441844</v>
      </c>
      <c r="AG60" s="117">
        <f>Inputs!$K$35*AG58</f>
        <v>2471636.7546441844</v>
      </c>
      <c r="AH60" s="117">
        <f>Inputs!$K$35*AH58</f>
        <v>2471636.7546441844</v>
      </c>
      <c r="AI60" s="117">
        <f>Inputs!$K$35*AI58</f>
        <v>2471636.7546441844</v>
      </c>
      <c r="AJ60" s="117">
        <f>Inputs!$K$35*AJ58</f>
        <v>2471636.7546441844</v>
      </c>
      <c r="AK60" s="117">
        <f>Inputs!$K$35*AK58</f>
        <v>2471636.7546441844</v>
      </c>
      <c r="AL60" s="117">
        <f>Inputs!$K$35*AL58</f>
        <v>2471636.7546441844</v>
      </c>
    </row>
    <row r="61" spans="4:41">
      <c r="D61" s="7" t="s">
        <v>218</v>
      </c>
      <c r="E61" s="16" t="s">
        <v>213</v>
      </c>
      <c r="K61" s="117">
        <f>Inputs!F36*Inputs!F34</f>
        <v>693593.75</v>
      </c>
      <c r="L61" s="117">
        <f>Inputs!G36*Inputs!G34</f>
        <v>502736.48</v>
      </c>
      <c r="M61" s="117">
        <f>Inputs!H36*Inputs!H34</f>
        <v>660898.93760000006</v>
      </c>
      <c r="N61" s="117">
        <f>Inputs!I36*N58</f>
        <v>961234.38905999996</v>
      </c>
      <c r="O61" s="117">
        <f>Inputs!J36*O58</f>
        <v>1281645.8520800001</v>
      </c>
      <c r="P61" s="117">
        <f>Inputs!$K$36*P58</f>
        <v>1922468.7781199999</v>
      </c>
      <c r="Q61" s="117">
        <f>Inputs!$K$36*Q58</f>
        <v>1922468.7781199999</v>
      </c>
      <c r="R61" s="117">
        <f>Inputs!$K$36*R58</f>
        <v>1922468.7781199999</v>
      </c>
      <c r="S61" s="117">
        <f>Inputs!$K$36*S58</f>
        <v>1922468.7781199999</v>
      </c>
      <c r="T61" s="117">
        <f>Inputs!$K$36*T58</f>
        <v>1922468.7781199999</v>
      </c>
      <c r="U61" s="117">
        <f>Inputs!$K$36*U58</f>
        <v>1922468.7781199999</v>
      </c>
      <c r="V61" s="117">
        <f>Inputs!$K$36*V58</f>
        <v>1922468.7781199999</v>
      </c>
      <c r="W61" s="117">
        <f>Inputs!$K$36*W58</f>
        <v>1922468.7781199999</v>
      </c>
      <c r="X61" s="117">
        <f>Inputs!$K$36*X58</f>
        <v>1922468.7781199999</v>
      </c>
      <c r="Y61" s="117">
        <f>Inputs!$K$36*Y58</f>
        <v>1922468.7781199999</v>
      </c>
      <c r="Z61" s="117">
        <f>Inputs!$K$36*Z58</f>
        <v>1922468.7781199999</v>
      </c>
      <c r="AA61" s="117">
        <f>Inputs!$K$36*AA58</f>
        <v>3707455.1319662761</v>
      </c>
      <c r="AB61" s="117">
        <f>Inputs!$K$36*AB58</f>
        <v>3707455.1319662761</v>
      </c>
      <c r="AC61" s="117">
        <f>Inputs!$K$36*AC58</f>
        <v>3707455.1319662761</v>
      </c>
      <c r="AD61" s="117">
        <f>Inputs!$K$36*AD58</f>
        <v>3707455.1319662761</v>
      </c>
      <c r="AE61" s="117">
        <f>Inputs!$K$36*AE58</f>
        <v>3707455.1319662761</v>
      </c>
      <c r="AF61" s="117">
        <f>Inputs!$K$36*AF58</f>
        <v>3707455.1319662761</v>
      </c>
      <c r="AG61" s="117">
        <f>Inputs!$K$36*AG58</f>
        <v>3707455.1319662761</v>
      </c>
      <c r="AH61" s="117">
        <f>Inputs!$K$36*AH58</f>
        <v>3707455.1319662761</v>
      </c>
      <c r="AI61" s="117">
        <f>Inputs!$K$36*AI58</f>
        <v>3707455.1319662761</v>
      </c>
      <c r="AJ61" s="117">
        <f>Inputs!$K$36*AJ58</f>
        <v>3707455.1319662761</v>
      </c>
      <c r="AK61" s="117">
        <f>Inputs!$K$36*AK58</f>
        <v>3707455.1319662761</v>
      </c>
      <c r="AL61" s="117">
        <f>Inputs!$K$36*AL58</f>
        <v>3707455.1319662761</v>
      </c>
    </row>
    <row r="62" spans="4:41">
      <c r="D62" s="7" t="s">
        <v>543</v>
      </c>
      <c r="E62" s="16" t="s">
        <v>544</v>
      </c>
      <c r="K62" s="117">
        <f>K58/K11</f>
        <v>8778.396247123288</v>
      </c>
      <c r="L62" s="117">
        <f t="shared" ref="L62:AL62" si="22">L58/L11</f>
        <v>8754.4115579234967</v>
      </c>
      <c r="M62" s="117">
        <f t="shared" si="22"/>
        <v>8778.396247123288</v>
      </c>
      <c r="N62" s="117">
        <f t="shared" si="22"/>
        <v>8778.396247123288</v>
      </c>
      <c r="O62" s="117">
        <f t="shared" si="22"/>
        <v>8778.396247123288</v>
      </c>
      <c r="P62" s="117">
        <f t="shared" si="22"/>
        <v>8754.4115579234967</v>
      </c>
      <c r="Q62" s="117">
        <f t="shared" si="22"/>
        <v>8778.396247123288</v>
      </c>
      <c r="R62" s="117">
        <f t="shared" si="22"/>
        <v>8778.396247123288</v>
      </c>
      <c r="S62" s="117">
        <f t="shared" si="22"/>
        <v>8778.396247123288</v>
      </c>
      <c r="T62" s="117">
        <f t="shared" si="22"/>
        <v>8754.4115579234967</v>
      </c>
      <c r="U62" s="117">
        <f t="shared" si="22"/>
        <v>8778.396247123288</v>
      </c>
      <c r="V62" s="117">
        <f t="shared" si="22"/>
        <v>8778.396247123288</v>
      </c>
      <c r="W62" s="117">
        <f t="shared" si="22"/>
        <v>8778.396247123288</v>
      </c>
      <c r="X62" s="117">
        <f t="shared" si="22"/>
        <v>8754.4115579234967</v>
      </c>
      <c r="Y62" s="117">
        <f t="shared" si="22"/>
        <v>8778.396247123288</v>
      </c>
      <c r="Z62" s="117">
        <f t="shared" si="22"/>
        <v>8778.396247123288</v>
      </c>
      <c r="AA62" s="117">
        <f t="shared" si="22"/>
        <v>16929.018867425919</v>
      </c>
      <c r="AB62" s="117">
        <f t="shared" si="22"/>
        <v>16882.764717514918</v>
      </c>
      <c r="AC62" s="117">
        <f t="shared" si="22"/>
        <v>16929.018867425919</v>
      </c>
      <c r="AD62" s="117">
        <f t="shared" si="22"/>
        <v>16929.018867425919</v>
      </c>
      <c r="AE62" s="117">
        <f t="shared" si="22"/>
        <v>16929.018867425919</v>
      </c>
      <c r="AF62" s="117">
        <f t="shared" si="22"/>
        <v>16882.764717514918</v>
      </c>
      <c r="AG62" s="117">
        <f t="shared" si="22"/>
        <v>16929.018867425919</v>
      </c>
      <c r="AH62" s="117">
        <f t="shared" si="22"/>
        <v>16929.018867425919</v>
      </c>
      <c r="AI62" s="117">
        <f t="shared" si="22"/>
        <v>16929.018867425919</v>
      </c>
      <c r="AJ62" s="117">
        <f t="shared" si="22"/>
        <v>16882.764717514918</v>
      </c>
      <c r="AK62" s="117">
        <f t="shared" si="22"/>
        <v>16929.018867425919</v>
      </c>
      <c r="AL62" s="117">
        <f t="shared" si="22"/>
        <v>16929.018867425919</v>
      </c>
    </row>
    <row r="64" spans="4:41" ht="24" thickBot="1">
      <c r="D64" s="57" t="s">
        <v>400</v>
      </c>
    </row>
    <row r="65" spans="4:38">
      <c r="D65" s="63" t="s">
        <v>116</v>
      </c>
      <c r="E65" s="16" t="s">
        <v>118</v>
      </c>
      <c r="K65" s="105">
        <f>Inputs!E42</f>
        <v>27.73</v>
      </c>
      <c r="L65" s="105">
        <f>Inputs!F42</f>
        <v>29.5</v>
      </c>
      <c r="M65" s="163">
        <f>Inputs!G42</f>
        <v>30.24</v>
      </c>
      <c r="N65" s="163">
        <f>Inputs!H42</f>
        <v>32.06</v>
      </c>
      <c r="O65" s="163">
        <f>Inputs!I42</f>
        <v>33.659999999999997</v>
      </c>
      <c r="P65" s="105">
        <f>(1+Inputs!$J$47)*'Risk exposure pessimistic view'!O65</f>
        <v>35.679600000000001</v>
      </c>
      <c r="Q65" s="105">
        <f>(1+Inputs!$J$47)*'Risk exposure pessimistic view'!P65</f>
        <v>37.820376000000003</v>
      </c>
      <c r="R65" s="105">
        <f>(1+Inputs!$J$47)*'Risk exposure pessimistic view'!Q65</f>
        <v>40.089598560000006</v>
      </c>
      <c r="S65" s="105">
        <f>(1+Inputs!$J$47)*'Risk exposure pessimistic view'!R65</f>
        <v>42.49497447360001</v>
      </c>
      <c r="T65" s="105">
        <f>(1+Inputs!$J$47)*'Risk exposure pessimistic view'!S65</f>
        <v>45.044672942016014</v>
      </c>
      <c r="U65" s="105">
        <f>(1+Inputs!$J$47)*'Risk exposure pessimistic view'!T65</f>
        <v>47.74735331853698</v>
      </c>
      <c r="V65" s="105">
        <f>(1+Inputs!$J$47)*'Risk exposure pessimistic view'!U65</f>
        <v>50.612194517649201</v>
      </c>
      <c r="W65" s="105">
        <f>(1+Inputs!$J$47)*'Risk exposure pessimistic view'!V65</f>
        <v>53.648926188708153</v>
      </c>
      <c r="X65" s="105">
        <f>(1+Inputs!$J$47)*'Risk exposure pessimistic view'!W65</f>
        <v>56.867861760030642</v>
      </c>
      <c r="Y65" s="105">
        <f>(1+Inputs!$J$47)*'Risk exposure pessimistic view'!X65</f>
        <v>60.279933465632482</v>
      </c>
      <c r="Z65" s="105">
        <f>(1+Inputs!$J$47)*'Risk exposure pessimistic view'!Y65</f>
        <v>63.896729473570431</v>
      </c>
      <c r="AA65" s="105">
        <f>(1+Inputs!$J$47)*'Risk exposure pessimistic view'!Z65</f>
        <v>67.730533241984659</v>
      </c>
      <c r="AB65" s="105">
        <f>(1+Inputs!$J$47)*'Risk exposure pessimistic view'!AA65</f>
        <v>71.794365236503737</v>
      </c>
      <c r="AC65" s="105">
        <f>(1+Inputs!$J$47)*'Risk exposure pessimistic view'!AB65</f>
        <v>76.102027150693971</v>
      </c>
      <c r="AD65" s="105">
        <f>(1+Inputs!$J$47)*'Risk exposure pessimistic view'!AC65</f>
        <v>80.668148779735617</v>
      </c>
      <c r="AE65" s="105">
        <f>(1+Inputs!$J$47)*'Risk exposure pessimistic view'!AD65</f>
        <v>85.508237706519765</v>
      </c>
      <c r="AF65" s="105">
        <f>(1+Inputs!$J$47)*'Risk exposure pessimistic view'!AE65</f>
        <v>90.63873196891096</v>
      </c>
      <c r="AG65" s="105">
        <f>(1+Inputs!$J$47)*'Risk exposure pessimistic view'!AF65</f>
        <v>96.077055887045617</v>
      </c>
      <c r="AH65" s="105">
        <f>(1+Inputs!$J$47)*'Risk exposure pessimistic view'!AG65</f>
        <v>101.84167924026836</v>
      </c>
      <c r="AI65" s="105">
        <f>(1+Inputs!$J$47)*'Risk exposure pessimistic view'!AH65</f>
        <v>107.95217999468447</v>
      </c>
      <c r="AJ65" s="105">
        <f>(1+Inputs!$J$47)*'Risk exposure pessimistic view'!AI65</f>
        <v>114.42931079436555</v>
      </c>
      <c r="AK65" s="105">
        <f>(1+Inputs!$J$47)*'Risk exposure pessimistic view'!AJ65</f>
        <v>121.29506944202748</v>
      </c>
      <c r="AL65" s="105">
        <f>(1+Inputs!$J$47)*'Risk exposure pessimistic view'!AK65</f>
        <v>128.57277360854914</v>
      </c>
    </row>
    <row r="66" spans="4:38">
      <c r="D66" s="7" t="s">
        <v>238</v>
      </c>
      <c r="E66" s="16" t="s">
        <v>118</v>
      </c>
      <c r="K66" s="105">
        <f>Inputs!E44</f>
        <v>20.47</v>
      </c>
      <c r="L66" s="105">
        <f>Inputs!F44</f>
        <v>21.78</v>
      </c>
      <c r="M66" s="105">
        <f>Inputs!G44</f>
        <v>23.09</v>
      </c>
      <c r="N66" s="105">
        <f>Inputs!H44</f>
        <v>24.475000000000001</v>
      </c>
      <c r="O66" s="105">
        <f>(1+Inputs!I47)*'Risk exposure pessimistic view'!N66</f>
        <v>25.943500000000004</v>
      </c>
      <c r="P66" s="105">
        <f>(1+Inputs!$J$47)*'Risk exposure pessimistic view'!O66</f>
        <v>27.500110000000006</v>
      </c>
      <c r="Q66" s="105">
        <f>(1+Inputs!$J$47)*'Risk exposure pessimistic view'!P66</f>
        <v>29.150116600000008</v>
      </c>
      <c r="R66" s="105">
        <f>(1+Inputs!$J$47)*'Risk exposure pessimistic view'!Q66</f>
        <v>30.89912359600001</v>
      </c>
      <c r="S66" s="105">
        <f>(1+Inputs!$J$47)*'Risk exposure pessimistic view'!R66</f>
        <v>32.753071011760014</v>
      </c>
      <c r="T66" s="105">
        <f>(1+Inputs!$J$47)*'Risk exposure pessimistic view'!S66</f>
        <v>34.718255272465619</v>
      </c>
      <c r="U66" s="105">
        <f>(1+Inputs!$J$47)*'Risk exposure pessimistic view'!T66</f>
        <v>36.801350588813555</v>
      </c>
      <c r="V66" s="105">
        <f>(1+Inputs!$J$47)*'Risk exposure pessimistic view'!U66</f>
        <v>39.009431624142373</v>
      </c>
      <c r="W66" s="105">
        <f>(1+Inputs!$J$47)*'Risk exposure pessimistic view'!V66</f>
        <v>41.349997521590915</v>
      </c>
      <c r="X66" s="105">
        <f>(1+Inputs!$J$47)*'Risk exposure pessimistic view'!W66</f>
        <v>43.830997372886372</v>
      </c>
      <c r="Y66" s="105">
        <f>(1+Inputs!$J$47)*'Risk exposure pessimistic view'!X66</f>
        <v>46.460857215259558</v>
      </c>
      <c r="Z66" s="105">
        <f>(1+Inputs!$J$47)*'Risk exposure pessimistic view'!Y66</f>
        <v>49.248508648175132</v>
      </c>
      <c r="AA66" s="105">
        <f>(1+Inputs!$J$47)*'Risk exposure pessimistic view'!Z66</f>
        <v>52.20341916706564</v>
      </c>
      <c r="AB66" s="105">
        <f>(1+Inputs!$J$47)*'Risk exposure pessimistic view'!AA66</f>
        <v>55.335624317089582</v>
      </c>
      <c r="AC66" s="105">
        <f>(1+Inputs!$J$47)*'Risk exposure pessimistic view'!AB66</f>
        <v>58.655761776114957</v>
      </c>
      <c r="AD66" s="105">
        <f>(1+Inputs!$J$47)*'Risk exposure pessimistic view'!AC66</f>
        <v>62.175107482681859</v>
      </c>
      <c r="AE66" s="105">
        <f>(1+Inputs!$J$47)*'Risk exposure pessimistic view'!AD66</f>
        <v>65.905613931642776</v>
      </c>
      <c r="AF66" s="105">
        <f>(1+Inputs!$J$47)*'Risk exposure pessimistic view'!AE66</f>
        <v>69.859950767541349</v>
      </c>
      <c r="AG66" s="105">
        <f>(1+Inputs!$J$47)*'Risk exposure pessimistic view'!AF66</f>
        <v>74.051547813593828</v>
      </c>
      <c r="AH66" s="105">
        <f>(1+Inputs!$J$47)*'Risk exposure pessimistic view'!AG66</f>
        <v>78.494640682409468</v>
      </c>
      <c r="AI66" s="105">
        <f>(1+Inputs!$J$47)*'Risk exposure pessimistic view'!AH66</f>
        <v>83.20431912335404</v>
      </c>
      <c r="AJ66" s="105">
        <f>(1+Inputs!$J$47)*'Risk exposure pessimistic view'!AI66</f>
        <v>88.196578270755282</v>
      </c>
      <c r="AK66" s="105">
        <f>(1+Inputs!$J$47)*'Risk exposure pessimistic view'!AJ66</f>
        <v>93.488372967000601</v>
      </c>
      <c r="AL66" s="105">
        <f>(1+Inputs!$J$47)*'Risk exposure pessimistic view'!AK66</f>
        <v>99.097675345020647</v>
      </c>
    </row>
    <row r="67" spans="4:38">
      <c r="D67" s="7" t="s">
        <v>239</v>
      </c>
      <c r="E67" s="16" t="s">
        <v>118</v>
      </c>
      <c r="K67" s="105">
        <f>Inputs!E45</f>
        <v>3.29</v>
      </c>
      <c r="L67" s="105">
        <f>Inputs!F45</f>
        <v>3.5</v>
      </c>
      <c r="M67" s="105">
        <f>Inputs!G45</f>
        <v>3.73</v>
      </c>
      <c r="N67" s="105">
        <f>Inputs!H45</f>
        <v>3.95</v>
      </c>
      <c r="O67" s="105">
        <f>(1+Inputs!I47)*'Risk exposure pessimistic view'!N67</f>
        <v>4.1870000000000003</v>
      </c>
      <c r="P67" s="105">
        <f>(1+Inputs!$J$47)*'Risk exposure pessimistic view'!O67</f>
        <v>4.4382200000000003</v>
      </c>
      <c r="Q67" s="105">
        <f>(1+Inputs!$J$47)*'Risk exposure pessimistic view'!P67</f>
        <v>4.7045132000000009</v>
      </c>
      <c r="R67" s="105">
        <f>(1+Inputs!$J$47)*'Risk exposure pessimistic view'!Q67</f>
        <v>4.9867839920000012</v>
      </c>
      <c r="S67" s="105">
        <f>(1+Inputs!$J$47)*'Risk exposure pessimistic view'!R67</f>
        <v>5.2859910315200018</v>
      </c>
      <c r="T67" s="105">
        <f>(1+Inputs!$J$47)*'Risk exposure pessimistic view'!S67</f>
        <v>5.603150493411202</v>
      </c>
      <c r="U67" s="105">
        <f>(1+Inputs!$J$47)*'Risk exposure pessimistic view'!T67</f>
        <v>5.9393395230158745</v>
      </c>
      <c r="V67" s="105">
        <f>(1+Inputs!$J$47)*'Risk exposure pessimistic view'!U67</f>
        <v>6.2956998943968276</v>
      </c>
      <c r="W67" s="105">
        <f>(1+Inputs!$J$47)*'Risk exposure pessimistic view'!V67</f>
        <v>6.6734418880606379</v>
      </c>
      <c r="X67" s="105">
        <f>(1+Inputs!$J$47)*'Risk exposure pessimistic view'!W67</f>
        <v>7.0738484013442768</v>
      </c>
      <c r="Y67" s="105">
        <f>(1+Inputs!$J$47)*'Risk exposure pessimistic view'!X67</f>
        <v>7.4982793054249335</v>
      </c>
      <c r="Z67" s="105">
        <f>(1+Inputs!$J$47)*'Risk exposure pessimistic view'!Y67</f>
        <v>7.94817606375043</v>
      </c>
      <c r="AA67" s="105">
        <f>(1+Inputs!$J$47)*'Risk exposure pessimistic view'!Z67</f>
        <v>8.4250666275754558</v>
      </c>
      <c r="AB67" s="105">
        <f>(1+Inputs!$J$47)*'Risk exposure pessimistic view'!AA67</f>
        <v>8.9305706252299828</v>
      </c>
      <c r="AC67" s="105">
        <f>(1+Inputs!$J$47)*'Risk exposure pessimistic view'!AB67</f>
        <v>9.4664048627437829</v>
      </c>
      <c r="AD67" s="105">
        <f>(1+Inputs!$J$47)*'Risk exposure pessimistic view'!AC67</f>
        <v>10.034389154508411</v>
      </c>
      <c r="AE67" s="105">
        <f>(1+Inputs!$J$47)*'Risk exposure pessimistic view'!AD67</f>
        <v>10.636452503778916</v>
      </c>
      <c r="AF67" s="105">
        <f>(1+Inputs!$J$47)*'Risk exposure pessimistic view'!AE67</f>
        <v>11.274639654005652</v>
      </c>
      <c r="AG67" s="105">
        <f>(1+Inputs!$J$47)*'Risk exposure pessimistic view'!AF67</f>
        <v>11.951118033245992</v>
      </c>
      <c r="AH67" s="105">
        <f>(1+Inputs!$J$47)*'Risk exposure pessimistic view'!AG67</f>
        <v>12.668185115240751</v>
      </c>
      <c r="AI67" s="105">
        <f>(1+Inputs!$J$47)*'Risk exposure pessimistic view'!AH67</f>
        <v>13.428276222155198</v>
      </c>
      <c r="AJ67" s="105">
        <f>(1+Inputs!$J$47)*'Risk exposure pessimistic view'!AI67</f>
        <v>14.23397279548451</v>
      </c>
      <c r="AK67" s="105">
        <f>(1+Inputs!$J$47)*'Risk exposure pessimistic view'!AJ67</f>
        <v>15.088011163213581</v>
      </c>
      <c r="AL67" s="105">
        <f>(1+Inputs!$J$47)*'Risk exposure pessimistic view'!AK67</f>
        <v>15.993291833006397</v>
      </c>
    </row>
    <row r="68" spans="4:38">
      <c r="D68" s="7" t="s">
        <v>466</v>
      </c>
      <c r="E68" s="16" t="s">
        <v>118</v>
      </c>
      <c r="K68" s="105">
        <f t="shared" ref="K68:AL68" si="23">K66+K67</f>
        <v>23.759999999999998</v>
      </c>
      <c r="L68" s="105">
        <f t="shared" si="23"/>
        <v>25.28</v>
      </c>
      <c r="M68" s="105">
        <f t="shared" si="23"/>
        <v>26.82</v>
      </c>
      <c r="N68" s="105">
        <f t="shared" si="23"/>
        <v>28.425000000000001</v>
      </c>
      <c r="O68" s="105">
        <f t="shared" si="23"/>
        <v>30.130500000000005</v>
      </c>
      <c r="P68" s="105">
        <f t="shared" si="23"/>
        <v>31.938330000000008</v>
      </c>
      <c r="Q68" s="105">
        <f t="shared" si="23"/>
        <v>33.854629800000012</v>
      </c>
      <c r="R68" s="105">
        <f t="shared" si="23"/>
        <v>35.885907588000009</v>
      </c>
      <c r="S68" s="105">
        <f t="shared" si="23"/>
        <v>38.039062043280012</v>
      </c>
      <c r="T68" s="105">
        <f t="shared" si="23"/>
        <v>40.321405765876818</v>
      </c>
      <c r="U68" s="105">
        <f t="shared" si="23"/>
        <v>42.74069011182943</v>
      </c>
      <c r="V68" s="105">
        <f t="shared" si="23"/>
        <v>45.305131518539199</v>
      </c>
      <c r="W68" s="105">
        <f t="shared" si="23"/>
        <v>48.023439409651552</v>
      </c>
      <c r="X68" s="105">
        <f t="shared" si="23"/>
        <v>50.904845774230651</v>
      </c>
      <c r="Y68" s="105">
        <f t="shared" si="23"/>
        <v>53.959136520684496</v>
      </c>
      <c r="Z68" s="105">
        <f t="shared" si="23"/>
        <v>57.196684711925563</v>
      </c>
      <c r="AA68" s="105">
        <f t="shared" si="23"/>
        <v>60.628485794641094</v>
      </c>
      <c r="AB68" s="105">
        <f t="shared" si="23"/>
        <v>64.266194942319572</v>
      </c>
      <c r="AC68" s="105">
        <f t="shared" si="23"/>
        <v>68.122166638858744</v>
      </c>
      <c r="AD68" s="105">
        <f t="shared" si="23"/>
        <v>72.20949663719027</v>
      </c>
      <c r="AE68" s="105">
        <f t="shared" si="23"/>
        <v>76.542066435421688</v>
      </c>
      <c r="AF68" s="105">
        <f t="shared" si="23"/>
        <v>81.134590421547003</v>
      </c>
      <c r="AG68" s="105">
        <f t="shared" si="23"/>
        <v>86.002665846839818</v>
      </c>
      <c r="AH68" s="105">
        <f t="shared" si="23"/>
        <v>91.162825797650214</v>
      </c>
      <c r="AI68" s="105">
        <f t="shared" si="23"/>
        <v>96.63259534550923</v>
      </c>
      <c r="AJ68" s="105">
        <f t="shared" si="23"/>
        <v>102.43055106623979</v>
      </c>
      <c r="AK68" s="105">
        <f t="shared" si="23"/>
        <v>108.57638413021418</v>
      </c>
      <c r="AL68" s="105">
        <f t="shared" si="23"/>
        <v>115.09096717802704</v>
      </c>
    </row>
    <row r="69" spans="4:38">
      <c r="D69" s="7" t="s">
        <v>120</v>
      </c>
      <c r="E69" s="16" t="s">
        <v>118</v>
      </c>
      <c r="K69" s="105">
        <f>Inputs!E52</f>
        <v>7.23</v>
      </c>
      <c r="L69" s="105">
        <f>Inputs!F52</f>
        <v>7.9067280000000002</v>
      </c>
      <c r="M69" s="105">
        <f>Inputs!G52</f>
        <v>8.6467977408000003</v>
      </c>
      <c r="N69" s="105">
        <f>Inputs!H52</f>
        <v>14.73</v>
      </c>
      <c r="O69" s="105">
        <f>Inputs!I52</f>
        <v>16.108727999999999</v>
      </c>
      <c r="P69" s="105">
        <f>Inputs!J52</f>
        <v>17.616504940799999</v>
      </c>
      <c r="Q69" s="105">
        <f>P69*(1+Inputs!$J$61)</f>
        <v>19.265409803258876</v>
      </c>
      <c r="R69" s="105">
        <f>Q69*(1+Inputs!$J$61)</f>
        <v>21.068652160843904</v>
      </c>
      <c r="S69" s="105">
        <f>R69*(1+Inputs!$J$61)</f>
        <v>23.04067800309889</v>
      </c>
      <c r="T69" s="105">
        <f>S69*(1+Inputs!$J$61)</f>
        <v>25.197285464188944</v>
      </c>
      <c r="U69" s="105">
        <f>T69*(1+Inputs!$J$61)</f>
        <v>27.555751383637027</v>
      </c>
      <c r="V69" s="105">
        <f>U69*(1+Inputs!$J$61)</f>
        <v>30.134969713145448</v>
      </c>
      <c r="W69" s="105">
        <f>V69*(1+Inputs!$J$61)</f>
        <v>32.955602878295856</v>
      </c>
      <c r="X69" s="105">
        <f>W69*(1+Inputs!$J$61)</f>
        <v>36.040247307704348</v>
      </c>
      <c r="Y69" s="105">
        <f>X69*(1+Inputs!$J$61)</f>
        <v>39.413614455705471</v>
      </c>
      <c r="Z69" s="105">
        <f>Y69*(1+Inputs!$J$61)</f>
        <v>43.102728768759498</v>
      </c>
      <c r="AA69" s="105">
        <f>Z69*(1+Inputs!$J$61)</f>
        <v>47.137144181515382</v>
      </c>
      <c r="AB69" s="105">
        <f>AA69*(1+Inputs!$J$61)</f>
        <v>51.549180876905218</v>
      </c>
      <c r="AC69" s="105">
        <f>AB69*(1+Inputs!$J$61)</f>
        <v>56.374184206983543</v>
      </c>
      <c r="AD69" s="105">
        <f>AC69*(1+Inputs!$J$61)</f>
        <v>61.650807848757196</v>
      </c>
      <c r="AE69" s="105">
        <f>AD69*(1+Inputs!$J$61)</f>
        <v>67.421323463400867</v>
      </c>
      <c r="AF69" s="105">
        <f>AE69*(1+Inputs!$J$61)</f>
        <v>73.731959339575184</v>
      </c>
      <c r="AG69" s="105">
        <f>AF69*(1+Inputs!$J$61)</f>
        <v>80.633270733759417</v>
      </c>
      <c r="AH69" s="105">
        <f>AG69*(1+Inputs!$J$61)</f>
        <v>88.180544874439292</v>
      </c>
      <c r="AI69" s="105">
        <f>AH69*(1+Inputs!$J$61)</f>
        <v>96.4342438746868</v>
      </c>
      <c r="AJ69" s="105">
        <f>AI69*(1+Inputs!$J$61)</f>
        <v>105.46048910135748</v>
      </c>
      <c r="AK69" s="105">
        <f>AJ69*(1+Inputs!$J$61)</f>
        <v>115.33159088124454</v>
      </c>
      <c r="AL69" s="105">
        <f>AK69*(1+Inputs!$J$61)</f>
        <v>126.12662778772902</v>
      </c>
    </row>
    <row r="70" spans="4:38">
      <c r="D70" s="7" t="s">
        <v>122</v>
      </c>
      <c r="E70" s="16" t="s">
        <v>118</v>
      </c>
      <c r="K70" s="105">
        <f>Inputs!E54</f>
        <v>13</v>
      </c>
      <c r="L70" s="105">
        <f>Inputs!F54</f>
        <v>14.216799999999999</v>
      </c>
      <c r="M70" s="105">
        <f>Inputs!G54</f>
        <v>15.547492479999997</v>
      </c>
      <c r="N70" s="105">
        <f>Inputs!H54</f>
        <v>17.002737776127997</v>
      </c>
      <c r="O70" s="105">
        <f>Inputs!I54</f>
        <v>18.594194031973576</v>
      </c>
      <c r="P70" s="105">
        <f>Inputs!J54</f>
        <v>20.3346105933663</v>
      </c>
      <c r="Q70" s="105">
        <f>P70*(1+Inputs!$J$61)</f>
        <v>22.237930144905384</v>
      </c>
      <c r="R70" s="105">
        <f>Q70*(1+Inputs!$J$61)</f>
        <v>24.319400406468525</v>
      </c>
      <c r="S70" s="105">
        <f>R70*(1+Inputs!$J$61)</f>
        <v>26.595696284513977</v>
      </c>
      <c r="T70" s="105">
        <f>S70*(1+Inputs!$J$61)</f>
        <v>29.085053456744483</v>
      </c>
      <c r="U70" s="105">
        <f>T70*(1+Inputs!$J$61)</f>
        <v>31.807414460295764</v>
      </c>
      <c r="V70" s="105">
        <f>U70*(1+Inputs!$J$61)</f>
        <v>34.784588453779442</v>
      </c>
      <c r="W70" s="105">
        <f>V70*(1+Inputs!$J$61)</f>
        <v>38.040425933053193</v>
      </c>
      <c r="X70" s="105">
        <f>W70*(1+Inputs!$J$61)</f>
        <v>41.601009800386969</v>
      </c>
      <c r="Y70" s="105">
        <f>X70*(1+Inputs!$J$61)</f>
        <v>45.494864317703183</v>
      </c>
      <c r="Z70" s="105">
        <f>Y70*(1+Inputs!$J$61)</f>
        <v>49.753183617840193</v>
      </c>
      <c r="AA70" s="105">
        <f>Z70*(1+Inputs!$J$61)</f>
        <v>54.41008160447003</v>
      </c>
      <c r="AB70" s="105">
        <f>AA70*(1+Inputs!$J$61)</f>
        <v>59.502865242648419</v>
      </c>
      <c r="AC70" s="105">
        <f>AB70*(1+Inputs!$J$61)</f>
        <v>65.072333429360299</v>
      </c>
      <c r="AD70" s="105">
        <f>AC70*(1+Inputs!$J$61)</f>
        <v>71.16310383834842</v>
      </c>
      <c r="AE70" s="105">
        <f>AD70*(1+Inputs!$J$61)</f>
        <v>77.823970357617824</v>
      </c>
      <c r="AF70" s="105">
        <f>AE70*(1+Inputs!$J$61)</f>
        <v>85.108293983090846</v>
      </c>
      <c r="AG70" s="105">
        <f>AF70*(1+Inputs!$J$61)</f>
        <v>93.074430299908144</v>
      </c>
      <c r="AH70" s="105">
        <f>AG70*(1+Inputs!$J$61)</f>
        <v>101.78619697597954</v>
      </c>
      <c r="AI70" s="105">
        <f>AH70*(1+Inputs!$J$61)</f>
        <v>111.31338501293121</v>
      </c>
      <c r="AJ70" s="105">
        <f>AI70*(1+Inputs!$J$61)</f>
        <v>121.73231785014156</v>
      </c>
      <c r="AK70" s="105">
        <f>AJ70*(1+Inputs!$J$61)</f>
        <v>133.12646280091479</v>
      </c>
      <c r="AL70" s="105">
        <f>AK70*(1+Inputs!$J$61)</f>
        <v>145.58709971908041</v>
      </c>
    </row>
    <row r="71" spans="4:38">
      <c r="D71" s="7" t="s">
        <v>123</v>
      </c>
      <c r="E71" s="16" t="s">
        <v>118</v>
      </c>
      <c r="K71" s="105">
        <f>Inputs!E55</f>
        <v>282</v>
      </c>
      <c r="L71" s="105">
        <f>Inputs!F55</f>
        <v>304.27799999999996</v>
      </c>
      <c r="M71" s="105">
        <f>Inputs!G55</f>
        <v>332.75842079999995</v>
      </c>
      <c r="N71" s="105">
        <f>Inputs!H55</f>
        <v>363.90460898687991</v>
      </c>
      <c r="O71" s="105">
        <f>Inputs!I55</f>
        <v>397.96608038805181</v>
      </c>
      <c r="P71" s="105">
        <f>Inputs!J55</f>
        <v>435.2157055123734</v>
      </c>
      <c r="Q71" s="105">
        <f>P71*(1+Inputs!$J$62)</f>
        <v>469.59774624785086</v>
      </c>
      <c r="R71" s="105">
        <f>Q71*(1+Inputs!$J$62)</f>
        <v>506.69596820143107</v>
      </c>
      <c r="S71" s="105">
        <f>R71*(1+Inputs!$J$62)</f>
        <v>546.72494968934416</v>
      </c>
      <c r="T71" s="105">
        <f>S71*(1+Inputs!$J$62)</f>
        <v>589.91622071480231</v>
      </c>
      <c r="U71" s="105">
        <f>T71*(1+Inputs!$J$62)</f>
        <v>636.51960215127167</v>
      </c>
      <c r="V71" s="105">
        <f>U71*(1+Inputs!$J$62)</f>
        <v>686.80465072122206</v>
      </c>
      <c r="W71" s="105">
        <f>V71*(1+Inputs!$J$62)</f>
        <v>741.06221812819854</v>
      </c>
      <c r="X71" s="105">
        <f>W71*(1+Inputs!$J$62)</f>
        <v>799.60613336032623</v>
      </c>
      <c r="Y71" s="105">
        <f>X71*(1+Inputs!$J$62)</f>
        <v>862.77501789579196</v>
      </c>
      <c r="Z71" s="105">
        <f>Y71*(1+Inputs!$J$62)</f>
        <v>930.93424430955952</v>
      </c>
      <c r="AA71" s="105">
        <f>Z71*(1+Inputs!$J$62)</f>
        <v>1004.4780496100146</v>
      </c>
      <c r="AB71" s="105">
        <f>AA71*(1+Inputs!$J$62)</f>
        <v>1083.8318155292056</v>
      </c>
      <c r="AC71" s="105">
        <f>AB71*(1+Inputs!$J$62)</f>
        <v>1169.4545289560128</v>
      </c>
      <c r="AD71" s="105">
        <f>AC71*(1+Inputs!$J$62)</f>
        <v>1261.8414367435378</v>
      </c>
      <c r="AE71" s="105">
        <f>AD71*(1+Inputs!$J$62)</f>
        <v>1361.5269102462771</v>
      </c>
      <c r="AF71" s="105">
        <f>AE71*(1+Inputs!$J$62)</f>
        <v>1469.087536155733</v>
      </c>
      <c r="AG71" s="105">
        <f>AF71*(1+Inputs!$J$62)</f>
        <v>1585.1454515120358</v>
      </c>
      <c r="AH71" s="105">
        <f>AG71*(1+Inputs!$J$62)</f>
        <v>1710.3719421814867</v>
      </c>
      <c r="AI71" s="105">
        <f>AH71*(1+Inputs!$J$62)</f>
        <v>1845.4913256138241</v>
      </c>
      <c r="AJ71" s="105">
        <f>AI71*(1+Inputs!$J$62)</f>
        <v>1991.2851403373161</v>
      </c>
      <c r="AK71" s="105">
        <f>AJ71*(1+Inputs!$J$62)</f>
        <v>2148.5966664239641</v>
      </c>
      <c r="AL71" s="105">
        <f>AK71*(1+Inputs!$J$62)</f>
        <v>2318.3358030714571</v>
      </c>
    </row>
    <row r="72" spans="4:38">
      <c r="D72" s="7" t="s">
        <v>124</v>
      </c>
      <c r="E72" s="16" t="s">
        <v>118</v>
      </c>
      <c r="K72" s="105">
        <f>Inputs!E56</f>
        <v>4.0999999999999996</v>
      </c>
      <c r="L72" s="105">
        <f>Inputs!F56</f>
        <v>4.4837599999999993</v>
      </c>
      <c r="M72" s="105">
        <f>Inputs!G56</f>
        <v>4.9034399359999989</v>
      </c>
      <c r="N72" s="105">
        <f>Inputs!H56</f>
        <v>5.362401914009598</v>
      </c>
      <c r="O72" s="105">
        <f>Inputs!I56</f>
        <v>5.864322733160896</v>
      </c>
      <c r="P72" s="105">
        <f>Inputs!J56</f>
        <v>6.4132233409847554</v>
      </c>
      <c r="Q72" s="105">
        <f>P72*(1+Inputs!$J$61)</f>
        <v>7.0135010457009281</v>
      </c>
      <c r="R72" s="105">
        <f>Q72*(1+Inputs!$J$61)</f>
        <v>7.6699647435785341</v>
      </c>
      <c r="S72" s="105">
        <f>R72*(1+Inputs!$J$61)</f>
        <v>8.3878734435774849</v>
      </c>
      <c r="T72" s="105">
        <f>S72*(1+Inputs!$J$61)</f>
        <v>9.1729783978963368</v>
      </c>
      <c r="U72" s="105">
        <f>T72*(1+Inputs!$J$61)</f>
        <v>10.031569175939433</v>
      </c>
      <c r="V72" s="105">
        <f>U72*(1+Inputs!$J$61)</f>
        <v>10.970524050807363</v>
      </c>
      <c r="W72" s="105">
        <f>V72*(1+Inputs!$J$61)</f>
        <v>11.997365101962931</v>
      </c>
      <c r="X72" s="105">
        <f>W72*(1+Inputs!$J$61)</f>
        <v>13.120318475506661</v>
      </c>
      <c r="Y72" s="105">
        <f>X72*(1+Inputs!$J$61)</f>
        <v>14.348380284814082</v>
      </c>
      <c r="Z72" s="105">
        <f>Y72*(1+Inputs!$J$61)</f>
        <v>15.691388679472679</v>
      </c>
      <c r="AA72" s="105">
        <f>Z72*(1+Inputs!$J$61)</f>
        <v>17.16010265987132</v>
      </c>
      <c r="AB72" s="105">
        <f>AA72*(1+Inputs!$J$61)</f>
        <v>18.766288268835275</v>
      </c>
      <c r="AC72" s="105">
        <f>AB72*(1+Inputs!$J$61)</f>
        <v>20.522812850798257</v>
      </c>
      <c r="AD72" s="105">
        <f>AC72*(1+Inputs!$J$61)</f>
        <v>22.443748133632972</v>
      </c>
      <c r="AE72" s="105">
        <f>AD72*(1+Inputs!$J$61)</f>
        <v>24.544482958941018</v>
      </c>
      <c r="AF72" s="105">
        <f>AE72*(1+Inputs!$J$61)</f>
        <v>26.841846563897896</v>
      </c>
      <c r="AG72" s="105">
        <f>AF72*(1+Inputs!$J$61)</f>
        <v>29.354243402278737</v>
      </c>
      <c r="AH72" s="105">
        <f>AG72*(1+Inputs!$J$61)</f>
        <v>32.101800584732025</v>
      </c>
      <c r="AI72" s="105">
        <f>AH72*(1+Inputs!$J$61)</f>
        <v>35.106529119462941</v>
      </c>
      <c r="AJ72" s="105">
        <f>AI72*(1+Inputs!$J$61)</f>
        <v>38.392500245044666</v>
      </c>
      <c r="AK72" s="105">
        <f>AJ72*(1+Inputs!$J$61)</f>
        <v>41.986038267980845</v>
      </c>
      <c r="AL72" s="105">
        <f>AK72*(1+Inputs!$J$61)</f>
        <v>45.915931449863848</v>
      </c>
    </row>
    <row r="73" spans="4:38">
      <c r="D73" s="7" t="s">
        <v>125</v>
      </c>
      <c r="E73" s="16" t="s">
        <v>118</v>
      </c>
      <c r="K73">
        <f>Inputs!E57</f>
        <v>0</v>
      </c>
      <c r="L73">
        <f>Inputs!F57</f>
        <v>0</v>
      </c>
      <c r="M73">
        <f>Inputs!G57</f>
        <v>10.1</v>
      </c>
      <c r="N73" s="105">
        <f>Inputs!H57</f>
        <v>11.045359999999999</v>
      </c>
      <c r="O73" s="105">
        <f>Inputs!I57</f>
        <v>12.079205695999997</v>
      </c>
      <c r="P73" s="105">
        <f>Inputs!J57</f>
        <v>13.209819349145596</v>
      </c>
      <c r="Q73" s="105">
        <f>P73*(1+Inputs!$J$61)</f>
        <v>14.446258440225622</v>
      </c>
      <c r="R73" s="105">
        <f>Q73*(1+Inputs!$J$61)</f>
        <v>15.798428230230739</v>
      </c>
      <c r="S73" s="105">
        <f>R73*(1+Inputs!$J$61)</f>
        <v>17.277161112580334</v>
      </c>
      <c r="T73" s="105">
        <f>S73*(1+Inputs!$J$61)</f>
        <v>18.894303392717852</v>
      </c>
      <c r="U73" s="105">
        <f>T73*(1+Inputs!$J$61)</f>
        <v>20.66281019027624</v>
      </c>
      <c r="V73" s="105">
        <f>U73*(1+Inputs!$J$61)</f>
        <v>22.596849224086093</v>
      </c>
      <c r="W73" s="105">
        <f>V73*(1+Inputs!$J$61)</f>
        <v>24.71191431146055</v>
      </c>
      <c r="X73" s="105">
        <f>W73*(1+Inputs!$J$61)</f>
        <v>27.024949491013256</v>
      </c>
      <c r="Y73" s="105">
        <f>X73*(1+Inputs!$J$61)</f>
        <v>29.554484763372095</v>
      </c>
      <c r="Z73" s="105">
        <f>Y73*(1+Inputs!$J$61)</f>
        <v>32.320784537223723</v>
      </c>
      <c r="AA73" s="105">
        <f>Z73*(1+Inputs!$J$61)</f>
        <v>35.346009969907861</v>
      </c>
      <c r="AB73" s="105">
        <f>AA73*(1+Inputs!$J$61)</f>
        <v>38.654396503091235</v>
      </c>
      <c r="AC73" s="105">
        <f>AB73*(1+Inputs!$J$61)</f>
        <v>42.272448015780569</v>
      </c>
      <c r="AD73" s="105">
        <f>AC73*(1+Inputs!$J$61)</f>
        <v>46.229149150057623</v>
      </c>
      <c r="AE73" s="105">
        <f>AD73*(1+Inputs!$J$61)</f>
        <v>50.556197510503011</v>
      </c>
      <c r="AF73" s="105">
        <f>AE73*(1+Inputs!$J$61)</f>
        <v>55.288257597486087</v>
      </c>
      <c r="AG73" s="105">
        <f>AF73*(1+Inputs!$J$61)</f>
        <v>60.463238508610779</v>
      </c>
      <c r="AH73" s="105">
        <f>AG73*(1+Inputs!$J$61)</f>
        <v>66.122597633016738</v>
      </c>
      <c r="AI73" s="105">
        <f>AH73*(1+Inputs!$J$61)</f>
        <v>72.311672771467101</v>
      </c>
      <c r="AJ73" s="105">
        <f>AI73*(1+Inputs!$J$61)</f>
        <v>79.080045342876417</v>
      </c>
      <c r="AK73" s="105">
        <f>AJ73*(1+Inputs!$J$61)</f>
        <v>86.481937586969636</v>
      </c>
      <c r="AL73" s="105">
        <f>AK73*(1+Inputs!$J$61)</f>
        <v>94.576646945109985</v>
      </c>
    </row>
    <row r="74" spans="4:38">
      <c r="D74" s="63" t="s">
        <v>154</v>
      </c>
      <c r="E74" s="16" t="s">
        <v>118</v>
      </c>
      <c r="K74">
        <f>Inputs!E58</f>
        <v>0</v>
      </c>
      <c r="L74">
        <f>Inputs!F58</f>
        <v>0</v>
      </c>
      <c r="M74">
        <f>Inputs!G58</f>
        <v>0</v>
      </c>
      <c r="N74">
        <f>Inputs!H58</f>
        <v>0</v>
      </c>
      <c r="O74">
        <f>Inputs!I58</f>
        <v>0</v>
      </c>
      <c r="P74" s="89">
        <f>Inputs!J58</f>
        <v>45</v>
      </c>
      <c r="Q74" s="105">
        <f>P74*(1+Inputs!$J$61)</f>
        <v>49.211999999999996</v>
      </c>
      <c r="R74" s="105">
        <f>Q74*(1+Inputs!$J$61)</f>
        <v>53.818243199999991</v>
      </c>
      <c r="S74" s="105">
        <f>R74*(1+Inputs!$J$61)</f>
        <v>58.855630763519983</v>
      </c>
      <c r="T74" s="105">
        <f>S74*(1+Inputs!$J$61)</f>
        <v>64.364517802985446</v>
      </c>
      <c r="U74" s="105">
        <f>T74*(1+Inputs!$J$61)</f>
        <v>70.389036669344875</v>
      </c>
      <c r="V74" s="105">
        <f>U74*(1+Inputs!$J$61)</f>
        <v>76.977450501595555</v>
      </c>
      <c r="W74" s="105">
        <f>V74*(1+Inputs!$J$61)</f>
        <v>84.182539868544893</v>
      </c>
      <c r="X74" s="105">
        <f>W74*(1+Inputs!$J$61)</f>
        <v>92.062025600240688</v>
      </c>
      <c r="Y74" s="105">
        <f>X74*(1+Inputs!$J$61)</f>
        <v>100.67903119642321</v>
      </c>
      <c r="Z74" s="105">
        <f>Y74*(1+Inputs!$J$61)</f>
        <v>110.10258851640842</v>
      </c>
      <c r="AA74" s="105">
        <f>Z74*(1+Inputs!$J$61)</f>
        <v>120.40819080154424</v>
      </c>
      <c r="AB74" s="105">
        <f>AA74*(1+Inputs!$J$61)</f>
        <v>131.67839746056876</v>
      </c>
      <c r="AC74" s="105">
        <f>AB74*(1+Inputs!$J$61)</f>
        <v>144.00349546287799</v>
      </c>
      <c r="AD74" s="105">
        <f>AC74*(1+Inputs!$J$61)</f>
        <v>157.48222263820335</v>
      </c>
      <c r="AE74" s="105">
        <f>AD74*(1+Inputs!$J$61)</f>
        <v>172.22255867713918</v>
      </c>
      <c r="AF74" s="105">
        <f>AE74*(1+Inputs!$J$61)</f>
        <v>188.34259016931938</v>
      </c>
      <c r="AG74" s="105">
        <f>AF74*(1+Inputs!$J$61)</f>
        <v>205.97145660916766</v>
      </c>
      <c r="AH74" s="105">
        <f>AG74*(1+Inputs!$J$61)</f>
        <v>225.25038494778573</v>
      </c>
      <c r="AI74" s="105">
        <f>AH74*(1+Inputs!$J$61)</f>
        <v>246.33382097889844</v>
      </c>
      <c r="AJ74" s="105">
        <f>AI74*(1+Inputs!$J$61)</f>
        <v>269.39066662252333</v>
      </c>
      <c r="AK74" s="105">
        <f>AJ74*(1+Inputs!$J$61)</f>
        <v>294.60563301839147</v>
      </c>
      <c r="AL74" s="105">
        <f>AK74*(1+Inputs!$J$61)</f>
        <v>322.18072026891286</v>
      </c>
    </row>
    <row r="75" spans="4:38">
      <c r="D75" s="7" t="s">
        <v>440</v>
      </c>
      <c r="E75" s="16" t="s">
        <v>118</v>
      </c>
      <c r="K75" s="105">
        <f>SUM(K69:K72)</f>
        <v>306.33000000000004</v>
      </c>
      <c r="L75" s="105">
        <f t="shared" ref="L75:AL75" si="24">SUM(L69:L72)</f>
        <v>330.885288</v>
      </c>
      <c r="M75" s="105">
        <f t="shared" si="24"/>
        <v>361.85615095679992</v>
      </c>
      <c r="N75" s="105">
        <f t="shared" si="24"/>
        <v>400.99974867701746</v>
      </c>
      <c r="O75" s="105">
        <f t="shared" si="24"/>
        <v>438.5333251531863</v>
      </c>
      <c r="P75" s="105">
        <f t="shared" si="24"/>
        <v>479.58004438752448</v>
      </c>
      <c r="Q75" s="105">
        <f t="shared" si="24"/>
        <v>518.11458724171598</v>
      </c>
      <c r="R75" s="105">
        <f t="shared" si="24"/>
        <v>559.75398551232206</v>
      </c>
      <c r="S75" s="105">
        <f t="shared" si="24"/>
        <v>604.74919742053453</v>
      </c>
      <c r="T75" s="105">
        <f t="shared" si="24"/>
        <v>653.37153803363208</v>
      </c>
      <c r="U75" s="105">
        <f t="shared" si="24"/>
        <v>705.91433717114387</v>
      </c>
      <c r="V75" s="105">
        <f t="shared" si="24"/>
        <v>762.6947329389543</v>
      </c>
      <c r="W75" s="105">
        <f t="shared" si="24"/>
        <v>824.05561204151059</v>
      </c>
      <c r="X75" s="105">
        <f t="shared" si="24"/>
        <v>890.36770894392419</v>
      </c>
      <c r="Y75" s="105">
        <f t="shared" si="24"/>
        <v>962.03187695401471</v>
      </c>
      <c r="Z75" s="105">
        <f t="shared" si="24"/>
        <v>1039.4815453756319</v>
      </c>
      <c r="AA75" s="105">
        <f t="shared" si="24"/>
        <v>1123.1853780558715</v>
      </c>
      <c r="AB75" s="105">
        <f t="shared" si="24"/>
        <v>1213.6501499175945</v>
      </c>
      <c r="AC75" s="105">
        <f t="shared" si="24"/>
        <v>1311.4238594431549</v>
      </c>
      <c r="AD75" s="105">
        <f t="shared" si="24"/>
        <v>1417.0990965642764</v>
      </c>
      <c r="AE75" s="105">
        <f t="shared" si="24"/>
        <v>1531.3166870262369</v>
      </c>
      <c r="AF75" s="105">
        <f t="shared" si="24"/>
        <v>1654.769636042297</v>
      </c>
      <c r="AG75" s="105">
        <f t="shared" si="24"/>
        <v>1788.2073959479821</v>
      </c>
      <c r="AH75" s="105">
        <f t="shared" si="24"/>
        <v>1932.4404846166376</v>
      </c>
      <c r="AI75" s="105">
        <f t="shared" si="24"/>
        <v>2088.3454836209048</v>
      </c>
      <c r="AJ75" s="105">
        <f t="shared" si="24"/>
        <v>2256.8704475338595</v>
      </c>
      <c r="AK75" s="105">
        <f t="shared" si="24"/>
        <v>2439.0407583741044</v>
      </c>
      <c r="AL75" s="105">
        <f t="shared" si="24"/>
        <v>2635.9654620281303</v>
      </c>
    </row>
    <row r="76" spans="4:38">
      <c r="D76" s="7" t="s">
        <v>401</v>
      </c>
      <c r="E76" s="16" t="s">
        <v>246</v>
      </c>
      <c r="K76">
        <f>(1-Inputs!E24)*'Risk exposure pessimistic view'!L76</f>
        <v>1767200000</v>
      </c>
      <c r="L76">
        <f>(1-Inputs!F24)*'Risk exposure pessimistic view'!M76</f>
        <v>1880000000</v>
      </c>
      <c r="M76">
        <f>Inputs!G27</f>
        <v>2000000000</v>
      </c>
      <c r="N76">
        <f>M76*(1+Inputs!H24)</f>
        <v>2120000000</v>
      </c>
      <c r="O76">
        <f>N76*(1+Inputs!I24)</f>
        <v>2247200000</v>
      </c>
      <c r="P76">
        <f>O76*(1+Inputs!$J$24)</f>
        <v>2382032000</v>
      </c>
      <c r="Q76">
        <f>P76*(1+Inputs!$J$24)</f>
        <v>2524953920</v>
      </c>
      <c r="R76">
        <f>Q76*(1+Inputs!$J$24)</f>
        <v>2676451155.2000003</v>
      </c>
      <c r="S76">
        <f>R76*(1+Inputs!$J$24)</f>
        <v>2837038224.5120006</v>
      </c>
      <c r="T76">
        <f>S76*(1+Inputs!$J$24)</f>
        <v>3007260517.9827209</v>
      </c>
      <c r="U76">
        <f>T76*(1+Inputs!$J$24)</f>
        <v>3187696149.0616841</v>
      </c>
      <c r="V76">
        <f>U76*(1+Inputs!$J$24)</f>
        <v>3378957918.0053854</v>
      </c>
      <c r="W76">
        <f>V76*(1+Inputs!$J$24)</f>
        <v>3581695393.0857086</v>
      </c>
      <c r="X76">
        <f>W76*(1+Inputs!$J$24)</f>
        <v>3796597116.6708512</v>
      </c>
      <c r="Y76">
        <f>X76*(1+Inputs!$J$24)</f>
        <v>4024392943.6711025</v>
      </c>
      <c r="Z76">
        <f>Y76*(1+Inputs!$J$24)</f>
        <v>4265856520.291369</v>
      </c>
      <c r="AA76">
        <f>Z76*(1+Inputs!$J$24)</f>
        <v>4521807911.5088511</v>
      </c>
      <c r="AB76">
        <f>AA76*(1+Inputs!$J$24)</f>
        <v>4793116386.1993828</v>
      </c>
      <c r="AC76">
        <f>AB76*(1+Inputs!$J$24)</f>
        <v>5080703369.3713465</v>
      </c>
      <c r="AD76">
        <f>AC76*(1+Inputs!$J$24)</f>
        <v>5385545571.5336275</v>
      </c>
      <c r="AE76">
        <f>AD76*(1+Inputs!$J$24)</f>
        <v>5708678305.8256454</v>
      </c>
      <c r="AF76">
        <f>AE76*(1+Inputs!$J$24)</f>
        <v>6051199004.1751842</v>
      </c>
      <c r="AG76">
        <f>AF76*(1+Inputs!$J$24)</f>
        <v>6414270944.4256954</v>
      </c>
      <c r="AH76">
        <f>AG76*(1+Inputs!$J$24)</f>
        <v>6799127201.0912371</v>
      </c>
      <c r="AI76">
        <f>AH76*(1+Inputs!$J$24)</f>
        <v>7207074833.1567116</v>
      </c>
      <c r="AJ76">
        <f>AI76*(1+Inputs!$J$24)</f>
        <v>7639499323.1461143</v>
      </c>
      <c r="AK76">
        <f>AJ76*(1+Inputs!$J$24)</f>
        <v>8097869282.5348816</v>
      </c>
      <c r="AL76">
        <f>AK76*(1+Inputs!$J$24)</f>
        <v>8583741439.4869747</v>
      </c>
    </row>
    <row r="78" spans="4:38" ht="24" thickBot="1">
      <c r="D78" s="57" t="s">
        <v>197</v>
      </c>
    </row>
    <row r="79" spans="4:38" ht="18">
      <c r="D79" s="15" t="s">
        <v>143</v>
      </c>
    </row>
    <row r="80" spans="4:38">
      <c r="D80" s="89" t="s">
        <v>190</v>
      </c>
      <c r="E80" s="16" t="s">
        <v>211</v>
      </c>
      <c r="K80" s="69">
        <f>SUM(K81:K82)</f>
        <v>4164940</v>
      </c>
      <c r="L80" s="69">
        <f t="shared" ref="L80:AL80" si="25">SUM(L81:L82)</f>
        <v>4195578.0786803216</v>
      </c>
      <c r="M80" s="69">
        <f t="shared" si="25"/>
        <v>4514988.1311923796</v>
      </c>
      <c r="N80" s="69">
        <f t="shared" si="25"/>
        <v>11859354.478505855</v>
      </c>
      <c r="O80" s="69">
        <f t="shared" si="25"/>
        <v>11443340.034546047</v>
      </c>
      <c r="P80" s="69">
        <f t="shared" si="25"/>
        <v>12303237.823155232</v>
      </c>
      <c r="Q80" s="69">
        <f t="shared" si="25"/>
        <v>16640646.112740777</v>
      </c>
      <c r="R80" s="69">
        <f t="shared" si="25"/>
        <v>17846341.788272813</v>
      </c>
      <c r="S80" s="69">
        <f t="shared" si="25"/>
        <v>19143778.45099742</v>
      </c>
      <c r="T80" s="69">
        <f t="shared" si="25"/>
        <v>20540276.329633586</v>
      </c>
      <c r="U80" s="69">
        <f t="shared" si="25"/>
        <v>22043764.822647467</v>
      </c>
      <c r="V80" s="69">
        <f t="shared" si="25"/>
        <v>23662834.956321053</v>
      </c>
      <c r="W80" s="69">
        <f t="shared" si="25"/>
        <v>25406796.479282916</v>
      </c>
      <c r="X80" s="69">
        <f t="shared" si="25"/>
        <v>27285740.011057023</v>
      </c>
      <c r="Y80" s="69">
        <f t="shared" si="25"/>
        <v>29310604.700283978</v>
      </c>
      <c r="Z80" s="69">
        <f t="shared" si="25"/>
        <v>31493251.889874093</v>
      </c>
      <c r="AA80" s="69">
        <f t="shared" si="25"/>
        <v>46742340.27319371</v>
      </c>
      <c r="AB80" s="69">
        <f>SUM(AB81:AB82)</f>
        <v>50053981.181656905</v>
      </c>
      <c r="AC80" s="69">
        <f t="shared" si="25"/>
        <v>53611785.150685802</v>
      </c>
      <c r="AD80" s="69">
        <f t="shared" si="25"/>
        <v>57434964.651041344</v>
      </c>
      <c r="AE80" s="69">
        <f t="shared" si="25"/>
        <v>61544300.737245247</v>
      </c>
      <c r="AF80" s="69">
        <f t="shared" si="25"/>
        <v>65962276.084809817</v>
      </c>
      <c r="AG80" s="69">
        <f t="shared" si="25"/>
        <v>70713219.652819932</v>
      </c>
      <c r="AH80" s="69">
        <f t="shared" si="25"/>
        <v>75823464.010384113</v>
      </c>
      <c r="AI80" s="69">
        <f t="shared" si="25"/>
        <v>81321516.459699929</v>
      </c>
      <c r="AJ80" s="69">
        <f t="shared" si="25"/>
        <v>87238245.191348314</v>
      </c>
      <c r="AK80" s="69">
        <f t="shared" si="25"/>
        <v>93607081.819740236</v>
      </c>
      <c r="AL80" s="69">
        <f t="shared" si="25"/>
        <v>100464241.76925853</v>
      </c>
    </row>
    <row r="81" spans="4:40">
      <c r="D81" s="89" t="s">
        <v>189</v>
      </c>
      <c r="E81" s="16" t="s">
        <v>211</v>
      </c>
      <c r="K81" s="65">
        <f t="shared" ref="K81:AL81" si="26">K24*K65</f>
        <v>3746323</v>
      </c>
      <c r="L81" s="65">
        <f t="shared" si="26"/>
        <v>3763296.7631000001</v>
      </c>
      <c r="M81" s="65">
        <f t="shared" si="26"/>
        <v>4022098.7544460809</v>
      </c>
      <c r="N81" s="65">
        <f t="shared" si="26"/>
        <v>8125900.9314147839</v>
      </c>
      <c r="O81" s="65">
        <f t="shared" si="26"/>
        <v>6285679.7209620466</v>
      </c>
      <c r="P81" s="65">
        <f t="shared" si="26"/>
        <v>6662820.5042197704</v>
      </c>
      <c r="Q81" s="65">
        <f t="shared" si="26"/>
        <v>10472285.732752956</v>
      </c>
      <c r="R81" s="65">
        <f t="shared" si="26"/>
        <v>11100622.876718136</v>
      </c>
      <c r="S81" s="65">
        <f t="shared" si="26"/>
        <v>11766660.249321224</v>
      </c>
      <c r="T81" s="65">
        <f t="shared" si="26"/>
        <v>12472659.8642805</v>
      </c>
      <c r="U81" s="65">
        <f t="shared" si="26"/>
        <v>13221019.456137331</v>
      </c>
      <c r="V81" s="65">
        <f t="shared" si="26"/>
        <v>14014280.62350557</v>
      </c>
      <c r="W81" s="65">
        <f t="shared" si="26"/>
        <v>14855137.460915904</v>
      </c>
      <c r="X81" s="65">
        <f t="shared" si="26"/>
        <v>15746445.70857086</v>
      </c>
      <c r="Y81" s="65">
        <f t="shared" si="26"/>
        <v>16691232.451085111</v>
      </c>
      <c r="Z81" s="65">
        <f t="shared" si="26"/>
        <v>17692706.398150217</v>
      </c>
      <c r="AA81" s="65">
        <f t="shared" si="26"/>
        <v>31650063.72344448</v>
      </c>
      <c r="AB81" s="65">
        <f t="shared" si="26"/>
        <v>33549067.546851147</v>
      </c>
      <c r="AC81" s="65">
        <f t="shared" si="26"/>
        <v>35562011.599662222</v>
      </c>
      <c r="AD81" s="65">
        <f t="shared" si="26"/>
        <v>37695732.295641959</v>
      </c>
      <c r="AE81" s="65">
        <f t="shared" si="26"/>
        <v>39957476.233380482</v>
      </c>
      <c r="AF81" s="65">
        <f t="shared" si="26"/>
        <v>42354924.807383314</v>
      </c>
      <c r="AG81" s="65">
        <f t="shared" si="26"/>
        <v>44896220.295826316</v>
      </c>
      <c r="AH81" s="65">
        <f t="shared" si="26"/>
        <v>47589993.513575897</v>
      </c>
      <c r="AI81" s="65">
        <f t="shared" si="26"/>
        <v>50445393.124390453</v>
      </c>
      <c r="AJ81" s="65">
        <f t="shared" si="26"/>
        <v>53472116.711853884</v>
      </c>
      <c r="AK81" s="65">
        <f t="shared" si="26"/>
        <v>56680443.714565121</v>
      </c>
      <c r="AL81" s="65">
        <f t="shared" si="26"/>
        <v>60081270.33743903</v>
      </c>
      <c r="AM81" s="90">
        <f>SUM(M81:AL81)</f>
        <v>697064264.63649487</v>
      </c>
    </row>
    <row r="82" spans="4:40">
      <c r="D82" s="89" t="s">
        <v>144</v>
      </c>
      <c r="E82" s="16" t="s">
        <v>211</v>
      </c>
      <c r="K82" s="65">
        <f t="shared" ref="K82:AL82" si="27">K25*K69</f>
        <v>418617</v>
      </c>
      <c r="L82" s="65">
        <f t="shared" si="27"/>
        <v>432281.31558032165</v>
      </c>
      <c r="M82" s="65">
        <f t="shared" si="27"/>
        <v>492889.37674629915</v>
      </c>
      <c r="N82" s="65">
        <f t="shared" si="27"/>
        <v>3733453.547091072</v>
      </c>
      <c r="O82" s="65">
        <f t="shared" si="27"/>
        <v>5157660.3135839999</v>
      </c>
      <c r="P82" s="65">
        <f t="shared" si="27"/>
        <v>5640417.3189354623</v>
      </c>
      <c r="Q82" s="65">
        <f t="shared" si="27"/>
        <v>6168360.3799878201</v>
      </c>
      <c r="R82" s="65">
        <f t="shared" si="27"/>
        <v>6745718.9115546793</v>
      </c>
      <c r="S82" s="65">
        <f t="shared" si="27"/>
        <v>7377118.2016761964</v>
      </c>
      <c r="T82" s="65">
        <f t="shared" si="27"/>
        <v>8067616.4653530875</v>
      </c>
      <c r="U82" s="65">
        <f t="shared" si="27"/>
        <v>8822745.3665101361</v>
      </c>
      <c r="V82" s="65">
        <f t="shared" si="27"/>
        <v>9648554.3328154832</v>
      </c>
      <c r="W82" s="65">
        <f t="shared" si="27"/>
        <v>10551659.018367011</v>
      </c>
      <c r="X82" s="65">
        <f t="shared" si="27"/>
        <v>11539294.302486163</v>
      </c>
      <c r="Y82" s="65">
        <f t="shared" si="27"/>
        <v>12619372.249198867</v>
      </c>
      <c r="Z82" s="65">
        <f t="shared" si="27"/>
        <v>13800545.491723878</v>
      </c>
      <c r="AA82" s="65">
        <f t="shared" si="27"/>
        <v>15092276.549749231</v>
      </c>
      <c r="AB82" s="65">
        <f t="shared" si="27"/>
        <v>16504913.634805759</v>
      </c>
      <c r="AC82" s="65">
        <f t="shared" si="27"/>
        <v>18049773.551023576</v>
      </c>
      <c r="AD82" s="65">
        <f t="shared" si="27"/>
        <v>19739232.355399381</v>
      </c>
      <c r="AE82" s="65">
        <f t="shared" si="27"/>
        <v>21586824.503864761</v>
      </c>
      <c r="AF82" s="65">
        <f t="shared" si="27"/>
        <v>23607351.277426504</v>
      </c>
      <c r="AG82" s="65">
        <f t="shared" si="27"/>
        <v>25816999.356993623</v>
      </c>
      <c r="AH82" s="65">
        <f t="shared" si="27"/>
        <v>28233470.496808223</v>
      </c>
      <c r="AI82" s="65">
        <f t="shared" si="27"/>
        <v>30876123.335309472</v>
      </c>
      <c r="AJ82" s="65">
        <f t="shared" si="27"/>
        <v>33766128.479494438</v>
      </c>
      <c r="AK82" s="65">
        <f t="shared" si="27"/>
        <v>36926638.105175115</v>
      </c>
      <c r="AL82" s="65">
        <f t="shared" si="27"/>
        <v>40382971.431819506</v>
      </c>
      <c r="AM82" s="90">
        <f>SUM(M82:AL82)</f>
        <v>420948108.35389972</v>
      </c>
    </row>
    <row r="83" spans="4:40" ht="18">
      <c r="D83" s="15" t="s">
        <v>212</v>
      </c>
      <c r="E83" s="16"/>
      <c r="K83" s="70">
        <f>SUM(K84:K87)</f>
        <v>3539306.375</v>
      </c>
      <c r="L83" s="70">
        <f t="shared" ref="L83:AL83" si="28">SUM(L84:L87)</f>
        <v>3615442.7379177581</v>
      </c>
      <c r="M83" s="70">
        <f t="shared" si="28"/>
        <v>4122346.3830767944</v>
      </c>
      <c r="N83" s="70">
        <f t="shared" si="28"/>
        <v>12027298.247762708</v>
      </c>
      <c r="O83" s="70">
        <f t="shared" si="28"/>
        <v>13153053.363753296</v>
      </c>
      <c r="P83" s="70">
        <f t="shared" si="28"/>
        <v>14384179.1586006</v>
      </c>
      <c r="Q83" s="70">
        <f t="shared" si="28"/>
        <v>18291083.826191887</v>
      </c>
      <c r="R83" s="70">
        <f t="shared" si="28"/>
        <v>19788214.711672593</v>
      </c>
      <c r="S83" s="70">
        <f t="shared" si="28"/>
        <v>21408498.797742877</v>
      </c>
      <c r="T83" s="70">
        <f t="shared" si="28"/>
        <v>23162121.9422049</v>
      </c>
      <c r="U83" s="70">
        <f t="shared" si="28"/>
        <v>25060117.437891033</v>
      </c>
      <c r="V83" s="70">
        <f t="shared" si="28"/>
        <v>27114436.961643156</v>
      </c>
      <c r="W83" s="70">
        <f t="shared" si="28"/>
        <v>29338027.502812151</v>
      </c>
      <c r="X83" s="70">
        <f t="shared" si="28"/>
        <v>31744914.778717745</v>
      </c>
      <c r="Y83" s="70">
        <f t="shared" si="28"/>
        <v>34350293.687877849</v>
      </c>
      <c r="Z83" s="70">
        <f t="shared" si="28"/>
        <v>37170626.398919232</v>
      </c>
      <c r="AA83" s="70">
        <f t="shared" si="28"/>
        <v>52884118.48313354</v>
      </c>
      <c r="AB83" s="70">
        <f t="shared" si="28"/>
        <v>57227771.838374481</v>
      </c>
      <c r="AC83" s="70">
        <f t="shared" si="28"/>
        <v>61930093.437018313</v>
      </c>
      <c r="AD83" s="70">
        <f t="shared" si="28"/>
        <v>67020870.707506411</v>
      </c>
      <c r="AE83" s="70">
        <f t="shared" si="28"/>
        <v>72532380.251970068</v>
      </c>
      <c r="AF83" s="70">
        <f t="shared" si="28"/>
        <v>78499597.217448547</v>
      </c>
      <c r="AG83" s="70">
        <f t="shared" si="28"/>
        <v>84960422.398633465</v>
      </c>
      <c r="AH83" s="70">
        <f t="shared" si="28"/>
        <v>91955928.584426194</v>
      </c>
      <c r="AI83" s="70">
        <f t="shared" si="28"/>
        <v>99530627.790502295</v>
      </c>
      <c r="AJ83" s="70">
        <f t="shared" si="28"/>
        <v>107732761.16122244</v>
      </c>
      <c r="AK83" s="70">
        <f t="shared" si="28"/>
        <v>116614613.47759479</v>
      </c>
      <c r="AL83" s="70">
        <f t="shared" si="28"/>
        <v>126232854.37464248</v>
      </c>
    </row>
    <row r="84" spans="4:40">
      <c r="D84" s="7" t="s">
        <v>122</v>
      </c>
      <c r="E84" s="16" t="s">
        <v>211</v>
      </c>
      <c r="K84" s="65">
        <f t="shared" ref="K84:AL85" si="29">K42*K70</f>
        <v>634463.375</v>
      </c>
      <c r="L84" s="65">
        <f t="shared" si="29"/>
        <v>655173.25486669422</v>
      </c>
      <c r="M84" s="65">
        <f t="shared" si="29"/>
        <v>747031.91096420691</v>
      </c>
      <c r="N84" s="65">
        <f t="shared" si="29"/>
        <v>2179529.5103408243</v>
      </c>
      <c r="O84" s="65">
        <f t="shared" si="29"/>
        <v>2383533.4725087252</v>
      </c>
      <c r="P84" s="65">
        <f t="shared" si="29"/>
        <v>2606632.2055355413</v>
      </c>
      <c r="Q84" s="65">
        <f t="shared" si="29"/>
        <v>3357592.1022297693</v>
      </c>
      <c r="R84" s="65">
        <f t="shared" si="29"/>
        <v>3671862.7229984752</v>
      </c>
      <c r="S84" s="65">
        <f t="shared" si="29"/>
        <v>4015549.0738711325</v>
      </c>
      <c r="T84" s="65">
        <f t="shared" si="29"/>
        <v>4391404.4671854703</v>
      </c>
      <c r="U84" s="65">
        <f t="shared" si="29"/>
        <v>4802439.9253140297</v>
      </c>
      <c r="V84" s="65">
        <f t="shared" si="29"/>
        <v>5251948.3023234224</v>
      </c>
      <c r="W84" s="65">
        <f t="shared" si="29"/>
        <v>5743530.6634208933</v>
      </c>
      <c r="X84" s="65">
        <f t="shared" si="29"/>
        <v>6281125.1335170884</v>
      </c>
      <c r="Y84" s="65">
        <f t="shared" si="29"/>
        <v>6869038.446014287</v>
      </c>
      <c r="Z84" s="65">
        <f t="shared" si="29"/>
        <v>7511980.4445612235</v>
      </c>
      <c r="AA84" s="65">
        <f t="shared" si="29"/>
        <v>10834785.749829784</v>
      </c>
      <c r="AB84" s="65">
        <f t="shared" si="29"/>
        <v>11848921.696013851</v>
      </c>
      <c r="AC84" s="65">
        <f t="shared" si="29"/>
        <v>12957980.766760744</v>
      </c>
      <c r="AD84" s="65">
        <f t="shared" si="29"/>
        <v>14170847.766529549</v>
      </c>
      <c r="AE84" s="65">
        <f t="shared" si="29"/>
        <v>15497239.117476715</v>
      </c>
      <c r="AF84" s="65">
        <f t="shared" si="29"/>
        <v>16947780.698872533</v>
      </c>
      <c r="AG84" s="65">
        <f t="shared" si="29"/>
        <v>18534092.972287003</v>
      </c>
      <c r="AH84" s="65">
        <f t="shared" si="29"/>
        <v>20268884.074493062</v>
      </c>
      <c r="AI84" s="65">
        <f t="shared" si="29"/>
        <v>22166051.623865612</v>
      </c>
      <c r="AJ84" s="65">
        <f t="shared" si="29"/>
        <v>24240794.055859428</v>
      </c>
      <c r="AK84" s="65">
        <f t="shared" si="29"/>
        <v>26509732.379487868</v>
      </c>
      <c r="AL84" s="65">
        <f t="shared" si="29"/>
        <v>28991043.330207933</v>
      </c>
    </row>
    <row r="85" spans="4:40">
      <c r="D85" s="7" t="s">
        <v>123</v>
      </c>
      <c r="E85" s="16" t="s">
        <v>211</v>
      </c>
      <c r="K85" s="65">
        <f t="shared" si="29"/>
        <v>2857365</v>
      </c>
      <c r="L85" s="65">
        <f t="shared" si="29"/>
        <v>2911241.7266505295</v>
      </c>
      <c r="M85" s="65">
        <f t="shared" si="29"/>
        <v>3319412.7723986227</v>
      </c>
      <c r="N85" s="65">
        <f t="shared" si="29"/>
        <v>9684670.7460020296</v>
      </c>
      <c r="O85" s="65">
        <f t="shared" si="29"/>
        <v>10591155.927827818</v>
      </c>
      <c r="P85" s="65">
        <f t="shared" si="29"/>
        <v>11582488.1226725</v>
      </c>
      <c r="Q85" s="65">
        <f t="shared" si="29"/>
        <v>14720175.387044813</v>
      </c>
      <c r="R85" s="65">
        <f t="shared" si="29"/>
        <v>15883069.242621355</v>
      </c>
      <c r="S85" s="65">
        <f t="shared" si="29"/>
        <v>17137831.712788444</v>
      </c>
      <c r="T85" s="65">
        <f t="shared" si="29"/>
        <v>18491720.418098729</v>
      </c>
      <c r="U85" s="65">
        <f t="shared" si="29"/>
        <v>19952566.331128526</v>
      </c>
      <c r="V85" s="65">
        <f t="shared" si="29"/>
        <v>21528819.071287677</v>
      </c>
      <c r="W85" s="65">
        <f t="shared" si="29"/>
        <v>23229595.777919404</v>
      </c>
      <c r="X85" s="65">
        <f t="shared" si="29"/>
        <v>25064733.844375037</v>
      </c>
      <c r="Y85" s="65">
        <f t="shared" si="29"/>
        <v>27044847.818080664</v>
      </c>
      <c r="Z85" s="65">
        <f t="shared" si="29"/>
        <v>29181390.795709033</v>
      </c>
      <c r="AA85" s="65">
        <f t="shared" si="29"/>
        <v>41527406.491805233</v>
      </c>
      <c r="AB85" s="65">
        <f t="shared" si="29"/>
        <v>44808071.604657844</v>
      </c>
      <c r="AC85" s="65">
        <f t="shared" si="29"/>
        <v>48347909.261425808</v>
      </c>
      <c r="AD85" s="65">
        <f t="shared" si="29"/>
        <v>52167394.093078442</v>
      </c>
      <c r="AE85" s="65">
        <f t="shared" si="29"/>
        <v>56288618.226431638</v>
      </c>
      <c r="AF85" s="65">
        <f t="shared" si="29"/>
        <v>60735419.066319734</v>
      </c>
      <c r="AG85" s="65">
        <f t="shared" si="29"/>
        <v>65533517.172558986</v>
      </c>
      <c r="AH85" s="65">
        <f t="shared" si="29"/>
        <v>70710665.029191151</v>
      </c>
      <c r="AI85" s="65">
        <f t="shared" si="29"/>
        <v>76296807.566497251</v>
      </c>
      <c r="AJ85" s="65">
        <f t="shared" si="29"/>
        <v>82324255.364250526</v>
      </c>
      <c r="AK85" s="65">
        <f t="shared" si="29"/>
        <v>88827871.538026318</v>
      </c>
      <c r="AL85" s="65">
        <f t="shared" si="29"/>
        <v>95845273.389530391</v>
      </c>
    </row>
    <row r="86" spans="4:40">
      <c r="D86" s="7" t="s">
        <v>124</v>
      </c>
      <c r="E86" s="16" t="s">
        <v>211</v>
      </c>
      <c r="K86" s="65">
        <f t="shared" ref="K86:AL86" si="30">K72*K45</f>
        <v>47477.999999999993</v>
      </c>
      <c r="L86" s="65">
        <f t="shared" si="30"/>
        <v>49027.756400534403</v>
      </c>
      <c r="M86" s="65">
        <f t="shared" si="30"/>
        <v>55901.699713964757</v>
      </c>
      <c r="N86" s="65">
        <f t="shared" si="30"/>
        <v>163097.99141985408</v>
      </c>
      <c r="O86" s="65">
        <f t="shared" si="30"/>
        <v>178363.96341675241</v>
      </c>
      <c r="P86" s="65">
        <f t="shared" si="30"/>
        <v>195058.83039256043</v>
      </c>
      <c r="Q86" s="65">
        <f t="shared" si="30"/>
        <v>213316.33691730406</v>
      </c>
      <c r="R86" s="65">
        <f t="shared" si="30"/>
        <v>233282.74605276369</v>
      </c>
      <c r="S86" s="65">
        <f t="shared" si="30"/>
        <v>255118.01108330238</v>
      </c>
      <c r="T86" s="65">
        <f t="shared" si="30"/>
        <v>278997.05692069948</v>
      </c>
      <c r="U86" s="65">
        <f t="shared" si="30"/>
        <v>305111.18144847691</v>
      </c>
      <c r="V86" s="65">
        <f t="shared" si="30"/>
        <v>333669.58803205431</v>
      </c>
      <c r="W86" s="65">
        <f t="shared" si="30"/>
        <v>364901.06147185457</v>
      </c>
      <c r="X86" s="65">
        <f t="shared" si="30"/>
        <v>399055.80082562013</v>
      </c>
      <c r="Y86" s="65">
        <f t="shared" si="30"/>
        <v>436407.42378289811</v>
      </c>
      <c r="Z86" s="65">
        <f t="shared" si="30"/>
        <v>477255.15864897735</v>
      </c>
      <c r="AA86" s="65">
        <f t="shared" si="30"/>
        <v>521926.24149852159</v>
      </c>
      <c r="AB86" s="65">
        <f t="shared" si="30"/>
        <v>570778.53770278313</v>
      </c>
      <c r="AC86" s="65">
        <f t="shared" si="30"/>
        <v>624203.40883176366</v>
      </c>
      <c r="AD86" s="65">
        <f t="shared" si="30"/>
        <v>682628.84789841669</v>
      </c>
      <c r="AE86" s="65">
        <f t="shared" si="30"/>
        <v>746522.90806170844</v>
      </c>
      <c r="AF86" s="65">
        <f t="shared" si="30"/>
        <v>816397.45225628442</v>
      </c>
      <c r="AG86" s="65">
        <f t="shared" si="30"/>
        <v>892812.25378747249</v>
      </c>
      <c r="AH86" s="65">
        <f t="shared" si="30"/>
        <v>976379.4807419799</v>
      </c>
      <c r="AI86" s="65">
        <f t="shared" si="30"/>
        <v>1067768.6001394291</v>
      </c>
      <c r="AJ86" s="65">
        <f t="shared" si="30"/>
        <v>1167711.7411124795</v>
      </c>
      <c r="AK86" s="65">
        <f t="shared" si="30"/>
        <v>1277009.5600806077</v>
      </c>
      <c r="AL86" s="65">
        <f t="shared" si="30"/>
        <v>1396537.6549041523</v>
      </c>
    </row>
    <row r="87" spans="4:40">
      <c r="D87" s="7" t="s">
        <v>233</v>
      </c>
      <c r="E87" s="16" t="s">
        <v>211</v>
      </c>
    </row>
    <row r="88" spans="4:40" ht="18">
      <c r="D88" s="15" t="s">
        <v>234</v>
      </c>
      <c r="K88" s="69">
        <f>SUM(K89:K90)</f>
        <v>1742558.4</v>
      </c>
      <c r="L88" s="69">
        <f t="shared" ref="L88:AL88" si="31">SUM(L89:L90)</f>
        <v>1750689.2990336004</v>
      </c>
      <c r="M88" s="69">
        <f t="shared" si="31"/>
        <v>1936490.0635776964</v>
      </c>
      <c r="N88" s="69">
        <f t="shared" si="31"/>
        <v>6270481.6497468483</v>
      </c>
      <c r="O88" s="69">
        <f t="shared" si="31"/>
        <v>6646710.5487316595</v>
      </c>
      <c r="P88" s="69">
        <f t="shared" si="31"/>
        <v>7045513.1816555597</v>
      </c>
      <c r="Q88" s="69">
        <f t="shared" si="31"/>
        <v>10367799.914692942</v>
      </c>
      <c r="R88" s="69">
        <f t="shared" si="31"/>
        <v>10989867.90957452</v>
      </c>
      <c r="S88" s="69">
        <f t="shared" si="31"/>
        <v>11649259.984148992</v>
      </c>
      <c r="T88" s="69">
        <f t="shared" si="31"/>
        <v>12348215.583197933</v>
      </c>
      <c r="U88" s="69">
        <f t="shared" si="31"/>
        <v>13089108.518189808</v>
      </c>
      <c r="V88" s="69">
        <f t="shared" si="31"/>
        <v>13874455.029281199</v>
      </c>
      <c r="W88" s="69">
        <f t="shared" si="31"/>
        <v>14706922.331038069</v>
      </c>
      <c r="X88" s="69">
        <f t="shared" si="31"/>
        <v>15589337.670900354</v>
      </c>
      <c r="Y88" s="69">
        <f t="shared" si="31"/>
        <v>16524697.931154378</v>
      </c>
      <c r="Z88" s="69">
        <f t="shared" si="31"/>
        <v>17516179.807023641</v>
      </c>
      <c r="AA88" s="69">
        <f t="shared" si="31"/>
        <v>29533547.268288508</v>
      </c>
      <c r="AB88" s="69">
        <f t="shared" si="31"/>
        <v>31305560.104385819</v>
      </c>
      <c r="AC88" s="69">
        <f t="shared" si="31"/>
        <v>33183893.710648969</v>
      </c>
      <c r="AD88" s="69">
        <f t="shared" si="31"/>
        <v>35174927.33328791</v>
      </c>
      <c r="AE88" s="69">
        <f t="shared" si="31"/>
        <v>37285422.973285183</v>
      </c>
      <c r="AF88" s="69">
        <f t="shared" si="31"/>
        <v>39522548.351682305</v>
      </c>
      <c r="AG88" s="69">
        <f t="shared" si="31"/>
        <v>41893901.252783239</v>
      </c>
      <c r="AH88" s="69">
        <f t="shared" si="31"/>
        <v>44407535.327950239</v>
      </c>
      <c r="AI88" s="69">
        <f t="shared" si="31"/>
        <v>47071987.447627254</v>
      </c>
      <c r="AJ88" s="69">
        <f t="shared" si="31"/>
        <v>49896306.69448489</v>
      </c>
      <c r="AK88" s="69">
        <f t="shared" si="31"/>
        <v>52890085.096153989</v>
      </c>
      <c r="AL88" s="69">
        <f t="shared" si="31"/>
        <v>56063490.201923221</v>
      </c>
    </row>
    <row r="89" spans="4:40">
      <c r="D89" s="7" t="s">
        <v>236</v>
      </c>
      <c r="E89" s="16" t="s">
        <v>211</v>
      </c>
      <c r="K89" s="65">
        <f t="shared" ref="K89:AL89" si="32">K52*K66</f>
        <v>1501269.7999999998</v>
      </c>
      <c r="L89" s="65">
        <f t="shared" si="32"/>
        <v>1508307.4736136002</v>
      </c>
      <c r="M89" s="65">
        <f t="shared" si="32"/>
        <v>1667172.0942583524</v>
      </c>
      <c r="N89" s="65">
        <f t="shared" si="32"/>
        <v>5399121.8426580159</v>
      </c>
      <c r="O89" s="65">
        <f t="shared" si="32"/>
        <v>5723069.1532174973</v>
      </c>
      <c r="P89" s="65">
        <f t="shared" si="32"/>
        <v>6066453.3024105476</v>
      </c>
      <c r="Q89" s="65">
        <f t="shared" si="32"/>
        <v>8927067.8245245293</v>
      </c>
      <c r="R89" s="65">
        <f t="shared" si="32"/>
        <v>9462691.8939960022</v>
      </c>
      <c r="S89" s="65">
        <f t="shared" si="32"/>
        <v>10030453.407635763</v>
      </c>
      <c r="T89" s="65">
        <f t="shared" si="32"/>
        <v>10632280.612093911</v>
      </c>
      <c r="U89" s="65">
        <f t="shared" si="32"/>
        <v>11270217.448819544</v>
      </c>
      <c r="V89" s="65">
        <f t="shared" si="32"/>
        <v>11946430.495748719</v>
      </c>
      <c r="W89" s="65">
        <f t="shared" si="32"/>
        <v>12663216.325493641</v>
      </c>
      <c r="X89" s="65">
        <f t="shared" si="32"/>
        <v>13423009.30502326</v>
      </c>
      <c r="Y89" s="65">
        <f t="shared" si="32"/>
        <v>14228389.863324657</v>
      </c>
      <c r="Z89" s="65">
        <f t="shared" si="32"/>
        <v>15082093.255124137</v>
      </c>
      <c r="AA89" s="65">
        <f t="shared" si="32"/>
        <v>25429501.121947624</v>
      </c>
      <c r="AB89" s="65">
        <f t="shared" si="32"/>
        <v>26955271.189264484</v>
      </c>
      <c r="AC89" s="65">
        <f t="shared" si="32"/>
        <v>28572587.460620351</v>
      </c>
      <c r="AD89" s="65">
        <f t="shared" si="32"/>
        <v>30286942.708257575</v>
      </c>
      <c r="AE89" s="65">
        <f t="shared" si="32"/>
        <v>32104159.27075303</v>
      </c>
      <c r="AF89" s="65">
        <f t="shared" si="32"/>
        <v>34030408.826998219</v>
      </c>
      <c r="AG89" s="65">
        <f t="shared" si="32"/>
        <v>36072233.356618106</v>
      </c>
      <c r="AH89" s="65">
        <f t="shared" si="32"/>
        <v>38236567.358015202</v>
      </c>
      <c r="AI89" s="65">
        <f t="shared" si="32"/>
        <v>40530761.399496116</v>
      </c>
      <c r="AJ89" s="65">
        <f t="shared" si="32"/>
        <v>42962607.083465882</v>
      </c>
      <c r="AK89" s="65">
        <f t="shared" si="32"/>
        <v>45540363.508473836</v>
      </c>
      <c r="AL89" s="65">
        <f t="shared" si="32"/>
        <v>48272785.318982266</v>
      </c>
    </row>
    <row r="90" spans="4:40">
      <c r="D90" s="7" t="s">
        <v>237</v>
      </c>
      <c r="E90" s="16" t="s">
        <v>211</v>
      </c>
      <c r="K90" s="106">
        <f t="shared" ref="K90:AL90" si="33">K52*K67</f>
        <v>241288.6</v>
      </c>
      <c r="L90" s="106">
        <f t="shared" si="33"/>
        <v>242381.82542000004</v>
      </c>
      <c r="M90" s="106">
        <f t="shared" si="33"/>
        <v>269317.96931934403</v>
      </c>
      <c r="N90" s="106">
        <f t="shared" si="33"/>
        <v>871359.80708883191</v>
      </c>
      <c r="O90" s="106">
        <f t="shared" si="33"/>
        <v>923641.39551416191</v>
      </c>
      <c r="P90" s="106">
        <f t="shared" si="33"/>
        <v>979059.8792450116</v>
      </c>
      <c r="Q90" s="106">
        <f t="shared" si="33"/>
        <v>1440732.0901684123</v>
      </c>
      <c r="R90" s="106">
        <f t="shared" si="33"/>
        <v>1527176.015578517</v>
      </c>
      <c r="S90" s="106">
        <f t="shared" si="33"/>
        <v>1618806.5765132282</v>
      </c>
      <c r="T90" s="106">
        <f t="shared" si="33"/>
        <v>1715934.9711040219</v>
      </c>
      <c r="U90" s="106">
        <f t="shared" si="33"/>
        <v>1818891.0693702635</v>
      </c>
      <c r="V90" s="106">
        <f t="shared" si="33"/>
        <v>1928024.5335324793</v>
      </c>
      <c r="W90" s="106">
        <f t="shared" si="33"/>
        <v>2043706.0055444282</v>
      </c>
      <c r="X90" s="106">
        <f t="shared" si="33"/>
        <v>2166328.3658770942</v>
      </c>
      <c r="Y90" s="106">
        <f t="shared" si="33"/>
        <v>2296308.0678297197</v>
      </c>
      <c r="Z90" s="106">
        <f t="shared" si="33"/>
        <v>2434086.5518995035</v>
      </c>
      <c r="AA90" s="106">
        <f t="shared" si="33"/>
        <v>4104046.1463408829</v>
      </c>
      <c r="AB90" s="106">
        <f t="shared" si="33"/>
        <v>4350288.9151213355</v>
      </c>
      <c r="AC90" s="106">
        <f t="shared" si="33"/>
        <v>4611306.2500286167</v>
      </c>
      <c r="AD90" s="106">
        <f t="shared" si="33"/>
        <v>4887984.6250303341</v>
      </c>
      <c r="AE90" s="106">
        <f t="shared" si="33"/>
        <v>5181263.7025321545</v>
      </c>
      <c r="AF90" s="106">
        <f t="shared" si="33"/>
        <v>5492139.5246840836</v>
      </c>
      <c r="AG90" s="106">
        <f t="shared" si="33"/>
        <v>5821667.8961651297</v>
      </c>
      <c r="AH90" s="106">
        <f t="shared" si="33"/>
        <v>6170967.9699350372</v>
      </c>
      <c r="AI90" s="106">
        <f t="shared" si="33"/>
        <v>6541226.0481311399</v>
      </c>
      <c r="AJ90" s="106">
        <f t="shared" si="33"/>
        <v>6933699.6110190088</v>
      </c>
      <c r="AK90" s="106">
        <f t="shared" si="33"/>
        <v>7349721.5876801498</v>
      </c>
      <c r="AL90" s="106">
        <f t="shared" si="33"/>
        <v>7790704.8829409592</v>
      </c>
    </row>
    <row r="91" spans="4:40">
      <c r="D91" s="23" t="s">
        <v>338</v>
      </c>
      <c r="E91" s="16" t="s">
        <v>211</v>
      </c>
      <c r="K91" s="70">
        <f>K88+K83+K80</f>
        <v>9446804.7750000004</v>
      </c>
      <c r="L91" s="70">
        <f>L88+L83+L80</f>
        <v>9561710.1156316809</v>
      </c>
      <c r="M91" s="70">
        <f t="shared" ref="M91:AL91" si="34">M88+M83+M80</f>
        <v>10573824.57784687</v>
      </c>
      <c r="N91" s="70">
        <f t="shared" si="34"/>
        <v>30157134.37601541</v>
      </c>
      <c r="O91" s="70">
        <f t="shared" si="34"/>
        <v>31243103.947031002</v>
      </c>
      <c r="P91" s="70">
        <f t="shared" si="34"/>
        <v>33732930.163411394</v>
      </c>
      <c r="Q91" s="70">
        <f t="shared" si="34"/>
        <v>45299529.85362561</v>
      </c>
      <c r="R91" s="70">
        <f t="shared" si="34"/>
        <v>48624424.409519926</v>
      </c>
      <c r="S91" s="70">
        <f t="shared" si="34"/>
        <v>52201537.232889287</v>
      </c>
      <c r="T91" s="70">
        <f t="shared" si="34"/>
        <v>56050613.855036415</v>
      </c>
      <c r="U91" s="70">
        <f t="shared" si="34"/>
        <v>60192990.778728306</v>
      </c>
      <c r="V91" s="70">
        <f t="shared" si="34"/>
        <v>64651726.947245412</v>
      </c>
      <c r="W91" s="70">
        <f t="shared" si="34"/>
        <v>69451746.313133135</v>
      </c>
      <c r="X91" s="70">
        <f t="shared" si="34"/>
        <v>74619992.46067512</v>
      </c>
      <c r="Y91" s="70">
        <f t="shared" si="34"/>
        <v>80185596.319316208</v>
      </c>
      <c r="Z91" s="70">
        <f t="shared" si="34"/>
        <v>86180058.09581697</v>
      </c>
      <c r="AA91" s="70">
        <f t="shared" si="34"/>
        <v>129160006.02461576</v>
      </c>
      <c r="AB91" s="70">
        <f t="shared" si="34"/>
        <v>138587313.12441722</v>
      </c>
      <c r="AC91" s="70">
        <f t="shared" si="34"/>
        <v>148725772.29835308</v>
      </c>
      <c r="AD91" s="70">
        <f t="shared" si="34"/>
        <v>159630762.69183564</v>
      </c>
      <c r="AE91" s="70">
        <f t="shared" si="34"/>
        <v>171362103.96250051</v>
      </c>
      <c r="AF91" s="70">
        <f t="shared" si="34"/>
        <v>183984421.65394068</v>
      </c>
      <c r="AG91" s="70">
        <f t="shared" si="34"/>
        <v>197567543.30423665</v>
      </c>
      <c r="AH91" s="70">
        <f t="shared" si="34"/>
        <v>212186927.92276055</v>
      </c>
      <c r="AI91" s="70">
        <f t="shared" si="34"/>
        <v>227924131.69782948</v>
      </c>
      <c r="AJ91" s="70">
        <f t="shared" si="34"/>
        <v>244867313.04705566</v>
      </c>
      <c r="AK91" s="70">
        <f t="shared" si="34"/>
        <v>263111780.393489</v>
      </c>
      <c r="AL91" s="70">
        <f t="shared" si="34"/>
        <v>282760586.34582424</v>
      </c>
    </row>
    <row r="92" spans="4:40" s="110" customFormat="1">
      <c r="D92" s="143" t="s">
        <v>468</v>
      </c>
      <c r="E92" s="112" t="s">
        <v>211</v>
      </c>
      <c r="K92" s="144">
        <f>K80+K88</f>
        <v>5907498.4000000004</v>
      </c>
      <c r="L92" s="144">
        <f>L80+L88</f>
        <v>5946267.3777139224</v>
      </c>
      <c r="M92" s="144">
        <f t="shared" ref="M92:AL92" si="35">M80+M88</f>
        <v>6451478.1947700763</v>
      </c>
      <c r="N92" s="144">
        <f t="shared" si="35"/>
        <v>18129836.128252704</v>
      </c>
      <c r="O92" s="144">
        <f t="shared" si="35"/>
        <v>18090050.583277706</v>
      </c>
      <c r="P92" s="144">
        <f t="shared" si="35"/>
        <v>19348751.004810791</v>
      </c>
      <c r="Q92" s="144">
        <f t="shared" si="35"/>
        <v>27008446.027433719</v>
      </c>
      <c r="R92" s="144">
        <f t="shared" si="35"/>
        <v>28836209.697847333</v>
      </c>
      <c r="S92" s="144">
        <f t="shared" si="35"/>
        <v>30793038.435146414</v>
      </c>
      <c r="T92" s="144">
        <f t="shared" si="35"/>
        <v>32888491.912831519</v>
      </c>
      <c r="U92" s="144">
        <f t="shared" si="35"/>
        <v>35132873.340837277</v>
      </c>
      <c r="V92" s="144">
        <f t="shared" si="35"/>
        <v>37537289.985602252</v>
      </c>
      <c r="W92" s="144">
        <f t="shared" si="35"/>
        <v>40113718.810320988</v>
      </c>
      <c r="X92" s="144">
        <f t="shared" si="35"/>
        <v>42875077.681957379</v>
      </c>
      <c r="Y92" s="144">
        <f t="shared" si="35"/>
        <v>45835302.63143836</v>
      </c>
      <c r="Z92" s="144">
        <f t="shared" si="35"/>
        <v>49009431.69689773</v>
      </c>
      <c r="AA92" s="144">
        <f t="shared" si="35"/>
        <v>76275887.54148221</v>
      </c>
      <c r="AB92" s="144">
        <f t="shared" si="35"/>
        <v>81359541.28604272</v>
      </c>
      <c r="AC92" s="144">
        <f t="shared" si="35"/>
        <v>86795678.861334771</v>
      </c>
      <c r="AD92" s="144">
        <f t="shared" si="35"/>
        <v>92609891.984329253</v>
      </c>
      <c r="AE92" s="144">
        <f t="shared" si="35"/>
        <v>98829723.71053043</v>
      </c>
      <c r="AF92" s="144">
        <f t="shared" si="35"/>
        <v>105484824.43649212</v>
      </c>
      <c r="AG92" s="144">
        <f t="shared" si="35"/>
        <v>112607120.90560317</v>
      </c>
      <c r="AH92" s="144">
        <f t="shared" si="35"/>
        <v>120230999.33833435</v>
      </c>
      <c r="AI92" s="144">
        <f t="shared" si="35"/>
        <v>128393503.90732718</v>
      </c>
      <c r="AJ92" s="144">
        <f t="shared" si="35"/>
        <v>137134551.8858332</v>
      </c>
      <c r="AK92" s="144">
        <f t="shared" si="35"/>
        <v>146497166.91589421</v>
      </c>
      <c r="AL92" s="144">
        <f t="shared" si="35"/>
        <v>156527731.97118175</v>
      </c>
      <c r="AM92" s="122">
        <f>SUM(M92:AL92)/10^6</f>
        <v>1774.7966188758096</v>
      </c>
      <c r="AN92" s="122">
        <f>AM92-'Initiative 1 Model'!AM103</f>
        <v>313.65105172981316</v>
      </c>
    </row>
    <row r="94" spans="4:40">
      <c r="D94" s="110" t="s">
        <v>241</v>
      </c>
      <c r="E94" s="112" t="s">
        <v>337</v>
      </c>
      <c r="F94" s="110"/>
      <c r="G94" s="110"/>
      <c r="H94" s="110"/>
      <c r="I94" s="110"/>
      <c r="J94" s="110"/>
      <c r="K94" s="113">
        <f t="shared" ref="K94:AL94" si="36">K91/K23</f>
        <v>48.947175000000001</v>
      </c>
      <c r="L94" s="113">
        <f t="shared" si="36"/>
        <v>52.467112299999997</v>
      </c>
      <c r="M94" s="113">
        <f t="shared" si="36"/>
        <v>55.649234971279995</v>
      </c>
      <c r="N94" s="113">
        <f t="shared" si="36"/>
        <v>59.491109740044536</v>
      </c>
      <c r="O94" s="113">
        <f t="shared" si="36"/>
        <v>61.633406621376203</v>
      </c>
      <c r="P94" s="113">
        <f t="shared" si="36"/>
        <v>66.545097593915372</v>
      </c>
      <c r="Q94" s="113">
        <f t="shared" si="36"/>
        <v>75.869289578150429</v>
      </c>
      <c r="R94" s="113">
        <f t="shared" si="36"/>
        <v>81.437943131356619</v>
      </c>
      <c r="S94" s="113">
        <f t="shared" si="36"/>
        <v>87.429020953286908</v>
      </c>
      <c r="T94" s="113">
        <f t="shared" si="36"/>
        <v>93.875593573307086</v>
      </c>
      <c r="U94" s="113">
        <f t="shared" si="36"/>
        <v>100.8133961372839</v>
      </c>
      <c r="V94" s="113">
        <f t="shared" si="36"/>
        <v>108.28104859669949</v>
      </c>
      <c r="W94" s="113">
        <f t="shared" si="36"/>
        <v>116.32029448794837</v>
      </c>
      <c r="X94" s="113">
        <f t="shared" si="36"/>
        <v>124.97625989964325</v>
      </c>
      <c r="Y94" s="113">
        <f t="shared" si="36"/>
        <v>134.29773436511647</v>
      </c>
      <c r="Z94" s="113">
        <f t="shared" si="36"/>
        <v>144.33747556896674</v>
      </c>
      <c r="AA94" s="113">
        <f t="shared" si="36"/>
        <v>164.01856267266152</v>
      </c>
      <c r="AB94" s="113">
        <f t="shared" si="36"/>
        <v>175.99017376168948</v>
      </c>
      <c r="AC94" s="113">
        <f t="shared" si="36"/>
        <v>188.86486734994696</v>
      </c>
      <c r="AD94" s="113">
        <f t="shared" si="36"/>
        <v>202.71296867286972</v>
      </c>
      <c r="AE94" s="113">
        <f t="shared" si="36"/>
        <v>217.61044191292373</v>
      </c>
      <c r="AF94" s="113">
        <f t="shared" si="36"/>
        <v>233.63935418281909</v>
      </c>
      <c r="AG94" s="113">
        <f t="shared" si="36"/>
        <v>250.88837853843003</v>
      </c>
      <c r="AH94" s="113">
        <f t="shared" si="36"/>
        <v>269.45333936563929</v>
      </c>
      <c r="AI94" s="113">
        <f t="shared" si="36"/>
        <v>289.43780377625308</v>
      </c>
      <c r="AJ94" s="113">
        <f t="shared" si="36"/>
        <v>310.95372296467963</v>
      </c>
      <c r="AK94" s="113">
        <f t="shared" si="36"/>
        <v>334.12212782152051</v>
      </c>
      <c r="AL94" s="113">
        <f t="shared" si="36"/>
        <v>359.07388347506122</v>
      </c>
    </row>
    <row r="95" spans="4:40">
      <c r="D95" s="7" t="s">
        <v>241</v>
      </c>
      <c r="E95" s="16" t="s">
        <v>320</v>
      </c>
      <c r="K95" s="65">
        <f>(K88+K83+K80)/Inputs!F34</f>
        <v>3.1326192000000002</v>
      </c>
      <c r="L95" s="65">
        <f>(L88+L83+L80)/Inputs!G34</f>
        <v>3.0430925134000004</v>
      </c>
      <c r="M95" s="65">
        <f>(M88+M83+M80)/Inputs!H34</f>
        <v>3.8397972130183198</v>
      </c>
      <c r="N95" s="65">
        <f t="shared" ref="N95:AL95" si="37">(N88+N83+N80)/N58</f>
        <v>9.412002333428692</v>
      </c>
      <c r="O95" s="65">
        <f t="shared" si="37"/>
        <v>9.7509320211433312</v>
      </c>
      <c r="P95" s="65">
        <f t="shared" si="37"/>
        <v>10.528003538158618</v>
      </c>
      <c r="Q95" s="65">
        <f t="shared" si="37"/>
        <v>14.137924226137324</v>
      </c>
      <c r="R95" s="65">
        <f t="shared" si="37"/>
        <v>15.175619483527903</v>
      </c>
      <c r="S95" s="65">
        <f t="shared" si="37"/>
        <v>16.292031733468562</v>
      </c>
      <c r="T95" s="65">
        <f t="shared" si="37"/>
        <v>17.49332353054352</v>
      </c>
      <c r="U95" s="65">
        <f t="shared" si="37"/>
        <v>18.786153969457416</v>
      </c>
      <c r="V95" s="65">
        <f t="shared" si="37"/>
        <v>20.177719716354176</v>
      </c>
      <c r="W95" s="65">
        <f t="shared" si="37"/>
        <v>21.675799504338574</v>
      </c>
      <c r="X95" s="65">
        <f t="shared" si="37"/>
        <v>23.28880239094859</v>
      </c>
      <c r="Y95" s="65">
        <f t="shared" si="37"/>
        <v>25.025820101296141</v>
      </c>
      <c r="Z95" s="65">
        <f t="shared" si="37"/>
        <v>26.896683808855375</v>
      </c>
      <c r="AA95" s="65">
        <f t="shared" si="37"/>
        <v>20.902748881998978</v>
      </c>
      <c r="AB95" s="65">
        <f t="shared" si="37"/>
        <v>22.4284272944255</v>
      </c>
      <c r="AC95" s="65">
        <f t="shared" si="37"/>
        <v>24.069195769790788</v>
      </c>
      <c r="AD95" s="65">
        <f t="shared" si="37"/>
        <v>25.834016651822452</v>
      </c>
      <c r="AE95" s="65">
        <f t="shared" si="37"/>
        <v>27.732570919333124</v>
      </c>
      <c r="AF95" s="65">
        <f t="shared" si="37"/>
        <v>29.775317316872801</v>
      </c>
      <c r="AG95" s="65">
        <f t="shared" si="37"/>
        <v>31.973556459380035</v>
      </c>
      <c r="AH95" s="65">
        <f t="shared" si="37"/>
        <v>34.339500337023736</v>
      </c>
      <c r="AI95" s="65">
        <f t="shared" si="37"/>
        <v>36.886347683503573</v>
      </c>
      <c r="AJ95" s="65">
        <f t="shared" si="37"/>
        <v>39.628365711418084</v>
      </c>
      <c r="AK95" s="65">
        <f t="shared" si="37"/>
        <v>42.58097876220755</v>
      </c>
      <c r="AL95" s="65">
        <f t="shared" si="37"/>
        <v>45.76086446594865</v>
      </c>
    </row>
    <row r="96" spans="4:40">
      <c r="D96" s="7"/>
      <c r="E96" s="7"/>
      <c r="K96" s="65"/>
    </row>
    <row r="97" spans="4:38">
      <c r="D97" s="63" t="s">
        <v>467</v>
      </c>
      <c r="E97" s="7" t="s">
        <v>337</v>
      </c>
      <c r="K97" s="65">
        <f t="shared" ref="K97:AL97" si="38">(K88+K80)/K23</f>
        <v>30.608800000000002</v>
      </c>
      <c r="L97" s="65">
        <f t="shared" si="38"/>
        <v>32.628418400000001</v>
      </c>
      <c r="M97" s="65">
        <f t="shared" si="38"/>
        <v>33.953639322240001</v>
      </c>
      <c r="N97" s="65">
        <f t="shared" si="38"/>
        <v>35.764806338254409</v>
      </c>
      <c r="O97" s="65">
        <f t="shared" si="38"/>
        <v>35.68632122117851</v>
      </c>
      <c r="P97" s="65">
        <f t="shared" si="38"/>
        <v>38.169365000259191</v>
      </c>
      <c r="Q97" s="65">
        <f t="shared" si="38"/>
        <v>45.234721405109951</v>
      </c>
      <c r="R97" s="65">
        <f t="shared" si="38"/>
        <v>48.295926049818526</v>
      </c>
      <c r="S97" s="65">
        <f t="shared" si="38"/>
        <v>51.573293532543246</v>
      </c>
      <c r="T97" s="65">
        <f t="shared" si="38"/>
        <v>55.082834739918702</v>
      </c>
      <c r="U97" s="65">
        <f t="shared" si="38"/>
        <v>58.841805860268266</v>
      </c>
      <c r="V97" s="65">
        <f t="shared" si="38"/>
        <v>62.868809744804132</v>
      </c>
      <c r="W97" s="65">
        <f t="shared" si="38"/>
        <v>67.183905844293449</v>
      </c>
      <c r="X97" s="65">
        <f t="shared" si="38"/>
        <v>71.808729469137504</v>
      </c>
      <c r="Y97" s="65">
        <f t="shared" si="38"/>
        <v>76.766621187536046</v>
      </c>
      <c r="Z97" s="65">
        <f t="shared" si="38"/>
        <v>82.082767249181913</v>
      </c>
      <c r="AA97" s="65">
        <f t="shared" si="38"/>
        <v>96.861728535001419</v>
      </c>
      <c r="AB97" s="65">
        <f t="shared" si="38"/>
        <v>103.3173923737705</v>
      </c>
      <c r="AC97" s="65">
        <f t="shared" si="38"/>
        <v>110.22067071072196</v>
      </c>
      <c r="AD97" s="65">
        <f t="shared" si="38"/>
        <v>117.60406212465804</v>
      </c>
      <c r="AE97" s="65">
        <f t="shared" si="38"/>
        <v>125.5025431730633</v>
      </c>
      <c r="AF97" s="65">
        <f t="shared" si="38"/>
        <v>133.95376649761153</v>
      </c>
      <c r="AG97" s="65">
        <f t="shared" si="38"/>
        <v>142.99827544235043</v>
      </c>
      <c r="AH97" s="65">
        <f t="shared" si="38"/>
        <v>152.67973660835065</v>
      </c>
      <c r="AI97" s="65">
        <f t="shared" si="38"/>
        <v>163.04519189456425</v>
      </c>
      <c r="AJ97" s="65">
        <f t="shared" si="38"/>
        <v>174.14533171194776</v>
      </c>
      <c r="AK97" s="65">
        <f t="shared" si="38"/>
        <v>186.03479120760153</v>
      </c>
      <c r="AL97" s="65">
        <f t="shared" si="38"/>
        <v>198.7724714988934</v>
      </c>
    </row>
    <row r="99" spans="4:38" ht="24" thickBot="1">
      <c r="D99" s="164" t="s">
        <v>198</v>
      </c>
    </row>
    <row r="101" spans="4:38" ht="18">
      <c r="D101" s="15" t="s">
        <v>248</v>
      </c>
    </row>
    <row r="102" spans="4:38" ht="15">
      <c r="D102" s="4" t="s">
        <v>250</v>
      </c>
      <c r="E102" s="7"/>
      <c r="M102" s="7"/>
    </row>
    <row r="103" spans="4:38">
      <c r="D103" s="3" t="s">
        <v>134</v>
      </c>
      <c r="E103" s="7"/>
      <c r="M103" s="7"/>
    </row>
    <row r="104" spans="4:38">
      <c r="D104" s="7" t="s">
        <v>299</v>
      </c>
      <c r="E104" s="16" t="s">
        <v>169</v>
      </c>
      <c r="K104" t="str">
        <f>Inputs!E73</f>
        <v>Good</v>
      </c>
      <c r="L104" t="str">
        <f>Inputs!F73</f>
        <v>Good</v>
      </c>
      <c r="M104" t="str">
        <f>Inputs!G73</f>
        <v>Good</v>
      </c>
      <c r="N104" t="str">
        <f>Inputs!H73</f>
        <v>Good</v>
      </c>
      <c r="O104" t="str">
        <f>Inputs!I73</f>
        <v>Good</v>
      </c>
      <c r="P104" t="str">
        <f>Inputs!J73</f>
        <v>Good</v>
      </c>
      <c r="Q104" t="str">
        <f>P104</f>
        <v>Good</v>
      </c>
      <c r="R104" t="str">
        <f t="shared" ref="R104:AL104" si="39">Q104</f>
        <v>Good</v>
      </c>
      <c r="S104" t="str">
        <f t="shared" si="39"/>
        <v>Good</v>
      </c>
      <c r="T104" t="str">
        <f t="shared" si="39"/>
        <v>Good</v>
      </c>
      <c r="U104" t="str">
        <f t="shared" si="39"/>
        <v>Good</v>
      </c>
      <c r="V104" t="str">
        <f t="shared" si="39"/>
        <v>Good</v>
      </c>
      <c r="W104" t="str">
        <f t="shared" si="39"/>
        <v>Good</v>
      </c>
      <c r="X104" t="str">
        <f t="shared" si="39"/>
        <v>Good</v>
      </c>
      <c r="Y104" t="str">
        <f t="shared" si="39"/>
        <v>Good</v>
      </c>
      <c r="Z104" t="str">
        <f t="shared" si="39"/>
        <v>Good</v>
      </c>
      <c r="AA104" t="str">
        <f t="shared" si="39"/>
        <v>Good</v>
      </c>
      <c r="AB104" t="str">
        <f t="shared" si="39"/>
        <v>Good</v>
      </c>
      <c r="AC104" t="str">
        <f t="shared" si="39"/>
        <v>Good</v>
      </c>
      <c r="AD104" t="str">
        <f t="shared" si="39"/>
        <v>Good</v>
      </c>
      <c r="AE104" t="str">
        <f t="shared" si="39"/>
        <v>Good</v>
      </c>
      <c r="AF104" t="str">
        <f t="shared" si="39"/>
        <v>Good</v>
      </c>
      <c r="AG104" t="str">
        <f t="shared" si="39"/>
        <v>Good</v>
      </c>
      <c r="AH104" t="str">
        <f t="shared" si="39"/>
        <v>Good</v>
      </c>
      <c r="AI104" t="str">
        <f t="shared" si="39"/>
        <v>Good</v>
      </c>
      <c r="AJ104" t="str">
        <f t="shared" si="39"/>
        <v>Good</v>
      </c>
      <c r="AK104" t="str">
        <f t="shared" si="39"/>
        <v>Good</v>
      </c>
      <c r="AL104" t="str">
        <f t="shared" si="39"/>
        <v>Good</v>
      </c>
    </row>
    <row r="105" spans="4:38">
      <c r="D105" s="7" t="s">
        <v>300</v>
      </c>
      <c r="E105" s="16" t="s">
        <v>303</v>
      </c>
      <c r="K105">
        <f>INDEX('Availability Model'!$C$4:$T$8, MATCH($K$104,'Availability Model'!$B$4:$B$8, 0), MATCH($K$10, 'Availability Model'!$C$1:$T$1, 0))</f>
        <v>1</v>
      </c>
      <c r="L105">
        <f>INDEX('Availability Model'!$C$4:$T$8, MATCH($K$104,'Availability Model'!$B$4:$B$8, 0), MATCH($K$10, 'Availability Model'!$C$1:$T$1, 0))</f>
        <v>1</v>
      </c>
      <c r="M105">
        <f>INDEX('Availability Model'!$C$4:$T$8, MATCH($K$104,'Availability Model'!$B$4:$B$8, 0), MATCH($K$10, 'Availability Model'!$C$1:$T$1, 0))</f>
        <v>1</v>
      </c>
      <c r="N105">
        <f>INDEX('Availability Model'!$C$4:$T$8, MATCH($K$104,'Availability Model'!$B$4:$B$8, 0), MATCH($K$10, 'Availability Model'!$C$1:$T$1, 0))</f>
        <v>1</v>
      </c>
      <c r="O105">
        <f>INDEX('Availability Model'!$C$4:$T$8, MATCH($K$104,'Availability Model'!$B$4:$B$8, 0), MATCH($K$10, 'Availability Model'!$C$1:$T$1, 0))</f>
        <v>1</v>
      </c>
      <c r="P105">
        <f>INDEX('Availability Model'!$C$4:$T$8, MATCH($K$104,'Availability Model'!$B$4:$B$8, 0), MATCH($K$10, 'Availability Model'!$C$1:$T$1, 0))</f>
        <v>1</v>
      </c>
      <c r="Q105">
        <f>INDEX('Availability Model'!$C$4:$T$8, MATCH($K$104,'Availability Model'!$B$4:$B$8, 0), MATCH($K$10, 'Availability Model'!$C$1:$T$1, 0))</f>
        <v>1</v>
      </c>
      <c r="R105">
        <f>INDEX('Availability Model'!$C$4:$T$8, MATCH($K$104,'Availability Model'!$B$4:$B$8, 0), MATCH($K$10, 'Availability Model'!$C$1:$T$1, 0))</f>
        <v>1</v>
      </c>
      <c r="S105">
        <f>INDEX('Availability Model'!$C$4:$T$8, MATCH($K$104,'Availability Model'!$B$4:$B$8, 0), MATCH($K$10, 'Availability Model'!$C$1:$T$1, 0))</f>
        <v>1</v>
      </c>
      <c r="T105">
        <f>INDEX('Availability Model'!$C$4:$T$8, MATCH($K$104,'Availability Model'!$B$4:$B$8, 0), MATCH($K$10, 'Availability Model'!$C$1:$T$1, 0))</f>
        <v>1</v>
      </c>
      <c r="U105">
        <f>INDEX('Availability Model'!$C$4:$T$8, MATCH($K$104,'Availability Model'!$B$4:$B$8, 0), MATCH($K$10, 'Availability Model'!$C$1:$T$1, 0))</f>
        <v>1</v>
      </c>
      <c r="V105">
        <f>INDEX('Availability Model'!$C$4:$T$8, MATCH($K$104,'Availability Model'!$B$4:$B$8, 0), MATCH($K$10, 'Availability Model'!$C$1:$T$1, 0))</f>
        <v>1</v>
      </c>
      <c r="W105">
        <f>INDEX('Availability Model'!$C$4:$T$8, MATCH($K$104,'Availability Model'!$B$4:$B$8, 0), MATCH($K$10, 'Availability Model'!$C$1:$T$1, 0))</f>
        <v>1</v>
      </c>
      <c r="X105">
        <f>INDEX('Availability Model'!$C$4:$T$8, MATCH($K$104,'Availability Model'!$B$4:$B$8, 0), MATCH($K$10, 'Availability Model'!$C$1:$T$1, 0))</f>
        <v>1</v>
      </c>
      <c r="Y105">
        <f>INDEX('Availability Model'!$C$4:$T$8, MATCH($K$104,'Availability Model'!$B$4:$B$8, 0), MATCH($K$10, 'Availability Model'!$C$1:$T$1, 0))</f>
        <v>1</v>
      </c>
      <c r="Z105">
        <f>INDEX('Availability Model'!$C$4:$T$8, MATCH($K$104,'Availability Model'!$B$4:$B$8, 0), MATCH($K$10, 'Availability Model'!$C$1:$T$1, 0))</f>
        <v>1</v>
      </c>
      <c r="AA105">
        <f>INDEX('Availability Model'!$C$4:$T$8, MATCH($K$104,'Availability Model'!$B$4:$B$8, 0), MATCH($K$10, 'Availability Model'!$C$1:$T$1, 0))</f>
        <v>1</v>
      </c>
      <c r="AB105">
        <f>INDEX('Availability Model'!$C$4:$T$8, MATCH($K$104,'Availability Model'!$B$4:$B$8, 0), MATCH($K$10, 'Availability Model'!$C$1:$T$1, 0))</f>
        <v>1</v>
      </c>
      <c r="AC105">
        <f>INDEX('Availability Model'!$C$4:$T$8, MATCH($K$104,'Availability Model'!$B$4:$B$8, 0), MATCH($K$10, 'Availability Model'!$C$1:$T$1, 0))</f>
        <v>1</v>
      </c>
      <c r="AD105">
        <f>INDEX('Availability Model'!$C$4:$T$8, MATCH($K$104,'Availability Model'!$B$4:$B$8, 0), MATCH($K$10, 'Availability Model'!$C$1:$T$1, 0))</f>
        <v>1</v>
      </c>
      <c r="AE105">
        <f>INDEX('Availability Model'!$C$4:$T$8, MATCH($K$104,'Availability Model'!$B$4:$B$8, 0), MATCH($K$10, 'Availability Model'!$C$1:$T$1, 0))</f>
        <v>1</v>
      </c>
      <c r="AF105">
        <f>INDEX('Availability Model'!$C$4:$T$8, MATCH($K$104,'Availability Model'!$B$4:$B$8, 0), MATCH($K$10, 'Availability Model'!$C$1:$T$1, 0))</f>
        <v>1</v>
      </c>
      <c r="AG105">
        <f>INDEX('Availability Model'!$C$4:$T$8, MATCH($K$104,'Availability Model'!$B$4:$B$8, 0), MATCH($K$10, 'Availability Model'!$C$1:$T$1, 0))</f>
        <v>1</v>
      </c>
      <c r="AH105">
        <f>INDEX('Availability Model'!$C$4:$T$8, MATCH($K$104,'Availability Model'!$B$4:$B$8, 0), MATCH($K$10, 'Availability Model'!$C$1:$T$1, 0))</f>
        <v>1</v>
      </c>
      <c r="AI105">
        <f>INDEX('Availability Model'!$C$4:$T$8, MATCH($K$104,'Availability Model'!$B$4:$B$8, 0), MATCH($K$10, 'Availability Model'!$C$1:$T$1, 0))</f>
        <v>1</v>
      </c>
      <c r="AJ105">
        <f>INDEX('Availability Model'!$C$4:$T$8, MATCH($K$104,'Availability Model'!$B$4:$B$8, 0), MATCH($K$10, 'Availability Model'!$C$1:$T$1, 0))</f>
        <v>1</v>
      </c>
      <c r="AK105">
        <f>INDEX('Availability Model'!$C$4:$T$8, MATCH($K$104,'Availability Model'!$B$4:$B$8, 0), MATCH($K$10, 'Availability Model'!$C$1:$T$1, 0))</f>
        <v>1</v>
      </c>
      <c r="AL105">
        <f>INDEX('Availability Model'!$C$4:$T$8, MATCH($K$104,'Availability Model'!$B$4:$B$8, 0), MATCH($K$10, 'Availability Model'!$C$1:$T$1, 0))</f>
        <v>1</v>
      </c>
    </row>
    <row r="106" spans="4:38">
      <c r="D106" s="7" t="s">
        <v>301</v>
      </c>
      <c r="E106" s="16" t="s">
        <v>106</v>
      </c>
      <c r="K106">
        <f>K105*INDEX('Availability Model'!$C$11:$T$15, MATCH($K$104,'Availability Model'!$B$11:$B$15, 0), MATCH($K$10, 'Availability Model'!$C$1:$T$1, 0))</f>
        <v>0.5</v>
      </c>
      <c r="L106">
        <f>L105*INDEX('Availability Model'!$C$11:$T$15, MATCH($K$104,'Availability Model'!$B$11:$B$15, 0), MATCH($K$10, 'Availability Model'!$C$1:$T$1, 0))</f>
        <v>0.5</v>
      </c>
      <c r="M106">
        <f>M105*INDEX('Availability Model'!$C$11:$T$15, MATCH($K$104,'Availability Model'!$B$11:$B$15, 0), MATCH($K$10, 'Availability Model'!$C$1:$T$1, 0))</f>
        <v>0.5</v>
      </c>
      <c r="N106">
        <f>N105*INDEX('Availability Model'!$C$11:$T$15, MATCH($K$104,'Availability Model'!$B$11:$B$15, 0), MATCH($K$10, 'Availability Model'!$C$1:$T$1, 0))</f>
        <v>0.5</v>
      </c>
      <c r="O106">
        <f>O105*INDEX('Availability Model'!$C$11:$T$15, MATCH($K$104,'Availability Model'!$B$11:$B$15, 0), MATCH($K$10, 'Availability Model'!$C$1:$T$1, 0))</f>
        <v>0.5</v>
      </c>
      <c r="P106">
        <f>P105*INDEX('Availability Model'!$C$11:$T$15, MATCH($K$104,'Availability Model'!$B$11:$B$15, 0), MATCH($K$10, 'Availability Model'!$C$1:$T$1, 0))</f>
        <v>0.5</v>
      </c>
      <c r="Q106">
        <f>Q105*INDEX('Availability Model'!$C$11:$T$15, MATCH($K$104,'Availability Model'!$B$11:$B$15, 0), MATCH($K$10, 'Availability Model'!$C$1:$T$1, 0))</f>
        <v>0.5</v>
      </c>
      <c r="R106">
        <f>R105*INDEX('Availability Model'!$C$11:$T$15, MATCH($K$104,'Availability Model'!$B$11:$B$15, 0), MATCH($K$10, 'Availability Model'!$C$1:$T$1, 0))</f>
        <v>0.5</v>
      </c>
      <c r="S106">
        <f>S105*INDEX('Availability Model'!$C$11:$T$15, MATCH($K$104,'Availability Model'!$B$11:$B$15, 0), MATCH($K$10, 'Availability Model'!$C$1:$T$1, 0))</f>
        <v>0.5</v>
      </c>
      <c r="T106">
        <f>T105*INDEX('Availability Model'!$C$11:$T$15, MATCH($K$104,'Availability Model'!$B$11:$B$15, 0), MATCH($K$10, 'Availability Model'!$C$1:$T$1, 0))</f>
        <v>0.5</v>
      </c>
      <c r="U106">
        <f>U105*INDEX('Availability Model'!$C$11:$T$15, MATCH($K$104,'Availability Model'!$B$11:$B$15, 0), MATCH($K$10, 'Availability Model'!$C$1:$T$1, 0))</f>
        <v>0.5</v>
      </c>
      <c r="V106">
        <f>V105*INDEX('Availability Model'!$C$11:$T$15, MATCH($K$104,'Availability Model'!$B$11:$B$15, 0), MATCH($K$10, 'Availability Model'!$C$1:$T$1, 0))</f>
        <v>0.5</v>
      </c>
      <c r="W106">
        <f>W105*INDEX('Availability Model'!$C$11:$T$15, MATCH($K$104,'Availability Model'!$B$11:$B$15, 0), MATCH($K$10, 'Availability Model'!$C$1:$T$1, 0))</f>
        <v>0.5</v>
      </c>
      <c r="X106">
        <f>X105*INDEX('Availability Model'!$C$11:$T$15, MATCH($K$104,'Availability Model'!$B$11:$B$15, 0), MATCH($K$10, 'Availability Model'!$C$1:$T$1, 0))</f>
        <v>0.5</v>
      </c>
      <c r="Y106">
        <f>Y105*INDEX('Availability Model'!$C$11:$T$15, MATCH($K$104,'Availability Model'!$B$11:$B$15, 0), MATCH($K$10, 'Availability Model'!$C$1:$T$1, 0))</f>
        <v>0.5</v>
      </c>
      <c r="Z106">
        <f>Z105*INDEX('Availability Model'!$C$11:$T$15, MATCH($K$104,'Availability Model'!$B$11:$B$15, 0), MATCH($K$10, 'Availability Model'!$C$1:$T$1, 0))</f>
        <v>0.5</v>
      </c>
      <c r="AA106">
        <f>AA105*INDEX('Availability Model'!$C$11:$T$15, MATCH($K$104,'Availability Model'!$B$11:$B$15, 0), MATCH($K$10, 'Availability Model'!$C$1:$T$1, 0))</f>
        <v>0.5</v>
      </c>
      <c r="AB106">
        <f>AB105*INDEX('Availability Model'!$C$11:$T$15, MATCH($K$104,'Availability Model'!$B$11:$B$15, 0), MATCH($K$10, 'Availability Model'!$C$1:$T$1, 0))</f>
        <v>0.5</v>
      </c>
      <c r="AC106">
        <f>AC105*INDEX('Availability Model'!$C$11:$T$15, MATCH($K$104,'Availability Model'!$B$11:$B$15, 0), MATCH($K$10, 'Availability Model'!$C$1:$T$1, 0))</f>
        <v>0.5</v>
      </c>
      <c r="AD106">
        <f>AD105*INDEX('Availability Model'!$C$11:$T$15, MATCH($K$104,'Availability Model'!$B$11:$B$15, 0), MATCH($K$10, 'Availability Model'!$C$1:$T$1, 0))</f>
        <v>0.5</v>
      </c>
      <c r="AE106">
        <f>AE105*INDEX('Availability Model'!$C$11:$T$15, MATCH($K$104,'Availability Model'!$B$11:$B$15, 0), MATCH($K$10, 'Availability Model'!$C$1:$T$1, 0))</f>
        <v>0.5</v>
      </c>
      <c r="AF106">
        <f>AF105*INDEX('Availability Model'!$C$11:$T$15, MATCH($K$104,'Availability Model'!$B$11:$B$15, 0), MATCH($K$10, 'Availability Model'!$C$1:$T$1, 0))</f>
        <v>0.5</v>
      </c>
      <c r="AG106">
        <f>AG105*INDEX('Availability Model'!$C$11:$T$15, MATCH($K$104,'Availability Model'!$B$11:$B$15, 0), MATCH($K$10, 'Availability Model'!$C$1:$T$1, 0))</f>
        <v>0.5</v>
      </c>
      <c r="AH106">
        <f>AH105*INDEX('Availability Model'!$C$11:$T$15, MATCH($K$104,'Availability Model'!$B$11:$B$15, 0), MATCH($K$10, 'Availability Model'!$C$1:$T$1, 0))</f>
        <v>0.5</v>
      </c>
      <c r="AI106">
        <f>AI105*INDEX('Availability Model'!$C$11:$T$15, MATCH($K$104,'Availability Model'!$B$11:$B$15, 0), MATCH($K$10, 'Availability Model'!$C$1:$T$1, 0))</f>
        <v>0.5</v>
      </c>
      <c r="AJ106">
        <f>AJ105*INDEX('Availability Model'!$C$11:$T$15, MATCH($K$104,'Availability Model'!$B$11:$B$15, 0), MATCH($K$10, 'Availability Model'!$C$1:$T$1, 0))</f>
        <v>0.5</v>
      </c>
      <c r="AK106">
        <f>AK105*INDEX('Availability Model'!$C$11:$T$15, MATCH($K$104,'Availability Model'!$B$11:$B$15, 0), MATCH($K$10, 'Availability Model'!$C$1:$T$1, 0))</f>
        <v>0.5</v>
      </c>
      <c r="AL106">
        <f>AL105*INDEX('Availability Model'!$C$11:$T$15, MATCH($K$104,'Availability Model'!$B$11:$B$15, 0), MATCH($K$10, 'Availability Model'!$C$1:$T$1, 0))</f>
        <v>0.5</v>
      </c>
    </row>
    <row r="107" spans="4:38">
      <c r="D107" s="7" t="s">
        <v>302</v>
      </c>
      <c r="E107" s="16" t="s">
        <v>106</v>
      </c>
      <c r="K107" s="65">
        <f t="shared" ref="K107:AL107" si="40">K19</f>
        <v>1.8129533678756478</v>
      </c>
      <c r="L107" s="65">
        <f t="shared" si="40"/>
        <v>1.9014456764652192</v>
      </c>
      <c r="M107" s="65">
        <f t="shared" si="40"/>
        <v>1.8367738032705883</v>
      </c>
      <c r="N107" s="65">
        <f t="shared" si="40"/>
        <v>1.7960667486462139</v>
      </c>
      <c r="O107" s="65">
        <f t="shared" si="40"/>
        <v>1.9276832774864687</v>
      </c>
      <c r="P107" s="65">
        <f t="shared" si="40"/>
        <v>1.9259575492655938</v>
      </c>
      <c r="Q107" s="65">
        <f t="shared" si="40"/>
        <v>1.6366130264697252</v>
      </c>
      <c r="R107" s="65">
        <f t="shared" si="40"/>
        <v>1.6366130264697252</v>
      </c>
      <c r="S107" s="65">
        <f t="shared" si="40"/>
        <v>1.6366130264697252</v>
      </c>
      <c r="T107" s="65">
        <f t="shared" si="40"/>
        <v>1.6351478743260013</v>
      </c>
      <c r="U107" s="65">
        <f t="shared" si="40"/>
        <v>1.6366130264697252</v>
      </c>
      <c r="V107" s="65">
        <f t="shared" si="40"/>
        <v>1.6366130264697252</v>
      </c>
      <c r="W107" s="65">
        <f t="shared" si="40"/>
        <v>1.6366130264697252</v>
      </c>
      <c r="X107" s="65">
        <f t="shared" si="40"/>
        <v>1.6351478743260013</v>
      </c>
      <c r="Y107" s="65">
        <f t="shared" si="40"/>
        <v>1.6366130264697252</v>
      </c>
      <c r="Z107" s="65">
        <f t="shared" si="40"/>
        <v>1.6366130264697252</v>
      </c>
      <c r="AA107" s="65">
        <f t="shared" si="40"/>
        <v>1.2409052613763443</v>
      </c>
      <c r="AB107" s="65">
        <f t="shared" si="40"/>
        <v>1.2397943604031401</v>
      </c>
      <c r="AC107" s="65">
        <f t="shared" si="40"/>
        <v>1.2409052613763443</v>
      </c>
      <c r="AD107" s="65">
        <f t="shared" si="40"/>
        <v>1.2409052613763443</v>
      </c>
      <c r="AE107" s="65">
        <f t="shared" si="40"/>
        <v>1.2409052613763443</v>
      </c>
      <c r="AF107" s="65">
        <f t="shared" si="40"/>
        <v>1.2397943604031401</v>
      </c>
      <c r="AG107" s="65">
        <f t="shared" si="40"/>
        <v>1.2409052613763443</v>
      </c>
      <c r="AH107" s="65">
        <f t="shared" si="40"/>
        <v>1.2409052613763443</v>
      </c>
      <c r="AI107" s="65">
        <f t="shared" si="40"/>
        <v>1.2409052613763443</v>
      </c>
      <c r="AJ107" s="65">
        <f t="shared" si="40"/>
        <v>1.2397943604031401</v>
      </c>
      <c r="AK107" s="65">
        <f t="shared" si="40"/>
        <v>1.2409052613763443</v>
      </c>
      <c r="AL107" s="65">
        <f t="shared" si="40"/>
        <v>1.2409052613763443</v>
      </c>
    </row>
    <row r="108" spans="4:38">
      <c r="D108" s="7" t="s">
        <v>304</v>
      </c>
      <c r="E108" s="16" t="s">
        <v>106</v>
      </c>
      <c r="K108">
        <f>IF((K106-K107)&gt;0, K106-K107,0)</f>
        <v>0</v>
      </c>
      <c r="L108">
        <f t="shared" ref="L108:AL108" si="41">IF((L106-L107)&gt;0, L106-L107,0)</f>
        <v>0</v>
      </c>
      <c r="M108">
        <f>IF((M106-M107)&gt;0, M106-M107,0)</f>
        <v>0</v>
      </c>
      <c r="N108">
        <f t="shared" si="41"/>
        <v>0</v>
      </c>
      <c r="O108">
        <f t="shared" si="41"/>
        <v>0</v>
      </c>
      <c r="P108">
        <f t="shared" si="41"/>
        <v>0</v>
      </c>
      <c r="Q108">
        <f t="shared" si="41"/>
        <v>0</v>
      </c>
      <c r="R108">
        <f t="shared" si="41"/>
        <v>0</v>
      </c>
      <c r="S108">
        <f t="shared" si="41"/>
        <v>0</v>
      </c>
      <c r="T108">
        <f t="shared" si="41"/>
        <v>0</v>
      </c>
      <c r="U108">
        <f t="shared" si="41"/>
        <v>0</v>
      </c>
      <c r="V108">
        <f t="shared" si="41"/>
        <v>0</v>
      </c>
      <c r="W108">
        <f t="shared" si="41"/>
        <v>0</v>
      </c>
      <c r="X108">
        <f t="shared" si="41"/>
        <v>0</v>
      </c>
      <c r="Y108">
        <f t="shared" si="41"/>
        <v>0</v>
      </c>
      <c r="Z108">
        <f t="shared" si="41"/>
        <v>0</v>
      </c>
      <c r="AA108">
        <f t="shared" si="41"/>
        <v>0</v>
      </c>
      <c r="AB108">
        <f t="shared" si="41"/>
        <v>0</v>
      </c>
      <c r="AC108">
        <f t="shared" si="41"/>
        <v>0</v>
      </c>
      <c r="AD108">
        <f t="shared" si="41"/>
        <v>0</v>
      </c>
      <c r="AE108">
        <f t="shared" si="41"/>
        <v>0</v>
      </c>
      <c r="AF108">
        <f t="shared" si="41"/>
        <v>0</v>
      </c>
      <c r="AG108">
        <f t="shared" si="41"/>
        <v>0</v>
      </c>
      <c r="AH108">
        <f t="shared" si="41"/>
        <v>0</v>
      </c>
      <c r="AI108">
        <f t="shared" si="41"/>
        <v>0</v>
      </c>
      <c r="AJ108">
        <f t="shared" si="41"/>
        <v>0</v>
      </c>
      <c r="AK108">
        <f t="shared" si="41"/>
        <v>0</v>
      </c>
      <c r="AL108">
        <f t="shared" si="41"/>
        <v>0</v>
      </c>
    </row>
    <row r="109" spans="4:38">
      <c r="D109" s="7"/>
      <c r="E109" s="7"/>
      <c r="M109" s="7"/>
    </row>
    <row r="110" spans="4:38">
      <c r="D110" s="3" t="s">
        <v>297</v>
      </c>
      <c r="M110" s="7"/>
    </row>
    <row r="111" spans="4:38">
      <c r="D111" s="7" t="s">
        <v>299</v>
      </c>
      <c r="E111" s="16" t="s">
        <v>169</v>
      </c>
      <c r="K111" t="str">
        <f>Inputs!E74</f>
        <v>Very Poor</v>
      </c>
      <c r="L111" t="str">
        <f>Inputs!F74</f>
        <v>Very Poor</v>
      </c>
      <c r="M111" t="str">
        <f>Inputs!G74</f>
        <v>Very Poor</v>
      </c>
      <c r="N111" t="str">
        <f>Inputs!H74</f>
        <v>Very Poor</v>
      </c>
      <c r="O111" t="str">
        <f>Inputs!I74</f>
        <v>Very Poor</v>
      </c>
      <c r="P111" t="str">
        <f>Inputs!J74</f>
        <v>Very Poor</v>
      </c>
      <c r="Q111" t="str">
        <f>P111</f>
        <v>Very Poor</v>
      </c>
      <c r="R111" t="str">
        <f t="shared" ref="R111:AL111" si="42">Q111</f>
        <v>Very Poor</v>
      </c>
      <c r="S111" t="str">
        <f t="shared" si="42"/>
        <v>Very Poor</v>
      </c>
      <c r="T111" t="str">
        <f t="shared" si="42"/>
        <v>Very Poor</v>
      </c>
      <c r="U111" t="str">
        <f t="shared" si="42"/>
        <v>Very Poor</v>
      </c>
      <c r="V111" t="str">
        <f t="shared" si="42"/>
        <v>Very Poor</v>
      </c>
      <c r="W111" t="str">
        <f t="shared" si="42"/>
        <v>Very Poor</v>
      </c>
      <c r="X111" t="str">
        <f t="shared" si="42"/>
        <v>Very Poor</v>
      </c>
      <c r="Y111" t="str">
        <f t="shared" si="42"/>
        <v>Very Poor</v>
      </c>
      <c r="Z111" t="str">
        <f t="shared" si="42"/>
        <v>Very Poor</v>
      </c>
      <c r="AA111" t="str">
        <f t="shared" si="42"/>
        <v>Very Poor</v>
      </c>
      <c r="AB111" t="str">
        <f t="shared" si="42"/>
        <v>Very Poor</v>
      </c>
      <c r="AC111" t="str">
        <f t="shared" si="42"/>
        <v>Very Poor</v>
      </c>
      <c r="AD111" t="str">
        <f t="shared" si="42"/>
        <v>Very Poor</v>
      </c>
      <c r="AE111" t="str">
        <f t="shared" si="42"/>
        <v>Very Poor</v>
      </c>
      <c r="AF111" t="str">
        <f t="shared" si="42"/>
        <v>Very Poor</v>
      </c>
      <c r="AG111" t="str">
        <f t="shared" si="42"/>
        <v>Very Poor</v>
      </c>
      <c r="AH111" t="str">
        <f t="shared" si="42"/>
        <v>Very Poor</v>
      </c>
      <c r="AI111" t="str">
        <f t="shared" si="42"/>
        <v>Very Poor</v>
      </c>
      <c r="AJ111" t="str">
        <f t="shared" si="42"/>
        <v>Very Poor</v>
      </c>
      <c r="AK111" t="str">
        <f t="shared" si="42"/>
        <v>Very Poor</v>
      </c>
      <c r="AL111" t="str">
        <f t="shared" si="42"/>
        <v>Very Poor</v>
      </c>
    </row>
    <row r="112" spans="4:38">
      <c r="D112" s="7" t="s">
        <v>300</v>
      </c>
      <c r="E112" s="16" t="s">
        <v>303</v>
      </c>
      <c r="K112">
        <f>INDEX('Availability Model'!$C$18:$T$22, MATCH($K$111,'Availability Model'!$B$18:$B$22, 0), MATCH($K$10, 'Availability Model'!$C$1:$T$1, 0))</f>
        <v>3</v>
      </c>
      <c r="L112">
        <f>INDEX('Availability Model'!$C$18:$T$22, MATCH($K$111,'Availability Model'!$B$18:$B$22, 0), MATCH($K$10, 'Availability Model'!$C$1:$T$1, 0))</f>
        <v>3</v>
      </c>
      <c r="M112">
        <f>INDEX('Availability Model'!$C$18:$T$22, MATCH($K$111,'Availability Model'!$B$18:$B$22, 0), MATCH($K$10, 'Availability Model'!$C$1:$T$1, 0))</f>
        <v>3</v>
      </c>
      <c r="N112">
        <f>INDEX('Availability Model'!$C$18:$T$22, MATCH($K$111,'Availability Model'!$B$18:$B$22, 0), MATCH($K$10, 'Availability Model'!$C$1:$T$1, 0))</f>
        <v>3</v>
      </c>
      <c r="O112">
        <f>INDEX('Availability Model'!$C$18:$T$22, MATCH($K$111,'Availability Model'!$B$18:$B$22, 0), MATCH($K$10, 'Availability Model'!$C$1:$T$1, 0))</f>
        <v>3</v>
      </c>
      <c r="P112">
        <f>INDEX('Availability Model'!$C$18:$T$22, MATCH($K$111,'Availability Model'!$B$18:$B$22, 0), MATCH($K$10, 'Availability Model'!$C$1:$T$1, 0))</f>
        <v>3</v>
      </c>
      <c r="Q112">
        <f>INDEX('Availability Model'!$C$18:$T$22, MATCH($K$111,'Availability Model'!$B$18:$B$22, 0), MATCH($K$10, 'Availability Model'!$C$1:$T$1, 0))</f>
        <v>3</v>
      </c>
      <c r="R112">
        <f>INDEX('Availability Model'!$C$18:$T$22, MATCH($K$111,'Availability Model'!$B$18:$B$22, 0), MATCH($K$10, 'Availability Model'!$C$1:$T$1, 0))</f>
        <v>3</v>
      </c>
      <c r="S112">
        <f>INDEX('Availability Model'!$C$18:$T$22, MATCH($K$111,'Availability Model'!$B$18:$B$22, 0), MATCH($K$10, 'Availability Model'!$C$1:$T$1, 0))</f>
        <v>3</v>
      </c>
      <c r="T112">
        <f>INDEX('Availability Model'!$C$18:$T$22, MATCH($K$111,'Availability Model'!$B$18:$B$22, 0), MATCH($K$10, 'Availability Model'!$C$1:$T$1, 0))</f>
        <v>3</v>
      </c>
      <c r="U112">
        <f>INDEX('Availability Model'!$C$18:$T$22, MATCH($K$111,'Availability Model'!$B$18:$B$22, 0), MATCH($K$10, 'Availability Model'!$C$1:$T$1, 0))</f>
        <v>3</v>
      </c>
      <c r="V112">
        <f>INDEX('Availability Model'!$C$18:$T$22, MATCH($K$111,'Availability Model'!$B$18:$B$22, 0), MATCH($K$10, 'Availability Model'!$C$1:$T$1, 0))</f>
        <v>3</v>
      </c>
      <c r="W112">
        <f>INDEX('Availability Model'!$C$18:$T$22, MATCH($K$111,'Availability Model'!$B$18:$B$22, 0), MATCH($K$10, 'Availability Model'!$C$1:$T$1, 0))</f>
        <v>3</v>
      </c>
      <c r="X112">
        <f>INDEX('Availability Model'!$C$18:$T$22, MATCH($K$111,'Availability Model'!$B$18:$B$22, 0), MATCH($K$10, 'Availability Model'!$C$1:$T$1, 0))</f>
        <v>3</v>
      </c>
      <c r="Y112">
        <f>INDEX('Availability Model'!$C$18:$T$22, MATCH($K$111,'Availability Model'!$B$18:$B$22, 0), MATCH($K$10, 'Availability Model'!$C$1:$T$1, 0))</f>
        <v>3</v>
      </c>
      <c r="Z112">
        <f>INDEX('Availability Model'!$C$18:$T$22, MATCH($K$111,'Availability Model'!$B$18:$B$22, 0), MATCH($K$10, 'Availability Model'!$C$1:$T$1, 0))</f>
        <v>3</v>
      </c>
      <c r="AA112">
        <f>INDEX('Availability Model'!$C$18:$T$22, MATCH($K$111,'Availability Model'!$B$18:$B$22, 0), MATCH($K$10, 'Availability Model'!$C$1:$T$1, 0))</f>
        <v>3</v>
      </c>
      <c r="AB112">
        <f>INDEX('Availability Model'!$C$18:$T$22, MATCH($K$111,'Availability Model'!$B$18:$B$22, 0), MATCH($K$10, 'Availability Model'!$C$1:$T$1, 0))</f>
        <v>3</v>
      </c>
      <c r="AC112">
        <f>INDEX('Availability Model'!$C$18:$T$22, MATCH($K$111,'Availability Model'!$B$18:$B$22, 0), MATCH($K$10, 'Availability Model'!$C$1:$T$1, 0))</f>
        <v>3</v>
      </c>
      <c r="AD112">
        <f>INDEX('Availability Model'!$C$18:$T$22, MATCH($K$111,'Availability Model'!$B$18:$B$22, 0), MATCH($K$10, 'Availability Model'!$C$1:$T$1, 0))</f>
        <v>3</v>
      </c>
      <c r="AE112">
        <f>INDEX('Availability Model'!$C$18:$T$22, MATCH($K$111,'Availability Model'!$B$18:$B$22, 0), MATCH($K$10, 'Availability Model'!$C$1:$T$1, 0))</f>
        <v>3</v>
      </c>
      <c r="AF112">
        <f>INDEX('Availability Model'!$C$18:$T$22, MATCH($K$111,'Availability Model'!$B$18:$B$22, 0), MATCH($K$10, 'Availability Model'!$C$1:$T$1, 0))</f>
        <v>3</v>
      </c>
      <c r="AG112">
        <f>INDEX('Availability Model'!$C$18:$T$22, MATCH($K$111,'Availability Model'!$B$18:$B$22, 0), MATCH($K$10, 'Availability Model'!$C$1:$T$1, 0))</f>
        <v>3</v>
      </c>
      <c r="AH112">
        <f>INDEX('Availability Model'!$C$18:$T$22, MATCH($K$111,'Availability Model'!$B$18:$B$22, 0), MATCH($K$10, 'Availability Model'!$C$1:$T$1, 0))</f>
        <v>3</v>
      </c>
      <c r="AI112">
        <f>INDEX('Availability Model'!$C$18:$T$22, MATCH($K$111,'Availability Model'!$B$18:$B$22, 0), MATCH($K$10, 'Availability Model'!$C$1:$T$1, 0))</f>
        <v>3</v>
      </c>
      <c r="AJ112">
        <f>INDEX('Availability Model'!$C$18:$T$22, MATCH($K$111,'Availability Model'!$B$18:$B$22, 0), MATCH($K$10, 'Availability Model'!$C$1:$T$1, 0))</f>
        <v>3</v>
      </c>
      <c r="AK112">
        <f>INDEX('Availability Model'!$C$18:$T$22, MATCH($K$111,'Availability Model'!$B$18:$B$22, 0), MATCH($K$10, 'Availability Model'!$C$1:$T$1, 0))</f>
        <v>3</v>
      </c>
      <c r="AL112">
        <f>INDEX('Availability Model'!$C$18:$T$22, MATCH($K$111,'Availability Model'!$B$18:$B$22, 0), MATCH($K$10, 'Availability Model'!$C$1:$T$1, 0))</f>
        <v>3</v>
      </c>
    </row>
    <row r="113" spans="4:38">
      <c r="D113" s="7" t="s">
        <v>301</v>
      </c>
      <c r="E113" s="16" t="s">
        <v>106</v>
      </c>
      <c r="K113">
        <f>K112*INDEX('Availability Model'!$C$25:$T$30, MATCH($K$111,'Availability Model'!$B$25:$B$30, 0), MATCH($K$10, 'Availability Model'!$C$1:$T$1, 0))</f>
        <v>9</v>
      </c>
      <c r="L113">
        <f>L112*INDEX('Availability Model'!$C$25:$T$30, MATCH($K$111,'Availability Model'!$B$25:$B$30, 0), MATCH($K$10, 'Availability Model'!$C$1:$T$1, 0))</f>
        <v>9</v>
      </c>
      <c r="M113">
        <f>M112*INDEX('Availability Model'!$C$25:$T$30, MATCH($K$111,'Availability Model'!$B$25:$B$30, 0), MATCH($K$10, 'Availability Model'!$C$1:$T$1, 0))</f>
        <v>9</v>
      </c>
      <c r="N113">
        <f>N112*INDEX('Availability Model'!$C$25:$T$30, MATCH($K$111,'Availability Model'!$B$25:$B$30, 0), MATCH($K$10, 'Availability Model'!$C$1:$T$1, 0))</f>
        <v>9</v>
      </c>
      <c r="O113">
        <f>O112*INDEX('Availability Model'!$C$25:$T$30, MATCH($K$111,'Availability Model'!$B$25:$B$30, 0), MATCH($K$10, 'Availability Model'!$C$1:$T$1, 0))</f>
        <v>9</v>
      </c>
      <c r="P113">
        <f>P112*INDEX('Availability Model'!$C$25:$T$30, MATCH($K$111,'Availability Model'!$B$25:$B$30, 0), MATCH($K$10, 'Availability Model'!$C$1:$T$1, 0))</f>
        <v>9</v>
      </c>
      <c r="Q113">
        <f>Q112*INDEX('Availability Model'!$C$25:$T$30, MATCH($K$111,'Availability Model'!$B$25:$B$30, 0), MATCH($K$10, 'Availability Model'!$C$1:$T$1, 0))</f>
        <v>9</v>
      </c>
      <c r="R113">
        <f>R112*INDEX('Availability Model'!$C$25:$T$30, MATCH($K$111,'Availability Model'!$B$25:$B$30, 0), MATCH($K$10, 'Availability Model'!$C$1:$T$1, 0))</f>
        <v>9</v>
      </c>
      <c r="S113">
        <f>S112*INDEX('Availability Model'!$C$25:$T$30, MATCH($K$111,'Availability Model'!$B$25:$B$30, 0), MATCH($K$10, 'Availability Model'!$C$1:$T$1, 0))</f>
        <v>9</v>
      </c>
      <c r="T113">
        <f>T112*INDEX('Availability Model'!$C$25:$T$30, MATCH($K$111,'Availability Model'!$B$25:$B$30, 0), MATCH($K$10, 'Availability Model'!$C$1:$T$1, 0))</f>
        <v>9</v>
      </c>
      <c r="U113">
        <f>U112*INDEX('Availability Model'!$C$25:$T$30, MATCH($K$111,'Availability Model'!$B$25:$B$30, 0), MATCH($K$10, 'Availability Model'!$C$1:$T$1, 0))</f>
        <v>9</v>
      </c>
      <c r="V113">
        <f>V112*INDEX('Availability Model'!$C$25:$T$30, MATCH($K$111,'Availability Model'!$B$25:$B$30, 0), MATCH($K$10, 'Availability Model'!$C$1:$T$1, 0))</f>
        <v>9</v>
      </c>
      <c r="W113">
        <f>W112*INDEX('Availability Model'!$C$25:$T$30, MATCH($K$111,'Availability Model'!$B$25:$B$30, 0), MATCH($K$10, 'Availability Model'!$C$1:$T$1, 0))</f>
        <v>9</v>
      </c>
      <c r="X113">
        <f>X112*INDEX('Availability Model'!$C$25:$T$30, MATCH($K$111,'Availability Model'!$B$25:$B$30, 0), MATCH($K$10, 'Availability Model'!$C$1:$T$1, 0))</f>
        <v>9</v>
      </c>
      <c r="Y113">
        <f>Y112*INDEX('Availability Model'!$C$25:$T$30, MATCH($K$111,'Availability Model'!$B$25:$B$30, 0), MATCH($K$10, 'Availability Model'!$C$1:$T$1, 0))</f>
        <v>9</v>
      </c>
      <c r="Z113">
        <f>Z112*INDEX('Availability Model'!$C$25:$T$30, MATCH($K$111,'Availability Model'!$B$25:$B$30, 0), MATCH($K$10, 'Availability Model'!$C$1:$T$1, 0))</f>
        <v>9</v>
      </c>
      <c r="AA113">
        <f>AA112*INDEX('Availability Model'!$C$25:$T$30, MATCH($K$111,'Availability Model'!$B$25:$B$30, 0), MATCH($K$10, 'Availability Model'!$C$1:$T$1, 0))</f>
        <v>9</v>
      </c>
      <c r="AB113">
        <f>AB112*INDEX('Availability Model'!$C$25:$T$30, MATCH($K$111,'Availability Model'!$B$25:$B$30, 0), MATCH($K$10, 'Availability Model'!$C$1:$T$1, 0))</f>
        <v>9</v>
      </c>
      <c r="AC113">
        <f>AC112*INDEX('Availability Model'!$C$25:$T$30, MATCH($K$111,'Availability Model'!$B$25:$B$30, 0), MATCH($K$10, 'Availability Model'!$C$1:$T$1, 0))</f>
        <v>9</v>
      </c>
      <c r="AD113">
        <f>AD112*INDEX('Availability Model'!$C$25:$T$30, MATCH($K$111,'Availability Model'!$B$25:$B$30, 0), MATCH($K$10, 'Availability Model'!$C$1:$T$1, 0))</f>
        <v>9</v>
      </c>
      <c r="AE113">
        <f>AE112*INDEX('Availability Model'!$C$25:$T$30, MATCH($K$111,'Availability Model'!$B$25:$B$30, 0), MATCH($K$10, 'Availability Model'!$C$1:$T$1, 0))</f>
        <v>9</v>
      </c>
      <c r="AF113">
        <f>AF112*INDEX('Availability Model'!$C$25:$T$30, MATCH($K$111,'Availability Model'!$B$25:$B$30, 0), MATCH($K$10, 'Availability Model'!$C$1:$T$1, 0))</f>
        <v>9</v>
      </c>
      <c r="AG113">
        <f>AG112*INDEX('Availability Model'!$C$25:$T$30, MATCH($K$111,'Availability Model'!$B$25:$B$30, 0), MATCH($K$10, 'Availability Model'!$C$1:$T$1, 0))</f>
        <v>9</v>
      </c>
      <c r="AH113">
        <f>AH112*INDEX('Availability Model'!$C$25:$T$30, MATCH($K$111,'Availability Model'!$B$25:$B$30, 0), MATCH($K$10, 'Availability Model'!$C$1:$T$1, 0))</f>
        <v>9</v>
      </c>
      <c r="AI113">
        <f>AI112*INDEX('Availability Model'!$C$25:$T$30, MATCH($K$111,'Availability Model'!$B$25:$B$30, 0), MATCH($K$10, 'Availability Model'!$C$1:$T$1, 0))</f>
        <v>9</v>
      </c>
      <c r="AJ113">
        <f>AJ112*INDEX('Availability Model'!$C$25:$T$30, MATCH($K$111,'Availability Model'!$B$25:$B$30, 0), MATCH($K$10, 'Availability Model'!$C$1:$T$1, 0))</f>
        <v>9</v>
      </c>
      <c r="AK113">
        <f>AK112*INDEX('Availability Model'!$C$25:$T$30, MATCH($K$111,'Availability Model'!$B$25:$B$30, 0), MATCH($K$10, 'Availability Model'!$C$1:$T$1, 0))</f>
        <v>9</v>
      </c>
      <c r="AL113">
        <f>AL112*INDEX('Availability Model'!$C$25:$T$30, MATCH($K$111,'Availability Model'!$B$25:$B$30, 0), MATCH($K$10, 'Availability Model'!$C$1:$T$1, 0))</f>
        <v>9</v>
      </c>
    </row>
    <row r="114" spans="4:38">
      <c r="D114" s="7" t="s">
        <v>302</v>
      </c>
      <c r="E114" s="16" t="s">
        <v>106</v>
      </c>
      <c r="K114" s="65">
        <f>K107</f>
        <v>1.8129533678756478</v>
      </c>
      <c r="L114" s="65">
        <f t="shared" ref="L114:AL114" si="43">L107</f>
        <v>1.9014456764652192</v>
      </c>
      <c r="M114" s="65">
        <f t="shared" si="43"/>
        <v>1.8367738032705883</v>
      </c>
      <c r="N114" s="65">
        <f t="shared" si="43"/>
        <v>1.7960667486462139</v>
      </c>
      <c r="O114" s="65">
        <f t="shared" si="43"/>
        <v>1.9276832774864687</v>
      </c>
      <c r="P114" s="65">
        <f t="shared" si="43"/>
        <v>1.9259575492655938</v>
      </c>
      <c r="Q114" s="65">
        <f t="shared" si="43"/>
        <v>1.6366130264697252</v>
      </c>
      <c r="R114" s="65">
        <f t="shared" si="43"/>
        <v>1.6366130264697252</v>
      </c>
      <c r="S114" s="65">
        <f t="shared" si="43"/>
        <v>1.6366130264697252</v>
      </c>
      <c r="T114" s="65">
        <f t="shared" si="43"/>
        <v>1.6351478743260013</v>
      </c>
      <c r="U114" s="65">
        <f t="shared" si="43"/>
        <v>1.6366130264697252</v>
      </c>
      <c r="V114" s="65">
        <f t="shared" si="43"/>
        <v>1.6366130264697252</v>
      </c>
      <c r="W114" s="65">
        <f t="shared" si="43"/>
        <v>1.6366130264697252</v>
      </c>
      <c r="X114" s="65">
        <f t="shared" si="43"/>
        <v>1.6351478743260013</v>
      </c>
      <c r="Y114" s="65">
        <f t="shared" si="43"/>
        <v>1.6366130264697252</v>
      </c>
      <c r="Z114" s="65">
        <f t="shared" si="43"/>
        <v>1.6366130264697252</v>
      </c>
      <c r="AA114" s="65">
        <f t="shared" si="43"/>
        <v>1.2409052613763443</v>
      </c>
      <c r="AB114" s="65">
        <f t="shared" si="43"/>
        <v>1.2397943604031401</v>
      </c>
      <c r="AC114" s="65">
        <f t="shared" si="43"/>
        <v>1.2409052613763443</v>
      </c>
      <c r="AD114" s="65">
        <f t="shared" si="43"/>
        <v>1.2409052613763443</v>
      </c>
      <c r="AE114" s="65">
        <f t="shared" si="43"/>
        <v>1.2409052613763443</v>
      </c>
      <c r="AF114" s="65">
        <f t="shared" si="43"/>
        <v>1.2397943604031401</v>
      </c>
      <c r="AG114" s="65">
        <f t="shared" si="43"/>
        <v>1.2409052613763443</v>
      </c>
      <c r="AH114" s="65">
        <f t="shared" si="43"/>
        <v>1.2409052613763443</v>
      </c>
      <c r="AI114" s="65">
        <f t="shared" si="43"/>
        <v>1.2409052613763443</v>
      </c>
      <c r="AJ114" s="65">
        <f t="shared" si="43"/>
        <v>1.2397943604031401</v>
      </c>
      <c r="AK114" s="65">
        <f t="shared" si="43"/>
        <v>1.2409052613763443</v>
      </c>
      <c r="AL114" s="65">
        <f t="shared" si="43"/>
        <v>1.2409052613763443</v>
      </c>
    </row>
    <row r="115" spans="4:38">
      <c r="D115" s="7" t="s">
        <v>304</v>
      </c>
      <c r="E115" s="16" t="s">
        <v>106</v>
      </c>
      <c r="K115" s="116">
        <f>ROUND(K113-K114,0)</f>
        <v>7</v>
      </c>
      <c r="L115" s="116">
        <f t="shared" ref="L115:AL115" si="44">ROUND(L113-L114,0)</f>
        <v>7</v>
      </c>
      <c r="M115" s="116">
        <f t="shared" si="44"/>
        <v>7</v>
      </c>
      <c r="N115" s="116">
        <f t="shared" si="44"/>
        <v>7</v>
      </c>
      <c r="O115" s="116">
        <f t="shared" si="44"/>
        <v>7</v>
      </c>
      <c r="P115" s="116">
        <f t="shared" si="44"/>
        <v>7</v>
      </c>
      <c r="Q115" s="116">
        <f t="shared" si="44"/>
        <v>7</v>
      </c>
      <c r="R115" s="116">
        <f t="shared" si="44"/>
        <v>7</v>
      </c>
      <c r="S115" s="116">
        <f t="shared" si="44"/>
        <v>7</v>
      </c>
      <c r="T115" s="116">
        <f t="shared" si="44"/>
        <v>7</v>
      </c>
      <c r="U115" s="116">
        <f t="shared" si="44"/>
        <v>7</v>
      </c>
      <c r="V115" s="116">
        <f t="shared" si="44"/>
        <v>7</v>
      </c>
      <c r="W115" s="116">
        <f t="shared" si="44"/>
        <v>7</v>
      </c>
      <c r="X115" s="116">
        <f t="shared" si="44"/>
        <v>7</v>
      </c>
      <c r="Y115" s="116">
        <f t="shared" si="44"/>
        <v>7</v>
      </c>
      <c r="Z115" s="116">
        <f t="shared" si="44"/>
        <v>7</v>
      </c>
      <c r="AA115" s="116">
        <f t="shared" si="44"/>
        <v>8</v>
      </c>
      <c r="AB115" s="116">
        <f t="shared" si="44"/>
        <v>8</v>
      </c>
      <c r="AC115" s="116">
        <f t="shared" si="44"/>
        <v>8</v>
      </c>
      <c r="AD115" s="116">
        <f t="shared" si="44"/>
        <v>8</v>
      </c>
      <c r="AE115" s="116">
        <f t="shared" si="44"/>
        <v>8</v>
      </c>
      <c r="AF115" s="116">
        <f t="shared" si="44"/>
        <v>8</v>
      </c>
      <c r="AG115" s="116">
        <f t="shared" si="44"/>
        <v>8</v>
      </c>
      <c r="AH115" s="116">
        <f t="shared" si="44"/>
        <v>8</v>
      </c>
      <c r="AI115" s="116">
        <f t="shared" si="44"/>
        <v>8</v>
      </c>
      <c r="AJ115" s="116">
        <f t="shared" si="44"/>
        <v>8</v>
      </c>
      <c r="AK115" s="116">
        <f t="shared" si="44"/>
        <v>8</v>
      </c>
      <c r="AL115" s="116">
        <f t="shared" si="44"/>
        <v>8</v>
      </c>
    </row>
    <row r="116" spans="4:38">
      <c r="D116" s="7"/>
      <c r="E116" s="16"/>
    </row>
    <row r="117" spans="4:38">
      <c r="D117" s="3" t="s">
        <v>298</v>
      </c>
    </row>
    <row r="118" spans="4:38">
      <c r="D118" s="7" t="s">
        <v>299</v>
      </c>
      <c r="E118" s="16" t="s">
        <v>169</v>
      </c>
      <c r="K118" t="str">
        <f>Inputs!E75</f>
        <v>Average</v>
      </c>
      <c r="L118" t="str">
        <f>Inputs!F75</f>
        <v>Average</v>
      </c>
      <c r="M118" t="str">
        <f>Inputs!G75</f>
        <v>Average</v>
      </c>
      <c r="N118" t="str">
        <f>Inputs!H75</f>
        <v>Average</v>
      </c>
      <c r="O118" t="str">
        <f>Inputs!I75</f>
        <v>Average</v>
      </c>
      <c r="P118" t="str">
        <f>Inputs!J75</f>
        <v>Average</v>
      </c>
      <c r="Q118" t="str">
        <f>P118</f>
        <v>Average</v>
      </c>
      <c r="R118" t="str">
        <f t="shared" ref="R118:AL118" si="45">Q118</f>
        <v>Average</v>
      </c>
      <c r="S118" t="str">
        <f t="shared" si="45"/>
        <v>Average</v>
      </c>
      <c r="T118" t="str">
        <f t="shared" si="45"/>
        <v>Average</v>
      </c>
      <c r="U118" t="str">
        <f t="shared" si="45"/>
        <v>Average</v>
      </c>
      <c r="V118" t="str">
        <f t="shared" si="45"/>
        <v>Average</v>
      </c>
      <c r="W118" t="str">
        <f t="shared" si="45"/>
        <v>Average</v>
      </c>
      <c r="X118" t="str">
        <f t="shared" si="45"/>
        <v>Average</v>
      </c>
      <c r="Y118" t="str">
        <f t="shared" si="45"/>
        <v>Average</v>
      </c>
      <c r="Z118" t="str">
        <f t="shared" si="45"/>
        <v>Average</v>
      </c>
      <c r="AA118" t="str">
        <f t="shared" si="45"/>
        <v>Average</v>
      </c>
      <c r="AB118" t="str">
        <f t="shared" si="45"/>
        <v>Average</v>
      </c>
      <c r="AC118" t="str">
        <f t="shared" si="45"/>
        <v>Average</v>
      </c>
      <c r="AD118" t="str">
        <f t="shared" si="45"/>
        <v>Average</v>
      </c>
      <c r="AE118" t="str">
        <f t="shared" si="45"/>
        <v>Average</v>
      </c>
      <c r="AF118" t="str">
        <f t="shared" si="45"/>
        <v>Average</v>
      </c>
      <c r="AG118" t="str">
        <f t="shared" si="45"/>
        <v>Average</v>
      </c>
      <c r="AH118" t="str">
        <f t="shared" si="45"/>
        <v>Average</v>
      </c>
      <c r="AI118" t="str">
        <f t="shared" si="45"/>
        <v>Average</v>
      </c>
      <c r="AJ118" t="str">
        <f t="shared" si="45"/>
        <v>Average</v>
      </c>
      <c r="AK118" t="str">
        <f t="shared" si="45"/>
        <v>Average</v>
      </c>
      <c r="AL118" t="str">
        <f t="shared" si="45"/>
        <v>Average</v>
      </c>
    </row>
    <row r="119" spans="4:38">
      <c r="D119" s="7" t="s">
        <v>300</v>
      </c>
      <c r="E119" s="16" t="s">
        <v>303</v>
      </c>
      <c r="K119">
        <f>INDEX('Availability Model'!$C$32:$T$36, MATCH($K$118,'Availability Model'!$B$32:$B$36, 0), MATCH($K$10, 'Availability Model'!$C$1:$T$1, 0))</f>
        <v>2</v>
      </c>
      <c r="L119">
        <f>INDEX('Availability Model'!$C$32:$T$36, MATCH($K$118,'Availability Model'!$B$32:$B$36, 0), MATCH($K$10, 'Availability Model'!$C$1:$T$1, 0))</f>
        <v>2</v>
      </c>
      <c r="M119">
        <f>INDEX('Availability Model'!$C$32:$T$36, MATCH($K$118,'Availability Model'!$B$32:$B$36, 0), MATCH($K$10, 'Availability Model'!$C$1:$T$1, 0))</f>
        <v>2</v>
      </c>
      <c r="N119">
        <f>INDEX('Availability Model'!$C$32:$T$36, MATCH($K$118,'Availability Model'!$B$32:$B$36, 0), MATCH($K$10, 'Availability Model'!$C$1:$T$1, 0))</f>
        <v>2</v>
      </c>
      <c r="O119">
        <f>INDEX('Availability Model'!$C$32:$T$36, MATCH($K$118,'Availability Model'!$B$32:$B$36, 0), MATCH($K$10, 'Availability Model'!$C$1:$T$1, 0))</f>
        <v>2</v>
      </c>
      <c r="P119">
        <f>INDEX('Availability Model'!$C$32:$T$36, MATCH($K$118,'Availability Model'!$B$32:$B$36, 0), MATCH($K$10, 'Availability Model'!$C$1:$T$1, 0))</f>
        <v>2</v>
      </c>
      <c r="Q119">
        <f>INDEX('Availability Model'!$C$32:$T$36, MATCH($K$118,'Availability Model'!$B$32:$B$36, 0), MATCH($K$10, 'Availability Model'!$C$1:$T$1, 0))</f>
        <v>2</v>
      </c>
      <c r="R119">
        <f>INDEX('Availability Model'!$C$32:$T$36, MATCH($K$118,'Availability Model'!$B$32:$B$36, 0), MATCH($K$10, 'Availability Model'!$C$1:$T$1, 0))</f>
        <v>2</v>
      </c>
      <c r="S119">
        <f>INDEX('Availability Model'!$C$32:$T$36, MATCH($K$118,'Availability Model'!$B$32:$B$36, 0), MATCH($K$10, 'Availability Model'!$C$1:$T$1, 0))</f>
        <v>2</v>
      </c>
      <c r="T119">
        <f>INDEX('Availability Model'!$C$32:$T$36, MATCH($K$118,'Availability Model'!$B$32:$B$36, 0), MATCH($K$10, 'Availability Model'!$C$1:$T$1, 0))</f>
        <v>2</v>
      </c>
      <c r="U119">
        <f>INDEX('Availability Model'!$C$32:$T$36, MATCH($K$118,'Availability Model'!$B$32:$B$36, 0), MATCH($K$10, 'Availability Model'!$C$1:$T$1, 0))</f>
        <v>2</v>
      </c>
      <c r="V119">
        <f>INDEX('Availability Model'!$C$32:$T$36, MATCH($K$118,'Availability Model'!$B$32:$B$36, 0), MATCH($K$10, 'Availability Model'!$C$1:$T$1, 0))</f>
        <v>2</v>
      </c>
      <c r="W119">
        <f>INDEX('Availability Model'!$C$32:$T$36, MATCH($K$118,'Availability Model'!$B$32:$B$36, 0), MATCH($K$10, 'Availability Model'!$C$1:$T$1, 0))</f>
        <v>2</v>
      </c>
      <c r="X119">
        <f>INDEX('Availability Model'!$C$32:$T$36, MATCH($K$118,'Availability Model'!$B$32:$B$36, 0), MATCH($K$10, 'Availability Model'!$C$1:$T$1, 0))</f>
        <v>2</v>
      </c>
      <c r="Y119">
        <f>INDEX('Availability Model'!$C$32:$T$36, MATCH($K$118,'Availability Model'!$B$32:$B$36, 0), MATCH($K$10, 'Availability Model'!$C$1:$T$1, 0))</f>
        <v>2</v>
      </c>
      <c r="Z119">
        <f>INDEX('Availability Model'!$C$32:$T$36, MATCH($K$118,'Availability Model'!$B$32:$B$36, 0), MATCH($K$10, 'Availability Model'!$C$1:$T$1, 0))</f>
        <v>2</v>
      </c>
      <c r="AA119">
        <f>INDEX('Availability Model'!$C$32:$T$36, MATCH($K$118,'Availability Model'!$B$32:$B$36, 0), MATCH($K$10, 'Availability Model'!$C$1:$T$1, 0))</f>
        <v>2</v>
      </c>
      <c r="AB119">
        <f>INDEX('Availability Model'!$C$32:$T$36, MATCH($K$118,'Availability Model'!$B$32:$B$36, 0), MATCH($K$10, 'Availability Model'!$C$1:$T$1, 0))</f>
        <v>2</v>
      </c>
      <c r="AC119">
        <f>INDEX('Availability Model'!$C$32:$T$36, MATCH($K$118,'Availability Model'!$B$32:$B$36, 0), MATCH($K$10, 'Availability Model'!$C$1:$T$1, 0))</f>
        <v>2</v>
      </c>
      <c r="AD119">
        <f>INDEX('Availability Model'!$C$32:$T$36, MATCH($K$118,'Availability Model'!$B$32:$B$36, 0), MATCH($K$10, 'Availability Model'!$C$1:$T$1, 0))</f>
        <v>2</v>
      </c>
      <c r="AE119">
        <f>INDEX('Availability Model'!$C$32:$T$36, MATCH($K$118,'Availability Model'!$B$32:$B$36, 0), MATCH($K$10, 'Availability Model'!$C$1:$T$1, 0))</f>
        <v>2</v>
      </c>
      <c r="AF119">
        <f>INDEX('Availability Model'!$C$32:$T$36, MATCH($K$118,'Availability Model'!$B$32:$B$36, 0), MATCH($K$10, 'Availability Model'!$C$1:$T$1, 0))</f>
        <v>2</v>
      </c>
      <c r="AG119">
        <f>INDEX('Availability Model'!$C$32:$T$36, MATCH($K$118,'Availability Model'!$B$32:$B$36, 0), MATCH($K$10, 'Availability Model'!$C$1:$T$1, 0))</f>
        <v>2</v>
      </c>
      <c r="AH119">
        <f>INDEX('Availability Model'!$C$32:$T$36, MATCH($K$118,'Availability Model'!$B$32:$B$36, 0), MATCH($K$10, 'Availability Model'!$C$1:$T$1, 0))</f>
        <v>2</v>
      </c>
      <c r="AI119">
        <f>INDEX('Availability Model'!$C$32:$T$36, MATCH($K$118,'Availability Model'!$B$32:$B$36, 0), MATCH($K$10, 'Availability Model'!$C$1:$T$1, 0))</f>
        <v>2</v>
      </c>
      <c r="AJ119">
        <f>INDEX('Availability Model'!$C$32:$T$36, MATCH($K$118,'Availability Model'!$B$32:$B$36, 0), MATCH($K$10, 'Availability Model'!$C$1:$T$1, 0))</f>
        <v>2</v>
      </c>
      <c r="AK119">
        <f>INDEX('Availability Model'!$C$32:$T$36, MATCH($K$118,'Availability Model'!$B$32:$B$36, 0), MATCH($K$10, 'Availability Model'!$C$1:$T$1, 0))</f>
        <v>2</v>
      </c>
      <c r="AL119">
        <f>INDEX('Availability Model'!$C$32:$T$36, MATCH($K$118,'Availability Model'!$B$32:$B$36, 0), MATCH($K$10, 'Availability Model'!$C$1:$T$1, 0))</f>
        <v>2</v>
      </c>
    </row>
    <row r="120" spans="4:38">
      <c r="D120" s="7" t="s">
        <v>301</v>
      </c>
      <c r="E120" s="16" t="s">
        <v>106</v>
      </c>
      <c r="K120">
        <f>K119*INDEX('Availability Model'!$C$39:$T$43, MATCH($K$118,'Availability Model'!$B$39:$B$43, 0), MATCH($K$10, 'Availability Model'!$C$1:$T$1, 0))</f>
        <v>6</v>
      </c>
      <c r="L120">
        <f>L119*INDEX('Availability Model'!$C$39:$T$43, MATCH($K$118,'Availability Model'!$B$39:$B$43, 0), MATCH($K$10, 'Availability Model'!$C$1:$T$1, 0))</f>
        <v>6</v>
      </c>
      <c r="M120">
        <f>M119*INDEX('Availability Model'!$C$39:$T$43, MATCH($K$118,'Availability Model'!$B$39:$B$43, 0), MATCH($K$10, 'Availability Model'!$C$1:$T$1, 0))</f>
        <v>6</v>
      </c>
      <c r="N120">
        <f>N119*INDEX('Availability Model'!$C$39:$T$43, MATCH($K$118,'Availability Model'!$B$39:$B$43, 0), MATCH($K$10, 'Availability Model'!$C$1:$T$1, 0))</f>
        <v>6</v>
      </c>
      <c r="O120">
        <f>O119*INDEX('Availability Model'!$C$39:$T$43, MATCH($K$118,'Availability Model'!$B$39:$B$43, 0), MATCH($K$10, 'Availability Model'!$C$1:$T$1, 0))</f>
        <v>6</v>
      </c>
      <c r="P120">
        <f>P119*INDEX('Availability Model'!$C$39:$T$43, MATCH($K$118,'Availability Model'!$B$39:$B$43, 0), MATCH($K$10, 'Availability Model'!$C$1:$T$1, 0))</f>
        <v>6</v>
      </c>
      <c r="Q120">
        <f>Q119*INDEX('Availability Model'!$C$39:$T$43, MATCH($K$118,'Availability Model'!$B$39:$B$43, 0), MATCH($K$10, 'Availability Model'!$C$1:$T$1, 0))</f>
        <v>6</v>
      </c>
      <c r="R120">
        <f>R119*INDEX('Availability Model'!$C$39:$T$43, MATCH($K$118,'Availability Model'!$B$39:$B$43, 0), MATCH($K$10, 'Availability Model'!$C$1:$T$1, 0))</f>
        <v>6</v>
      </c>
      <c r="S120">
        <f>S119*INDEX('Availability Model'!$C$39:$T$43, MATCH($K$118,'Availability Model'!$B$39:$B$43, 0), MATCH($K$10, 'Availability Model'!$C$1:$T$1, 0))</f>
        <v>6</v>
      </c>
      <c r="T120">
        <f>T119*INDEX('Availability Model'!$C$39:$T$43, MATCH($K$118,'Availability Model'!$B$39:$B$43, 0), MATCH($K$10, 'Availability Model'!$C$1:$T$1, 0))</f>
        <v>6</v>
      </c>
      <c r="U120">
        <f>U119*INDEX('Availability Model'!$C$39:$T$43, MATCH($K$118,'Availability Model'!$B$39:$B$43, 0), MATCH($K$10, 'Availability Model'!$C$1:$T$1, 0))</f>
        <v>6</v>
      </c>
      <c r="V120">
        <f>V119*INDEX('Availability Model'!$C$39:$T$43, MATCH($K$118,'Availability Model'!$B$39:$B$43, 0), MATCH($K$10, 'Availability Model'!$C$1:$T$1, 0))</f>
        <v>6</v>
      </c>
      <c r="W120">
        <f>W119*INDEX('Availability Model'!$C$39:$T$43, MATCH($K$118,'Availability Model'!$B$39:$B$43, 0), MATCH($K$10, 'Availability Model'!$C$1:$T$1, 0))</f>
        <v>6</v>
      </c>
      <c r="X120">
        <f>X119*INDEX('Availability Model'!$C$39:$T$43, MATCH($K$118,'Availability Model'!$B$39:$B$43, 0), MATCH($K$10, 'Availability Model'!$C$1:$T$1, 0))</f>
        <v>6</v>
      </c>
      <c r="Y120">
        <f>Y119*INDEX('Availability Model'!$C$39:$T$43, MATCH($K$118,'Availability Model'!$B$39:$B$43, 0), MATCH($K$10, 'Availability Model'!$C$1:$T$1, 0))</f>
        <v>6</v>
      </c>
      <c r="Z120">
        <f>Z119*INDEX('Availability Model'!$C$39:$T$43, MATCH($K$118,'Availability Model'!$B$39:$B$43, 0), MATCH($K$10, 'Availability Model'!$C$1:$T$1, 0))</f>
        <v>6</v>
      </c>
      <c r="AA120">
        <f>AA119*INDEX('Availability Model'!$C$39:$T$43, MATCH($K$118,'Availability Model'!$B$39:$B$43, 0), MATCH($K$10, 'Availability Model'!$C$1:$T$1, 0))</f>
        <v>6</v>
      </c>
      <c r="AB120">
        <f>AB119*INDEX('Availability Model'!$C$39:$T$43, MATCH($K$118,'Availability Model'!$B$39:$B$43, 0), MATCH($K$10, 'Availability Model'!$C$1:$T$1, 0))</f>
        <v>6</v>
      </c>
      <c r="AC120">
        <f>AC119*INDEX('Availability Model'!$C$39:$T$43, MATCH($K$118,'Availability Model'!$B$39:$B$43, 0), MATCH($K$10, 'Availability Model'!$C$1:$T$1, 0))</f>
        <v>6</v>
      </c>
      <c r="AD120">
        <f>AD119*INDEX('Availability Model'!$C$39:$T$43, MATCH($K$118,'Availability Model'!$B$39:$B$43, 0), MATCH($K$10, 'Availability Model'!$C$1:$T$1, 0))</f>
        <v>6</v>
      </c>
      <c r="AE120">
        <f>AE119*INDEX('Availability Model'!$C$39:$T$43, MATCH($K$118,'Availability Model'!$B$39:$B$43, 0), MATCH($K$10, 'Availability Model'!$C$1:$T$1, 0))</f>
        <v>6</v>
      </c>
      <c r="AF120">
        <f>AF119*INDEX('Availability Model'!$C$39:$T$43, MATCH($K$118,'Availability Model'!$B$39:$B$43, 0), MATCH($K$10, 'Availability Model'!$C$1:$T$1, 0))</f>
        <v>6</v>
      </c>
      <c r="AG120">
        <f>AG119*INDEX('Availability Model'!$C$39:$T$43, MATCH($K$118,'Availability Model'!$B$39:$B$43, 0), MATCH($K$10, 'Availability Model'!$C$1:$T$1, 0))</f>
        <v>6</v>
      </c>
      <c r="AH120">
        <f>AH119*INDEX('Availability Model'!$C$39:$T$43, MATCH($K$118,'Availability Model'!$B$39:$B$43, 0), MATCH($K$10, 'Availability Model'!$C$1:$T$1, 0))</f>
        <v>6</v>
      </c>
      <c r="AI120">
        <f>AI119*INDEX('Availability Model'!$C$39:$T$43, MATCH($K$118,'Availability Model'!$B$39:$B$43, 0), MATCH($K$10, 'Availability Model'!$C$1:$T$1, 0))</f>
        <v>6</v>
      </c>
      <c r="AJ120">
        <f>AJ119*INDEX('Availability Model'!$C$39:$T$43, MATCH($K$118,'Availability Model'!$B$39:$B$43, 0), MATCH($K$10, 'Availability Model'!$C$1:$T$1, 0))</f>
        <v>6</v>
      </c>
      <c r="AK120">
        <f>AK119*INDEX('Availability Model'!$C$39:$T$43, MATCH($K$118,'Availability Model'!$B$39:$B$43, 0), MATCH($K$10, 'Availability Model'!$C$1:$T$1, 0))</f>
        <v>6</v>
      </c>
      <c r="AL120">
        <f>AL119*INDEX('Availability Model'!$C$39:$T$43, MATCH($K$118,'Availability Model'!$B$39:$B$43, 0), MATCH($K$10, 'Availability Model'!$C$1:$T$1, 0))</f>
        <v>6</v>
      </c>
    </row>
    <row r="121" spans="4:38">
      <c r="D121" s="7" t="s">
        <v>302</v>
      </c>
      <c r="E121" s="16" t="s">
        <v>106</v>
      </c>
      <c r="K121" s="65">
        <f>K114</f>
        <v>1.8129533678756478</v>
      </c>
      <c r="L121" s="65">
        <f t="shared" ref="L121:AL121" si="46">L114</f>
        <v>1.9014456764652192</v>
      </c>
      <c r="M121" s="65">
        <f t="shared" si="46"/>
        <v>1.8367738032705883</v>
      </c>
      <c r="N121" s="65">
        <f t="shared" si="46"/>
        <v>1.7960667486462139</v>
      </c>
      <c r="O121" s="65">
        <f t="shared" si="46"/>
        <v>1.9276832774864687</v>
      </c>
      <c r="P121" s="65">
        <f t="shared" si="46"/>
        <v>1.9259575492655938</v>
      </c>
      <c r="Q121" s="65">
        <f t="shared" si="46"/>
        <v>1.6366130264697252</v>
      </c>
      <c r="R121" s="65">
        <f t="shared" si="46"/>
        <v>1.6366130264697252</v>
      </c>
      <c r="S121" s="65">
        <f t="shared" si="46"/>
        <v>1.6366130264697252</v>
      </c>
      <c r="T121" s="65">
        <f t="shared" si="46"/>
        <v>1.6351478743260013</v>
      </c>
      <c r="U121" s="65">
        <f t="shared" si="46"/>
        <v>1.6366130264697252</v>
      </c>
      <c r="V121" s="65">
        <f t="shared" si="46"/>
        <v>1.6366130264697252</v>
      </c>
      <c r="W121" s="65">
        <f t="shared" si="46"/>
        <v>1.6366130264697252</v>
      </c>
      <c r="X121" s="65">
        <f t="shared" si="46"/>
        <v>1.6351478743260013</v>
      </c>
      <c r="Y121" s="65">
        <f t="shared" si="46"/>
        <v>1.6366130264697252</v>
      </c>
      <c r="Z121" s="65">
        <f t="shared" si="46"/>
        <v>1.6366130264697252</v>
      </c>
      <c r="AA121" s="65">
        <f t="shared" si="46"/>
        <v>1.2409052613763443</v>
      </c>
      <c r="AB121" s="65">
        <f t="shared" si="46"/>
        <v>1.2397943604031401</v>
      </c>
      <c r="AC121" s="65">
        <f t="shared" si="46"/>
        <v>1.2409052613763443</v>
      </c>
      <c r="AD121" s="65">
        <f t="shared" si="46"/>
        <v>1.2409052613763443</v>
      </c>
      <c r="AE121" s="65">
        <f t="shared" si="46"/>
        <v>1.2409052613763443</v>
      </c>
      <c r="AF121" s="65">
        <f t="shared" si="46"/>
        <v>1.2397943604031401</v>
      </c>
      <c r="AG121" s="65">
        <f t="shared" si="46"/>
        <v>1.2409052613763443</v>
      </c>
      <c r="AH121" s="65">
        <f t="shared" si="46"/>
        <v>1.2409052613763443</v>
      </c>
      <c r="AI121" s="65">
        <f t="shared" si="46"/>
        <v>1.2409052613763443</v>
      </c>
      <c r="AJ121" s="65">
        <f t="shared" si="46"/>
        <v>1.2397943604031401</v>
      </c>
      <c r="AK121" s="65">
        <f t="shared" si="46"/>
        <v>1.2409052613763443</v>
      </c>
      <c r="AL121" s="65">
        <f t="shared" si="46"/>
        <v>1.2409052613763443</v>
      </c>
    </row>
    <row r="122" spans="4:38">
      <c r="D122" s="7" t="s">
        <v>304</v>
      </c>
      <c r="E122" s="16" t="s">
        <v>106</v>
      </c>
      <c r="K122" s="116">
        <f>ROUND(K120-K121,0)</f>
        <v>4</v>
      </c>
      <c r="L122" s="116">
        <f t="shared" ref="L122:AL122" si="47">ROUND(L120-L121,0)</f>
        <v>4</v>
      </c>
      <c r="M122" s="116">
        <f t="shared" si="47"/>
        <v>4</v>
      </c>
      <c r="N122" s="116">
        <f t="shared" si="47"/>
        <v>4</v>
      </c>
      <c r="O122" s="116">
        <f t="shared" si="47"/>
        <v>4</v>
      </c>
      <c r="P122" s="116">
        <f t="shared" si="47"/>
        <v>4</v>
      </c>
      <c r="Q122" s="116">
        <f t="shared" si="47"/>
        <v>4</v>
      </c>
      <c r="R122" s="116">
        <f t="shared" si="47"/>
        <v>4</v>
      </c>
      <c r="S122" s="116">
        <f t="shared" si="47"/>
        <v>4</v>
      </c>
      <c r="T122" s="116">
        <f t="shared" si="47"/>
        <v>4</v>
      </c>
      <c r="U122" s="116">
        <f t="shared" si="47"/>
        <v>4</v>
      </c>
      <c r="V122" s="116">
        <f t="shared" si="47"/>
        <v>4</v>
      </c>
      <c r="W122" s="116">
        <f t="shared" si="47"/>
        <v>4</v>
      </c>
      <c r="X122" s="116">
        <f t="shared" si="47"/>
        <v>4</v>
      </c>
      <c r="Y122" s="116">
        <f t="shared" si="47"/>
        <v>4</v>
      </c>
      <c r="Z122" s="116">
        <f t="shared" si="47"/>
        <v>4</v>
      </c>
      <c r="AA122" s="116">
        <f t="shared" si="47"/>
        <v>5</v>
      </c>
      <c r="AB122" s="116">
        <f t="shared" si="47"/>
        <v>5</v>
      </c>
      <c r="AC122" s="116">
        <f t="shared" si="47"/>
        <v>5</v>
      </c>
      <c r="AD122" s="116">
        <f t="shared" si="47"/>
        <v>5</v>
      </c>
      <c r="AE122" s="116">
        <f t="shared" si="47"/>
        <v>5</v>
      </c>
      <c r="AF122" s="116">
        <f t="shared" si="47"/>
        <v>5</v>
      </c>
      <c r="AG122" s="116">
        <f t="shared" si="47"/>
        <v>5</v>
      </c>
      <c r="AH122" s="116">
        <f t="shared" si="47"/>
        <v>5</v>
      </c>
      <c r="AI122" s="116">
        <f t="shared" si="47"/>
        <v>5</v>
      </c>
      <c r="AJ122" s="116">
        <f t="shared" si="47"/>
        <v>5</v>
      </c>
      <c r="AK122" s="116">
        <f t="shared" si="47"/>
        <v>5</v>
      </c>
      <c r="AL122" s="116">
        <f t="shared" si="47"/>
        <v>5</v>
      </c>
    </row>
    <row r="123" spans="4:38">
      <c r="D123" s="7"/>
      <c r="W123"/>
      <c r="AB123"/>
    </row>
    <row r="124" spans="4:38">
      <c r="D124" s="3" t="s">
        <v>309</v>
      </c>
      <c r="E124" s="16" t="s">
        <v>106</v>
      </c>
      <c r="K124">
        <f>K108+K115+K122</f>
        <v>11</v>
      </c>
      <c r="L124">
        <f t="shared" ref="L124:AL124" si="48">L108+L115+L122</f>
        <v>11</v>
      </c>
      <c r="M124">
        <f t="shared" si="48"/>
        <v>11</v>
      </c>
      <c r="N124">
        <f t="shared" si="48"/>
        <v>11</v>
      </c>
      <c r="O124">
        <f t="shared" si="48"/>
        <v>11</v>
      </c>
      <c r="P124">
        <f t="shared" si="48"/>
        <v>11</v>
      </c>
      <c r="Q124">
        <f t="shared" si="48"/>
        <v>11</v>
      </c>
      <c r="R124">
        <f t="shared" si="48"/>
        <v>11</v>
      </c>
      <c r="S124">
        <f t="shared" si="48"/>
        <v>11</v>
      </c>
      <c r="T124">
        <f t="shared" si="48"/>
        <v>11</v>
      </c>
      <c r="U124">
        <f t="shared" si="48"/>
        <v>11</v>
      </c>
      <c r="V124">
        <f t="shared" si="48"/>
        <v>11</v>
      </c>
      <c r="W124">
        <f t="shared" si="48"/>
        <v>11</v>
      </c>
      <c r="X124">
        <f t="shared" si="48"/>
        <v>11</v>
      </c>
      <c r="Y124">
        <f t="shared" si="48"/>
        <v>11</v>
      </c>
      <c r="Z124">
        <f t="shared" si="48"/>
        <v>11</v>
      </c>
      <c r="AA124">
        <f t="shared" si="48"/>
        <v>13</v>
      </c>
      <c r="AB124">
        <f t="shared" si="48"/>
        <v>13</v>
      </c>
      <c r="AC124">
        <f t="shared" si="48"/>
        <v>13</v>
      </c>
      <c r="AD124">
        <f t="shared" si="48"/>
        <v>13</v>
      </c>
      <c r="AE124">
        <f t="shared" si="48"/>
        <v>13</v>
      </c>
      <c r="AF124">
        <f t="shared" si="48"/>
        <v>13</v>
      </c>
      <c r="AG124">
        <f t="shared" si="48"/>
        <v>13</v>
      </c>
      <c r="AH124">
        <f t="shared" si="48"/>
        <v>13</v>
      </c>
      <c r="AI124">
        <f t="shared" si="48"/>
        <v>13</v>
      </c>
      <c r="AJ124">
        <f t="shared" si="48"/>
        <v>13</v>
      </c>
      <c r="AK124">
        <f t="shared" si="48"/>
        <v>13</v>
      </c>
      <c r="AL124">
        <f t="shared" si="48"/>
        <v>13</v>
      </c>
    </row>
    <row r="125" spans="4:38" ht="15">
      <c r="D125" s="4"/>
    </row>
    <row r="126" spans="4:38" ht="15">
      <c r="D126" s="4" t="s">
        <v>137</v>
      </c>
    </row>
    <row r="127" spans="4:38">
      <c r="D127" s="7" t="s">
        <v>299</v>
      </c>
      <c r="E127" s="16" t="s">
        <v>169</v>
      </c>
      <c r="K127" t="str">
        <f>Inputs!E76</f>
        <v>Average</v>
      </c>
      <c r="L127" t="str">
        <f>Inputs!F76</f>
        <v>Average</v>
      </c>
      <c r="M127" t="str">
        <f>Inputs!G76</f>
        <v>Average</v>
      </c>
      <c r="N127" t="str">
        <f>Inputs!H76</f>
        <v>Average</v>
      </c>
      <c r="O127" t="str">
        <f>Inputs!I76</f>
        <v>Average</v>
      </c>
      <c r="P127" t="str">
        <f>Inputs!J76</f>
        <v>Average</v>
      </c>
      <c r="Q127" t="str">
        <f>P127</f>
        <v>Average</v>
      </c>
      <c r="R127" t="str">
        <f t="shared" ref="R127:AL127" si="49">Q127</f>
        <v>Average</v>
      </c>
      <c r="S127" t="str">
        <f t="shared" si="49"/>
        <v>Average</v>
      </c>
      <c r="T127" t="str">
        <f t="shared" si="49"/>
        <v>Average</v>
      </c>
      <c r="U127" t="str">
        <f t="shared" si="49"/>
        <v>Average</v>
      </c>
      <c r="V127" t="str">
        <f t="shared" si="49"/>
        <v>Average</v>
      </c>
      <c r="W127" t="str">
        <f t="shared" si="49"/>
        <v>Average</v>
      </c>
      <c r="X127" t="str">
        <f t="shared" si="49"/>
        <v>Average</v>
      </c>
      <c r="Y127" t="str">
        <f t="shared" si="49"/>
        <v>Average</v>
      </c>
      <c r="Z127" t="str">
        <f t="shared" si="49"/>
        <v>Average</v>
      </c>
      <c r="AA127" t="str">
        <f t="shared" si="49"/>
        <v>Average</v>
      </c>
      <c r="AB127" t="str">
        <f t="shared" si="49"/>
        <v>Average</v>
      </c>
      <c r="AC127" t="str">
        <f t="shared" si="49"/>
        <v>Average</v>
      </c>
      <c r="AD127" t="str">
        <f t="shared" si="49"/>
        <v>Average</v>
      </c>
      <c r="AE127" t="str">
        <f t="shared" si="49"/>
        <v>Average</v>
      </c>
      <c r="AF127" t="str">
        <f t="shared" si="49"/>
        <v>Average</v>
      </c>
      <c r="AG127" t="str">
        <f t="shared" si="49"/>
        <v>Average</v>
      </c>
      <c r="AH127" t="str">
        <f t="shared" si="49"/>
        <v>Average</v>
      </c>
      <c r="AI127" t="str">
        <f t="shared" si="49"/>
        <v>Average</v>
      </c>
      <c r="AJ127" t="str">
        <f t="shared" si="49"/>
        <v>Average</v>
      </c>
      <c r="AK127" t="str">
        <f t="shared" si="49"/>
        <v>Average</v>
      </c>
      <c r="AL127" t="str">
        <f t="shared" si="49"/>
        <v>Average</v>
      </c>
    </row>
    <row r="128" spans="4:38">
      <c r="D128" s="7" t="s">
        <v>300</v>
      </c>
      <c r="E128" s="16" t="s">
        <v>303</v>
      </c>
      <c r="K128">
        <f>INDEX('Availability Model'!$C$46:$T$50, MATCH($K$127,'Availability Model'!$B$46:$B$50, 0), MATCH($K$10, 'Availability Model'!$C$1:$T$1, 0))</f>
        <v>2</v>
      </c>
      <c r="L128">
        <f>INDEX('Availability Model'!$C$46:$T$50, MATCH($K$127,'Availability Model'!$B$46:$B$50, 0), MATCH($K$10, 'Availability Model'!$C$1:$T$1, 0))</f>
        <v>2</v>
      </c>
      <c r="M128">
        <f>INDEX('Availability Model'!$C$46:$T$50, MATCH($K$127,'Availability Model'!$B$46:$B$50, 0), MATCH($K$10, 'Availability Model'!$C$1:$T$1, 0))</f>
        <v>2</v>
      </c>
      <c r="N128">
        <f>INDEX('Availability Model'!$C$46:$T$50, MATCH($K$127,'Availability Model'!$B$46:$B$50, 0), MATCH($K$10, 'Availability Model'!$C$1:$T$1, 0))</f>
        <v>2</v>
      </c>
      <c r="O128">
        <f>INDEX('Availability Model'!$C$46:$T$50, MATCH($K$127,'Availability Model'!$B$46:$B$50, 0), MATCH($K$10, 'Availability Model'!$C$1:$T$1, 0))</f>
        <v>2</v>
      </c>
      <c r="P128">
        <f>INDEX('Availability Model'!$C$46:$T$50, MATCH($K$127,'Availability Model'!$B$46:$B$50, 0), MATCH($K$10, 'Availability Model'!$C$1:$T$1, 0))</f>
        <v>2</v>
      </c>
      <c r="Q128">
        <f>INDEX('Availability Model'!$C$46:$T$50, MATCH($K$127,'Availability Model'!$B$46:$B$50, 0), MATCH($K$10, 'Availability Model'!$C$1:$T$1, 0))</f>
        <v>2</v>
      </c>
      <c r="R128">
        <f>INDEX('Availability Model'!$C$46:$T$50, MATCH($K$127,'Availability Model'!$B$46:$B$50, 0), MATCH($K$10, 'Availability Model'!$C$1:$T$1, 0))</f>
        <v>2</v>
      </c>
      <c r="S128">
        <f>INDEX('Availability Model'!$C$46:$T$50, MATCH($K$127,'Availability Model'!$B$46:$B$50, 0), MATCH($K$10, 'Availability Model'!$C$1:$T$1, 0))</f>
        <v>2</v>
      </c>
      <c r="T128">
        <f>INDEX('Availability Model'!$C$46:$T$50, MATCH($K$127,'Availability Model'!$B$46:$B$50, 0), MATCH($K$10, 'Availability Model'!$C$1:$T$1, 0))</f>
        <v>2</v>
      </c>
      <c r="U128">
        <f>INDEX('Availability Model'!$C$46:$T$50, MATCH($K$127,'Availability Model'!$B$46:$B$50, 0), MATCH($K$10, 'Availability Model'!$C$1:$T$1, 0))</f>
        <v>2</v>
      </c>
      <c r="V128">
        <f>INDEX('Availability Model'!$C$46:$T$50, MATCH($K$127,'Availability Model'!$B$46:$B$50, 0), MATCH($K$10, 'Availability Model'!$C$1:$T$1, 0))</f>
        <v>2</v>
      </c>
      <c r="W128">
        <f>INDEX('Availability Model'!$C$46:$T$50, MATCH($K$127,'Availability Model'!$B$46:$B$50, 0), MATCH($K$10, 'Availability Model'!$C$1:$T$1, 0))</f>
        <v>2</v>
      </c>
      <c r="X128">
        <f>INDEX('Availability Model'!$C$46:$T$50, MATCH($K$127,'Availability Model'!$B$46:$B$50, 0), MATCH($K$10, 'Availability Model'!$C$1:$T$1, 0))</f>
        <v>2</v>
      </c>
      <c r="Y128">
        <f>INDEX('Availability Model'!$C$46:$T$50, MATCH($K$127,'Availability Model'!$B$46:$B$50, 0), MATCH($K$10, 'Availability Model'!$C$1:$T$1, 0))</f>
        <v>2</v>
      </c>
      <c r="Z128">
        <f>INDEX('Availability Model'!$C$46:$T$50, MATCH($K$127,'Availability Model'!$B$46:$B$50, 0), MATCH($K$10, 'Availability Model'!$C$1:$T$1, 0))</f>
        <v>2</v>
      </c>
      <c r="AA128">
        <f>INDEX('Availability Model'!$C$46:$T$50, MATCH($K$127,'Availability Model'!$B$46:$B$50, 0), MATCH($K$10, 'Availability Model'!$C$1:$T$1, 0))</f>
        <v>2</v>
      </c>
      <c r="AB128">
        <f>INDEX('Availability Model'!$C$46:$T$50, MATCH($K$127,'Availability Model'!$B$46:$B$50, 0), MATCH($K$10, 'Availability Model'!$C$1:$T$1, 0))</f>
        <v>2</v>
      </c>
      <c r="AC128">
        <f>INDEX('Availability Model'!$C$46:$T$50, MATCH($K$127,'Availability Model'!$B$46:$B$50, 0), MATCH($K$10, 'Availability Model'!$C$1:$T$1, 0))</f>
        <v>2</v>
      </c>
      <c r="AD128">
        <f>INDEX('Availability Model'!$C$46:$T$50, MATCH($K$127,'Availability Model'!$B$46:$B$50, 0), MATCH($K$10, 'Availability Model'!$C$1:$T$1, 0))</f>
        <v>2</v>
      </c>
      <c r="AE128">
        <f>INDEX('Availability Model'!$C$46:$T$50, MATCH($K$127,'Availability Model'!$B$46:$B$50, 0), MATCH($K$10, 'Availability Model'!$C$1:$T$1, 0))</f>
        <v>2</v>
      </c>
      <c r="AF128">
        <f>INDEX('Availability Model'!$C$46:$T$50, MATCH($K$127,'Availability Model'!$B$46:$B$50, 0), MATCH($K$10, 'Availability Model'!$C$1:$T$1, 0))</f>
        <v>2</v>
      </c>
      <c r="AG128">
        <f>INDEX('Availability Model'!$C$46:$T$50, MATCH($K$127,'Availability Model'!$B$46:$B$50, 0), MATCH($K$10, 'Availability Model'!$C$1:$T$1, 0))</f>
        <v>2</v>
      </c>
      <c r="AH128">
        <f>INDEX('Availability Model'!$C$46:$T$50, MATCH($K$127,'Availability Model'!$B$46:$B$50, 0), MATCH($K$10, 'Availability Model'!$C$1:$T$1, 0))</f>
        <v>2</v>
      </c>
      <c r="AI128">
        <f>INDEX('Availability Model'!$C$46:$T$50, MATCH($K$127,'Availability Model'!$B$46:$B$50, 0), MATCH($K$10, 'Availability Model'!$C$1:$T$1, 0))</f>
        <v>2</v>
      </c>
      <c r="AJ128">
        <f>INDEX('Availability Model'!$C$46:$T$50, MATCH($K$127,'Availability Model'!$B$46:$B$50, 0), MATCH($K$10, 'Availability Model'!$C$1:$T$1, 0))</f>
        <v>2</v>
      </c>
      <c r="AK128">
        <f>INDEX('Availability Model'!$C$46:$T$50, MATCH($K$127,'Availability Model'!$B$46:$B$50, 0), MATCH($K$10, 'Availability Model'!$C$1:$T$1, 0))</f>
        <v>2</v>
      </c>
      <c r="AL128">
        <f>INDEX('Availability Model'!$C$46:$T$50, MATCH($K$127,'Availability Model'!$B$46:$B$50, 0), MATCH($K$10, 'Availability Model'!$C$1:$T$1, 0))</f>
        <v>2</v>
      </c>
    </row>
    <row r="129" spans="4:38">
      <c r="D129" s="7" t="s">
        <v>312</v>
      </c>
      <c r="E129" s="16" t="s">
        <v>106</v>
      </c>
      <c r="K129">
        <f>K128*INDEX('Availability Model'!$C$53:$T$57, MATCH($K$127,'Availability Model'!$B$53:$B$57, 0), MATCH($K$10, 'Availability Model'!$C$1:$T$1, 0))</f>
        <v>4</v>
      </c>
      <c r="L129">
        <f>L128*INDEX('Availability Model'!$C$53:$T$57, MATCH($K$127,'Availability Model'!$B$53:$B$57, 0), MATCH($K$10, 'Availability Model'!$C$1:$T$1, 0))</f>
        <v>4</v>
      </c>
      <c r="M129">
        <f>M128*INDEX('Availability Model'!$C$53:$T$57, MATCH($K$127,'Availability Model'!$B$53:$B$57, 0), MATCH($K$10, 'Availability Model'!$C$1:$T$1, 0))</f>
        <v>4</v>
      </c>
      <c r="N129">
        <f>N128*INDEX('Availability Model'!$C$53:$T$57, MATCH($K$127,'Availability Model'!$B$53:$B$57, 0), MATCH($K$10, 'Availability Model'!$C$1:$T$1, 0))</f>
        <v>4</v>
      </c>
      <c r="O129">
        <f>O128*INDEX('Availability Model'!$C$53:$T$57, MATCH($K$127,'Availability Model'!$B$53:$B$57, 0), MATCH($K$10, 'Availability Model'!$C$1:$T$1, 0))</f>
        <v>4</v>
      </c>
      <c r="P129">
        <f>P128*INDEX('Availability Model'!$C$53:$T$57, MATCH($K$127,'Availability Model'!$B$53:$B$57, 0), MATCH($K$10, 'Availability Model'!$C$1:$T$1, 0))</f>
        <v>4</v>
      </c>
      <c r="Q129">
        <f>Q128*INDEX('Availability Model'!$C$53:$T$57, MATCH($K$127,'Availability Model'!$B$53:$B$57, 0), MATCH($K$10, 'Availability Model'!$C$1:$T$1, 0))</f>
        <v>4</v>
      </c>
      <c r="R129">
        <f>R128*INDEX('Availability Model'!$C$53:$T$57, MATCH($K$127,'Availability Model'!$B$53:$B$57, 0), MATCH($K$10, 'Availability Model'!$C$1:$T$1, 0))</f>
        <v>4</v>
      </c>
      <c r="S129">
        <f>S128*INDEX('Availability Model'!$C$53:$T$57, MATCH($K$127,'Availability Model'!$B$53:$B$57, 0), MATCH($K$10, 'Availability Model'!$C$1:$T$1, 0))</f>
        <v>4</v>
      </c>
      <c r="T129">
        <f>T128*INDEX('Availability Model'!$C$53:$T$57, MATCH($K$127,'Availability Model'!$B$53:$B$57, 0), MATCH($K$10, 'Availability Model'!$C$1:$T$1, 0))</f>
        <v>4</v>
      </c>
      <c r="U129">
        <f>U128*INDEX('Availability Model'!$C$53:$T$57, MATCH($K$127,'Availability Model'!$B$53:$B$57, 0), MATCH($K$10, 'Availability Model'!$C$1:$T$1, 0))</f>
        <v>4</v>
      </c>
      <c r="V129">
        <f>V128*INDEX('Availability Model'!$C$53:$T$57, MATCH($K$127,'Availability Model'!$B$53:$B$57, 0), MATCH($K$10, 'Availability Model'!$C$1:$T$1, 0))</f>
        <v>4</v>
      </c>
      <c r="W129">
        <f>W128*INDEX('Availability Model'!$C$53:$T$57, MATCH($K$127,'Availability Model'!$B$53:$B$57, 0), MATCH($K$10, 'Availability Model'!$C$1:$T$1, 0))</f>
        <v>4</v>
      </c>
      <c r="X129">
        <f>X128*INDEX('Availability Model'!$C$53:$T$57, MATCH($K$127,'Availability Model'!$B$53:$B$57, 0), MATCH($K$10, 'Availability Model'!$C$1:$T$1, 0))</f>
        <v>4</v>
      </c>
      <c r="Y129">
        <f>Y128*INDEX('Availability Model'!$C$53:$T$57, MATCH($K$127,'Availability Model'!$B$53:$B$57, 0), MATCH($K$10, 'Availability Model'!$C$1:$T$1, 0))</f>
        <v>4</v>
      </c>
      <c r="Z129">
        <f>Z128*INDEX('Availability Model'!$C$53:$T$57, MATCH($K$127,'Availability Model'!$B$53:$B$57, 0), MATCH($K$10, 'Availability Model'!$C$1:$T$1, 0))</f>
        <v>4</v>
      </c>
      <c r="AA129">
        <f>AA128*INDEX('Availability Model'!$C$53:$T$57, MATCH($K$127,'Availability Model'!$B$53:$B$57, 0), MATCH($K$10, 'Availability Model'!$C$1:$T$1, 0))</f>
        <v>4</v>
      </c>
      <c r="AB129">
        <f>AB128*INDEX('Availability Model'!$C$53:$T$57, MATCH($K$127,'Availability Model'!$B$53:$B$57, 0), MATCH($K$10, 'Availability Model'!$C$1:$T$1, 0))</f>
        <v>4</v>
      </c>
      <c r="AC129">
        <f>AC128*INDEX('Availability Model'!$C$53:$T$57, MATCH($K$127,'Availability Model'!$B$53:$B$57, 0), MATCH($K$10, 'Availability Model'!$C$1:$T$1, 0))</f>
        <v>4</v>
      </c>
      <c r="AD129">
        <f>AD128*INDEX('Availability Model'!$C$53:$T$57, MATCH($K$127,'Availability Model'!$B$53:$B$57, 0), MATCH($K$10, 'Availability Model'!$C$1:$T$1, 0))</f>
        <v>4</v>
      </c>
      <c r="AE129">
        <f>AE128*INDEX('Availability Model'!$C$53:$T$57, MATCH($K$127,'Availability Model'!$B$53:$B$57, 0), MATCH($K$10, 'Availability Model'!$C$1:$T$1, 0))</f>
        <v>4</v>
      </c>
      <c r="AF129">
        <f>AF128*INDEX('Availability Model'!$C$53:$T$57, MATCH($K$127,'Availability Model'!$B$53:$B$57, 0), MATCH($K$10, 'Availability Model'!$C$1:$T$1, 0))</f>
        <v>4</v>
      </c>
      <c r="AG129">
        <f>AG128*INDEX('Availability Model'!$C$53:$T$57, MATCH($K$127,'Availability Model'!$B$53:$B$57, 0), MATCH($K$10, 'Availability Model'!$C$1:$T$1, 0))</f>
        <v>4</v>
      </c>
      <c r="AH129">
        <f>AH128*INDEX('Availability Model'!$C$53:$T$57, MATCH($K$127,'Availability Model'!$B$53:$B$57, 0), MATCH($K$10, 'Availability Model'!$C$1:$T$1, 0))</f>
        <v>4</v>
      </c>
      <c r="AI129">
        <f>AI128*INDEX('Availability Model'!$C$53:$T$57, MATCH($K$127,'Availability Model'!$B$53:$B$57, 0), MATCH($K$10, 'Availability Model'!$C$1:$T$1, 0))</f>
        <v>4</v>
      </c>
      <c r="AJ129">
        <f>AJ128*INDEX('Availability Model'!$C$53:$T$57, MATCH($K$127,'Availability Model'!$B$53:$B$57, 0), MATCH($K$10, 'Availability Model'!$C$1:$T$1, 0))</f>
        <v>4</v>
      </c>
      <c r="AK129">
        <f>AK128*INDEX('Availability Model'!$C$53:$T$57, MATCH($K$127,'Availability Model'!$B$53:$B$57, 0), MATCH($K$10, 'Availability Model'!$C$1:$T$1, 0))</f>
        <v>4</v>
      </c>
      <c r="AL129">
        <f>AL128*INDEX('Availability Model'!$C$53:$T$57, MATCH($K$127,'Availability Model'!$B$53:$B$57, 0), MATCH($K$10, 'Availability Model'!$C$1:$T$1, 0))</f>
        <v>4</v>
      </c>
    </row>
    <row r="130" spans="4:38">
      <c r="D130" s="7" t="s">
        <v>302</v>
      </c>
      <c r="E130" s="16" t="s">
        <v>106</v>
      </c>
      <c r="K130" s="65">
        <f>K121</f>
        <v>1.8129533678756478</v>
      </c>
      <c r="L130" s="65">
        <f t="shared" ref="L130:AL130" si="50">L121</f>
        <v>1.9014456764652192</v>
      </c>
      <c r="M130" s="65">
        <f t="shared" si="50"/>
        <v>1.8367738032705883</v>
      </c>
      <c r="N130" s="65">
        <f t="shared" si="50"/>
        <v>1.7960667486462139</v>
      </c>
      <c r="O130" s="65">
        <f t="shared" si="50"/>
        <v>1.9276832774864687</v>
      </c>
      <c r="P130" s="65">
        <f t="shared" si="50"/>
        <v>1.9259575492655938</v>
      </c>
      <c r="Q130" s="65">
        <f t="shared" si="50"/>
        <v>1.6366130264697252</v>
      </c>
      <c r="R130" s="65">
        <f t="shared" si="50"/>
        <v>1.6366130264697252</v>
      </c>
      <c r="S130" s="65">
        <f t="shared" si="50"/>
        <v>1.6366130264697252</v>
      </c>
      <c r="T130" s="65">
        <f t="shared" si="50"/>
        <v>1.6351478743260013</v>
      </c>
      <c r="U130" s="65">
        <f t="shared" si="50"/>
        <v>1.6366130264697252</v>
      </c>
      <c r="V130" s="65">
        <f t="shared" si="50"/>
        <v>1.6366130264697252</v>
      </c>
      <c r="W130" s="65">
        <f t="shared" si="50"/>
        <v>1.6366130264697252</v>
      </c>
      <c r="X130" s="65">
        <f t="shared" si="50"/>
        <v>1.6351478743260013</v>
      </c>
      <c r="Y130" s="65">
        <f t="shared" si="50"/>
        <v>1.6366130264697252</v>
      </c>
      <c r="Z130" s="65">
        <f t="shared" si="50"/>
        <v>1.6366130264697252</v>
      </c>
      <c r="AA130" s="65">
        <f t="shared" si="50"/>
        <v>1.2409052613763443</v>
      </c>
      <c r="AB130" s="65">
        <f t="shared" si="50"/>
        <v>1.2397943604031401</v>
      </c>
      <c r="AC130" s="65">
        <f t="shared" si="50"/>
        <v>1.2409052613763443</v>
      </c>
      <c r="AD130" s="65">
        <f t="shared" si="50"/>
        <v>1.2409052613763443</v>
      </c>
      <c r="AE130" s="65">
        <f t="shared" si="50"/>
        <v>1.2409052613763443</v>
      </c>
      <c r="AF130" s="65">
        <f t="shared" si="50"/>
        <v>1.2397943604031401</v>
      </c>
      <c r="AG130" s="65">
        <f t="shared" si="50"/>
        <v>1.2409052613763443</v>
      </c>
      <c r="AH130" s="65">
        <f t="shared" si="50"/>
        <v>1.2409052613763443</v>
      </c>
      <c r="AI130" s="65">
        <f t="shared" si="50"/>
        <v>1.2409052613763443</v>
      </c>
      <c r="AJ130" s="65">
        <f t="shared" si="50"/>
        <v>1.2397943604031401</v>
      </c>
      <c r="AK130" s="65">
        <f t="shared" si="50"/>
        <v>1.2409052613763443</v>
      </c>
      <c r="AL130" s="65">
        <f t="shared" si="50"/>
        <v>1.2409052613763443</v>
      </c>
    </row>
    <row r="131" spans="4:38">
      <c r="D131" s="7" t="s">
        <v>313</v>
      </c>
      <c r="E131" s="16" t="s">
        <v>106</v>
      </c>
      <c r="K131" s="116">
        <f>ROUND(K129-K130,0)</f>
        <v>2</v>
      </c>
      <c r="L131" s="116">
        <f t="shared" ref="L131:AL131" si="51">ROUND(L129-L130,0)</f>
        <v>2</v>
      </c>
      <c r="M131" s="116">
        <f t="shared" si="51"/>
        <v>2</v>
      </c>
      <c r="N131" s="116">
        <f t="shared" si="51"/>
        <v>2</v>
      </c>
      <c r="O131" s="116">
        <f t="shared" si="51"/>
        <v>2</v>
      </c>
      <c r="P131" s="116">
        <f t="shared" si="51"/>
        <v>2</v>
      </c>
      <c r="Q131" s="116">
        <f t="shared" si="51"/>
        <v>2</v>
      </c>
      <c r="R131" s="116">
        <f t="shared" si="51"/>
        <v>2</v>
      </c>
      <c r="S131" s="116">
        <f t="shared" si="51"/>
        <v>2</v>
      </c>
      <c r="T131" s="116">
        <f t="shared" si="51"/>
        <v>2</v>
      </c>
      <c r="U131" s="116">
        <f t="shared" si="51"/>
        <v>2</v>
      </c>
      <c r="V131" s="116">
        <f t="shared" si="51"/>
        <v>2</v>
      </c>
      <c r="W131" s="116">
        <f t="shared" si="51"/>
        <v>2</v>
      </c>
      <c r="X131" s="116">
        <f t="shared" si="51"/>
        <v>2</v>
      </c>
      <c r="Y131" s="116">
        <f t="shared" si="51"/>
        <v>2</v>
      </c>
      <c r="Z131" s="116">
        <f t="shared" si="51"/>
        <v>2</v>
      </c>
      <c r="AA131" s="116">
        <f t="shared" si="51"/>
        <v>3</v>
      </c>
      <c r="AB131" s="116">
        <f t="shared" si="51"/>
        <v>3</v>
      </c>
      <c r="AC131" s="116">
        <f t="shared" si="51"/>
        <v>3</v>
      </c>
      <c r="AD131" s="116">
        <f t="shared" si="51"/>
        <v>3</v>
      </c>
      <c r="AE131" s="116">
        <f t="shared" si="51"/>
        <v>3</v>
      </c>
      <c r="AF131" s="116">
        <f t="shared" si="51"/>
        <v>3</v>
      </c>
      <c r="AG131" s="116">
        <f t="shared" si="51"/>
        <v>3</v>
      </c>
      <c r="AH131" s="116">
        <f t="shared" si="51"/>
        <v>3</v>
      </c>
      <c r="AI131" s="116">
        <f t="shared" si="51"/>
        <v>3</v>
      </c>
      <c r="AJ131" s="116">
        <f t="shared" si="51"/>
        <v>3</v>
      </c>
      <c r="AK131" s="116">
        <f t="shared" si="51"/>
        <v>3</v>
      </c>
      <c r="AL131" s="116">
        <f t="shared" si="51"/>
        <v>3</v>
      </c>
    </row>
    <row r="132" spans="4:38">
      <c r="D132" s="7" t="s">
        <v>314</v>
      </c>
      <c r="E132" s="16" t="s">
        <v>145</v>
      </c>
      <c r="K132" s="65">
        <f t="shared" ref="K132:AL132" si="52">K131*K30</f>
        <v>740.27397260273972</v>
      </c>
      <c r="L132" s="65">
        <f t="shared" si="52"/>
        <v>699.01031123287669</v>
      </c>
      <c r="M132" s="65">
        <f t="shared" si="52"/>
        <v>728.79951338082208</v>
      </c>
      <c r="N132" s="65">
        <f t="shared" si="52"/>
        <v>1388.8173598158903</v>
      </c>
      <c r="O132" s="65">
        <f t="shared" si="52"/>
        <v>1023.2347196317808</v>
      </c>
      <c r="P132" s="65">
        <f t="shared" si="52"/>
        <v>1023.2347196317808</v>
      </c>
      <c r="Q132" s="65">
        <f t="shared" si="52"/>
        <v>1517.2347196317808</v>
      </c>
      <c r="R132" s="65">
        <f t="shared" si="52"/>
        <v>1517.2347196317808</v>
      </c>
      <c r="S132" s="65">
        <f t="shared" si="52"/>
        <v>1517.2347196317808</v>
      </c>
      <c r="T132" s="65">
        <f t="shared" si="52"/>
        <v>1517.2347196317808</v>
      </c>
      <c r="U132" s="65">
        <f t="shared" si="52"/>
        <v>1517.2347196317808</v>
      </c>
      <c r="V132" s="65">
        <f t="shared" si="52"/>
        <v>1517.2347196317808</v>
      </c>
      <c r="W132" s="65">
        <f t="shared" si="52"/>
        <v>1517.2347196317808</v>
      </c>
      <c r="X132" s="65">
        <f t="shared" si="52"/>
        <v>1517.2347196317808</v>
      </c>
      <c r="Y132" s="65">
        <f t="shared" si="52"/>
        <v>1517.2347196317808</v>
      </c>
      <c r="Z132" s="65">
        <f t="shared" si="52"/>
        <v>1517.2347196317808</v>
      </c>
      <c r="AA132" s="65">
        <f t="shared" si="52"/>
        <v>3840.7716225457766</v>
      </c>
      <c r="AB132" s="65">
        <f t="shared" si="52"/>
        <v>3840.7716225457766</v>
      </c>
      <c r="AC132" s="65">
        <f t="shared" si="52"/>
        <v>3840.7716225457766</v>
      </c>
      <c r="AD132" s="65">
        <f t="shared" si="52"/>
        <v>3840.7716225457766</v>
      </c>
      <c r="AE132" s="65">
        <f t="shared" si="52"/>
        <v>3840.7716225457766</v>
      </c>
      <c r="AF132" s="65">
        <f t="shared" si="52"/>
        <v>3840.7716225457766</v>
      </c>
      <c r="AG132" s="65">
        <f t="shared" si="52"/>
        <v>3840.7716225457766</v>
      </c>
      <c r="AH132" s="65">
        <f t="shared" si="52"/>
        <v>3840.7716225457766</v>
      </c>
      <c r="AI132" s="65">
        <f t="shared" si="52"/>
        <v>3840.7716225457766</v>
      </c>
      <c r="AJ132" s="65">
        <f t="shared" si="52"/>
        <v>3840.7716225457766</v>
      </c>
      <c r="AK132" s="65">
        <f t="shared" si="52"/>
        <v>3840.7716225457766</v>
      </c>
      <c r="AL132" s="65">
        <f t="shared" si="52"/>
        <v>3840.7716225457766</v>
      </c>
    </row>
    <row r="133" spans="4:38">
      <c r="D133" s="7"/>
    </row>
    <row r="134" spans="4:38">
      <c r="D134" s="3" t="s">
        <v>315</v>
      </c>
      <c r="E134" s="16" t="s">
        <v>145</v>
      </c>
      <c r="K134" s="65">
        <f>K132*INDEX('Availability Model'!$C$60:$T$64, MATCH($K$127,'Availability Model'!$B$60:$B$64, 0), MATCH($K$10, 'Availability Model'!$C$1:$T$1, 0))</f>
        <v>222.08219178082192</v>
      </c>
      <c r="L134" s="65">
        <f>L132*INDEX('Availability Model'!$C$60:$T$64, MATCH($K$127,'Availability Model'!$B$60:$B$64, 0), MATCH($K$10, 'Availability Model'!$C$1:$T$1, 0))</f>
        <v>209.70309336986301</v>
      </c>
      <c r="M134" s="65">
        <f>M132*INDEX('Availability Model'!$C$60:$T$64, MATCH($K$127,'Availability Model'!$B$60:$B$64, 0), MATCH($K$10, 'Availability Model'!$C$1:$T$1, 0))</f>
        <v>218.63985401424662</v>
      </c>
      <c r="N134" s="65">
        <f>N132*INDEX('Availability Model'!$C$60:$T$64, MATCH($N$127,'Availability Model'!$B$60:$B$64, 0), MATCH($K$10, 'Availability Model'!$C$1:$T$1, 0))</f>
        <v>416.64520794476709</v>
      </c>
      <c r="O134" s="65">
        <f>O132*INDEX('Availability Model'!$C$60:$T$64, MATCH($K$127,'Availability Model'!$B$60:$B$64, 0), MATCH($K$10, 'Availability Model'!$C$1:$T$1, 0))</f>
        <v>306.97041588953419</v>
      </c>
      <c r="P134" s="65">
        <f>P132*INDEX('Availability Model'!$C$60:$T$64, MATCH($K$127,'Availability Model'!$B$60:$B$64, 0), MATCH($K$10, 'Availability Model'!$C$1:$T$1, 0))</f>
        <v>306.97041588953419</v>
      </c>
      <c r="Q134" s="65">
        <f>Q132*INDEX('Availability Model'!$C$60:$T$64, MATCH($K$127,'Availability Model'!$B$60:$B$64, 0), MATCH($K$10, 'Availability Model'!$C$1:$T$1, 0))</f>
        <v>455.17041588953424</v>
      </c>
      <c r="R134" s="65">
        <f>R132*INDEX('Availability Model'!$C$60:$T$64, MATCH($K$127,'Availability Model'!$B$60:$B$64, 0), MATCH($K$10, 'Availability Model'!$C$1:$T$1, 0))</f>
        <v>455.17041588953424</v>
      </c>
      <c r="S134" s="65">
        <f>S132*INDEX('Availability Model'!$C$60:$T$64, MATCH($K$127,'Availability Model'!$B$60:$B$64, 0), MATCH($K$10, 'Availability Model'!$C$1:$T$1, 0))</f>
        <v>455.17041588953424</v>
      </c>
      <c r="T134" s="65">
        <f>T132*INDEX('Availability Model'!$C$60:$T$64, MATCH($K$127,'Availability Model'!$B$60:$B$64, 0), MATCH($K$10, 'Availability Model'!$C$1:$T$1, 0))</f>
        <v>455.17041588953424</v>
      </c>
      <c r="U134" s="65">
        <f>U132*INDEX('Availability Model'!$C$60:$T$64, MATCH($K$127,'Availability Model'!$B$60:$B$64, 0), MATCH($K$10, 'Availability Model'!$C$1:$T$1, 0))</f>
        <v>455.17041588953424</v>
      </c>
      <c r="V134" s="65">
        <f>V132*INDEX('Availability Model'!$C$60:$T$64, MATCH($K$127,'Availability Model'!$B$60:$B$64, 0), MATCH($K$10, 'Availability Model'!$C$1:$T$1, 0))</f>
        <v>455.17041588953424</v>
      </c>
      <c r="W134" s="65">
        <f>W132*INDEX('Availability Model'!$C$60:$T$64, MATCH($K$127,'Availability Model'!$B$60:$B$64, 0), MATCH($K$10, 'Availability Model'!$C$1:$T$1, 0))</f>
        <v>455.17041588953424</v>
      </c>
      <c r="X134" s="65">
        <f>X132*INDEX('Availability Model'!$C$60:$T$64, MATCH($K$127,'Availability Model'!$B$60:$B$64, 0), MATCH($K$10, 'Availability Model'!$C$1:$T$1, 0))</f>
        <v>455.17041588953424</v>
      </c>
      <c r="Y134" s="65">
        <f>Y132*INDEX('Availability Model'!$C$60:$T$64, MATCH($K$127,'Availability Model'!$B$60:$B$64, 0), MATCH($K$10, 'Availability Model'!$C$1:$T$1, 0))</f>
        <v>455.17041588953424</v>
      </c>
      <c r="Z134" s="65">
        <f>Z132*INDEX('Availability Model'!$C$60:$T$64, MATCH($K$127,'Availability Model'!$B$60:$B$64, 0), MATCH($K$10, 'Availability Model'!$C$1:$T$1, 0))</f>
        <v>455.17041588953424</v>
      </c>
      <c r="AA134" s="65">
        <f>AA132*INDEX('Availability Model'!$C$60:$T$64, MATCH($K$127,'Availability Model'!$B$60:$B$64, 0), MATCH($K$10, 'Availability Model'!$C$1:$T$1, 0))</f>
        <v>1152.2314867637328</v>
      </c>
      <c r="AB134" s="65">
        <f>AB132*INDEX('Availability Model'!$C$60:$T$64, MATCH($K$127,'Availability Model'!$B$60:$B$64, 0), MATCH($K$10, 'Availability Model'!$C$1:$T$1, 0))</f>
        <v>1152.2314867637328</v>
      </c>
      <c r="AC134" s="65">
        <f>AC132*INDEX('Availability Model'!$C$60:$T$64, MATCH($K$127,'Availability Model'!$B$60:$B$64, 0), MATCH($K$10, 'Availability Model'!$C$1:$T$1, 0))</f>
        <v>1152.2314867637328</v>
      </c>
      <c r="AD134" s="65">
        <f>AD132*INDEX('Availability Model'!$C$60:$T$64, MATCH($K$127,'Availability Model'!$B$60:$B$64, 0), MATCH($K$10, 'Availability Model'!$C$1:$T$1, 0))</f>
        <v>1152.2314867637328</v>
      </c>
      <c r="AE134" s="65">
        <f>AE132*INDEX('Availability Model'!$C$60:$T$64, MATCH($K$127,'Availability Model'!$B$60:$B$64, 0), MATCH($K$10, 'Availability Model'!$C$1:$T$1, 0))</f>
        <v>1152.2314867637328</v>
      </c>
      <c r="AF134" s="65">
        <f>AF132*INDEX('Availability Model'!$C$60:$T$64, MATCH($K$127,'Availability Model'!$B$60:$B$64, 0), MATCH($K$10, 'Availability Model'!$C$1:$T$1, 0))</f>
        <v>1152.2314867637328</v>
      </c>
      <c r="AG134" s="65">
        <f>AG132*INDEX('Availability Model'!$C$60:$T$64, MATCH($K$127,'Availability Model'!$B$60:$B$64, 0), MATCH($K$10, 'Availability Model'!$C$1:$T$1, 0))</f>
        <v>1152.2314867637328</v>
      </c>
      <c r="AH134" s="65">
        <f>AH132*INDEX('Availability Model'!$C$60:$T$64, MATCH($K$127,'Availability Model'!$B$60:$B$64, 0), MATCH($K$10, 'Availability Model'!$C$1:$T$1, 0))</f>
        <v>1152.2314867637328</v>
      </c>
      <c r="AI134" s="65">
        <f>AI132*INDEX('Availability Model'!$C$60:$T$64, MATCH($K$127,'Availability Model'!$B$60:$B$64, 0), MATCH($K$10, 'Availability Model'!$C$1:$T$1, 0))</f>
        <v>1152.2314867637328</v>
      </c>
      <c r="AJ134" s="65">
        <f>AJ132*INDEX('Availability Model'!$C$60:$T$64, MATCH($K$127,'Availability Model'!$B$60:$B$64, 0), MATCH($K$10, 'Availability Model'!$C$1:$T$1, 0))</f>
        <v>1152.2314867637328</v>
      </c>
      <c r="AK134" s="65">
        <f>AK132*INDEX('Availability Model'!$C$60:$T$64, MATCH($K$127,'Availability Model'!$B$60:$B$64, 0), MATCH($K$10, 'Availability Model'!$C$1:$T$1, 0))</f>
        <v>1152.2314867637328</v>
      </c>
      <c r="AL134" s="65">
        <f>AL132*INDEX('Availability Model'!$C$60:$T$64, MATCH($K$127,'Availability Model'!$B$60:$B$64, 0), MATCH($K$10, 'Availability Model'!$C$1:$T$1, 0))</f>
        <v>1152.2314867637328</v>
      </c>
    </row>
    <row r="135" spans="4:38">
      <c r="D135" t="s">
        <v>317</v>
      </c>
      <c r="E135" s="16" t="s">
        <v>211</v>
      </c>
      <c r="K135" s="65">
        <f t="shared" ref="K135:AL135" si="53">K134*K65</f>
        <v>6158.3391780821921</v>
      </c>
      <c r="L135" s="65">
        <f t="shared" si="53"/>
        <v>6186.2412544109593</v>
      </c>
      <c r="M135" s="65">
        <f t="shared" si="53"/>
        <v>6611.6691853908178</v>
      </c>
      <c r="N135" s="65">
        <f t="shared" si="53"/>
        <v>13357.645366709234</v>
      </c>
      <c r="O135" s="65">
        <f t="shared" si="53"/>
        <v>10332.62419884172</v>
      </c>
      <c r="P135" s="65">
        <f t="shared" si="53"/>
        <v>10952.581650772225</v>
      </c>
      <c r="Q135" s="65">
        <f t="shared" si="53"/>
        <v>17214.716273018559</v>
      </c>
      <c r="R135" s="65">
        <f t="shared" si="53"/>
        <v>18247.599249399675</v>
      </c>
      <c r="S135" s="65">
        <f t="shared" si="53"/>
        <v>19342.455204363658</v>
      </c>
      <c r="T135" s="65">
        <f t="shared" si="53"/>
        <v>20503.002516625478</v>
      </c>
      <c r="U135" s="65">
        <f t="shared" si="53"/>
        <v>21733.182667623008</v>
      </c>
      <c r="V135" s="65">
        <f t="shared" si="53"/>
        <v>23037.173627680393</v>
      </c>
      <c r="W135" s="65">
        <f t="shared" si="53"/>
        <v>24419.404045341216</v>
      </c>
      <c r="X135" s="65">
        <f t="shared" si="53"/>
        <v>25884.568288061688</v>
      </c>
      <c r="Y135" s="65">
        <f t="shared" si="53"/>
        <v>27437.642385345389</v>
      </c>
      <c r="Z135" s="65">
        <f t="shared" si="53"/>
        <v>29083.900928466115</v>
      </c>
      <c r="AA135" s="65">
        <f t="shared" si="53"/>
        <v>78041.253016712421</v>
      </c>
      <c r="AB135" s="65">
        <f t="shared" si="53"/>
        <v>82723.728197715158</v>
      </c>
      <c r="AC135" s="65">
        <f t="shared" si="53"/>
        <v>87687.151889578075</v>
      </c>
      <c r="AD135" s="65">
        <f t="shared" si="53"/>
        <v>92948.381002952767</v>
      </c>
      <c r="AE135" s="65">
        <f t="shared" si="53"/>
        <v>98525.283863129953</v>
      </c>
      <c r="AF135" s="65">
        <f t="shared" si="53"/>
        <v>104436.80089491776</v>
      </c>
      <c r="AG135" s="65">
        <f t="shared" si="53"/>
        <v>110703.00894861283</v>
      </c>
      <c r="AH135" s="65">
        <f t="shared" si="53"/>
        <v>117345.1894855296</v>
      </c>
      <c r="AI135" s="65">
        <f t="shared" si="53"/>
        <v>124385.90085466139</v>
      </c>
      <c r="AJ135" s="65">
        <f t="shared" si="53"/>
        <v>131849.05490594107</v>
      </c>
      <c r="AK135" s="65">
        <f t="shared" si="53"/>
        <v>139759.99820029756</v>
      </c>
      <c r="AL135" s="65">
        <f t="shared" si="53"/>
        <v>148145.5980923154</v>
      </c>
    </row>
    <row r="136" spans="4:38">
      <c r="D136" t="s">
        <v>318</v>
      </c>
      <c r="E136" s="16" t="s">
        <v>211</v>
      </c>
      <c r="K136" s="65">
        <f>(Inputs!$E$117*Inputs!$E$118*'Risk exposure pessimistic view'!K134*K70)+(Inputs!$E$114*0.25*'Risk exposure pessimistic view'!K134*K72)</f>
        <v>995.4834246575341</v>
      </c>
      <c r="L136" s="65">
        <f>(Inputs!$E$117*Inputs!$E$118*'Risk exposure pessimistic view'!L134*L70)+(Inputs!$E$114*0.25*'Risk exposure pessimistic view'!L134*L72)</f>
        <v>1027.9775652908572</v>
      </c>
      <c r="M136" s="65">
        <f>(Inputs!$E$117*Inputs!$E$118*'Risk exposure pessimistic view'!M134*M70)+(Inputs!$E$114*0.25*'Risk exposure pessimistic view'!M134*M72)</f>
        <v>1172.1053008853519</v>
      </c>
      <c r="N136" s="65">
        <f>(Inputs!$E$117*Inputs!$E$118*'Risk exposure pessimistic view'!N134*N70)+(Inputs!$E$114*0.25*'Risk exposure pessimistic view'!N134*N72)</f>
        <v>2442.6553509505375</v>
      </c>
      <c r="O136" s="65">
        <f>(Inputs!$E$117*Inputs!$E$118*'Risk exposure pessimistic view'!O134*O70)+(Inputs!$E$114*0.25*'Risk exposure pessimistic view'!O134*O72)</f>
        <v>1968.1166120962002</v>
      </c>
      <c r="P136" s="65">
        <f>(Inputs!$E$117*Inputs!$E$118*'Risk exposure pessimistic view'!P134*P70)+(Inputs!$E$114*0.25*'Risk exposure pessimistic view'!P134*P72)</f>
        <v>2152.3323269884045</v>
      </c>
      <c r="Q136" s="65">
        <f>(Inputs!$E$117*Inputs!$E$118*'Risk exposure pessimistic view'!Q134*Q70)+(Inputs!$E$114*0.25*'Risk exposure pessimistic view'!Q134*Q72)</f>
        <v>3490.1599821642567</v>
      </c>
      <c r="R136" s="65">
        <f>(Inputs!$E$117*Inputs!$E$118*'Risk exposure pessimistic view'!R134*R70)+(Inputs!$E$114*0.25*'Risk exposure pessimistic view'!R134*R72)</f>
        <v>3816.8389564948307</v>
      </c>
      <c r="S136" s="65">
        <f>(Inputs!$E$117*Inputs!$E$118*'Risk exposure pessimistic view'!S134*S70)+(Inputs!$E$114*0.25*'Risk exposure pessimistic view'!S134*S72)</f>
        <v>4174.0950828227469</v>
      </c>
      <c r="T136" s="65">
        <f>(Inputs!$E$117*Inputs!$E$118*'Risk exposure pessimistic view'!T134*T70)+(Inputs!$E$114*0.25*'Risk exposure pessimistic view'!T134*T72)</f>
        <v>4564.7903825749554</v>
      </c>
      <c r="U136" s="65">
        <f>(Inputs!$E$117*Inputs!$E$118*'Risk exposure pessimistic view'!U134*U70)+(Inputs!$E$114*0.25*'Risk exposure pessimistic view'!U134*U72)</f>
        <v>4992.0547623839702</v>
      </c>
      <c r="V136" s="65">
        <f>(Inputs!$E$117*Inputs!$E$118*'Risk exposure pessimistic view'!V134*V70)+(Inputs!$E$114*0.25*'Risk exposure pessimistic view'!V134*V72)</f>
        <v>5459.3110881431094</v>
      </c>
      <c r="W136" s="65">
        <f>(Inputs!$E$117*Inputs!$E$118*'Risk exposure pessimistic view'!W134*W70)+(Inputs!$E$114*0.25*'Risk exposure pessimistic view'!W134*W72)</f>
        <v>5970.3026059933036</v>
      </c>
      <c r="X136" s="65">
        <f>(Inputs!$E$117*Inputs!$E$118*'Risk exposure pessimistic view'!X134*X70)+(Inputs!$E$114*0.25*'Risk exposure pessimistic view'!X134*X72)</f>
        <v>6529.1229299142769</v>
      </c>
      <c r="Y136" s="65">
        <f>(Inputs!$E$117*Inputs!$E$118*'Risk exposure pessimistic view'!Y134*Y70)+(Inputs!$E$114*0.25*'Risk exposure pessimistic view'!Y134*Y72)</f>
        <v>7140.2488361542528</v>
      </c>
      <c r="Z136" s="65">
        <f>(Inputs!$E$117*Inputs!$E$118*'Risk exposure pessimistic view'!Z134*Z70)+(Inputs!$E$114*0.25*'Risk exposure pessimistic view'!Z134*Z72)</f>
        <v>7808.576127218289</v>
      </c>
      <c r="AA136" s="65">
        <f>(Inputs!$E$117*Inputs!$E$118*'Risk exposure pessimistic view'!AA134*AA70)+(Inputs!$E$114*0.25*'Risk exposure pessimistic view'!AA134*AA72)</f>
        <v>21617.031833681496</v>
      </c>
      <c r="AB136" s="65">
        <f>(Inputs!$E$117*Inputs!$E$118*'Risk exposure pessimistic view'!AB134*AB70)+(Inputs!$E$114*0.25*'Risk exposure pessimistic view'!AB134*AB72)</f>
        <v>23640.386013314081</v>
      </c>
      <c r="AC136" s="65">
        <f>(Inputs!$E$117*Inputs!$E$118*'Risk exposure pessimistic view'!AC134*AC70)+(Inputs!$E$114*0.25*'Risk exposure pessimistic view'!AC134*AC72)</f>
        <v>25853.126144160276</v>
      </c>
      <c r="AD136" s="65">
        <f>(Inputs!$E$117*Inputs!$E$118*'Risk exposure pessimistic view'!AD134*AD70)+(Inputs!$E$114*0.25*'Risk exposure pessimistic view'!AD134*AD72)</f>
        <v>28272.978751253675</v>
      </c>
      <c r="AE136" s="65">
        <f>(Inputs!$E$117*Inputs!$E$118*'Risk exposure pessimistic view'!AE134*AE70)+(Inputs!$E$114*0.25*'Risk exposure pessimistic view'!AE134*AE72)</f>
        <v>30919.329562371018</v>
      </c>
      <c r="AF136" s="65">
        <f>(Inputs!$E$117*Inputs!$E$118*'Risk exposure pessimistic view'!AF134*AF70)+(Inputs!$E$114*0.25*'Risk exposure pessimistic view'!AF134*AF72)</f>
        <v>33813.37880940894</v>
      </c>
      <c r="AG136" s="65">
        <f>(Inputs!$E$117*Inputs!$E$118*'Risk exposure pessimistic view'!AG134*AG70)+(Inputs!$E$114*0.25*'Risk exposure pessimistic view'!AG134*AG72)</f>
        <v>36978.311065969618</v>
      </c>
      <c r="AH136" s="65">
        <f>(Inputs!$E$117*Inputs!$E$118*'Risk exposure pessimistic view'!AH134*AH70)+(Inputs!$E$114*0.25*'Risk exposure pessimistic view'!AH134*AH72)</f>
        <v>40439.480981744375</v>
      </c>
      <c r="AI136" s="65">
        <f>(Inputs!$E$117*Inputs!$E$118*'Risk exposure pessimistic view'!AI134*AI70)+(Inputs!$E$114*0.25*'Risk exposure pessimistic view'!AI134*AI72)</f>
        <v>44224.616401635642</v>
      </c>
      <c r="AJ136" s="65">
        <f>(Inputs!$E$117*Inputs!$E$118*'Risk exposure pessimistic view'!AJ134*AJ70)+(Inputs!$E$114*0.25*'Risk exposure pessimistic view'!AJ134*AJ72)</f>
        <v>48364.040496828733</v>
      </c>
      <c r="AK136" s="65">
        <f>(Inputs!$E$117*Inputs!$E$118*'Risk exposure pessimistic view'!AK134*AK70)+(Inputs!$E$114*0.25*'Risk exposure pessimistic view'!AK134*AK72)</f>
        <v>52890.91468733189</v>
      </c>
      <c r="AL136" s="65">
        <f>(Inputs!$E$117*Inputs!$E$118*'Risk exposure pessimistic view'!AL134*AL70)+(Inputs!$E$114*0.25*'Risk exposure pessimistic view'!AL134*AL72)</f>
        <v>57841.504302066154</v>
      </c>
    </row>
    <row r="137" spans="4:38">
      <c r="D137" s="3" t="s">
        <v>319</v>
      </c>
      <c r="E137" s="16" t="s">
        <v>211</v>
      </c>
      <c r="K137" s="65">
        <f t="shared" ref="K137:AL137" si="54">IF(K24&gt;0,K135+K136,0)</f>
        <v>7153.8226027397259</v>
      </c>
      <c r="L137" s="65">
        <f t="shared" si="54"/>
        <v>7214.2188197018168</v>
      </c>
      <c r="M137" s="65">
        <f t="shared" si="54"/>
        <v>7783.7744862761701</v>
      </c>
      <c r="N137" s="65">
        <f t="shared" si="54"/>
        <v>15800.300717659771</v>
      </c>
      <c r="O137" s="65">
        <f t="shared" si="54"/>
        <v>12300.740810937921</v>
      </c>
      <c r="P137" s="65">
        <f t="shared" si="54"/>
        <v>13104.913977760629</v>
      </c>
      <c r="Q137" s="65">
        <f t="shared" si="54"/>
        <v>20704.876255182815</v>
      </c>
      <c r="R137" s="65">
        <f t="shared" si="54"/>
        <v>22064.438205894505</v>
      </c>
      <c r="S137" s="65">
        <f t="shared" si="54"/>
        <v>23516.550287186405</v>
      </c>
      <c r="T137" s="65">
        <f t="shared" si="54"/>
        <v>25067.792899200434</v>
      </c>
      <c r="U137" s="65">
        <f t="shared" si="54"/>
        <v>26725.237430006979</v>
      </c>
      <c r="V137" s="65">
        <f t="shared" si="54"/>
        <v>28496.484715823502</v>
      </c>
      <c r="W137" s="65">
        <f t="shared" si="54"/>
        <v>30389.70665133452</v>
      </c>
      <c r="X137" s="65">
        <f t="shared" si="54"/>
        <v>32413.691217975964</v>
      </c>
      <c r="Y137" s="65">
        <f t="shared" si="54"/>
        <v>34577.891221499638</v>
      </c>
      <c r="Z137" s="65">
        <f t="shared" si="54"/>
        <v>36892.477055684401</v>
      </c>
      <c r="AA137" s="65">
        <f t="shared" si="54"/>
        <v>99658.284850393917</v>
      </c>
      <c r="AB137" s="65">
        <f t="shared" si="54"/>
        <v>106364.11421102924</v>
      </c>
      <c r="AC137" s="65">
        <f t="shared" si="54"/>
        <v>113540.27803373834</v>
      </c>
      <c r="AD137" s="65">
        <f t="shared" si="54"/>
        <v>121221.35975420644</v>
      </c>
      <c r="AE137" s="65">
        <f t="shared" si="54"/>
        <v>129444.61342550097</v>
      </c>
      <c r="AF137" s="65">
        <f t="shared" si="54"/>
        <v>138250.1797043267</v>
      </c>
      <c r="AG137" s="65">
        <f t="shared" si="54"/>
        <v>147681.32001458245</v>
      </c>
      <c r="AH137" s="65">
        <f t="shared" si="54"/>
        <v>157784.67046727397</v>
      </c>
      <c r="AI137" s="65">
        <f t="shared" si="54"/>
        <v>168610.51725629703</v>
      </c>
      <c r="AJ137" s="65">
        <f t="shared" si="54"/>
        <v>180213.0954027698</v>
      </c>
      <c r="AK137" s="65">
        <f t="shared" si="54"/>
        <v>192650.91288762944</v>
      </c>
      <c r="AL137" s="65">
        <f t="shared" si="54"/>
        <v>205987.10239438154</v>
      </c>
    </row>
    <row r="138" spans="4:38">
      <c r="D138" s="3"/>
      <c r="E138" s="16"/>
      <c r="K138" s="65"/>
      <c r="L138" s="65"/>
      <c r="M138" s="65"/>
      <c r="N138" s="65"/>
      <c r="O138" s="65"/>
      <c r="P138" s="65"/>
    </row>
    <row r="139" spans="4:38">
      <c r="D139" s="3" t="s">
        <v>323</v>
      </c>
      <c r="E139" s="16" t="s">
        <v>211</v>
      </c>
      <c r="K139" s="65">
        <f>K84*INDEX('Availability Model'!$C$67:$T$71, MATCH($K$127,'Availability Model'!$B$67:$B$71, 0), MATCH($K$10, 'Availability Model'!$C$1:$T$1, 0))</f>
        <v>190339.01249999998</v>
      </c>
      <c r="L139" s="65">
        <f>L84*INDEX('Availability Model'!$C$67:$T$71, MATCH($K$127,'Availability Model'!$B$67:$B$71, 0), MATCH($K$10, 'Availability Model'!$C$1:$T$1, 0))</f>
        <v>196551.97646000827</v>
      </c>
      <c r="M139" s="65">
        <f>M84*INDEX('Availability Model'!$C$67:$T$71, MATCH($K$127,'Availability Model'!$B$67:$B$71, 0), MATCH($K$10, 'Availability Model'!$C$1:$T$1, 0))</f>
        <v>224109.57328926207</v>
      </c>
      <c r="N139" s="65">
        <f>N84*INDEX('Availability Model'!$C$67:$T$71, MATCH($K$127,'Availability Model'!$B$67:$B$71, 0), MATCH($K$10, 'Availability Model'!$C$1:$T$1, 0))</f>
        <v>653858.85310224723</v>
      </c>
      <c r="O139" s="65">
        <f>O84*INDEX('Availability Model'!$C$67:$T$71, MATCH($K$127,'Availability Model'!$B$67:$B$71, 0), MATCH($K$10, 'Availability Model'!$C$1:$T$1, 0))</f>
        <v>715060.04175261757</v>
      </c>
      <c r="P139" s="65">
        <f>P84*INDEX('Availability Model'!$C$67:$T$71, MATCH($K$127,'Availability Model'!$B$67:$B$71, 0), MATCH($K$10, 'Availability Model'!$C$1:$T$1, 0))</f>
        <v>781989.66166066239</v>
      </c>
      <c r="Q139" s="65">
        <f>Q84*INDEX('Availability Model'!$C$67:$T$71, MATCH($K$127,'Availability Model'!$B$67:$B$71, 0), MATCH($K$10, 'Availability Model'!$C$1:$T$1, 0))</f>
        <v>1007277.6306689307</v>
      </c>
      <c r="R139" s="65">
        <f>R84*INDEX('Availability Model'!$C$67:$T$71, MATCH($K$127,'Availability Model'!$B$67:$B$71, 0), MATCH($K$10, 'Availability Model'!$C$1:$T$1, 0))</f>
        <v>1101558.8168995425</v>
      </c>
      <c r="S139" s="65">
        <f>S84*INDEX('Availability Model'!$C$67:$T$71, MATCH($K$127,'Availability Model'!$B$67:$B$71, 0), MATCH($K$10, 'Availability Model'!$C$1:$T$1, 0))</f>
        <v>1204664.7221613396</v>
      </c>
      <c r="T139" s="65">
        <f>T84*INDEX('Availability Model'!$C$67:$T$71, MATCH($K$127,'Availability Model'!$B$67:$B$71, 0), MATCH($K$10, 'Availability Model'!$C$1:$T$1, 0))</f>
        <v>1317421.3401556411</v>
      </c>
      <c r="U139" s="65">
        <f>U84*INDEX('Availability Model'!$C$67:$T$71, MATCH($K$127,'Availability Model'!$B$67:$B$71, 0), MATCH($K$10, 'Availability Model'!$C$1:$T$1, 0))</f>
        <v>1440731.9775942089</v>
      </c>
      <c r="V139" s="65">
        <f>V84*INDEX('Availability Model'!$C$67:$T$71, MATCH($K$127,'Availability Model'!$B$67:$B$71, 0), MATCH($K$10, 'Availability Model'!$C$1:$T$1, 0))</f>
        <v>1575584.4906970267</v>
      </c>
      <c r="W139" s="65">
        <f>W84*INDEX('Availability Model'!$C$67:$T$71, MATCH($K$127,'Availability Model'!$B$67:$B$71, 0), MATCH($K$10, 'Availability Model'!$C$1:$T$1, 0))</f>
        <v>1723059.199026268</v>
      </c>
      <c r="X139" s="65">
        <f>X84*INDEX('Availability Model'!$C$67:$T$71, MATCH($K$127,'Availability Model'!$B$67:$B$71, 0), MATCH($K$10, 'Availability Model'!$C$1:$T$1, 0))</f>
        <v>1884337.5400551264</v>
      </c>
      <c r="Y139" s="65">
        <f>Y84*INDEX('Availability Model'!$C$67:$T$71, MATCH($K$127,'Availability Model'!$B$67:$B$71, 0), MATCH($K$10, 'Availability Model'!$C$1:$T$1, 0))</f>
        <v>2060711.533804286</v>
      </c>
      <c r="Z139" s="65">
        <f>Z84*INDEX('Availability Model'!$C$67:$T$71, MATCH($K$127,'Availability Model'!$B$67:$B$71, 0), MATCH($K$10, 'Availability Model'!$C$1:$T$1, 0))</f>
        <v>2253594.1333683669</v>
      </c>
      <c r="AA139" s="65">
        <f>AA84*INDEX('Availability Model'!$C$67:$T$71, MATCH($K$127,'Availability Model'!$B$67:$B$71, 0), MATCH($K$10, 'Availability Model'!$C$1:$T$1, 0))</f>
        <v>3250435.7249489352</v>
      </c>
      <c r="AB139" s="65">
        <f>AB84*INDEX('Availability Model'!$C$67:$T$71, MATCH($K$127,'Availability Model'!$B$67:$B$71, 0), MATCH($K$10, 'Availability Model'!$C$1:$T$1, 0))</f>
        <v>3554676.508804155</v>
      </c>
      <c r="AC139" s="65">
        <f>AC84*INDEX('Availability Model'!$C$67:$T$71, MATCH($K$127,'Availability Model'!$B$67:$B$71, 0), MATCH($K$10, 'Availability Model'!$C$1:$T$1, 0))</f>
        <v>3887394.2300282232</v>
      </c>
      <c r="AD139" s="65">
        <f>AD84*INDEX('Availability Model'!$C$67:$T$71, MATCH($K$127,'Availability Model'!$B$67:$B$71, 0), MATCH($K$10, 'Availability Model'!$C$1:$T$1, 0))</f>
        <v>4251254.3299588645</v>
      </c>
      <c r="AE139" s="65">
        <f>AE84*INDEX('Availability Model'!$C$67:$T$71, MATCH($K$127,'Availability Model'!$B$67:$B$71, 0), MATCH($K$10, 'Availability Model'!$C$1:$T$1, 0))</f>
        <v>4649171.7352430141</v>
      </c>
      <c r="AF139" s="65">
        <f>AF84*INDEX('Availability Model'!$C$67:$T$71, MATCH($K$127,'Availability Model'!$B$67:$B$71, 0), MATCH($K$10, 'Availability Model'!$C$1:$T$1, 0))</f>
        <v>5084334.2096617594</v>
      </c>
      <c r="AG139" s="65">
        <f>AG84*INDEX('Availability Model'!$C$67:$T$71, MATCH($K$127,'Availability Model'!$B$67:$B$71, 0), MATCH($K$10, 'Availability Model'!$C$1:$T$1, 0))</f>
        <v>5560227.8916861005</v>
      </c>
      <c r="AH139" s="65">
        <f>AH84*INDEX('Availability Model'!$C$67:$T$71, MATCH($K$127,'Availability Model'!$B$67:$B$71, 0), MATCH($K$10, 'Availability Model'!$C$1:$T$1, 0))</f>
        <v>6080665.222347918</v>
      </c>
      <c r="AI139" s="65">
        <f>AI84*INDEX('Availability Model'!$C$67:$T$71, MATCH($K$127,'Availability Model'!$B$67:$B$71, 0), MATCH($K$10, 'Availability Model'!$C$1:$T$1, 0))</f>
        <v>6649815.4871596834</v>
      </c>
      <c r="AJ139" s="65">
        <f>AJ84*INDEX('Availability Model'!$C$67:$T$71, MATCH($K$127,'Availability Model'!$B$67:$B$71, 0), MATCH($K$10, 'Availability Model'!$C$1:$T$1, 0))</f>
        <v>7272238.2167578284</v>
      </c>
      <c r="AK139" s="65">
        <f>AK84*INDEX('Availability Model'!$C$67:$T$71, MATCH($K$127,'Availability Model'!$B$67:$B$71, 0), MATCH($K$10, 'Availability Model'!$C$1:$T$1, 0))</f>
        <v>7952919.7138463603</v>
      </c>
      <c r="AL139" s="65">
        <f>AL84*INDEX('Availability Model'!$C$67:$T$71, MATCH($K$127,'Availability Model'!$B$67:$B$71, 0), MATCH($K$10, 'Availability Model'!$C$1:$T$1, 0))</f>
        <v>8697312.9990623798</v>
      </c>
    </row>
    <row r="140" spans="4:38">
      <c r="D140" s="3" t="s">
        <v>324</v>
      </c>
      <c r="E140" s="16" t="s">
        <v>211</v>
      </c>
      <c r="K140" s="65">
        <f>K86*INDEX('Availability Model'!$C$67:$T$71, MATCH($K$127,'Availability Model'!$B$67:$B$71, 0), MATCH($K$10, 'Availability Model'!$C$1:$T$1, 0))</f>
        <v>14243.399999999998</v>
      </c>
      <c r="L140" s="65">
        <f>L86*INDEX('Availability Model'!$C$67:$T$71, MATCH($K$127,'Availability Model'!$B$67:$B$71, 0), MATCH($K$10, 'Availability Model'!$C$1:$T$1, 0))</f>
        <v>14708.32692016032</v>
      </c>
      <c r="M140" s="65">
        <f>M86*INDEX('Availability Model'!$C$67:$T$71, MATCH($K$127,'Availability Model'!$B$67:$B$71, 0), MATCH($K$10, 'Availability Model'!$C$1:$T$1, 0))</f>
        <v>16770.509914189428</v>
      </c>
      <c r="N140" s="65">
        <f>N86*INDEX('Availability Model'!$C$67:$T$71, MATCH($K$127,'Availability Model'!$B$67:$B$71, 0), MATCH($K$10, 'Availability Model'!$C$1:$T$1, 0))</f>
        <v>48929.397425956224</v>
      </c>
      <c r="O140" s="65">
        <f>O86*INDEX('Availability Model'!$C$67:$T$71, MATCH($K$127,'Availability Model'!$B$67:$B$71, 0), MATCH($K$10, 'Availability Model'!$C$1:$T$1, 0))</f>
        <v>53509.18902502572</v>
      </c>
      <c r="P140" s="65">
        <f>P86*INDEX('Availability Model'!$C$67:$T$71, MATCH($K$127,'Availability Model'!$B$67:$B$71, 0), MATCH($K$10, 'Availability Model'!$C$1:$T$1, 0))</f>
        <v>58517.649117768124</v>
      </c>
      <c r="Q140" s="65">
        <f>Q86*INDEX('Availability Model'!$C$67:$T$71, MATCH($K$127,'Availability Model'!$B$67:$B$71, 0), MATCH($K$10, 'Availability Model'!$C$1:$T$1, 0))</f>
        <v>63994.901075191214</v>
      </c>
      <c r="R140" s="65">
        <f>R86*INDEX('Availability Model'!$C$67:$T$71, MATCH($K$127,'Availability Model'!$B$67:$B$71, 0), MATCH($K$10, 'Availability Model'!$C$1:$T$1, 0))</f>
        <v>69984.823815829106</v>
      </c>
      <c r="S140" s="65">
        <f>S86*INDEX('Availability Model'!$C$67:$T$71, MATCH($K$127,'Availability Model'!$B$67:$B$71, 0), MATCH($K$10, 'Availability Model'!$C$1:$T$1, 0))</f>
        <v>76535.403324990708</v>
      </c>
      <c r="T140" s="65">
        <f>T86*INDEX('Availability Model'!$C$67:$T$71, MATCH($K$127,'Availability Model'!$B$67:$B$71, 0), MATCH($K$10, 'Availability Model'!$C$1:$T$1, 0))</f>
        <v>83699.117076209848</v>
      </c>
      <c r="U140" s="65">
        <f>U86*INDEX('Availability Model'!$C$67:$T$71, MATCH($K$127,'Availability Model'!$B$67:$B$71, 0), MATCH($K$10, 'Availability Model'!$C$1:$T$1, 0))</f>
        <v>91533.354434543071</v>
      </c>
      <c r="V140" s="65">
        <f>V86*INDEX('Availability Model'!$C$67:$T$71, MATCH($K$127,'Availability Model'!$B$67:$B$71, 0), MATCH($K$10, 'Availability Model'!$C$1:$T$1, 0))</f>
        <v>100100.87640961629</v>
      </c>
      <c r="W140" s="65">
        <f>W86*INDEX('Availability Model'!$C$67:$T$71, MATCH($K$127,'Availability Model'!$B$67:$B$71, 0), MATCH($K$10, 'Availability Model'!$C$1:$T$1, 0))</f>
        <v>109470.31844155637</v>
      </c>
      <c r="X140" s="65">
        <f>X86*INDEX('Availability Model'!$C$67:$T$71, MATCH($K$127,'Availability Model'!$B$67:$B$71, 0), MATCH($K$10, 'Availability Model'!$C$1:$T$1, 0))</f>
        <v>119716.74024768603</v>
      </c>
      <c r="Y140" s="65">
        <f>Y86*INDEX('Availability Model'!$C$67:$T$71, MATCH($K$127,'Availability Model'!$B$67:$B$71, 0), MATCH($K$10, 'Availability Model'!$C$1:$T$1, 0))</f>
        <v>130922.22713486943</v>
      </c>
      <c r="Z140" s="65">
        <f>Z86*INDEX('Availability Model'!$C$67:$T$71, MATCH($K$127,'Availability Model'!$B$67:$B$71, 0), MATCH($K$10, 'Availability Model'!$C$1:$T$1, 0))</f>
        <v>143176.5475946932</v>
      </c>
      <c r="AA140" s="65">
        <f>AA86*INDEX('Availability Model'!$C$67:$T$71, MATCH($K$127,'Availability Model'!$B$67:$B$71, 0), MATCH($K$10, 'Availability Model'!$C$1:$T$1, 0))</f>
        <v>156577.87244955648</v>
      </c>
      <c r="AB140" s="65">
        <f>AB86*INDEX('Availability Model'!$C$67:$T$71, MATCH($K$127,'Availability Model'!$B$67:$B$71, 0), MATCH($K$10, 'Availability Model'!$C$1:$T$1, 0))</f>
        <v>171233.56131083492</v>
      </c>
      <c r="AC140" s="65">
        <f>AC86*INDEX('Availability Model'!$C$67:$T$71, MATCH($K$127,'Availability Model'!$B$67:$B$71, 0), MATCH($K$10, 'Availability Model'!$C$1:$T$1, 0))</f>
        <v>187261.0226495291</v>
      </c>
      <c r="AD140" s="65">
        <f>AD86*INDEX('Availability Model'!$C$67:$T$71, MATCH($K$127,'Availability Model'!$B$67:$B$71, 0), MATCH($K$10, 'Availability Model'!$C$1:$T$1, 0))</f>
        <v>204788.654369525</v>
      </c>
      <c r="AE140" s="65">
        <f>AE86*INDEX('Availability Model'!$C$67:$T$71, MATCH($K$127,'Availability Model'!$B$67:$B$71, 0), MATCH($K$10, 'Availability Model'!$C$1:$T$1, 0))</f>
        <v>223956.87241851253</v>
      </c>
      <c r="AF140" s="65">
        <f>AF86*INDEX('Availability Model'!$C$67:$T$71, MATCH($K$127,'Availability Model'!$B$67:$B$71, 0), MATCH($K$10, 'Availability Model'!$C$1:$T$1, 0))</f>
        <v>244919.23567688532</v>
      </c>
      <c r="AG140" s="65">
        <f>AG86*INDEX('Availability Model'!$C$67:$T$71, MATCH($K$127,'Availability Model'!$B$67:$B$71, 0), MATCH($K$10, 'Availability Model'!$C$1:$T$1, 0))</f>
        <v>267843.67613624176</v>
      </c>
      <c r="AH140" s="65">
        <f>AH86*INDEX('Availability Model'!$C$67:$T$71, MATCH($K$127,'Availability Model'!$B$67:$B$71, 0), MATCH($K$10, 'Availability Model'!$C$1:$T$1, 0))</f>
        <v>292913.84422259394</v>
      </c>
      <c r="AI140" s="65">
        <f>AI86*INDEX('Availability Model'!$C$67:$T$71, MATCH($K$127,'Availability Model'!$B$67:$B$71, 0), MATCH($K$10, 'Availability Model'!$C$1:$T$1, 0))</f>
        <v>320330.58004182874</v>
      </c>
      <c r="AJ140" s="65">
        <f>AJ86*INDEX('Availability Model'!$C$67:$T$71, MATCH($K$127,'Availability Model'!$B$67:$B$71, 0), MATCH($K$10, 'Availability Model'!$C$1:$T$1, 0))</f>
        <v>350313.52233374381</v>
      </c>
      <c r="AK140" s="65">
        <f>AK86*INDEX('Availability Model'!$C$67:$T$71, MATCH($K$127,'Availability Model'!$B$67:$B$71, 0), MATCH($K$10, 'Availability Model'!$C$1:$T$1, 0))</f>
        <v>383102.86802418227</v>
      </c>
      <c r="AL140" s="65">
        <f>AL86*INDEX('Availability Model'!$C$67:$T$71, MATCH($K$127,'Availability Model'!$B$67:$B$71, 0), MATCH($K$10, 'Availability Model'!$C$1:$T$1, 0))</f>
        <v>418961.29647124565</v>
      </c>
    </row>
    <row r="141" spans="4:38">
      <c r="D141" s="3" t="s">
        <v>321</v>
      </c>
      <c r="E141" s="3" t="s">
        <v>211</v>
      </c>
      <c r="K141" s="65">
        <f t="shared" ref="K141:AL141" si="55">IF(K24&gt;0,K139+K140,0)</f>
        <v>204582.41249999998</v>
      </c>
      <c r="L141" s="65">
        <f t="shared" si="55"/>
        <v>211260.3033801686</v>
      </c>
      <c r="M141" s="65">
        <f t="shared" si="55"/>
        <v>240880.0832034515</v>
      </c>
      <c r="N141" s="65">
        <f t="shared" si="55"/>
        <v>702788.25052820344</v>
      </c>
      <c r="O141" s="65">
        <f t="shared" si="55"/>
        <v>768569.23077764327</v>
      </c>
      <c r="P141" s="65">
        <f t="shared" si="55"/>
        <v>840507.31077843055</v>
      </c>
      <c r="Q141" s="65">
        <f t="shared" si="55"/>
        <v>1071272.531744122</v>
      </c>
      <c r="R141" s="65">
        <f t="shared" si="55"/>
        <v>1171543.6407153716</v>
      </c>
      <c r="S141" s="65">
        <f t="shared" si="55"/>
        <v>1281200.1254863304</v>
      </c>
      <c r="T141" s="65">
        <f t="shared" si="55"/>
        <v>1401120.4572318508</v>
      </c>
      <c r="U141" s="65">
        <f t="shared" si="55"/>
        <v>1532265.332028752</v>
      </c>
      <c r="V141" s="65">
        <f t="shared" si="55"/>
        <v>1675685.367106643</v>
      </c>
      <c r="W141" s="65">
        <f t="shared" si="55"/>
        <v>1832529.5174678243</v>
      </c>
      <c r="X141" s="65">
        <f t="shared" si="55"/>
        <v>2004054.2803028123</v>
      </c>
      <c r="Y141" s="65">
        <f t="shared" si="55"/>
        <v>2191633.7609391557</v>
      </c>
      <c r="Z141" s="65">
        <f t="shared" si="55"/>
        <v>2396770.6809630599</v>
      </c>
      <c r="AA141" s="65">
        <f t="shared" si="55"/>
        <v>3407013.5973984916</v>
      </c>
      <c r="AB141" s="65">
        <f t="shared" si="55"/>
        <v>3725910.0701149898</v>
      </c>
      <c r="AC141" s="65">
        <f t="shared" si="55"/>
        <v>4074655.2526777522</v>
      </c>
      <c r="AD141" s="65">
        <f t="shared" si="55"/>
        <v>4456042.9843283892</v>
      </c>
      <c r="AE141" s="65">
        <f t="shared" si="55"/>
        <v>4873128.6076615267</v>
      </c>
      <c r="AF141" s="65">
        <f t="shared" si="55"/>
        <v>5329253.445338645</v>
      </c>
      <c r="AG141" s="65">
        <f t="shared" si="55"/>
        <v>5828071.5678223427</v>
      </c>
      <c r="AH141" s="65">
        <f t="shared" si="55"/>
        <v>6373579.066570512</v>
      </c>
      <c r="AI141" s="65">
        <f t="shared" si="55"/>
        <v>6970146.0672015119</v>
      </c>
      <c r="AJ141" s="65">
        <f t="shared" si="55"/>
        <v>7622551.7390915724</v>
      </c>
      <c r="AK141" s="65">
        <f t="shared" si="55"/>
        <v>8336022.5818705428</v>
      </c>
      <c r="AL141" s="65">
        <f t="shared" si="55"/>
        <v>9116274.2955336254</v>
      </c>
    </row>
    <row r="142" spans="4:38">
      <c r="D142" s="7"/>
      <c r="E142" s="16"/>
    </row>
    <row r="143" spans="4:38" ht="18">
      <c r="D143" s="15" t="s">
        <v>249</v>
      </c>
    </row>
    <row r="144" spans="4:38" ht="15">
      <c r="D144" s="100" t="s">
        <v>250</v>
      </c>
      <c r="E144" s="101"/>
      <c r="F144" s="101"/>
      <c r="G144" s="101"/>
      <c r="H144" s="101"/>
      <c r="I144" s="101"/>
      <c r="J144" s="101"/>
      <c r="K144" s="101"/>
    </row>
    <row r="145" spans="4:38">
      <c r="D145" s="102" t="s">
        <v>299</v>
      </c>
      <c r="E145" s="103" t="s">
        <v>169</v>
      </c>
      <c r="F145" s="101"/>
      <c r="G145" s="101"/>
      <c r="H145" s="101"/>
      <c r="I145" s="101"/>
      <c r="J145" s="101"/>
      <c r="K145" s="101" t="str">
        <f>Inputs!E69</f>
        <v>Low</v>
      </c>
      <c r="M145" s="7"/>
    </row>
    <row r="146" spans="4:38">
      <c r="D146" s="102" t="s">
        <v>329</v>
      </c>
      <c r="E146" s="103" t="s">
        <v>303</v>
      </c>
      <c r="F146" s="101"/>
      <c r="G146" s="101"/>
      <c r="H146" s="101"/>
      <c r="I146" s="101"/>
      <c r="J146" s="101"/>
      <c r="K146" s="101">
        <f>INDEX('Availability Model'!$C$4:$T$8, MATCH($K$118,'Availability Model'!$B$4:$B$8, 0), MATCH($K$10, 'Availability Model'!$C$1:$T$1, 0))</f>
        <v>2</v>
      </c>
      <c r="M146" s="7"/>
    </row>
    <row r="147" spans="4:38">
      <c r="D147" s="102" t="s">
        <v>301</v>
      </c>
      <c r="E147" s="103" t="s">
        <v>106</v>
      </c>
      <c r="F147" s="101"/>
      <c r="G147" s="101"/>
      <c r="H147" s="101"/>
      <c r="I147" s="101"/>
      <c r="J147" s="101"/>
      <c r="K147" s="101"/>
      <c r="M147" s="7"/>
    </row>
    <row r="148" spans="4:38">
      <c r="D148" s="102" t="s">
        <v>302</v>
      </c>
      <c r="E148" s="103" t="s">
        <v>106</v>
      </c>
      <c r="F148" s="101"/>
      <c r="G148" s="101"/>
      <c r="H148" s="101"/>
      <c r="I148" s="101"/>
      <c r="J148" s="101"/>
      <c r="K148" s="101">
        <f>Inputs!E132</f>
        <v>376680</v>
      </c>
      <c r="M148" s="7"/>
    </row>
    <row r="149" spans="4:38">
      <c r="D149" s="102" t="s">
        <v>326</v>
      </c>
      <c r="E149" s="103" t="s">
        <v>106</v>
      </c>
      <c r="F149" s="101"/>
      <c r="G149" s="101"/>
      <c r="H149" s="101"/>
      <c r="I149" s="101"/>
      <c r="J149" s="101"/>
      <c r="K149" s="101">
        <f>K147-K148</f>
        <v>-376680</v>
      </c>
      <c r="M149" s="7"/>
    </row>
    <row r="150" spans="4:38">
      <c r="D150" s="7"/>
    </row>
    <row r="152" spans="4:38" ht="15">
      <c r="D152" s="4" t="s">
        <v>137</v>
      </c>
    </row>
    <row r="153" spans="4:38">
      <c r="D153" s="7" t="s">
        <v>299</v>
      </c>
      <c r="E153" s="16" t="s">
        <v>169</v>
      </c>
      <c r="K153" t="str">
        <f>Inputs!E70</f>
        <v>Good</v>
      </c>
      <c r="L153" t="str">
        <f>Inputs!F70</f>
        <v>Good</v>
      </c>
      <c r="M153" t="str">
        <f>Inputs!G70</f>
        <v>Good</v>
      </c>
      <c r="N153" t="str">
        <f>Inputs!H70</f>
        <v>Good</v>
      </c>
      <c r="O153" t="str">
        <f>Inputs!I70</f>
        <v>Good</v>
      </c>
      <c r="P153" t="str">
        <f>Inputs!J70</f>
        <v>Good</v>
      </c>
      <c r="Q153" t="str">
        <f>P153</f>
        <v>Good</v>
      </c>
      <c r="R153" t="str">
        <f t="shared" ref="R153:AL153" si="56">Q153</f>
        <v>Good</v>
      </c>
      <c r="S153" t="str">
        <f t="shared" si="56"/>
        <v>Good</v>
      </c>
      <c r="T153" t="str">
        <f t="shared" si="56"/>
        <v>Good</v>
      </c>
      <c r="U153" t="str">
        <f t="shared" si="56"/>
        <v>Good</v>
      </c>
      <c r="V153" t="str">
        <f t="shared" si="56"/>
        <v>Good</v>
      </c>
      <c r="W153" t="str">
        <f t="shared" si="56"/>
        <v>Good</v>
      </c>
      <c r="X153" t="str">
        <f t="shared" si="56"/>
        <v>Good</v>
      </c>
      <c r="Y153" t="str">
        <f t="shared" si="56"/>
        <v>Good</v>
      </c>
      <c r="Z153" t="str">
        <f t="shared" si="56"/>
        <v>Good</v>
      </c>
      <c r="AA153" t="str">
        <f t="shared" si="56"/>
        <v>Good</v>
      </c>
      <c r="AB153" t="str">
        <f t="shared" si="56"/>
        <v>Good</v>
      </c>
      <c r="AC153" t="str">
        <f t="shared" si="56"/>
        <v>Good</v>
      </c>
      <c r="AD153" t="str">
        <f t="shared" si="56"/>
        <v>Good</v>
      </c>
      <c r="AE153" t="str">
        <f t="shared" si="56"/>
        <v>Good</v>
      </c>
      <c r="AF153" t="str">
        <f t="shared" si="56"/>
        <v>Good</v>
      </c>
      <c r="AG153" t="str">
        <f t="shared" si="56"/>
        <v>Good</v>
      </c>
      <c r="AH153" t="str">
        <f t="shared" si="56"/>
        <v>Good</v>
      </c>
      <c r="AI153" t="str">
        <f t="shared" si="56"/>
        <v>Good</v>
      </c>
      <c r="AJ153" t="str">
        <f t="shared" si="56"/>
        <v>Good</v>
      </c>
      <c r="AK153" t="str">
        <f t="shared" si="56"/>
        <v>Good</v>
      </c>
      <c r="AL153" t="str">
        <f t="shared" si="56"/>
        <v>Good</v>
      </c>
    </row>
    <row r="154" spans="4:38">
      <c r="D154" s="7" t="s">
        <v>300</v>
      </c>
      <c r="E154" s="16" t="s">
        <v>303</v>
      </c>
      <c r="K154">
        <f>INDEX('Availability Model'!$C$81:$T$84, MATCH($K$153,'Availability Model'!$B$81:$B$84, 0), MATCH($K$10, 'Availability Model'!$C$1:$T$1, 0))</f>
        <v>0</v>
      </c>
      <c r="L154">
        <f>INDEX('Availability Model'!$C$81:$T$84, MATCH($K$153,'Availability Model'!$B$81:$B$84, 0), MATCH($K$10, 'Availability Model'!$C$1:$T$1, 0))</f>
        <v>0</v>
      </c>
      <c r="M154">
        <f>INDEX('Availability Model'!$C$81:$T$84, MATCH($K$153,'Availability Model'!$B$81:$B$84, 0), MATCH($K$10, 'Availability Model'!$C$1:$T$1, 0))</f>
        <v>0</v>
      </c>
      <c r="N154">
        <f>INDEX('Availability Model'!$C$81:$T$84, MATCH($K$153,'Availability Model'!$B$81:$B$84, 0), MATCH($K$10, 'Availability Model'!$C$1:$T$1, 0))</f>
        <v>0</v>
      </c>
      <c r="O154">
        <f>INDEX('Availability Model'!$C$81:$T$84, MATCH($K$153,'Availability Model'!$B$81:$B$84, 0), MATCH($K$10, 'Availability Model'!$C$1:$T$1, 0))</f>
        <v>0</v>
      </c>
      <c r="P154">
        <f>INDEX('Availability Model'!$C$81:$T$84, MATCH($K$153,'Availability Model'!$B$81:$B$84, 0), MATCH($K$10, 'Availability Model'!$C$1:$T$1, 0))</f>
        <v>0</v>
      </c>
      <c r="Q154">
        <f>INDEX('Availability Model'!$C$81:$T$84, MATCH($K$153,'Availability Model'!$B$81:$B$84, 0), MATCH($K$10, 'Availability Model'!$C$1:$T$1, 0))</f>
        <v>0</v>
      </c>
      <c r="R154">
        <f>INDEX('Availability Model'!$C$81:$T$84, MATCH($K$153,'Availability Model'!$B$81:$B$84, 0), MATCH($K$10, 'Availability Model'!$C$1:$T$1, 0))</f>
        <v>0</v>
      </c>
      <c r="S154">
        <f>INDEX('Availability Model'!$C$81:$T$84, MATCH($K$153,'Availability Model'!$B$81:$B$84, 0), MATCH($K$10, 'Availability Model'!$C$1:$T$1, 0))</f>
        <v>0</v>
      </c>
      <c r="T154">
        <f>INDEX('Availability Model'!$C$81:$T$84, MATCH($K$153,'Availability Model'!$B$81:$B$84, 0), MATCH($K$10, 'Availability Model'!$C$1:$T$1, 0))</f>
        <v>0</v>
      </c>
      <c r="U154">
        <f>INDEX('Availability Model'!$C$81:$T$84, MATCH($K$153,'Availability Model'!$B$81:$B$84, 0), MATCH($K$10, 'Availability Model'!$C$1:$T$1, 0))</f>
        <v>0</v>
      </c>
      <c r="V154">
        <f>INDEX('Availability Model'!$C$81:$T$84, MATCH($K$153,'Availability Model'!$B$81:$B$84, 0), MATCH($K$10, 'Availability Model'!$C$1:$T$1, 0))</f>
        <v>0</v>
      </c>
      <c r="W154">
        <f>INDEX('Availability Model'!$C$81:$T$84, MATCH($K$153,'Availability Model'!$B$81:$B$84, 0), MATCH($K$10, 'Availability Model'!$C$1:$T$1, 0))</f>
        <v>0</v>
      </c>
      <c r="X154">
        <f>INDEX('Availability Model'!$C$81:$T$84, MATCH($K$153,'Availability Model'!$B$81:$B$84, 0), MATCH($K$10, 'Availability Model'!$C$1:$T$1, 0))</f>
        <v>0</v>
      </c>
      <c r="Y154">
        <f>INDEX('Availability Model'!$C$81:$T$84, MATCH($K$153,'Availability Model'!$B$81:$B$84, 0), MATCH($K$10, 'Availability Model'!$C$1:$T$1, 0))</f>
        <v>0</v>
      </c>
      <c r="Z154">
        <f>INDEX('Availability Model'!$C$81:$T$84, MATCH($K$153,'Availability Model'!$B$81:$B$84, 0), MATCH($K$10, 'Availability Model'!$C$1:$T$1, 0))</f>
        <v>0</v>
      </c>
      <c r="AA154">
        <f>INDEX('Availability Model'!$C$81:$T$84, MATCH($K$153,'Availability Model'!$B$81:$B$84, 0), MATCH($K$10, 'Availability Model'!$C$1:$T$1, 0))</f>
        <v>0</v>
      </c>
      <c r="AB154">
        <f>INDEX('Availability Model'!$C$81:$T$84, MATCH($K$153,'Availability Model'!$B$81:$B$84, 0), MATCH($K$10, 'Availability Model'!$C$1:$T$1, 0))</f>
        <v>0</v>
      </c>
      <c r="AC154">
        <f>INDEX('Availability Model'!$C$81:$T$84, MATCH($K$153,'Availability Model'!$B$81:$B$84, 0), MATCH($K$10, 'Availability Model'!$C$1:$T$1, 0))</f>
        <v>0</v>
      </c>
      <c r="AD154">
        <f>INDEX('Availability Model'!$C$81:$T$84, MATCH($K$153,'Availability Model'!$B$81:$B$84, 0), MATCH($K$10, 'Availability Model'!$C$1:$T$1, 0))</f>
        <v>0</v>
      </c>
      <c r="AE154">
        <f>INDEX('Availability Model'!$C$81:$T$84, MATCH($K$153,'Availability Model'!$B$81:$B$84, 0), MATCH($K$10, 'Availability Model'!$C$1:$T$1, 0))</f>
        <v>0</v>
      </c>
      <c r="AF154">
        <f>INDEX('Availability Model'!$C$81:$T$84, MATCH($K$153,'Availability Model'!$B$81:$B$84, 0), MATCH($K$10, 'Availability Model'!$C$1:$T$1, 0))</f>
        <v>0</v>
      </c>
      <c r="AG154">
        <f>INDEX('Availability Model'!$C$81:$T$84, MATCH($K$153,'Availability Model'!$B$81:$B$84, 0), MATCH($K$10, 'Availability Model'!$C$1:$T$1, 0))</f>
        <v>0</v>
      </c>
      <c r="AH154">
        <f>INDEX('Availability Model'!$C$81:$T$84, MATCH($K$153,'Availability Model'!$B$81:$B$84, 0), MATCH($K$10, 'Availability Model'!$C$1:$T$1, 0))</f>
        <v>0</v>
      </c>
      <c r="AI154">
        <f>INDEX('Availability Model'!$C$81:$T$84, MATCH($K$153,'Availability Model'!$B$81:$B$84, 0), MATCH($K$10, 'Availability Model'!$C$1:$T$1, 0))</f>
        <v>0</v>
      </c>
      <c r="AJ154">
        <f>INDEX('Availability Model'!$C$81:$T$84, MATCH($K$153,'Availability Model'!$B$81:$B$84, 0), MATCH($K$10, 'Availability Model'!$C$1:$T$1, 0))</f>
        <v>0</v>
      </c>
      <c r="AK154">
        <f>INDEX('Availability Model'!$C$81:$T$84, MATCH($K$153,'Availability Model'!$B$81:$B$84, 0), MATCH($K$10, 'Availability Model'!$C$1:$T$1, 0))</f>
        <v>0</v>
      </c>
      <c r="AL154">
        <f>INDEX('Availability Model'!$C$81:$T$84, MATCH($K$153,'Availability Model'!$B$81:$B$84, 0), MATCH($K$10, 'Availability Model'!$C$1:$T$1, 0))</f>
        <v>0</v>
      </c>
    </row>
    <row r="155" spans="4:38">
      <c r="D155" s="7" t="s">
        <v>312</v>
      </c>
      <c r="E155" s="16" t="s">
        <v>106</v>
      </c>
      <c r="K155">
        <f>K154*INDEX('Availability Model'!$C$81:$T$84, MATCH($K$153,'Availability Model'!$B$81:$B$84, 0), MATCH($K$10, 'Availability Model'!$C$1:$T$1, 0))</f>
        <v>0</v>
      </c>
      <c r="L155">
        <f>L154*INDEX('Availability Model'!$C$81:$T$84, MATCH($K$153,'Availability Model'!$B$81:$B$84, 0), MATCH($K$10, 'Availability Model'!$C$1:$T$1, 0))</f>
        <v>0</v>
      </c>
      <c r="M155">
        <f>M154*INDEX('Availability Model'!$C$81:$T$84, MATCH($K$153,'Availability Model'!$B$81:$B$84, 0), MATCH($K$10, 'Availability Model'!$C$1:$T$1, 0))</f>
        <v>0</v>
      </c>
      <c r="N155">
        <f>N154*INDEX('Availability Model'!$C$81:$T$84, MATCH($K$153,'Availability Model'!$B$81:$B$84, 0), MATCH($K$10, 'Availability Model'!$C$1:$T$1, 0))</f>
        <v>0</v>
      </c>
      <c r="O155">
        <f>O154*INDEX('Availability Model'!$C$81:$T$84, MATCH($K$153,'Availability Model'!$B$81:$B$84, 0), MATCH($K$10, 'Availability Model'!$C$1:$T$1, 0))</f>
        <v>0</v>
      </c>
      <c r="P155">
        <f>P154*INDEX('Availability Model'!$C$81:$T$84, MATCH($K$153,'Availability Model'!$B$81:$B$84, 0), MATCH($K$10, 'Availability Model'!$C$1:$T$1, 0))</f>
        <v>0</v>
      </c>
      <c r="Q155">
        <f>Q154*INDEX('Availability Model'!$C$81:$T$84, MATCH($K$153,'Availability Model'!$B$81:$B$84, 0), MATCH($K$10, 'Availability Model'!$C$1:$T$1, 0))</f>
        <v>0</v>
      </c>
      <c r="R155">
        <f>R154*INDEX('Availability Model'!$C$81:$T$84, MATCH($K$153,'Availability Model'!$B$81:$B$84, 0), MATCH($K$10, 'Availability Model'!$C$1:$T$1, 0))</f>
        <v>0</v>
      </c>
      <c r="S155">
        <f>S154*INDEX('Availability Model'!$C$81:$T$84, MATCH($K$153,'Availability Model'!$B$81:$B$84, 0), MATCH($K$10, 'Availability Model'!$C$1:$T$1, 0))</f>
        <v>0</v>
      </c>
      <c r="T155">
        <f>T154*INDEX('Availability Model'!$C$81:$T$84, MATCH($K$153,'Availability Model'!$B$81:$B$84, 0), MATCH($K$10, 'Availability Model'!$C$1:$T$1, 0))</f>
        <v>0</v>
      </c>
      <c r="U155">
        <f>U154*INDEX('Availability Model'!$C$81:$T$84, MATCH($K$153,'Availability Model'!$B$81:$B$84, 0), MATCH($K$10, 'Availability Model'!$C$1:$T$1, 0))</f>
        <v>0</v>
      </c>
      <c r="V155">
        <f>V154*INDEX('Availability Model'!$C$81:$T$84, MATCH($K$153,'Availability Model'!$B$81:$B$84, 0), MATCH($K$10, 'Availability Model'!$C$1:$T$1, 0))</f>
        <v>0</v>
      </c>
      <c r="W155">
        <f>W154*INDEX('Availability Model'!$C$81:$T$84, MATCH($K$153,'Availability Model'!$B$81:$B$84, 0), MATCH($K$10, 'Availability Model'!$C$1:$T$1, 0))</f>
        <v>0</v>
      </c>
      <c r="X155">
        <f>X154*INDEX('Availability Model'!$C$81:$T$84, MATCH($K$153,'Availability Model'!$B$81:$B$84, 0), MATCH($K$10, 'Availability Model'!$C$1:$T$1, 0))</f>
        <v>0</v>
      </c>
      <c r="Y155">
        <f>Y154*INDEX('Availability Model'!$C$81:$T$84, MATCH($K$153,'Availability Model'!$B$81:$B$84, 0), MATCH($K$10, 'Availability Model'!$C$1:$T$1, 0))</f>
        <v>0</v>
      </c>
      <c r="Z155">
        <f>Z154*INDEX('Availability Model'!$C$81:$T$84, MATCH($K$153,'Availability Model'!$B$81:$B$84, 0), MATCH($K$10, 'Availability Model'!$C$1:$T$1, 0))</f>
        <v>0</v>
      </c>
      <c r="AA155">
        <f>AA154*INDEX('Availability Model'!$C$81:$T$84, MATCH($K$153,'Availability Model'!$B$81:$B$84, 0), MATCH($K$10, 'Availability Model'!$C$1:$T$1, 0))</f>
        <v>0</v>
      </c>
      <c r="AB155">
        <f>AB154*INDEX('Availability Model'!$C$81:$T$84, MATCH($K$153,'Availability Model'!$B$81:$B$84, 0), MATCH($K$10, 'Availability Model'!$C$1:$T$1, 0))</f>
        <v>0</v>
      </c>
      <c r="AC155">
        <f>AC154*INDEX('Availability Model'!$C$81:$T$84, MATCH($K$153,'Availability Model'!$B$81:$B$84, 0), MATCH($K$10, 'Availability Model'!$C$1:$T$1, 0))</f>
        <v>0</v>
      </c>
      <c r="AD155">
        <f>AD154*INDEX('Availability Model'!$C$81:$T$84, MATCH($K$153,'Availability Model'!$B$81:$B$84, 0), MATCH($K$10, 'Availability Model'!$C$1:$T$1, 0))</f>
        <v>0</v>
      </c>
      <c r="AE155">
        <f>AE154*INDEX('Availability Model'!$C$81:$T$84, MATCH($K$153,'Availability Model'!$B$81:$B$84, 0), MATCH($K$10, 'Availability Model'!$C$1:$T$1, 0))</f>
        <v>0</v>
      </c>
      <c r="AF155">
        <f>AF154*INDEX('Availability Model'!$C$81:$T$84, MATCH($K$153,'Availability Model'!$B$81:$B$84, 0), MATCH($K$10, 'Availability Model'!$C$1:$T$1, 0))</f>
        <v>0</v>
      </c>
      <c r="AG155">
        <f>AG154*INDEX('Availability Model'!$C$81:$T$84, MATCH($K$153,'Availability Model'!$B$81:$B$84, 0), MATCH($K$10, 'Availability Model'!$C$1:$T$1, 0))</f>
        <v>0</v>
      </c>
      <c r="AH155">
        <f>AH154*INDEX('Availability Model'!$C$81:$T$84, MATCH($K$153,'Availability Model'!$B$81:$B$84, 0), MATCH($K$10, 'Availability Model'!$C$1:$T$1, 0))</f>
        <v>0</v>
      </c>
      <c r="AI155">
        <f>AI154*INDEX('Availability Model'!$C$81:$T$84, MATCH($K$153,'Availability Model'!$B$81:$B$84, 0), MATCH($K$10, 'Availability Model'!$C$1:$T$1, 0))</f>
        <v>0</v>
      </c>
      <c r="AJ155">
        <f>AJ154*INDEX('Availability Model'!$C$81:$T$84, MATCH($K$153,'Availability Model'!$B$81:$B$84, 0), MATCH($K$10, 'Availability Model'!$C$1:$T$1, 0))</f>
        <v>0</v>
      </c>
      <c r="AK155">
        <f>AK154*INDEX('Availability Model'!$C$81:$T$84, MATCH($K$153,'Availability Model'!$B$81:$B$84, 0), MATCH($K$10, 'Availability Model'!$C$1:$T$1, 0))</f>
        <v>0</v>
      </c>
      <c r="AL155">
        <f>AL154*INDEX('Availability Model'!$C$81:$T$84, MATCH($K$153,'Availability Model'!$B$81:$B$84, 0), MATCH($K$10, 'Availability Model'!$C$1:$T$1, 0))</f>
        <v>0</v>
      </c>
    </row>
    <row r="156" spans="4:38">
      <c r="D156" s="7" t="s">
        <v>302</v>
      </c>
      <c r="E156" s="16" t="s">
        <v>106</v>
      </c>
      <c r="K156" s="65">
        <f>K130</f>
        <v>1.8129533678756478</v>
      </c>
      <c r="L156" s="65">
        <f t="shared" ref="L156:AL156" si="57">L130</f>
        <v>1.9014456764652192</v>
      </c>
      <c r="M156" s="65">
        <f t="shared" si="57"/>
        <v>1.8367738032705883</v>
      </c>
      <c r="N156" s="65">
        <f t="shared" si="57"/>
        <v>1.7960667486462139</v>
      </c>
      <c r="O156" s="65">
        <f t="shared" si="57"/>
        <v>1.9276832774864687</v>
      </c>
      <c r="P156" s="65">
        <f t="shared" si="57"/>
        <v>1.9259575492655938</v>
      </c>
      <c r="Q156" s="65">
        <f t="shared" si="57"/>
        <v>1.6366130264697252</v>
      </c>
      <c r="R156" s="65">
        <f t="shared" si="57"/>
        <v>1.6366130264697252</v>
      </c>
      <c r="S156" s="65">
        <f t="shared" si="57"/>
        <v>1.6366130264697252</v>
      </c>
      <c r="T156" s="65">
        <f t="shared" si="57"/>
        <v>1.6351478743260013</v>
      </c>
      <c r="U156" s="65">
        <f t="shared" si="57"/>
        <v>1.6366130264697252</v>
      </c>
      <c r="V156" s="65">
        <f t="shared" si="57"/>
        <v>1.6366130264697252</v>
      </c>
      <c r="W156" s="65">
        <f t="shared" si="57"/>
        <v>1.6366130264697252</v>
      </c>
      <c r="X156" s="65">
        <f t="shared" si="57"/>
        <v>1.6351478743260013</v>
      </c>
      <c r="Y156" s="65">
        <f t="shared" si="57"/>
        <v>1.6366130264697252</v>
      </c>
      <c r="Z156" s="65">
        <f t="shared" si="57"/>
        <v>1.6366130264697252</v>
      </c>
      <c r="AA156" s="65">
        <f t="shared" si="57"/>
        <v>1.2409052613763443</v>
      </c>
      <c r="AB156" s="65">
        <f t="shared" si="57"/>
        <v>1.2397943604031401</v>
      </c>
      <c r="AC156" s="65">
        <f t="shared" si="57"/>
        <v>1.2409052613763443</v>
      </c>
      <c r="AD156" s="65">
        <f t="shared" si="57"/>
        <v>1.2409052613763443</v>
      </c>
      <c r="AE156" s="65">
        <f t="shared" si="57"/>
        <v>1.2409052613763443</v>
      </c>
      <c r="AF156" s="65">
        <f t="shared" si="57"/>
        <v>1.2397943604031401</v>
      </c>
      <c r="AG156" s="65">
        <f t="shared" si="57"/>
        <v>1.2409052613763443</v>
      </c>
      <c r="AH156" s="65">
        <f t="shared" si="57"/>
        <v>1.2409052613763443</v>
      </c>
      <c r="AI156" s="65">
        <f t="shared" si="57"/>
        <v>1.2409052613763443</v>
      </c>
      <c r="AJ156" s="65">
        <f t="shared" si="57"/>
        <v>1.2397943604031401</v>
      </c>
      <c r="AK156" s="65">
        <f t="shared" si="57"/>
        <v>1.2409052613763443</v>
      </c>
      <c r="AL156" s="65">
        <f t="shared" si="57"/>
        <v>1.2409052613763443</v>
      </c>
    </row>
    <row r="157" spans="4:38">
      <c r="D157" s="7" t="s">
        <v>313</v>
      </c>
      <c r="E157" s="16" t="s">
        <v>106</v>
      </c>
      <c r="K157">
        <f>IF((K155-K156)&gt;0, K155-K156,0)</f>
        <v>0</v>
      </c>
      <c r="L157">
        <f t="shared" ref="L157:AL157" si="58">IF((L155-L156)&gt;0, L155-L156,0)</f>
        <v>0</v>
      </c>
      <c r="M157">
        <f t="shared" si="58"/>
        <v>0</v>
      </c>
      <c r="N157">
        <f t="shared" si="58"/>
        <v>0</v>
      </c>
      <c r="O157">
        <f t="shared" si="58"/>
        <v>0</v>
      </c>
      <c r="P157">
        <f t="shared" si="58"/>
        <v>0</v>
      </c>
      <c r="Q157">
        <f t="shared" si="58"/>
        <v>0</v>
      </c>
      <c r="R157">
        <f t="shared" si="58"/>
        <v>0</v>
      </c>
      <c r="S157">
        <f t="shared" si="58"/>
        <v>0</v>
      </c>
      <c r="T157">
        <f t="shared" si="58"/>
        <v>0</v>
      </c>
      <c r="U157">
        <f t="shared" si="58"/>
        <v>0</v>
      </c>
      <c r="V157">
        <f t="shared" si="58"/>
        <v>0</v>
      </c>
      <c r="W157">
        <f t="shared" si="58"/>
        <v>0</v>
      </c>
      <c r="X157">
        <f t="shared" si="58"/>
        <v>0</v>
      </c>
      <c r="Y157">
        <f t="shared" si="58"/>
        <v>0</v>
      </c>
      <c r="Z157">
        <f t="shared" si="58"/>
        <v>0</v>
      </c>
      <c r="AA157">
        <f t="shared" si="58"/>
        <v>0</v>
      </c>
      <c r="AB157">
        <f t="shared" si="58"/>
        <v>0</v>
      </c>
      <c r="AC157">
        <f t="shared" si="58"/>
        <v>0</v>
      </c>
      <c r="AD157">
        <f t="shared" si="58"/>
        <v>0</v>
      </c>
      <c r="AE157">
        <f t="shared" si="58"/>
        <v>0</v>
      </c>
      <c r="AF157">
        <f t="shared" si="58"/>
        <v>0</v>
      </c>
      <c r="AG157">
        <f t="shared" si="58"/>
        <v>0</v>
      </c>
      <c r="AH157">
        <f t="shared" si="58"/>
        <v>0</v>
      </c>
      <c r="AI157">
        <f t="shared" si="58"/>
        <v>0</v>
      </c>
      <c r="AJ157">
        <f t="shared" si="58"/>
        <v>0</v>
      </c>
      <c r="AK157">
        <f t="shared" si="58"/>
        <v>0</v>
      </c>
      <c r="AL157">
        <f t="shared" si="58"/>
        <v>0</v>
      </c>
    </row>
    <row r="158" spans="4:38">
      <c r="D158" s="7" t="s">
        <v>314</v>
      </c>
      <c r="E158" s="16" t="s">
        <v>306</v>
      </c>
      <c r="K158" s="65">
        <f t="shared" ref="K158:AL158" si="59">IF(K157&gt;0,K157*K31,0)</f>
        <v>0</v>
      </c>
      <c r="L158" s="65">
        <f t="shared" si="59"/>
        <v>0</v>
      </c>
      <c r="M158" s="65">
        <f t="shared" si="59"/>
        <v>0</v>
      </c>
      <c r="N158" s="65">
        <f t="shared" si="59"/>
        <v>0</v>
      </c>
      <c r="O158" s="65">
        <f t="shared" si="59"/>
        <v>0</v>
      </c>
      <c r="P158" s="65">
        <f t="shared" si="59"/>
        <v>0</v>
      </c>
      <c r="Q158" s="65">
        <f t="shared" si="59"/>
        <v>0</v>
      </c>
      <c r="R158" s="65">
        <f t="shared" si="59"/>
        <v>0</v>
      </c>
      <c r="S158" s="65">
        <f t="shared" si="59"/>
        <v>0</v>
      </c>
      <c r="T158" s="65">
        <f t="shared" si="59"/>
        <v>0</v>
      </c>
      <c r="U158" s="65">
        <f t="shared" si="59"/>
        <v>0</v>
      </c>
      <c r="V158" s="65">
        <f t="shared" si="59"/>
        <v>0</v>
      </c>
      <c r="W158" s="65">
        <f t="shared" si="59"/>
        <v>0</v>
      </c>
      <c r="X158" s="65">
        <f t="shared" si="59"/>
        <v>0</v>
      </c>
      <c r="Y158" s="65">
        <f t="shared" si="59"/>
        <v>0</v>
      </c>
      <c r="Z158" s="65">
        <f t="shared" si="59"/>
        <v>0</v>
      </c>
      <c r="AA158" s="65">
        <f t="shared" si="59"/>
        <v>0</v>
      </c>
      <c r="AB158" s="65">
        <f t="shared" si="59"/>
        <v>0</v>
      </c>
      <c r="AC158" s="65">
        <f t="shared" si="59"/>
        <v>0</v>
      </c>
      <c r="AD158" s="65">
        <f t="shared" si="59"/>
        <v>0</v>
      </c>
      <c r="AE158" s="65">
        <f t="shared" si="59"/>
        <v>0</v>
      </c>
      <c r="AF158" s="65">
        <f t="shared" si="59"/>
        <v>0</v>
      </c>
      <c r="AG158" s="65">
        <f t="shared" si="59"/>
        <v>0</v>
      </c>
      <c r="AH158" s="65">
        <f t="shared" si="59"/>
        <v>0</v>
      </c>
      <c r="AI158" s="65">
        <f t="shared" si="59"/>
        <v>0</v>
      </c>
      <c r="AJ158" s="65">
        <f t="shared" si="59"/>
        <v>0</v>
      </c>
      <c r="AK158" s="65">
        <f t="shared" si="59"/>
        <v>0</v>
      </c>
      <c r="AL158" s="65">
        <f t="shared" si="59"/>
        <v>0</v>
      </c>
    </row>
    <row r="159" spans="4:38">
      <c r="D159" s="7"/>
    </row>
    <row r="160" spans="4:38">
      <c r="D160" s="3" t="s">
        <v>315</v>
      </c>
      <c r="E160" s="16" t="s">
        <v>306</v>
      </c>
      <c r="K160" s="65">
        <f>K158*INDEX('Availability Model'!$C$60:$T$64, MATCH($K$127,'Availability Model'!$B$60:$B$64, 0), MATCH($K$10, 'Availability Model'!$C$1:$T$1, 0))</f>
        <v>0</v>
      </c>
      <c r="L160" s="65">
        <f>L158*INDEX('Availability Model'!$C$60:$T$64, MATCH($K$127,'Availability Model'!$B$60:$B$64, 0), MATCH($K$10, 'Availability Model'!$C$1:$T$1, 0))</f>
        <v>0</v>
      </c>
      <c r="M160" s="65">
        <f>M158*INDEX('Availability Model'!$C$60:$T$64, MATCH($K$127,'Availability Model'!$B$60:$B$64, 0), MATCH($K$10, 'Availability Model'!$C$1:$T$1, 0))</f>
        <v>0</v>
      </c>
      <c r="N160" s="65">
        <f>N158*INDEX('Availability Model'!$C$60:$T$64, MATCH($K$127,'Availability Model'!$B$60:$B$64, 0), MATCH($K$10, 'Availability Model'!$C$1:$T$1, 0))</f>
        <v>0</v>
      </c>
      <c r="O160" s="65">
        <f>O158*INDEX('Availability Model'!$C$60:$T$64, MATCH($K$127,'Availability Model'!$B$60:$B$64, 0), MATCH($K$10, 'Availability Model'!$C$1:$T$1, 0))</f>
        <v>0</v>
      </c>
      <c r="P160" s="65">
        <f>P158*INDEX('Availability Model'!$C$60:$T$64, MATCH($K$127,'Availability Model'!$B$60:$B$64, 0), MATCH($K$10, 'Availability Model'!$C$1:$T$1, 0))</f>
        <v>0</v>
      </c>
    </row>
    <row r="161" spans="4:39">
      <c r="D161" s="3" t="s">
        <v>333</v>
      </c>
      <c r="E161" s="16" t="s">
        <v>246</v>
      </c>
      <c r="K161" s="65">
        <f>K160*Inputs!E52</f>
        <v>0</v>
      </c>
      <c r="L161" s="65">
        <f>L160*Inputs!F52</f>
        <v>0</v>
      </c>
      <c r="M161" s="65">
        <f>M160*Inputs!G52</f>
        <v>0</v>
      </c>
      <c r="N161" s="65">
        <f>N160*Inputs!H52</f>
        <v>0</v>
      </c>
      <c r="O161" s="65">
        <f>O160*Inputs!I52</f>
        <v>0</v>
      </c>
      <c r="P161" s="65">
        <f>P160*Inputs!J52</f>
        <v>0</v>
      </c>
    </row>
    <row r="162" spans="4:39">
      <c r="D162" t="s">
        <v>318</v>
      </c>
      <c r="E162" s="16" t="s">
        <v>211</v>
      </c>
      <c r="K162" s="65">
        <f>(K25*K69)*INDEX('Availability Model'!$C$93:$T$96, MATCH($K$153,'Availability Model'!$B$93:$B$96, 0), MATCH($K$10, 'Availability Model'!$C$1:$T$1, 0))</f>
        <v>104654.25</v>
      </c>
      <c r="L162" s="65">
        <f>(L25*L69)*INDEX('Availability Model'!$C$93:$T$96, MATCH($K$153,'Availability Model'!$B$93:$B$96, 0), MATCH($K$10, 'Availability Model'!$C$1:$T$1, 0))</f>
        <v>108070.32889508041</v>
      </c>
      <c r="M162" s="65">
        <f>(M25*M69)*INDEX('Availability Model'!$C$93:$T$96, MATCH($K$153,'Availability Model'!$B$93:$B$96, 0), MATCH($K$10, 'Availability Model'!$C$1:$T$1, 0))</f>
        <v>123222.34418657479</v>
      </c>
      <c r="N162" s="65">
        <f>(N25*N69)*INDEX('Availability Model'!$C$93:$T$96, MATCH($K$153,'Availability Model'!$B$93:$B$96, 0), MATCH($K$10, 'Availability Model'!$C$1:$T$1, 0))</f>
        <v>933363.38677276799</v>
      </c>
      <c r="O162" s="65">
        <f>(O25*O69)*INDEX('Availability Model'!$C$93:$T$96, MATCH($K$153,'Availability Model'!$B$93:$B$96, 0), MATCH($K$10, 'Availability Model'!$C$1:$T$1, 0))</f>
        <v>1289415.078396</v>
      </c>
      <c r="P162" s="65">
        <f>(P25*P69)*INDEX('Availability Model'!$C$93:$T$96, MATCH($K$153,'Availability Model'!$B$93:$B$96, 0), MATCH($K$10, 'Availability Model'!$C$1:$T$1, 0))</f>
        <v>1410104.3297338656</v>
      </c>
      <c r="Q162" s="65">
        <f>(Q25*Q69)*INDEX('Availability Model'!$C$93:$T$96, MATCH($K$153,'Availability Model'!$B$93:$B$96, 0), MATCH($K$10, 'Availability Model'!$C$1:$T$1, 0))</f>
        <v>1542090.094996955</v>
      </c>
      <c r="R162" s="65">
        <f>(R25*R69)*INDEX('Availability Model'!$C$93:$T$96, MATCH($K$153,'Availability Model'!$B$93:$B$96, 0), MATCH($K$10, 'Availability Model'!$C$1:$T$1, 0))</f>
        <v>1686429.7278886698</v>
      </c>
      <c r="S162" s="65">
        <f>(S25*S69)*INDEX('Availability Model'!$C$93:$T$96, MATCH($K$153,'Availability Model'!$B$93:$B$96, 0), MATCH($K$10, 'Availability Model'!$C$1:$T$1, 0))</f>
        <v>1844279.5504190491</v>
      </c>
      <c r="T162" s="65">
        <f>(T25*T69)*INDEX('Availability Model'!$C$93:$T$96, MATCH($K$153,'Availability Model'!$B$93:$B$96, 0), MATCH($K$10, 'Availability Model'!$C$1:$T$1, 0))</f>
        <v>2016904.1163382719</v>
      </c>
      <c r="U162" s="65">
        <f>(U25*U69)*INDEX('Availability Model'!$C$93:$T$96, MATCH($K$153,'Availability Model'!$B$93:$B$96, 0), MATCH($K$10, 'Availability Model'!$C$1:$T$1, 0))</f>
        <v>2205686.341627534</v>
      </c>
      <c r="V162" s="65">
        <f>(V25*V69)*INDEX('Availability Model'!$C$93:$T$96, MATCH($K$153,'Availability Model'!$B$93:$B$96, 0), MATCH($K$10, 'Availability Model'!$C$1:$T$1, 0))</f>
        <v>2412138.5832038708</v>
      </c>
      <c r="W162" s="65">
        <f>(W25*W69)*INDEX('Availability Model'!$C$93:$T$96, MATCH($K$153,'Availability Model'!$B$93:$B$96, 0), MATCH($K$10, 'Availability Model'!$C$1:$T$1, 0))</f>
        <v>2637914.7545917528</v>
      </c>
      <c r="X162" s="65">
        <f>(X25*X69)*INDEX('Availability Model'!$C$93:$T$96, MATCH($K$153,'Availability Model'!$B$93:$B$96, 0), MATCH($K$10, 'Availability Model'!$C$1:$T$1, 0))</f>
        <v>2884823.5756215407</v>
      </c>
      <c r="Y162" s="65">
        <f>(Y25*Y69)*INDEX('Availability Model'!$C$93:$T$96, MATCH($K$153,'Availability Model'!$B$93:$B$96, 0), MATCH($K$10, 'Availability Model'!$C$1:$T$1, 0))</f>
        <v>3154843.0622997168</v>
      </c>
      <c r="Z162" s="65">
        <f>(Z25*Z69)*INDEX('Availability Model'!$C$93:$T$96, MATCH($K$153,'Availability Model'!$B$93:$B$96, 0), MATCH($K$10, 'Availability Model'!$C$1:$T$1, 0))</f>
        <v>3450136.3729309696</v>
      </c>
      <c r="AA162" s="65">
        <f>(AA25*AA69)*INDEX('Availability Model'!$C$93:$T$96, MATCH($K$153,'Availability Model'!$B$93:$B$96, 0), MATCH($K$10, 'Availability Model'!$C$1:$T$1, 0))</f>
        <v>3773069.1374373077</v>
      </c>
      <c r="AB162" s="65">
        <f>(AB25*AB69)*INDEX('Availability Model'!$C$93:$T$96, MATCH($K$153,'Availability Model'!$B$93:$B$96, 0), MATCH($K$10, 'Availability Model'!$C$1:$T$1, 0))</f>
        <v>4126228.4087014399</v>
      </c>
      <c r="AC162" s="65">
        <f>(AC25*AC69)*INDEX('Availability Model'!$C$93:$T$96, MATCH($K$153,'Availability Model'!$B$93:$B$96, 0), MATCH($K$10, 'Availability Model'!$C$1:$T$1, 0))</f>
        <v>4512443.3877558941</v>
      </c>
      <c r="AD162" s="65">
        <f>(AD25*AD69)*INDEX('Availability Model'!$C$93:$T$96, MATCH($K$153,'Availability Model'!$B$93:$B$96, 0), MATCH($K$10, 'Availability Model'!$C$1:$T$1, 0))</f>
        <v>4934808.0888498453</v>
      </c>
      <c r="AE162" s="65">
        <f>(AE25*AE69)*INDEX('Availability Model'!$C$93:$T$96, MATCH($K$153,'Availability Model'!$B$93:$B$96, 0), MATCH($K$10, 'Availability Model'!$C$1:$T$1, 0))</f>
        <v>5396706.1259661904</v>
      </c>
      <c r="AF162" s="65">
        <f>(AF25*AF69)*INDEX('Availability Model'!$C$93:$T$96, MATCH($K$153,'Availability Model'!$B$93:$B$96, 0), MATCH($K$10, 'Availability Model'!$C$1:$T$1, 0))</f>
        <v>5901837.8193566259</v>
      </c>
      <c r="AG162" s="65">
        <f>(AG25*AG69)*INDEX('Availability Model'!$C$93:$T$96, MATCH($K$153,'Availability Model'!$B$93:$B$96, 0), MATCH($K$10, 'Availability Model'!$C$1:$T$1, 0))</f>
        <v>6454249.8392484058</v>
      </c>
      <c r="AH162" s="65">
        <f>(AH25*AH69)*INDEX('Availability Model'!$C$93:$T$96, MATCH($K$153,'Availability Model'!$B$93:$B$96, 0), MATCH($K$10, 'Availability Model'!$C$1:$T$1, 0))</f>
        <v>7058367.6242020559</v>
      </c>
      <c r="AI162" s="65">
        <f>(AI25*AI69)*INDEX('Availability Model'!$C$93:$T$96, MATCH($K$153,'Availability Model'!$B$93:$B$96, 0), MATCH($K$10, 'Availability Model'!$C$1:$T$1, 0))</f>
        <v>7719030.833827368</v>
      </c>
      <c r="AJ162" s="65">
        <f>(AJ25*AJ69)*INDEX('Availability Model'!$C$93:$T$96, MATCH($K$153,'Availability Model'!$B$93:$B$96, 0), MATCH($K$10, 'Availability Model'!$C$1:$T$1, 0))</f>
        <v>8441532.1198736094</v>
      </c>
      <c r="AK162" s="65">
        <f>(AK25*AK69)*INDEX('Availability Model'!$C$93:$T$96, MATCH($K$153,'Availability Model'!$B$93:$B$96, 0), MATCH($K$10, 'Availability Model'!$C$1:$T$1, 0))</f>
        <v>9231659.5262937788</v>
      </c>
      <c r="AL162" s="65">
        <f>(AL25*AL69)*INDEX('Availability Model'!$C$93:$T$96, MATCH($K$153,'Availability Model'!$B$93:$B$96, 0), MATCH($K$10, 'Availability Model'!$C$1:$T$1, 0))</f>
        <v>10095742.857954876</v>
      </c>
    </row>
    <row r="163" spans="4:39">
      <c r="E163" s="16"/>
      <c r="K163" s="65"/>
    </row>
    <row r="164" spans="4:39">
      <c r="D164" s="3" t="s">
        <v>334</v>
      </c>
      <c r="E164" s="16" t="s">
        <v>211</v>
      </c>
      <c r="K164" s="65">
        <f t="shared" ref="K164:AL164" si="60">IF(K25&gt;0,K161+K162,0)</f>
        <v>104654.25</v>
      </c>
      <c r="L164" s="65">
        <f t="shared" si="60"/>
        <v>108070.32889508041</v>
      </c>
      <c r="M164" s="65">
        <f t="shared" si="60"/>
        <v>123222.34418657479</v>
      </c>
      <c r="N164" s="65">
        <f t="shared" si="60"/>
        <v>933363.38677276799</v>
      </c>
      <c r="O164" s="65">
        <f t="shared" si="60"/>
        <v>1289415.078396</v>
      </c>
      <c r="P164" s="65">
        <f t="shared" si="60"/>
        <v>1410104.3297338656</v>
      </c>
      <c r="Q164" s="65">
        <f t="shared" si="60"/>
        <v>1542090.094996955</v>
      </c>
      <c r="R164" s="65">
        <f t="shared" si="60"/>
        <v>1686429.7278886698</v>
      </c>
      <c r="S164" s="65">
        <f t="shared" si="60"/>
        <v>1844279.5504190491</v>
      </c>
      <c r="T164" s="65">
        <f t="shared" si="60"/>
        <v>2016904.1163382719</v>
      </c>
      <c r="U164" s="65">
        <f t="shared" si="60"/>
        <v>2205686.341627534</v>
      </c>
      <c r="V164" s="65">
        <f t="shared" si="60"/>
        <v>2412138.5832038708</v>
      </c>
      <c r="W164" s="65">
        <f t="shared" si="60"/>
        <v>2637914.7545917528</v>
      </c>
      <c r="X164" s="65">
        <f t="shared" si="60"/>
        <v>2884823.5756215407</v>
      </c>
      <c r="Y164" s="65">
        <f t="shared" si="60"/>
        <v>3154843.0622997168</v>
      </c>
      <c r="Z164" s="65">
        <f t="shared" si="60"/>
        <v>3450136.3729309696</v>
      </c>
      <c r="AA164" s="65">
        <f t="shared" si="60"/>
        <v>3773069.1374373077</v>
      </c>
      <c r="AB164" s="65">
        <f t="shared" si="60"/>
        <v>4126228.4087014399</v>
      </c>
      <c r="AC164" s="65">
        <f t="shared" si="60"/>
        <v>4512443.3877558941</v>
      </c>
      <c r="AD164" s="65">
        <f t="shared" si="60"/>
        <v>4934808.0888498453</v>
      </c>
      <c r="AE164" s="65">
        <f t="shared" si="60"/>
        <v>5396706.1259661904</v>
      </c>
      <c r="AF164" s="65">
        <f t="shared" si="60"/>
        <v>5901837.8193566259</v>
      </c>
      <c r="AG164" s="65">
        <f t="shared" si="60"/>
        <v>6454249.8392484058</v>
      </c>
      <c r="AH164" s="65">
        <f t="shared" si="60"/>
        <v>7058367.6242020559</v>
      </c>
      <c r="AI164" s="65">
        <f t="shared" si="60"/>
        <v>7719030.833827368</v>
      </c>
      <c r="AJ164" s="65">
        <f t="shared" si="60"/>
        <v>8441532.1198736094</v>
      </c>
      <c r="AK164" s="65">
        <f t="shared" si="60"/>
        <v>9231659.5262937788</v>
      </c>
      <c r="AL164" s="65">
        <f t="shared" si="60"/>
        <v>10095742.857954876</v>
      </c>
    </row>
    <row r="165" spans="4:39">
      <c r="D165" s="7"/>
    </row>
    <row r="166" spans="4:39" ht="18">
      <c r="D166" s="15" t="s">
        <v>261</v>
      </c>
    </row>
    <row r="168" spans="4:39" ht="18">
      <c r="D168" s="71" t="s">
        <v>251</v>
      </c>
    </row>
    <row r="170" spans="4:39">
      <c r="D170" s="7" t="s">
        <v>242</v>
      </c>
      <c r="E170" s="7" t="s">
        <v>243</v>
      </c>
      <c r="K170" s="9">
        <f>Inputs!F34/'Risk exposure pessimistic view'!K11</f>
        <v>8261.9863013698632</v>
      </c>
      <c r="L170" s="9">
        <f>Inputs!G34/'Risk exposure pessimistic view'!L11</f>
        <v>8584.9808743169397</v>
      </c>
      <c r="M170" s="9">
        <f>Inputs!H34/'Risk exposure pessimistic view'!M11</f>
        <v>7544.5084200913252</v>
      </c>
      <c r="N170" s="65">
        <f t="shared" ref="N170:AL170" si="61">N58/N11</f>
        <v>8778.396247123288</v>
      </c>
      <c r="O170" s="65">
        <f t="shared" si="61"/>
        <v>8778.396247123288</v>
      </c>
      <c r="P170" s="65">
        <f t="shared" si="61"/>
        <v>8754.4115579234967</v>
      </c>
      <c r="Q170" s="65">
        <f t="shared" si="61"/>
        <v>8778.396247123288</v>
      </c>
      <c r="R170" s="65">
        <f t="shared" si="61"/>
        <v>8778.396247123288</v>
      </c>
      <c r="S170" s="65">
        <f t="shared" si="61"/>
        <v>8778.396247123288</v>
      </c>
      <c r="T170" s="65">
        <f t="shared" si="61"/>
        <v>8754.4115579234967</v>
      </c>
      <c r="U170" s="65">
        <f t="shared" si="61"/>
        <v>8778.396247123288</v>
      </c>
      <c r="V170" s="65">
        <f t="shared" si="61"/>
        <v>8778.396247123288</v>
      </c>
      <c r="W170" s="65">
        <f t="shared" si="61"/>
        <v>8778.396247123288</v>
      </c>
      <c r="X170" s="65">
        <f t="shared" si="61"/>
        <v>8754.4115579234967</v>
      </c>
      <c r="Y170" s="65">
        <f t="shared" si="61"/>
        <v>8778.396247123288</v>
      </c>
      <c r="Z170" s="65">
        <f t="shared" si="61"/>
        <v>8778.396247123288</v>
      </c>
      <c r="AA170" s="65">
        <f t="shared" si="61"/>
        <v>16929.018867425919</v>
      </c>
      <c r="AB170" s="65">
        <f t="shared" si="61"/>
        <v>16882.764717514918</v>
      </c>
      <c r="AC170" s="65">
        <f t="shared" si="61"/>
        <v>16929.018867425919</v>
      </c>
      <c r="AD170" s="65">
        <f t="shared" si="61"/>
        <v>16929.018867425919</v>
      </c>
      <c r="AE170" s="65">
        <f t="shared" si="61"/>
        <v>16929.018867425919</v>
      </c>
      <c r="AF170" s="65">
        <f t="shared" si="61"/>
        <v>16882.764717514918</v>
      </c>
      <c r="AG170" s="65">
        <f t="shared" si="61"/>
        <v>16929.018867425919</v>
      </c>
      <c r="AH170" s="65">
        <f t="shared" si="61"/>
        <v>16929.018867425919</v>
      </c>
      <c r="AI170" s="65">
        <f t="shared" si="61"/>
        <v>16929.018867425919</v>
      </c>
      <c r="AJ170" s="65">
        <f t="shared" si="61"/>
        <v>16882.764717514918</v>
      </c>
      <c r="AK170" s="65">
        <f t="shared" si="61"/>
        <v>16929.018867425919</v>
      </c>
      <c r="AL170" s="65">
        <f t="shared" si="61"/>
        <v>16929.018867425919</v>
      </c>
    </row>
    <row r="171" spans="4:39">
      <c r="D171" s="7" t="s">
        <v>244</v>
      </c>
      <c r="E171" s="7" t="s">
        <v>106</v>
      </c>
      <c r="K171" s="9">
        <f t="shared" ref="K171:AL171" si="62">K124</f>
        <v>11</v>
      </c>
      <c r="L171" s="9">
        <f t="shared" si="62"/>
        <v>11</v>
      </c>
      <c r="M171" s="9">
        <f t="shared" si="62"/>
        <v>11</v>
      </c>
      <c r="N171" s="9">
        <f t="shared" si="62"/>
        <v>11</v>
      </c>
      <c r="O171" s="9">
        <f t="shared" si="62"/>
        <v>11</v>
      </c>
      <c r="P171" s="9">
        <f t="shared" si="62"/>
        <v>11</v>
      </c>
      <c r="Q171" s="9">
        <f t="shared" si="62"/>
        <v>11</v>
      </c>
      <c r="R171" s="9">
        <f t="shared" si="62"/>
        <v>11</v>
      </c>
      <c r="S171" s="9">
        <f t="shared" si="62"/>
        <v>11</v>
      </c>
      <c r="T171" s="9">
        <f t="shared" si="62"/>
        <v>11</v>
      </c>
      <c r="U171" s="9">
        <f t="shared" si="62"/>
        <v>11</v>
      </c>
      <c r="V171" s="9">
        <f t="shared" si="62"/>
        <v>11</v>
      </c>
      <c r="W171" s="9">
        <f t="shared" si="62"/>
        <v>11</v>
      </c>
      <c r="X171" s="9">
        <f t="shared" si="62"/>
        <v>11</v>
      </c>
      <c r="Y171" s="9">
        <f t="shared" si="62"/>
        <v>11</v>
      </c>
      <c r="Z171" s="9">
        <f t="shared" si="62"/>
        <v>11</v>
      </c>
      <c r="AA171" s="9">
        <f t="shared" si="62"/>
        <v>13</v>
      </c>
      <c r="AB171" s="9">
        <f t="shared" si="62"/>
        <v>13</v>
      </c>
      <c r="AC171" s="9">
        <f t="shared" si="62"/>
        <v>13</v>
      </c>
      <c r="AD171" s="9">
        <f t="shared" si="62"/>
        <v>13</v>
      </c>
      <c r="AE171" s="9">
        <f t="shared" si="62"/>
        <v>13</v>
      </c>
      <c r="AF171" s="9">
        <f t="shared" si="62"/>
        <v>13</v>
      </c>
      <c r="AG171" s="9">
        <f t="shared" si="62"/>
        <v>13</v>
      </c>
      <c r="AH171" s="9">
        <f t="shared" si="62"/>
        <v>13</v>
      </c>
      <c r="AI171" s="9">
        <f t="shared" si="62"/>
        <v>13</v>
      </c>
      <c r="AJ171" s="9">
        <f t="shared" si="62"/>
        <v>13</v>
      </c>
      <c r="AK171" s="9">
        <f t="shared" si="62"/>
        <v>13</v>
      </c>
      <c r="AL171" s="9">
        <f t="shared" si="62"/>
        <v>13</v>
      </c>
    </row>
    <row r="172" spans="4:39">
      <c r="D172" s="7" t="s">
        <v>244</v>
      </c>
      <c r="E172" s="7" t="s">
        <v>113</v>
      </c>
      <c r="K172" s="9">
        <f t="shared" ref="K172:AL172" si="63">IF(K24&gt;0,K171*K170,0)</f>
        <v>90881.849315068495</v>
      </c>
      <c r="L172" s="9">
        <f t="shared" si="63"/>
        <v>94434.789617486342</v>
      </c>
      <c r="M172" s="9">
        <f t="shared" si="63"/>
        <v>82989.592621004573</v>
      </c>
      <c r="N172" s="9">
        <f t="shared" si="63"/>
        <v>96562.358718356176</v>
      </c>
      <c r="O172" s="9">
        <f t="shared" si="63"/>
        <v>96562.358718356176</v>
      </c>
      <c r="P172" s="9">
        <f t="shared" si="63"/>
        <v>96298.527137158468</v>
      </c>
      <c r="Q172" s="9">
        <f t="shared" si="63"/>
        <v>96562.358718356176</v>
      </c>
      <c r="R172" s="9">
        <f t="shared" si="63"/>
        <v>96562.358718356176</v>
      </c>
      <c r="S172" s="9">
        <f t="shared" si="63"/>
        <v>96562.358718356176</v>
      </c>
      <c r="T172" s="9">
        <f t="shared" si="63"/>
        <v>96298.527137158468</v>
      </c>
      <c r="U172" s="9">
        <f t="shared" si="63"/>
        <v>96562.358718356176</v>
      </c>
      <c r="V172" s="9">
        <f t="shared" si="63"/>
        <v>96562.358718356176</v>
      </c>
      <c r="W172" s="9">
        <f t="shared" si="63"/>
        <v>96562.358718356176</v>
      </c>
      <c r="X172" s="9">
        <f t="shared" si="63"/>
        <v>96298.527137158468</v>
      </c>
      <c r="Y172" s="9">
        <f t="shared" si="63"/>
        <v>96562.358718356176</v>
      </c>
      <c r="Z172" s="9">
        <f t="shared" si="63"/>
        <v>96562.358718356176</v>
      </c>
      <c r="AA172" s="9">
        <f t="shared" si="63"/>
        <v>220077.24527653694</v>
      </c>
      <c r="AB172" s="9">
        <f t="shared" si="63"/>
        <v>219475.94132769393</v>
      </c>
      <c r="AC172" s="9">
        <f t="shared" si="63"/>
        <v>220077.24527653694</v>
      </c>
      <c r="AD172" s="9">
        <f t="shared" si="63"/>
        <v>220077.24527653694</v>
      </c>
      <c r="AE172" s="9">
        <f t="shared" si="63"/>
        <v>220077.24527653694</v>
      </c>
      <c r="AF172" s="9">
        <f t="shared" si="63"/>
        <v>219475.94132769393</v>
      </c>
      <c r="AG172" s="9">
        <f t="shared" si="63"/>
        <v>220077.24527653694</v>
      </c>
      <c r="AH172" s="9">
        <f t="shared" si="63"/>
        <v>220077.24527653694</v>
      </c>
      <c r="AI172" s="9">
        <f t="shared" si="63"/>
        <v>220077.24527653694</v>
      </c>
      <c r="AJ172" s="9">
        <f t="shared" si="63"/>
        <v>219475.94132769393</v>
      </c>
      <c r="AK172" s="9">
        <f t="shared" si="63"/>
        <v>220077.24527653694</v>
      </c>
      <c r="AL172" s="9">
        <f t="shared" si="63"/>
        <v>220077.24527653694</v>
      </c>
      <c r="AM172" s="133">
        <f>SUM(M172:AL172)</f>
        <v>3976631.7926879548</v>
      </c>
    </row>
    <row r="173" spans="4:39">
      <c r="D173" s="109" t="s">
        <v>374</v>
      </c>
      <c r="E173" s="109"/>
      <c r="F173" s="110"/>
      <c r="G173" s="110"/>
      <c r="H173" s="110"/>
      <c r="I173" s="110"/>
      <c r="J173" s="110"/>
      <c r="K173" s="111">
        <f t="shared" ref="K173:AL173" si="64">K172/K58</f>
        <v>2.8364106720300351E-2</v>
      </c>
      <c r="L173" s="111">
        <f t="shared" si="64"/>
        <v>2.9472974757957317E-2</v>
      </c>
      <c r="M173" s="111">
        <f t="shared" si="64"/>
        <v>2.5900943692462208E-2</v>
      </c>
      <c r="N173" s="111">
        <f t="shared" si="64"/>
        <v>3.0136986301369868E-2</v>
      </c>
      <c r="O173" s="111">
        <f t="shared" si="64"/>
        <v>3.0136986301369868E-2</v>
      </c>
      <c r="P173" s="111">
        <f t="shared" si="64"/>
        <v>3.0054644808743168E-2</v>
      </c>
      <c r="Q173" s="111">
        <f t="shared" si="64"/>
        <v>3.0136986301369868E-2</v>
      </c>
      <c r="R173" s="111">
        <f t="shared" si="64"/>
        <v>3.0136986301369868E-2</v>
      </c>
      <c r="S173" s="111">
        <f t="shared" si="64"/>
        <v>3.0136986301369868E-2</v>
      </c>
      <c r="T173" s="111">
        <f t="shared" si="64"/>
        <v>3.0054644808743168E-2</v>
      </c>
      <c r="U173" s="111">
        <f t="shared" si="64"/>
        <v>3.0136986301369868E-2</v>
      </c>
      <c r="V173" s="111">
        <f t="shared" si="64"/>
        <v>3.0136986301369868E-2</v>
      </c>
      <c r="W173" s="111">
        <f t="shared" si="64"/>
        <v>3.0136986301369868E-2</v>
      </c>
      <c r="X173" s="111">
        <f t="shared" si="64"/>
        <v>3.0054644808743168E-2</v>
      </c>
      <c r="Y173" s="111">
        <f t="shared" si="64"/>
        <v>3.0136986301369868E-2</v>
      </c>
      <c r="Z173" s="111">
        <f t="shared" si="64"/>
        <v>3.0136986301369868E-2</v>
      </c>
      <c r="AA173" s="111">
        <f t="shared" si="64"/>
        <v>3.5616438356164383E-2</v>
      </c>
      <c r="AB173" s="111">
        <f t="shared" si="64"/>
        <v>3.5519125683060107E-2</v>
      </c>
      <c r="AC173" s="111">
        <f t="shared" si="64"/>
        <v>3.5616438356164383E-2</v>
      </c>
      <c r="AD173" s="111">
        <f t="shared" si="64"/>
        <v>3.5616438356164383E-2</v>
      </c>
      <c r="AE173" s="111">
        <f t="shared" si="64"/>
        <v>3.5616438356164383E-2</v>
      </c>
      <c r="AF173" s="111">
        <f t="shared" si="64"/>
        <v>3.5519125683060107E-2</v>
      </c>
      <c r="AG173" s="111">
        <f t="shared" si="64"/>
        <v>3.5616438356164383E-2</v>
      </c>
      <c r="AH173" s="111">
        <f t="shared" si="64"/>
        <v>3.5616438356164383E-2</v>
      </c>
      <c r="AI173" s="111">
        <f t="shared" si="64"/>
        <v>3.5616438356164383E-2</v>
      </c>
      <c r="AJ173" s="111">
        <f t="shared" si="64"/>
        <v>3.5519125683060107E-2</v>
      </c>
      <c r="AK173" s="111">
        <f t="shared" si="64"/>
        <v>3.5616438356164383E-2</v>
      </c>
      <c r="AL173" s="111">
        <f t="shared" si="64"/>
        <v>3.5616438356164383E-2</v>
      </c>
    </row>
    <row r="174" spans="4:39">
      <c r="K174" s="9"/>
    </row>
    <row r="175" spans="4:39">
      <c r="D175" t="s">
        <v>399</v>
      </c>
      <c r="E175" t="s">
        <v>108</v>
      </c>
      <c r="K175" s="9">
        <f>K76/Inputs!E34</f>
        <v>551.54081671843676</v>
      </c>
      <c r="L175" s="9">
        <f>L76/Inputs!F34</f>
        <v>623.41968911917104</v>
      </c>
      <c r="M175" s="9">
        <f>M76/Inputs!G34</f>
        <v>636.51637136020042</v>
      </c>
      <c r="N175" s="65">
        <f t="shared" ref="N175:AL175" si="65">N76/N58</f>
        <v>661.64923689626869</v>
      </c>
      <c r="O175" s="65">
        <f t="shared" si="65"/>
        <v>701.34819111004481</v>
      </c>
      <c r="P175" s="65">
        <f t="shared" si="65"/>
        <v>743.42908257664749</v>
      </c>
      <c r="Q175" s="65">
        <f t="shared" si="65"/>
        <v>788.03482753124626</v>
      </c>
      <c r="R175" s="65">
        <f t="shared" si="65"/>
        <v>835.31691718312118</v>
      </c>
      <c r="S175" s="65">
        <f t="shared" si="65"/>
        <v>885.43593221410856</v>
      </c>
      <c r="T175" s="65">
        <f t="shared" si="65"/>
        <v>938.56208814695515</v>
      </c>
      <c r="U175" s="65">
        <f t="shared" si="65"/>
        <v>994.87581343577244</v>
      </c>
      <c r="V175" s="65">
        <f t="shared" si="65"/>
        <v>1054.5683622419187</v>
      </c>
      <c r="W175" s="65">
        <f t="shared" si="65"/>
        <v>1117.8424639764339</v>
      </c>
      <c r="X175" s="65">
        <f t="shared" si="65"/>
        <v>1184.9130118150201</v>
      </c>
      <c r="Y175" s="65">
        <f t="shared" si="65"/>
        <v>1256.0077925239214</v>
      </c>
      <c r="Z175" s="65">
        <f t="shared" si="65"/>
        <v>1331.3682600753566</v>
      </c>
      <c r="AA175" s="65">
        <f t="shared" si="65"/>
        <v>731.79166040679934</v>
      </c>
      <c r="AB175" s="65">
        <f t="shared" si="65"/>
        <v>775.69916003120738</v>
      </c>
      <c r="AC175" s="65">
        <f t="shared" si="65"/>
        <v>822.24110963307999</v>
      </c>
      <c r="AD175" s="65">
        <f t="shared" si="65"/>
        <v>871.5755762110648</v>
      </c>
      <c r="AE175" s="65">
        <f t="shared" si="65"/>
        <v>923.87011078372871</v>
      </c>
      <c r="AF175" s="65">
        <f t="shared" si="65"/>
        <v>979.30231743075251</v>
      </c>
      <c r="AG175" s="65">
        <f t="shared" si="65"/>
        <v>1038.0604564765977</v>
      </c>
      <c r="AH175" s="65">
        <f t="shared" si="65"/>
        <v>1100.3440838651934</v>
      </c>
      <c r="AI175" s="65">
        <f t="shared" si="65"/>
        <v>1166.3647288971051</v>
      </c>
      <c r="AJ175" s="65">
        <f t="shared" si="65"/>
        <v>1236.3466126309315</v>
      </c>
      <c r="AK175" s="65">
        <f t="shared" si="65"/>
        <v>1310.5274093887874</v>
      </c>
      <c r="AL175" s="65">
        <f t="shared" si="65"/>
        <v>1389.1590539521146</v>
      </c>
    </row>
    <row r="176" spans="4:39">
      <c r="D176" s="7" t="s">
        <v>245</v>
      </c>
      <c r="E176" s="7" t="s">
        <v>211</v>
      </c>
      <c r="K176" s="9">
        <f>K172*K175</f>
        <v>50125049.396114781</v>
      </c>
      <c r="L176" s="9">
        <f t="shared" ref="L176:AL176" si="66">L172*L175</f>
        <v>58872507.185367659</v>
      </c>
      <c r="M176" s="9">
        <f t="shared" si="66"/>
        <v>52824234.355783097</v>
      </c>
      <c r="N176" s="9">
        <f t="shared" si="66"/>
        <v>63890410.958904125</v>
      </c>
      <c r="O176" s="9">
        <f t="shared" si="66"/>
        <v>67723835.616438374</v>
      </c>
      <c r="P176" s="9">
        <f t="shared" si="66"/>
        <v>71591125.68306011</v>
      </c>
      <c r="Q176" s="9">
        <f t="shared" si="66"/>
        <v>76094501.698630139</v>
      </c>
      <c r="R176" s="9">
        <f t="shared" si="66"/>
        <v>80660171.800547957</v>
      </c>
      <c r="S176" s="9">
        <f t="shared" si="66"/>
        <v>85499782.108580858</v>
      </c>
      <c r="T176" s="9">
        <f t="shared" si="66"/>
        <v>90382146.71532768</v>
      </c>
      <c r="U176" s="9">
        <f t="shared" si="66"/>
        <v>96067555.17720145</v>
      </c>
      <c r="V176" s="9">
        <f t="shared" si="66"/>
        <v>101831608.48783353</v>
      </c>
      <c r="W176" s="9">
        <f t="shared" si="66"/>
        <v>107941504.99710356</v>
      </c>
      <c r="X176" s="9">
        <f t="shared" si="66"/>
        <v>114105377.82344089</v>
      </c>
      <c r="Y176" s="9">
        <f t="shared" si="66"/>
        <v>121283075.01474558</v>
      </c>
      <c r="Z176" s="9">
        <f t="shared" si="66"/>
        <v>128560059.5156303</v>
      </c>
      <c r="AA176" s="9">
        <f t="shared" si="66"/>
        <v>161050692.73867139</v>
      </c>
      <c r="AB176" s="9">
        <f t="shared" si="66"/>
        <v>170247303.33495075</v>
      </c>
      <c r="AC176" s="9">
        <f t="shared" si="66"/>
        <v>180956558.36117125</v>
      </c>
      <c r="AD176" s="9">
        <f t="shared" si="66"/>
        <v>191813951.86284152</v>
      </c>
      <c r="AE176" s="9">
        <f t="shared" si="66"/>
        <v>203322788.97461203</v>
      </c>
      <c r="AF176" s="9">
        <f t="shared" si="66"/>
        <v>214933297.96250653</v>
      </c>
      <c r="AG176" s="9">
        <f t="shared" si="66"/>
        <v>228453485.69187409</v>
      </c>
      <c r="AH176" s="9">
        <f t="shared" si="66"/>
        <v>242160694.83338651</v>
      </c>
      <c r="AI176" s="9">
        <f t="shared" si="66"/>
        <v>256690336.52338973</v>
      </c>
      <c r="AJ176" s="9">
        <f t="shared" si="66"/>
        <v>271348336.61447948</v>
      </c>
      <c r="AK176" s="9">
        <f t="shared" si="66"/>
        <v>288417262.11768073</v>
      </c>
      <c r="AL176" s="9">
        <f t="shared" si="66"/>
        <v>305722297.84474152</v>
      </c>
    </row>
    <row r="177" spans="4:39">
      <c r="D177" t="s">
        <v>316</v>
      </c>
      <c r="E177" s="7" t="s">
        <v>211</v>
      </c>
      <c r="K177" s="65">
        <f t="shared" ref="K177:AL177" si="67">K141+K164+K137</f>
        <v>316390.48510273971</v>
      </c>
      <c r="L177" s="65">
        <f t="shared" si="67"/>
        <v>326544.85109495081</v>
      </c>
      <c r="M177" s="65">
        <f t="shared" si="67"/>
        <v>371886.20187630242</v>
      </c>
      <c r="N177" s="65">
        <f t="shared" si="67"/>
        <v>1651951.9380186312</v>
      </c>
      <c r="O177" s="65">
        <f t="shared" si="67"/>
        <v>2070285.0499845811</v>
      </c>
      <c r="P177" s="65">
        <f t="shared" si="67"/>
        <v>2263716.5544900568</v>
      </c>
      <c r="Q177" s="65">
        <f t="shared" si="67"/>
        <v>2634067.5029962598</v>
      </c>
      <c r="R177" s="65">
        <f t="shared" si="67"/>
        <v>2880037.8068099362</v>
      </c>
      <c r="S177" s="65">
        <f t="shared" si="67"/>
        <v>3148996.2261925661</v>
      </c>
      <c r="T177" s="65">
        <f t="shared" si="67"/>
        <v>3443092.3664693232</v>
      </c>
      <c r="U177" s="65">
        <f t="shared" si="67"/>
        <v>3764676.9110862929</v>
      </c>
      <c r="V177" s="65">
        <f t="shared" si="67"/>
        <v>4116320.4350263374</v>
      </c>
      <c r="W177" s="65">
        <f t="shared" si="67"/>
        <v>4500833.9787109112</v>
      </c>
      <c r="X177" s="65">
        <f t="shared" si="67"/>
        <v>4921291.5471423287</v>
      </c>
      <c r="Y177" s="65">
        <f t="shared" si="67"/>
        <v>5381054.714460372</v>
      </c>
      <c r="Z177" s="65">
        <f t="shared" si="67"/>
        <v>5883799.5309497146</v>
      </c>
      <c r="AA177" s="65">
        <f t="shared" si="67"/>
        <v>7279741.0196861941</v>
      </c>
      <c r="AB177" s="65">
        <f t="shared" si="67"/>
        <v>7958502.5930274585</v>
      </c>
      <c r="AC177" s="65">
        <f t="shared" si="67"/>
        <v>8700638.9184673857</v>
      </c>
      <c r="AD177" s="65">
        <f t="shared" si="67"/>
        <v>9512072.4329324421</v>
      </c>
      <c r="AE177" s="65">
        <f t="shared" si="67"/>
        <v>10399279.347053219</v>
      </c>
      <c r="AF177" s="65">
        <f t="shared" si="67"/>
        <v>11369341.444399599</v>
      </c>
      <c r="AG177" s="65">
        <f t="shared" si="67"/>
        <v>12430002.727085331</v>
      </c>
      <c r="AH177" s="65">
        <f t="shared" si="67"/>
        <v>13589731.361239841</v>
      </c>
      <c r="AI177" s="65">
        <f t="shared" si="67"/>
        <v>14857787.418285176</v>
      </c>
      <c r="AJ177" s="65">
        <f t="shared" si="67"/>
        <v>16244296.954367951</v>
      </c>
      <c r="AK177" s="65">
        <f t="shared" si="67"/>
        <v>17760333.021051951</v>
      </c>
      <c r="AL177" s="65">
        <f t="shared" si="67"/>
        <v>19418004.255882882</v>
      </c>
    </row>
    <row r="178" spans="4:39">
      <c r="D178" s="110" t="s">
        <v>335</v>
      </c>
      <c r="E178" s="109" t="s">
        <v>211</v>
      </c>
      <c r="F178" s="110"/>
      <c r="G178" s="110"/>
      <c r="H178" s="110"/>
      <c r="I178" s="110"/>
      <c r="J178" s="110"/>
      <c r="K178" s="122">
        <f>K176+K177</f>
        <v>50441439.881217524</v>
      </c>
      <c r="L178" s="122">
        <f t="shared" ref="L178:AL178" si="68">L176+L177</f>
        <v>59199052.036462612</v>
      </c>
      <c r="M178" s="122">
        <f t="shared" si="68"/>
        <v>53196120.557659402</v>
      </c>
      <c r="N178" s="122">
        <f t="shared" si="68"/>
        <v>65542362.896922752</v>
      </c>
      <c r="O178" s="122">
        <f t="shared" si="68"/>
        <v>69794120.666422948</v>
      </c>
      <c r="P178" s="122">
        <f t="shared" si="68"/>
        <v>73854842.237550169</v>
      </c>
      <c r="Q178" s="122">
        <f t="shared" si="68"/>
        <v>78728569.201626405</v>
      </c>
      <c r="R178" s="122">
        <f t="shared" si="68"/>
        <v>83540209.607357889</v>
      </c>
      <c r="S178" s="122">
        <f t="shared" si="68"/>
        <v>88648778.334773421</v>
      </c>
      <c r="T178" s="122">
        <f t="shared" si="68"/>
        <v>93825239.081797004</v>
      </c>
      <c r="U178" s="122">
        <f t="shared" si="68"/>
        <v>99832232.088287741</v>
      </c>
      <c r="V178" s="122">
        <f t="shared" si="68"/>
        <v>105947928.92285986</v>
      </c>
      <c r="W178" s="122">
        <f t="shared" si="68"/>
        <v>112442338.97581446</v>
      </c>
      <c r="X178" s="122">
        <f t="shared" si="68"/>
        <v>119026669.37058322</v>
      </c>
      <c r="Y178" s="122">
        <f t="shared" si="68"/>
        <v>126664129.72920595</v>
      </c>
      <c r="Z178" s="122">
        <f t="shared" si="68"/>
        <v>134443859.04658002</v>
      </c>
      <c r="AA178" s="122">
        <f t="shared" si="68"/>
        <v>168330433.75835758</v>
      </c>
      <c r="AB178" s="122">
        <f t="shared" si="68"/>
        <v>178205805.92797822</v>
      </c>
      <c r="AC178" s="122">
        <f t="shared" si="68"/>
        <v>189657197.27963862</v>
      </c>
      <c r="AD178" s="122">
        <f t="shared" si="68"/>
        <v>201326024.29577395</v>
      </c>
      <c r="AE178" s="122">
        <f t="shared" si="68"/>
        <v>213722068.32166526</v>
      </c>
      <c r="AF178" s="122">
        <f t="shared" si="68"/>
        <v>226302639.40690613</v>
      </c>
      <c r="AG178" s="122">
        <f t="shared" si="68"/>
        <v>240883488.41895941</v>
      </c>
      <c r="AH178" s="122">
        <f t="shared" si="68"/>
        <v>255750426.19462636</v>
      </c>
      <c r="AI178" s="122">
        <f t="shared" si="68"/>
        <v>271548123.94167489</v>
      </c>
      <c r="AJ178" s="122">
        <f t="shared" si="68"/>
        <v>287592633.56884742</v>
      </c>
      <c r="AK178" s="122">
        <f t="shared" si="68"/>
        <v>306177595.13873267</v>
      </c>
      <c r="AL178" s="122">
        <f t="shared" si="68"/>
        <v>325140302.10062438</v>
      </c>
    </row>
    <row r="179" spans="4:39">
      <c r="D179" t="s">
        <v>473</v>
      </c>
      <c r="E179" s="7" t="s">
        <v>337</v>
      </c>
      <c r="K179" s="65">
        <f>K178/K23</f>
        <v>261.35461078351051</v>
      </c>
      <c r="L179" s="65">
        <f>L178/L23</f>
        <v>324.83763612252471</v>
      </c>
      <c r="M179" s="65">
        <f>M178/M23</f>
        <v>279.96713872820197</v>
      </c>
      <c r="N179" s="65">
        <f>N178/N23</f>
        <v>129.2957034678918</v>
      </c>
      <c r="O179" s="65">
        <f t="shared" ref="O179:W179" si="69">O164/O23</f>
        <v>2.5436347158479555</v>
      </c>
      <c r="P179" s="65">
        <f t="shared" si="69"/>
        <v>2.7817189252513241</v>
      </c>
      <c r="Q179" s="65">
        <f t="shared" si="69"/>
        <v>2.5827482172766403</v>
      </c>
      <c r="R179" s="65">
        <f t="shared" si="69"/>
        <v>2.8244934504137333</v>
      </c>
      <c r="S179" s="65">
        <f t="shared" si="69"/>
        <v>3.0888660373724588</v>
      </c>
      <c r="T179" s="65">
        <f t="shared" si="69"/>
        <v>3.3779838984705202</v>
      </c>
      <c r="U179" s="65">
        <f t="shared" si="69"/>
        <v>3.6941631913673607</v>
      </c>
      <c r="V179" s="65">
        <f t="shared" si="69"/>
        <v>4.0399368660793451</v>
      </c>
      <c r="W179" s="65">
        <f t="shared" si="69"/>
        <v>4.4180749567443716</v>
      </c>
      <c r="X179" s="65">
        <f t="shared" ref="X179:AL179" si="70">X178/X23</f>
        <v>199.35016710282218</v>
      </c>
      <c r="Y179" s="65">
        <f t="shared" si="70"/>
        <v>212.1416617046942</v>
      </c>
      <c r="Z179" s="65">
        <f t="shared" si="70"/>
        <v>225.1714334998255</v>
      </c>
      <c r="AA179" s="65">
        <f t="shared" si="70"/>
        <v>213.76056450360949</v>
      </c>
      <c r="AB179" s="65">
        <f t="shared" si="70"/>
        <v>226.30116742685559</v>
      </c>
      <c r="AC179" s="65">
        <f t="shared" si="70"/>
        <v>240.8431360122668</v>
      </c>
      <c r="AD179" s="65">
        <f t="shared" si="70"/>
        <v>255.66122323732995</v>
      </c>
      <c r="AE179" s="65">
        <f t="shared" si="70"/>
        <v>271.40279360831795</v>
      </c>
      <c r="AF179" s="65">
        <f t="shared" si="70"/>
        <v>287.37869242183456</v>
      </c>
      <c r="AG179" s="65">
        <f t="shared" si="70"/>
        <v>305.89471739823699</v>
      </c>
      <c r="AH179" s="65">
        <f t="shared" si="70"/>
        <v>324.77404266587484</v>
      </c>
      <c r="AI179" s="65">
        <f t="shared" si="70"/>
        <v>344.83532756171343</v>
      </c>
      <c r="AJ179" s="65">
        <f t="shared" si="70"/>
        <v>365.21003556021708</v>
      </c>
      <c r="AK179" s="65">
        <f t="shared" si="70"/>
        <v>388.81082947345271</v>
      </c>
      <c r="AL179" s="65">
        <f t="shared" si="70"/>
        <v>412.89131720337423</v>
      </c>
    </row>
    <row r="180" spans="4:39">
      <c r="D180" s="7" t="s">
        <v>247</v>
      </c>
      <c r="E180" s="7" t="s">
        <v>101</v>
      </c>
      <c r="K180" s="10">
        <f>K176/20000000000</f>
        <v>2.5062524698057391E-3</v>
      </c>
    </row>
    <row r="181" spans="4:39">
      <c r="D181" s="7"/>
      <c r="E181" s="7"/>
      <c r="K181" s="10"/>
    </row>
    <row r="182" spans="4:39">
      <c r="D182" s="7"/>
      <c r="E182" s="7"/>
      <c r="K182" s="10"/>
    </row>
    <row r="183" spans="4:39">
      <c r="D183" s="110" t="s">
        <v>348</v>
      </c>
      <c r="E183" s="110" t="s">
        <v>211</v>
      </c>
      <c r="F183" s="110"/>
      <c r="G183" s="110"/>
      <c r="H183" s="110"/>
      <c r="I183" s="110"/>
      <c r="J183" s="110"/>
      <c r="K183" s="122">
        <f t="shared" ref="K183:AL183" si="71">K80+K83+K88</f>
        <v>9446804.7750000004</v>
      </c>
      <c r="L183" s="122">
        <f t="shared" si="71"/>
        <v>9561710.1156316809</v>
      </c>
      <c r="M183" s="122">
        <f t="shared" si="71"/>
        <v>10573824.57784687</v>
      </c>
      <c r="N183" s="122">
        <f t="shared" si="71"/>
        <v>30157134.37601541</v>
      </c>
      <c r="O183" s="122">
        <f t="shared" si="71"/>
        <v>31243103.947031002</v>
      </c>
      <c r="P183" s="122">
        <f t="shared" si="71"/>
        <v>33732930.163411394</v>
      </c>
      <c r="Q183" s="122">
        <f t="shared" si="71"/>
        <v>45299529.85362561</v>
      </c>
      <c r="R183" s="122">
        <f t="shared" si="71"/>
        <v>48624424.409519926</v>
      </c>
      <c r="S183" s="122">
        <f t="shared" si="71"/>
        <v>52201537.232889295</v>
      </c>
      <c r="T183" s="122">
        <f t="shared" si="71"/>
        <v>56050613.855036423</v>
      </c>
      <c r="U183" s="122">
        <f t="shared" si="71"/>
        <v>60192990.778728314</v>
      </c>
      <c r="V183" s="122">
        <f t="shared" si="71"/>
        <v>64651726.947245404</v>
      </c>
      <c r="W183" s="122">
        <f t="shared" si="71"/>
        <v>69451746.313133135</v>
      </c>
      <c r="X183" s="122">
        <f t="shared" si="71"/>
        <v>74619992.46067512</v>
      </c>
      <c r="Y183" s="122">
        <f t="shared" si="71"/>
        <v>80185596.319316208</v>
      </c>
      <c r="Z183" s="122">
        <f t="shared" si="71"/>
        <v>86180058.09581697</v>
      </c>
      <c r="AA183" s="122">
        <f t="shared" si="71"/>
        <v>129160006.02461575</v>
      </c>
      <c r="AB183" s="122">
        <f t="shared" si="71"/>
        <v>138587313.12441722</v>
      </c>
      <c r="AC183" s="122">
        <f t="shared" si="71"/>
        <v>148725772.29835308</v>
      </c>
      <c r="AD183" s="122">
        <f t="shared" si="71"/>
        <v>159630762.69183564</v>
      </c>
      <c r="AE183" s="122">
        <f t="shared" si="71"/>
        <v>171362103.96250051</v>
      </c>
      <c r="AF183" s="122">
        <f t="shared" si="71"/>
        <v>183984421.65394068</v>
      </c>
      <c r="AG183" s="122">
        <f t="shared" si="71"/>
        <v>197567543.30423665</v>
      </c>
      <c r="AH183" s="122">
        <f t="shared" si="71"/>
        <v>212186927.92276055</v>
      </c>
      <c r="AI183" s="122">
        <f t="shared" si="71"/>
        <v>227924131.69782948</v>
      </c>
      <c r="AJ183" s="122">
        <f t="shared" si="71"/>
        <v>244867313.04705566</v>
      </c>
      <c r="AK183" s="122">
        <f t="shared" si="71"/>
        <v>263111780.393489</v>
      </c>
      <c r="AL183" s="122">
        <f t="shared" si="71"/>
        <v>282760586.34582424</v>
      </c>
    </row>
    <row r="184" spans="4:39">
      <c r="D184" t="s">
        <v>336</v>
      </c>
      <c r="E184" t="s">
        <v>211</v>
      </c>
      <c r="K184" s="65">
        <f>K183+K178</f>
        <v>59888244.656217523</v>
      </c>
      <c r="L184" s="65">
        <f t="shared" ref="L184:AL184" si="72">L183+L178</f>
        <v>68760762.15209429</v>
      </c>
      <c r="M184" s="65">
        <f t="shared" si="72"/>
        <v>63769945.135506272</v>
      </c>
      <c r="N184" s="65">
        <f t="shared" si="72"/>
        <v>95699497.272938162</v>
      </c>
      <c r="O184" s="65">
        <f t="shared" si="72"/>
        <v>101037224.61345395</v>
      </c>
      <c r="P184" s="65">
        <f t="shared" si="72"/>
        <v>107587772.40096156</v>
      </c>
      <c r="Q184" s="65">
        <f t="shared" si="72"/>
        <v>124028099.05525202</v>
      </c>
      <c r="R184" s="65">
        <f t="shared" si="72"/>
        <v>132164634.01687782</v>
      </c>
      <c r="S184" s="65">
        <f t="shared" si="72"/>
        <v>140850315.56766272</v>
      </c>
      <c r="T184" s="65">
        <f t="shared" si="72"/>
        <v>149875852.93683344</v>
      </c>
      <c r="U184" s="65">
        <f t="shared" si="72"/>
        <v>160025222.86701605</v>
      </c>
      <c r="V184" s="65">
        <f t="shared" si="72"/>
        <v>170599655.87010527</v>
      </c>
      <c r="W184" s="65">
        <f t="shared" si="72"/>
        <v>181894085.28894758</v>
      </c>
      <c r="X184" s="65">
        <f t="shared" si="72"/>
        <v>193646661.83125836</v>
      </c>
      <c r="Y184" s="65">
        <f t="shared" si="72"/>
        <v>206849726.04852217</v>
      </c>
      <c r="Z184" s="65">
        <f t="shared" si="72"/>
        <v>220623917.14239699</v>
      </c>
      <c r="AA184" s="65">
        <f t="shared" si="72"/>
        <v>297490439.78297335</v>
      </c>
      <c r="AB184" s="65">
        <f t="shared" si="72"/>
        <v>316793119.05239546</v>
      </c>
      <c r="AC184" s="65">
        <f t="shared" si="72"/>
        <v>338382969.57799172</v>
      </c>
      <c r="AD184" s="65">
        <f t="shared" si="72"/>
        <v>360956786.98760962</v>
      </c>
      <c r="AE184" s="65">
        <f t="shared" si="72"/>
        <v>385084172.28416574</v>
      </c>
      <c r="AF184" s="65">
        <f t="shared" si="72"/>
        <v>410287061.06084681</v>
      </c>
      <c r="AG184" s="65">
        <f t="shared" si="72"/>
        <v>438451031.72319603</v>
      </c>
      <c r="AH184" s="65">
        <f t="shared" si="72"/>
        <v>467937354.11738694</v>
      </c>
      <c r="AI184" s="65">
        <f t="shared" si="72"/>
        <v>499472255.63950437</v>
      </c>
      <c r="AJ184" s="65">
        <f t="shared" si="72"/>
        <v>532459946.61590308</v>
      </c>
      <c r="AK184" s="65">
        <f t="shared" si="72"/>
        <v>569289375.53222167</v>
      </c>
      <c r="AL184" s="65">
        <f t="shared" si="72"/>
        <v>607900888.44644856</v>
      </c>
      <c r="AM184" s="65">
        <f>SUM(M184:AL184)/10^6</f>
        <v>7273.1580108683756</v>
      </c>
    </row>
    <row r="185" spans="4:39">
      <c r="D185" s="109" t="s">
        <v>336</v>
      </c>
      <c r="E185" s="110" t="s">
        <v>337</v>
      </c>
      <c r="F185" s="110"/>
      <c r="G185" s="110"/>
      <c r="H185" s="110"/>
      <c r="I185" s="110"/>
      <c r="J185" s="110">
        <f>K185/K94</f>
        <v>6.3395239006849824</v>
      </c>
      <c r="K185" s="113">
        <f t="shared" ref="K185:AL185" si="73">K184/K23</f>
        <v>310.30178578351047</v>
      </c>
      <c r="L185" s="113">
        <f t="shared" si="73"/>
        <v>377.30474842252465</v>
      </c>
      <c r="M185" s="113">
        <f t="shared" si="73"/>
        <v>335.61637369948198</v>
      </c>
      <c r="N185" s="113">
        <f t="shared" si="73"/>
        <v>188.78681320793635</v>
      </c>
      <c r="O185" s="113">
        <f t="shared" si="73"/>
        <v>199.31657107609814</v>
      </c>
      <c r="P185" s="113">
        <f t="shared" si="73"/>
        <v>212.23886509863488</v>
      </c>
      <c r="Q185" s="113">
        <f t="shared" si="73"/>
        <v>207.72674227428666</v>
      </c>
      <c r="R185" s="113">
        <f t="shared" si="73"/>
        <v>221.35410505621905</v>
      </c>
      <c r="S185" s="113">
        <f t="shared" si="73"/>
        <v>235.90119839006644</v>
      </c>
      <c r="T185" s="113">
        <f t="shared" si="73"/>
        <v>251.01749452984251</v>
      </c>
      <c r="U185" s="113">
        <f t="shared" si="73"/>
        <v>268.01602605449511</v>
      </c>
      <c r="V185" s="113">
        <f t="shared" si="73"/>
        <v>285.72646857406392</v>
      </c>
      <c r="W185" s="113">
        <f t="shared" si="73"/>
        <v>304.64278710909053</v>
      </c>
      <c r="X185" s="113">
        <f t="shared" si="73"/>
        <v>324.32642700246544</v>
      </c>
      <c r="Y185" s="113">
        <f t="shared" si="73"/>
        <v>346.4393960698107</v>
      </c>
      <c r="Z185" s="113">
        <f t="shared" si="73"/>
        <v>369.50890906879221</v>
      </c>
      <c r="AA185" s="113">
        <f t="shared" si="73"/>
        <v>377.779127176271</v>
      </c>
      <c r="AB185" s="113">
        <f t="shared" si="73"/>
        <v>402.29134118854512</v>
      </c>
      <c r="AC185" s="113">
        <f t="shared" si="73"/>
        <v>429.70800336221379</v>
      </c>
      <c r="AD185" s="113">
        <f t="shared" si="73"/>
        <v>458.37419191019973</v>
      </c>
      <c r="AE185" s="113">
        <f t="shared" si="73"/>
        <v>489.01323552124165</v>
      </c>
      <c r="AF185" s="113">
        <f t="shared" si="73"/>
        <v>521.01804660465359</v>
      </c>
      <c r="AG185" s="113">
        <f t="shared" si="73"/>
        <v>556.783095936667</v>
      </c>
      <c r="AH185" s="113">
        <f t="shared" si="73"/>
        <v>594.22738203151425</v>
      </c>
      <c r="AI185" s="113">
        <f t="shared" si="73"/>
        <v>634.27313133796645</v>
      </c>
      <c r="AJ185" s="113">
        <f t="shared" si="73"/>
        <v>676.16375852489671</v>
      </c>
      <c r="AK185" s="113">
        <f t="shared" si="73"/>
        <v>722.93295729497322</v>
      </c>
      <c r="AL185" s="113">
        <f t="shared" si="73"/>
        <v>771.96520067843539</v>
      </c>
    </row>
    <row r="186" spans="4:39">
      <c r="E186" t="s">
        <v>108</v>
      </c>
      <c r="J186">
        <f>K186/K95</f>
        <v>5.9665863957588288</v>
      </c>
      <c r="K186" s="65">
        <f>K184/Inputs!E34</f>
        <v>18.691043101812905</v>
      </c>
      <c r="L186" s="65">
        <f>L184/Inputs!F34</f>
        <v>22.801496257689298</v>
      </c>
      <c r="M186" s="65">
        <f>M184/Inputs!G34</f>
        <v>20.295307039745762</v>
      </c>
      <c r="N186" s="65">
        <f>N184/Inputs!H34</f>
        <v>34.752483381061431</v>
      </c>
      <c r="O186" s="65">
        <f t="shared" ref="O186:AL186" si="74">O184/O58</f>
        <v>31.533586114909763</v>
      </c>
      <c r="P186" s="65">
        <f t="shared" si="74"/>
        <v>33.578003541729082</v>
      </c>
      <c r="Q186" s="65">
        <f t="shared" si="74"/>
        <v>38.709008063019958</v>
      </c>
      <c r="R186" s="65">
        <f t="shared" si="74"/>
        <v>41.248410019783883</v>
      </c>
      <c r="S186" s="65">
        <f t="shared" si="74"/>
        <v>43.959199911293709</v>
      </c>
      <c r="T186" s="65">
        <f t="shared" si="74"/>
        <v>46.776058360770392</v>
      </c>
      <c r="U186" s="65">
        <f t="shared" si="74"/>
        <v>49.943663487790793</v>
      </c>
      <c r="V186" s="65">
        <f t="shared" si="74"/>
        <v>53.243930245859048</v>
      </c>
      <c r="W186" s="65">
        <f t="shared" si="74"/>
        <v>56.76890694687593</v>
      </c>
      <c r="X186" s="65">
        <f t="shared" si="74"/>
        <v>60.436870768000887</v>
      </c>
      <c r="Y186" s="65">
        <f t="shared" si="74"/>
        <v>64.557529901984395</v>
      </c>
      <c r="Z186" s="65">
        <f t="shared" si="74"/>
        <v>68.85643698977951</v>
      </c>
      <c r="AA186" s="65">
        <f t="shared" si="74"/>
        <v>48.144686184001976</v>
      </c>
      <c r="AB186" s="65">
        <f t="shared" si="74"/>
        <v>51.26855610269493</v>
      </c>
      <c r="AC186" s="65">
        <f t="shared" si="74"/>
        <v>54.762572848485611</v>
      </c>
      <c r="AD186" s="65">
        <f t="shared" si="74"/>
        <v>58.415830936220694</v>
      </c>
      <c r="AE186" s="65">
        <f t="shared" si="74"/>
        <v>62.320512358556876</v>
      </c>
      <c r="AF186" s="65">
        <f t="shared" si="74"/>
        <v>66.399249046595699</v>
      </c>
      <c r="AG186" s="65">
        <f t="shared" si="74"/>
        <v>70.957195615310425</v>
      </c>
      <c r="AH186" s="65">
        <f t="shared" si="74"/>
        <v>75.729146402785389</v>
      </c>
      <c r="AI186" s="65">
        <f t="shared" si="74"/>
        <v>80.832631202946843</v>
      </c>
      <c r="AJ186" s="65">
        <f t="shared" si="74"/>
        <v>86.171229751364621</v>
      </c>
      <c r="AK186" s="65">
        <f t="shared" si="74"/>
        <v>92.131560102839842</v>
      </c>
      <c r="AL186" s="65">
        <f t="shared" si="74"/>
        <v>98.380295940203681</v>
      </c>
    </row>
  </sheetData>
  <conditionalFormatting sqref="K6:AL6">
    <cfRule type="cellIs" dxfId="13" priority="2" operator="equal">
      <formula>1</formula>
    </cfRule>
  </conditionalFormatting>
  <conditionalFormatting sqref="K7:AL7">
    <cfRule type="cellIs" dxfId="12" priority="1" operator="equal">
      <formula>1</formula>
    </cfRule>
  </conditionalFormatting>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18621-E9B7-41EC-A00B-3DF7CD08A2AE}">
  <sheetPr codeName="Sheet4">
    <tabColor theme="0" tint="-0.499984740745262"/>
  </sheetPr>
  <dimension ref="A1:OG27"/>
  <sheetViews>
    <sheetView workbookViewId="0">
      <selection activeCell="J4" sqref="J4"/>
    </sheetView>
  </sheetViews>
  <sheetFormatPr defaultColWidth="0" defaultRowHeight="12.75"/>
  <cols>
    <col min="1" max="2" width="1.7109375" customWidth="1"/>
    <col min="3" max="3" width="35" customWidth="1"/>
    <col min="4" max="4" width="8.85546875" customWidth="1"/>
    <col min="5" max="5" width="9.28515625" bestFit="1" customWidth="1"/>
    <col min="6" max="6" width="11.140625" bestFit="1" customWidth="1"/>
    <col min="7" max="8" width="1.140625" customWidth="1"/>
    <col min="9" max="9" width="9.7109375" bestFit="1" customWidth="1"/>
    <col min="10" max="38" width="9.28515625" customWidth="1"/>
    <col min="39" max="39" width="2.85546875" customWidth="1"/>
    <col min="40" max="397" width="0" hidden="1" customWidth="1"/>
    <col min="398" max="16384" width="8.85546875" hidden="1"/>
  </cols>
  <sheetData>
    <row r="1" spans="1:38" ht="23.25">
      <c r="A1" s="30" t="s">
        <v>15</v>
      </c>
      <c r="B1" s="30"/>
      <c r="C1" s="30"/>
      <c r="D1" s="30"/>
      <c r="E1" s="30" t="s">
        <v>73</v>
      </c>
      <c r="F1" s="30"/>
      <c r="G1" s="30"/>
      <c r="H1" s="30"/>
      <c r="I1" s="30"/>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row>
    <row r="2" spans="1:38" ht="15.75">
      <c r="A2" s="17" t="str">
        <f>Name_Model</f>
        <v>Aspen PE</v>
      </c>
      <c r="B2" s="17"/>
      <c r="C2" s="17"/>
      <c r="D2" s="17"/>
      <c r="E2" s="17"/>
      <c r="F2" s="17"/>
      <c r="G2" s="17"/>
      <c r="H2" s="17"/>
      <c r="I2" s="17"/>
      <c r="J2" s="17"/>
      <c r="K2" s="17"/>
      <c r="L2" s="17"/>
      <c r="M2" s="17"/>
      <c r="N2" s="17"/>
      <c r="O2" s="17"/>
      <c r="P2" s="17"/>
      <c r="Q2" s="17"/>
      <c r="R2" s="17"/>
      <c r="S2" s="17"/>
      <c r="T2" s="17"/>
      <c r="U2" s="17"/>
      <c r="V2" s="17"/>
      <c r="W2" s="17"/>
      <c r="X2" s="17"/>
      <c r="Y2" s="17"/>
      <c r="Z2" s="17"/>
      <c r="AA2" s="17"/>
      <c r="AB2" s="17"/>
      <c r="AC2" s="17"/>
      <c r="AD2" s="17"/>
      <c r="AE2" s="17"/>
      <c r="AF2" s="17"/>
      <c r="AG2" s="17"/>
      <c r="AH2" s="17"/>
      <c r="AI2" s="17"/>
      <c r="AJ2" s="17"/>
      <c r="AK2" s="17"/>
      <c r="AL2" s="17"/>
    </row>
    <row r="4" spans="1:38">
      <c r="C4" t="s">
        <v>70</v>
      </c>
      <c r="D4" s="16" t="s">
        <v>17</v>
      </c>
      <c r="J4" s="37">
        <f>I5+1</f>
        <v>44743</v>
      </c>
      <c r="K4" s="37">
        <f t="shared" ref="K4:AL4" si="0">J5+1</f>
        <v>45108</v>
      </c>
      <c r="L4" s="37">
        <f t="shared" si="0"/>
        <v>45474</v>
      </c>
      <c r="M4" s="37">
        <f t="shared" si="0"/>
        <v>45839</v>
      </c>
      <c r="N4" s="37">
        <f t="shared" si="0"/>
        <v>46204</v>
      </c>
      <c r="O4" s="37">
        <f t="shared" si="0"/>
        <v>46569</v>
      </c>
      <c r="P4" s="37">
        <f t="shared" si="0"/>
        <v>46935</v>
      </c>
      <c r="Q4" s="37">
        <f t="shared" si="0"/>
        <v>47300</v>
      </c>
      <c r="R4" s="37">
        <f t="shared" si="0"/>
        <v>47665</v>
      </c>
      <c r="S4" s="37">
        <f t="shared" si="0"/>
        <v>48030</v>
      </c>
      <c r="T4" s="37">
        <f t="shared" si="0"/>
        <v>48396</v>
      </c>
      <c r="U4" s="37">
        <f t="shared" si="0"/>
        <v>48761</v>
      </c>
      <c r="V4" s="37">
        <f t="shared" si="0"/>
        <v>49126</v>
      </c>
      <c r="W4" s="37">
        <f t="shared" si="0"/>
        <v>49491</v>
      </c>
      <c r="X4" s="37">
        <f t="shared" si="0"/>
        <v>49857</v>
      </c>
      <c r="Y4" s="37">
        <f t="shared" si="0"/>
        <v>50222</v>
      </c>
      <c r="Z4" s="37">
        <f t="shared" si="0"/>
        <v>50587</v>
      </c>
      <c r="AA4" s="37">
        <f t="shared" si="0"/>
        <v>50952</v>
      </c>
      <c r="AB4" s="37">
        <f t="shared" si="0"/>
        <v>51318</v>
      </c>
      <c r="AC4" s="37">
        <f t="shared" si="0"/>
        <v>51683</v>
      </c>
      <c r="AD4" s="37">
        <f t="shared" si="0"/>
        <v>52048</v>
      </c>
      <c r="AE4" s="37">
        <f t="shared" si="0"/>
        <v>52413</v>
      </c>
      <c r="AF4" s="37">
        <f t="shared" si="0"/>
        <v>52779</v>
      </c>
      <c r="AG4" s="37">
        <f t="shared" si="0"/>
        <v>53144</v>
      </c>
      <c r="AH4" s="37">
        <f t="shared" si="0"/>
        <v>53509</v>
      </c>
      <c r="AI4" s="37">
        <f t="shared" si="0"/>
        <v>53874</v>
      </c>
      <c r="AJ4" s="37">
        <f t="shared" si="0"/>
        <v>54240</v>
      </c>
      <c r="AK4" s="37">
        <f t="shared" si="0"/>
        <v>54605</v>
      </c>
      <c r="AL4" s="37">
        <f t="shared" si="0"/>
        <v>54970</v>
      </c>
    </row>
    <row r="5" spans="1:38">
      <c r="C5" t="s">
        <v>71</v>
      </c>
      <c r="D5" s="16" t="s">
        <v>17</v>
      </c>
      <c r="E5" s="36" t="s">
        <v>16</v>
      </c>
      <c r="F5" s="36" t="s">
        <v>18</v>
      </c>
      <c r="I5" s="38">
        <f>Model_Start</f>
        <v>44742</v>
      </c>
      <c r="J5" s="37">
        <f>EOMONTH(J4,11)</f>
        <v>45107</v>
      </c>
      <c r="K5" s="37">
        <f t="shared" ref="K5:V5" si="1">EOMONTH(K4,11)</f>
        <v>45473</v>
      </c>
      <c r="L5" s="37">
        <f t="shared" si="1"/>
        <v>45838</v>
      </c>
      <c r="M5" s="37">
        <f t="shared" si="1"/>
        <v>46203</v>
      </c>
      <c r="N5" s="37">
        <f t="shared" si="1"/>
        <v>46568</v>
      </c>
      <c r="O5" s="37">
        <f t="shared" si="1"/>
        <v>46934</v>
      </c>
      <c r="P5" s="37">
        <f t="shared" si="1"/>
        <v>47299</v>
      </c>
      <c r="Q5" s="37">
        <f t="shared" si="1"/>
        <v>47664</v>
      </c>
      <c r="R5" s="37">
        <f t="shared" si="1"/>
        <v>48029</v>
      </c>
      <c r="S5" s="37">
        <f t="shared" si="1"/>
        <v>48395</v>
      </c>
      <c r="T5" s="37">
        <f t="shared" si="1"/>
        <v>48760</v>
      </c>
      <c r="U5" s="37">
        <f t="shared" si="1"/>
        <v>49125</v>
      </c>
      <c r="V5" s="37">
        <f t="shared" si="1"/>
        <v>49490</v>
      </c>
      <c r="W5" s="37">
        <f t="shared" ref="W5" si="2">EOMONTH(W4,11)</f>
        <v>49856</v>
      </c>
      <c r="X5" s="37">
        <f t="shared" ref="X5" si="3">EOMONTH(X4,11)</f>
        <v>50221</v>
      </c>
      <c r="Y5" s="37">
        <f t="shared" ref="Y5" si="4">EOMONTH(Y4,11)</f>
        <v>50586</v>
      </c>
      <c r="Z5" s="37">
        <f t="shared" ref="Z5" si="5">EOMONTH(Z4,11)</f>
        <v>50951</v>
      </c>
      <c r="AA5" s="37">
        <f t="shared" ref="AA5" si="6">EOMONTH(AA4,11)</f>
        <v>51317</v>
      </c>
      <c r="AB5" s="37">
        <f t="shared" ref="AB5" si="7">EOMONTH(AB4,11)</f>
        <v>51682</v>
      </c>
      <c r="AC5" s="37">
        <f t="shared" ref="AC5" si="8">EOMONTH(AC4,11)</f>
        <v>52047</v>
      </c>
      <c r="AD5" s="37">
        <f t="shared" ref="AD5" si="9">EOMONTH(AD4,11)</f>
        <v>52412</v>
      </c>
      <c r="AE5" s="37">
        <f t="shared" ref="AE5" si="10">EOMONTH(AE4,11)</f>
        <v>52778</v>
      </c>
      <c r="AF5" s="37">
        <f t="shared" ref="AF5" si="11">EOMONTH(AF4,11)</f>
        <v>53143</v>
      </c>
      <c r="AG5" s="37">
        <f t="shared" ref="AG5" si="12">EOMONTH(AG4,11)</f>
        <v>53508</v>
      </c>
      <c r="AH5" s="37">
        <f t="shared" ref="AH5" si="13">EOMONTH(AH4,11)</f>
        <v>53873</v>
      </c>
      <c r="AI5" s="37">
        <f t="shared" ref="AI5" si="14">EOMONTH(AI4,11)</f>
        <v>54239</v>
      </c>
      <c r="AJ5" s="37">
        <f t="shared" ref="AJ5:AK5" si="15">EOMONTH(AJ4,11)</f>
        <v>54604</v>
      </c>
      <c r="AK5" s="37">
        <f t="shared" si="15"/>
        <v>54969</v>
      </c>
      <c r="AL5" s="37">
        <f t="shared" ref="AL5" si="16">EOMONTH(AL4,0)</f>
        <v>55000</v>
      </c>
    </row>
    <row r="6" spans="1:38">
      <c r="C6" s="7" t="s">
        <v>95</v>
      </c>
      <c r="D6" s="16" t="s">
        <v>72</v>
      </c>
      <c r="E6" s="38">
        <f>Inputs!E9</f>
        <v>44743</v>
      </c>
      <c r="F6" s="38">
        <f>Inputs!E11</f>
        <v>45473</v>
      </c>
      <c r="J6" s="8">
        <f>IF(AND(J$4&gt;=$E6,J$5&lt;=$F6),1,0)</f>
        <v>1</v>
      </c>
      <c r="K6" s="8">
        <f t="shared" ref="K6:AL6" si="17">IF(AND(K$4&gt;=$E6,K$5&lt;=$F6),1,0)</f>
        <v>1</v>
      </c>
      <c r="L6" s="8">
        <f t="shared" si="17"/>
        <v>0</v>
      </c>
      <c r="M6" s="8">
        <f t="shared" si="17"/>
        <v>0</v>
      </c>
      <c r="N6" s="8">
        <f t="shared" si="17"/>
        <v>0</v>
      </c>
      <c r="O6" s="8">
        <f t="shared" si="17"/>
        <v>0</v>
      </c>
      <c r="P6" s="8">
        <f t="shared" si="17"/>
        <v>0</v>
      </c>
      <c r="Q6" s="8">
        <f t="shared" si="17"/>
        <v>0</v>
      </c>
      <c r="R6" s="8">
        <f t="shared" si="17"/>
        <v>0</v>
      </c>
      <c r="S6" s="8">
        <f t="shared" si="17"/>
        <v>0</v>
      </c>
      <c r="T6" s="8">
        <f t="shared" si="17"/>
        <v>0</v>
      </c>
      <c r="U6" s="8">
        <f t="shared" si="17"/>
        <v>0</v>
      </c>
      <c r="V6" s="8">
        <f t="shared" si="17"/>
        <v>0</v>
      </c>
      <c r="W6" s="8">
        <f t="shared" si="17"/>
        <v>0</v>
      </c>
      <c r="X6" s="8">
        <f t="shared" si="17"/>
        <v>0</v>
      </c>
      <c r="Y6" s="8">
        <f t="shared" si="17"/>
        <v>0</v>
      </c>
      <c r="Z6" s="8">
        <f t="shared" si="17"/>
        <v>0</v>
      </c>
      <c r="AA6" s="8">
        <f t="shared" si="17"/>
        <v>0</v>
      </c>
      <c r="AB6" s="8">
        <f t="shared" si="17"/>
        <v>0</v>
      </c>
      <c r="AC6" s="8">
        <f t="shared" si="17"/>
        <v>0</v>
      </c>
      <c r="AD6" s="8">
        <f t="shared" si="17"/>
        <v>0</v>
      </c>
      <c r="AE6" s="8">
        <f t="shared" si="17"/>
        <v>0</v>
      </c>
      <c r="AF6" s="8">
        <f t="shared" si="17"/>
        <v>0</v>
      </c>
      <c r="AG6" s="8">
        <f t="shared" si="17"/>
        <v>0</v>
      </c>
      <c r="AH6" s="8">
        <f t="shared" si="17"/>
        <v>0</v>
      </c>
      <c r="AI6" s="8">
        <f t="shared" si="17"/>
        <v>0</v>
      </c>
      <c r="AJ6" s="8">
        <f t="shared" si="17"/>
        <v>0</v>
      </c>
      <c r="AK6" s="8">
        <f t="shared" si="17"/>
        <v>0</v>
      </c>
      <c r="AL6" s="8">
        <f t="shared" si="17"/>
        <v>0</v>
      </c>
    </row>
    <row r="7" spans="1:38">
      <c r="C7" s="7" t="s">
        <v>103</v>
      </c>
      <c r="D7" s="16" t="s">
        <v>72</v>
      </c>
      <c r="E7" s="38">
        <f>Inputs!E14</f>
        <v>45474</v>
      </c>
      <c r="F7" s="38">
        <f>Inputs!E16</f>
        <v>54604</v>
      </c>
      <c r="J7" s="8">
        <f>IF(AND(J$4&gt;=$E7,J$5&lt;=$F7),1,0)</f>
        <v>0</v>
      </c>
      <c r="K7" s="8">
        <f t="shared" ref="K7:AL7" si="18">IF(AND(K$4&gt;=$E7,K$5&lt;=$F7),1,0)</f>
        <v>0</v>
      </c>
      <c r="L7" s="8">
        <f t="shared" si="18"/>
        <v>1</v>
      </c>
      <c r="M7" s="8">
        <f t="shared" si="18"/>
        <v>1</v>
      </c>
      <c r="N7" s="8">
        <f t="shared" si="18"/>
        <v>1</v>
      </c>
      <c r="O7" s="8">
        <f t="shared" si="18"/>
        <v>1</v>
      </c>
      <c r="P7" s="8">
        <f t="shared" si="18"/>
        <v>1</v>
      </c>
      <c r="Q7" s="8">
        <f t="shared" si="18"/>
        <v>1</v>
      </c>
      <c r="R7" s="8">
        <f t="shared" si="18"/>
        <v>1</v>
      </c>
      <c r="S7" s="8">
        <f t="shared" si="18"/>
        <v>1</v>
      </c>
      <c r="T7" s="8">
        <f t="shared" si="18"/>
        <v>1</v>
      </c>
      <c r="U7" s="8">
        <f t="shared" si="18"/>
        <v>1</v>
      </c>
      <c r="V7" s="8">
        <f t="shared" si="18"/>
        <v>1</v>
      </c>
      <c r="W7" s="8">
        <f t="shared" si="18"/>
        <v>1</v>
      </c>
      <c r="X7" s="8">
        <f t="shared" si="18"/>
        <v>1</v>
      </c>
      <c r="Y7" s="8">
        <f t="shared" si="18"/>
        <v>1</v>
      </c>
      <c r="Z7" s="8">
        <f t="shared" si="18"/>
        <v>1</v>
      </c>
      <c r="AA7" s="8">
        <f t="shared" si="18"/>
        <v>1</v>
      </c>
      <c r="AB7" s="8">
        <f t="shared" si="18"/>
        <v>1</v>
      </c>
      <c r="AC7" s="8">
        <f t="shared" si="18"/>
        <v>1</v>
      </c>
      <c r="AD7" s="8">
        <f t="shared" si="18"/>
        <v>1</v>
      </c>
      <c r="AE7" s="8">
        <f t="shared" si="18"/>
        <v>1</v>
      </c>
      <c r="AF7" s="8">
        <f t="shared" si="18"/>
        <v>1</v>
      </c>
      <c r="AG7" s="8">
        <f t="shared" si="18"/>
        <v>1</v>
      </c>
      <c r="AH7" s="8">
        <f t="shared" si="18"/>
        <v>1</v>
      </c>
      <c r="AI7" s="8">
        <f t="shared" si="18"/>
        <v>1</v>
      </c>
      <c r="AJ7" s="8">
        <f t="shared" si="18"/>
        <v>1</v>
      </c>
      <c r="AK7" s="8">
        <f t="shared" si="18"/>
        <v>0</v>
      </c>
      <c r="AL7" s="8">
        <f t="shared" si="18"/>
        <v>0</v>
      </c>
    </row>
    <row r="9" spans="1:38" ht="18">
      <c r="C9" s="15" t="s">
        <v>74</v>
      </c>
    </row>
    <row r="10" spans="1:38">
      <c r="C10" s="7" t="s">
        <v>75</v>
      </c>
      <c r="D10" s="16" t="s">
        <v>76</v>
      </c>
      <c r="I10" s="40"/>
      <c r="J10" s="39">
        <f>SUM(J6:J6,I10)*SUM(J6:J6)</f>
        <v>1</v>
      </c>
      <c r="K10" s="39">
        <f t="shared" ref="K10:AL10" si="19">SUM(K6:K6,J10)*SUM(K6:K6)</f>
        <v>2</v>
      </c>
      <c r="L10" s="39">
        <f t="shared" si="19"/>
        <v>0</v>
      </c>
      <c r="M10" s="39">
        <f t="shared" si="19"/>
        <v>0</v>
      </c>
      <c r="N10" s="39">
        <f t="shared" si="19"/>
        <v>0</v>
      </c>
      <c r="O10" s="39">
        <f t="shared" si="19"/>
        <v>0</v>
      </c>
      <c r="P10" s="39">
        <f t="shared" si="19"/>
        <v>0</v>
      </c>
      <c r="Q10" s="39">
        <f t="shared" si="19"/>
        <v>0</v>
      </c>
      <c r="R10" s="39">
        <f t="shared" si="19"/>
        <v>0</v>
      </c>
      <c r="S10" s="39">
        <f t="shared" si="19"/>
        <v>0</v>
      </c>
      <c r="T10" s="39">
        <f t="shared" si="19"/>
        <v>0</v>
      </c>
      <c r="U10" s="39">
        <f t="shared" si="19"/>
        <v>0</v>
      </c>
      <c r="V10" s="39">
        <f t="shared" si="19"/>
        <v>0</v>
      </c>
      <c r="W10" s="39">
        <f t="shared" si="19"/>
        <v>0</v>
      </c>
      <c r="X10" s="39">
        <f t="shared" si="19"/>
        <v>0</v>
      </c>
      <c r="Y10" s="39">
        <f t="shared" si="19"/>
        <v>0</v>
      </c>
      <c r="Z10" s="39">
        <f t="shared" si="19"/>
        <v>0</v>
      </c>
      <c r="AA10" s="39">
        <f t="shared" si="19"/>
        <v>0</v>
      </c>
      <c r="AB10" s="39">
        <f t="shared" si="19"/>
        <v>0</v>
      </c>
      <c r="AC10" s="39">
        <f t="shared" si="19"/>
        <v>0</v>
      </c>
      <c r="AD10" s="39">
        <f t="shared" si="19"/>
        <v>0</v>
      </c>
      <c r="AE10" s="39">
        <f t="shared" si="19"/>
        <v>0</v>
      </c>
      <c r="AF10" s="39">
        <f t="shared" si="19"/>
        <v>0</v>
      </c>
      <c r="AG10" s="39">
        <f t="shared" si="19"/>
        <v>0</v>
      </c>
      <c r="AH10" s="39">
        <f t="shared" si="19"/>
        <v>0</v>
      </c>
      <c r="AI10" s="39">
        <f t="shared" si="19"/>
        <v>0</v>
      </c>
      <c r="AJ10" s="39">
        <f t="shared" si="19"/>
        <v>0</v>
      </c>
      <c r="AK10" s="39">
        <f t="shared" si="19"/>
        <v>0</v>
      </c>
      <c r="AL10" s="39">
        <f t="shared" si="19"/>
        <v>0</v>
      </c>
    </row>
    <row r="11" spans="1:38">
      <c r="C11" s="7" t="s">
        <v>77</v>
      </c>
      <c r="D11" s="16" t="s">
        <v>21</v>
      </c>
      <c r="J11">
        <f t="shared" ref="J11:AL11" si="20">YEAR(J5)</f>
        <v>2023</v>
      </c>
      <c r="K11">
        <f t="shared" si="20"/>
        <v>2024</v>
      </c>
      <c r="L11">
        <f t="shared" si="20"/>
        <v>2025</v>
      </c>
      <c r="M11">
        <f t="shared" si="20"/>
        <v>2026</v>
      </c>
      <c r="N11">
        <f t="shared" si="20"/>
        <v>2027</v>
      </c>
      <c r="O11">
        <f t="shared" si="20"/>
        <v>2028</v>
      </c>
      <c r="P11">
        <f t="shared" si="20"/>
        <v>2029</v>
      </c>
      <c r="Q11">
        <f t="shared" si="20"/>
        <v>2030</v>
      </c>
      <c r="R11">
        <f t="shared" si="20"/>
        <v>2031</v>
      </c>
      <c r="S11">
        <f t="shared" si="20"/>
        <v>2032</v>
      </c>
      <c r="T11">
        <f t="shared" si="20"/>
        <v>2033</v>
      </c>
      <c r="U11">
        <f t="shared" si="20"/>
        <v>2034</v>
      </c>
      <c r="V11">
        <f t="shared" si="20"/>
        <v>2035</v>
      </c>
      <c r="W11">
        <f t="shared" si="20"/>
        <v>2036</v>
      </c>
      <c r="X11">
        <f t="shared" si="20"/>
        <v>2037</v>
      </c>
      <c r="Y11">
        <f t="shared" si="20"/>
        <v>2038</v>
      </c>
      <c r="Z11">
        <f t="shared" si="20"/>
        <v>2039</v>
      </c>
      <c r="AA11">
        <f t="shared" si="20"/>
        <v>2040</v>
      </c>
      <c r="AB11">
        <f t="shared" si="20"/>
        <v>2041</v>
      </c>
      <c r="AC11">
        <f t="shared" si="20"/>
        <v>2042</v>
      </c>
      <c r="AD11">
        <f t="shared" si="20"/>
        <v>2043</v>
      </c>
      <c r="AE11">
        <f t="shared" si="20"/>
        <v>2044</v>
      </c>
      <c r="AF11">
        <f t="shared" si="20"/>
        <v>2045</v>
      </c>
      <c r="AG11">
        <f t="shared" si="20"/>
        <v>2046</v>
      </c>
      <c r="AH11">
        <f t="shared" si="20"/>
        <v>2047</v>
      </c>
      <c r="AI11">
        <f t="shared" si="20"/>
        <v>2048</v>
      </c>
      <c r="AJ11">
        <f t="shared" si="20"/>
        <v>2049</v>
      </c>
      <c r="AK11">
        <f t="shared" si="20"/>
        <v>2050</v>
      </c>
      <c r="AL11">
        <f t="shared" si="20"/>
        <v>2050</v>
      </c>
    </row>
    <row r="12" spans="1:38">
      <c r="C12" s="7" t="s">
        <v>78</v>
      </c>
      <c r="D12" s="16" t="s">
        <v>76</v>
      </c>
      <c r="J12">
        <f>J5-J4+1</f>
        <v>365</v>
      </c>
      <c r="K12">
        <f t="shared" ref="K12:AL12" si="21">K5-K4+1</f>
        <v>366</v>
      </c>
      <c r="L12">
        <f t="shared" si="21"/>
        <v>365</v>
      </c>
      <c r="M12">
        <f t="shared" si="21"/>
        <v>365</v>
      </c>
      <c r="N12">
        <f t="shared" si="21"/>
        <v>365</v>
      </c>
      <c r="O12">
        <f t="shared" si="21"/>
        <v>366</v>
      </c>
      <c r="P12">
        <f t="shared" si="21"/>
        <v>365</v>
      </c>
      <c r="Q12">
        <f t="shared" si="21"/>
        <v>365</v>
      </c>
      <c r="R12">
        <f t="shared" si="21"/>
        <v>365</v>
      </c>
      <c r="S12">
        <f t="shared" si="21"/>
        <v>366</v>
      </c>
      <c r="T12">
        <f t="shared" si="21"/>
        <v>365</v>
      </c>
      <c r="U12">
        <f t="shared" si="21"/>
        <v>365</v>
      </c>
      <c r="V12">
        <f t="shared" si="21"/>
        <v>365</v>
      </c>
      <c r="W12">
        <f t="shared" si="21"/>
        <v>366</v>
      </c>
      <c r="X12">
        <f t="shared" si="21"/>
        <v>365</v>
      </c>
      <c r="Y12">
        <f t="shared" si="21"/>
        <v>365</v>
      </c>
      <c r="Z12">
        <f t="shared" si="21"/>
        <v>365</v>
      </c>
      <c r="AA12">
        <f t="shared" si="21"/>
        <v>366</v>
      </c>
      <c r="AB12">
        <f t="shared" si="21"/>
        <v>365</v>
      </c>
      <c r="AC12">
        <f t="shared" si="21"/>
        <v>365</v>
      </c>
      <c r="AD12">
        <f t="shared" si="21"/>
        <v>365</v>
      </c>
      <c r="AE12">
        <f t="shared" si="21"/>
        <v>366</v>
      </c>
      <c r="AF12">
        <f t="shared" si="21"/>
        <v>365</v>
      </c>
      <c r="AG12">
        <f t="shared" si="21"/>
        <v>365</v>
      </c>
      <c r="AH12">
        <f t="shared" si="21"/>
        <v>365</v>
      </c>
      <c r="AI12">
        <f t="shared" si="21"/>
        <v>366</v>
      </c>
      <c r="AJ12">
        <f t="shared" si="21"/>
        <v>365</v>
      </c>
      <c r="AK12">
        <f t="shared" si="21"/>
        <v>365</v>
      </c>
      <c r="AL12">
        <f t="shared" si="21"/>
        <v>31</v>
      </c>
    </row>
    <row r="14" spans="1:38">
      <c r="C14" t="s">
        <v>83</v>
      </c>
      <c r="D14" s="16" t="s">
        <v>76</v>
      </c>
      <c r="J14" s="39">
        <f>(SUM($J7:J7))*J7</f>
        <v>0</v>
      </c>
      <c r="K14" s="39">
        <f>(SUM($J7:K7))*K7</f>
        <v>0</v>
      </c>
      <c r="L14" s="39">
        <f>(SUM($J7:L7))*L7</f>
        <v>1</v>
      </c>
      <c r="M14" s="39">
        <f>(SUM($J7:M7))*M7</f>
        <v>2</v>
      </c>
      <c r="N14" s="39">
        <f>(SUM($J7:N7))*N7</f>
        <v>3</v>
      </c>
      <c r="O14" s="39">
        <f>(SUM($J7:O7))*O7</f>
        <v>4</v>
      </c>
      <c r="P14" s="39">
        <f>(SUM($J7:P7))*P7</f>
        <v>5</v>
      </c>
      <c r="Q14" s="39">
        <f>(SUM($J7:Q7))*Q7</f>
        <v>6</v>
      </c>
      <c r="R14" s="39">
        <f>(SUM($J7:R7))*R7</f>
        <v>7</v>
      </c>
      <c r="S14" s="39">
        <f>(SUM($J7:S7))*S7</f>
        <v>8</v>
      </c>
      <c r="T14" s="39">
        <f>(SUM($J7:T7))*T7</f>
        <v>9</v>
      </c>
      <c r="U14" s="39">
        <f>(SUM($J7:U7))*U7</f>
        <v>10</v>
      </c>
      <c r="V14" s="39">
        <f>(SUM($J7:V7))*V7</f>
        <v>11</v>
      </c>
      <c r="W14" s="39">
        <f>(SUM($J7:W7))*W7</f>
        <v>12</v>
      </c>
      <c r="X14" s="39">
        <f>(SUM($J7:X7))*X7</f>
        <v>13</v>
      </c>
      <c r="Y14" s="39">
        <f>(SUM($J7:Y7))*Y7</f>
        <v>14</v>
      </c>
      <c r="Z14" s="39">
        <f>(SUM($J7:Z7))*Z7</f>
        <v>15</v>
      </c>
      <c r="AA14" s="39">
        <f>(SUM($J7:AA7))*AA7</f>
        <v>16</v>
      </c>
      <c r="AB14" s="39">
        <f>(SUM($J7:AB7))*AB7</f>
        <v>17</v>
      </c>
      <c r="AC14" s="39">
        <f>(SUM($J7:AC7))*AC7</f>
        <v>18</v>
      </c>
      <c r="AD14" s="39">
        <f>(SUM($J7:AD7))*AD7</f>
        <v>19</v>
      </c>
      <c r="AE14" s="39">
        <f>(SUM($J7:AE7))*AE7</f>
        <v>20</v>
      </c>
      <c r="AF14" s="39">
        <f>(SUM($J7:AF7))*AF7</f>
        <v>21</v>
      </c>
      <c r="AG14" s="39">
        <f>(SUM($J7:AG7))*AG7</f>
        <v>22</v>
      </c>
      <c r="AH14" s="39">
        <f>(SUM($J7:AH7))*AH7</f>
        <v>23</v>
      </c>
      <c r="AI14" s="39">
        <f>(SUM($J7:AI7))*AI7</f>
        <v>24</v>
      </c>
      <c r="AJ14" s="39">
        <f>(SUM($J7:AJ7))*AJ7</f>
        <v>25</v>
      </c>
      <c r="AK14" s="39">
        <f>(SUM($J7:AK7))*AK7</f>
        <v>0</v>
      </c>
      <c r="AL14" s="39">
        <f>(SUM($J7:AL7))*AL7</f>
        <v>0</v>
      </c>
    </row>
    <row r="15" spans="1:38">
      <c r="C15" t="s">
        <v>79</v>
      </c>
      <c r="D15" s="16" t="s">
        <v>76</v>
      </c>
      <c r="J15" s="39">
        <f t="shared" ref="J15:AL15" si="22">ROUNDUP(J14/Months_Yr,0)</f>
        <v>0</v>
      </c>
      <c r="K15" s="39">
        <f t="shared" si="22"/>
        <v>0</v>
      </c>
      <c r="L15" s="39">
        <f>ROUNDUP(L14/Months_Yr,0)</f>
        <v>1</v>
      </c>
      <c r="M15" s="39">
        <f t="shared" si="22"/>
        <v>1</v>
      </c>
      <c r="N15" s="39">
        <f t="shared" si="22"/>
        <v>1</v>
      </c>
      <c r="O15" s="39">
        <f t="shared" si="22"/>
        <v>1</v>
      </c>
      <c r="P15" s="39">
        <f t="shared" si="22"/>
        <v>1</v>
      </c>
      <c r="Q15" s="39">
        <f t="shared" si="22"/>
        <v>1</v>
      </c>
      <c r="R15" s="39">
        <f t="shared" si="22"/>
        <v>1</v>
      </c>
      <c r="S15" s="39">
        <f t="shared" si="22"/>
        <v>1</v>
      </c>
      <c r="T15" s="39">
        <f t="shared" si="22"/>
        <v>1</v>
      </c>
      <c r="U15" s="39">
        <f t="shared" si="22"/>
        <v>1</v>
      </c>
      <c r="V15" s="39">
        <f t="shared" si="22"/>
        <v>1</v>
      </c>
      <c r="W15" s="39">
        <f t="shared" si="22"/>
        <v>1</v>
      </c>
      <c r="X15" s="39">
        <f t="shared" si="22"/>
        <v>2</v>
      </c>
      <c r="Y15" s="39">
        <f t="shared" si="22"/>
        <v>2</v>
      </c>
      <c r="Z15" s="39">
        <f t="shared" si="22"/>
        <v>2</v>
      </c>
      <c r="AA15" s="39">
        <f t="shared" si="22"/>
        <v>2</v>
      </c>
      <c r="AB15" s="39">
        <f t="shared" si="22"/>
        <v>2</v>
      </c>
      <c r="AC15" s="39">
        <f t="shared" si="22"/>
        <v>2</v>
      </c>
      <c r="AD15" s="39">
        <f t="shared" si="22"/>
        <v>2</v>
      </c>
      <c r="AE15" s="39">
        <f t="shared" si="22"/>
        <v>2</v>
      </c>
      <c r="AF15" s="39">
        <f t="shared" si="22"/>
        <v>2</v>
      </c>
      <c r="AG15" s="39">
        <f t="shared" si="22"/>
        <v>2</v>
      </c>
      <c r="AH15" s="39">
        <f t="shared" si="22"/>
        <v>2</v>
      </c>
      <c r="AI15" s="39">
        <f t="shared" si="22"/>
        <v>2</v>
      </c>
      <c r="AJ15" s="39">
        <f t="shared" si="22"/>
        <v>3</v>
      </c>
      <c r="AK15" s="39">
        <f t="shared" si="22"/>
        <v>0</v>
      </c>
      <c r="AL15" s="39">
        <f t="shared" si="22"/>
        <v>0</v>
      </c>
    </row>
    <row r="16" spans="1:38">
      <c r="C16" t="s">
        <v>80</v>
      </c>
      <c r="D16" s="16" t="s">
        <v>76</v>
      </c>
      <c r="J16" s="39">
        <f t="shared" ref="J16:AL16" si="23">MONTH(J5)/Months_Qtr*J7</f>
        <v>0</v>
      </c>
      <c r="K16" s="39">
        <f t="shared" si="23"/>
        <v>0</v>
      </c>
      <c r="L16" s="39">
        <f t="shared" si="23"/>
        <v>2</v>
      </c>
      <c r="M16" s="39">
        <f t="shared" si="23"/>
        <v>2</v>
      </c>
      <c r="N16" s="39">
        <f t="shared" si="23"/>
        <v>2</v>
      </c>
      <c r="O16" s="39">
        <f t="shared" si="23"/>
        <v>2</v>
      </c>
      <c r="P16" s="39">
        <f t="shared" si="23"/>
        <v>2</v>
      </c>
      <c r="Q16" s="39">
        <f t="shared" si="23"/>
        <v>2</v>
      </c>
      <c r="R16" s="39">
        <f t="shared" si="23"/>
        <v>2</v>
      </c>
      <c r="S16" s="39">
        <f t="shared" si="23"/>
        <v>2</v>
      </c>
      <c r="T16" s="39">
        <f t="shared" si="23"/>
        <v>2</v>
      </c>
      <c r="U16" s="39">
        <f t="shared" si="23"/>
        <v>2</v>
      </c>
      <c r="V16" s="39">
        <f t="shared" si="23"/>
        <v>2</v>
      </c>
      <c r="W16" s="39">
        <f t="shared" si="23"/>
        <v>2</v>
      </c>
      <c r="X16" s="39">
        <f t="shared" si="23"/>
        <v>2</v>
      </c>
      <c r="Y16" s="39">
        <f t="shared" si="23"/>
        <v>2</v>
      </c>
      <c r="Z16" s="39">
        <f t="shared" si="23"/>
        <v>2</v>
      </c>
      <c r="AA16" s="39">
        <f t="shared" si="23"/>
        <v>2</v>
      </c>
      <c r="AB16" s="39">
        <f t="shared" si="23"/>
        <v>2</v>
      </c>
      <c r="AC16" s="39">
        <f t="shared" si="23"/>
        <v>2</v>
      </c>
      <c r="AD16" s="39">
        <f t="shared" si="23"/>
        <v>2</v>
      </c>
      <c r="AE16" s="39">
        <f t="shared" si="23"/>
        <v>2</v>
      </c>
      <c r="AF16" s="39">
        <f t="shared" si="23"/>
        <v>2</v>
      </c>
      <c r="AG16" s="39">
        <f t="shared" si="23"/>
        <v>2</v>
      </c>
      <c r="AH16" s="39">
        <f t="shared" si="23"/>
        <v>2</v>
      </c>
      <c r="AI16" s="39">
        <f t="shared" si="23"/>
        <v>2</v>
      </c>
      <c r="AJ16" s="39">
        <f t="shared" si="23"/>
        <v>2</v>
      </c>
      <c r="AK16" s="39">
        <f t="shared" si="23"/>
        <v>0</v>
      </c>
      <c r="AL16" s="39">
        <f t="shared" si="23"/>
        <v>0</v>
      </c>
    </row>
    <row r="17" spans="3:38">
      <c r="C17" s="7" t="s">
        <v>84</v>
      </c>
      <c r="D17" s="16" t="s">
        <v>76</v>
      </c>
      <c r="J17" s="39">
        <f t="shared" ref="J17:AL17" si="24">MONTH(J4)</f>
        <v>7</v>
      </c>
      <c r="K17" s="39">
        <f t="shared" si="24"/>
        <v>7</v>
      </c>
      <c r="L17" s="39">
        <f t="shared" si="24"/>
        <v>7</v>
      </c>
      <c r="M17" s="39">
        <f t="shared" si="24"/>
        <v>7</v>
      </c>
      <c r="N17" s="39">
        <f t="shared" si="24"/>
        <v>7</v>
      </c>
      <c r="O17" s="39">
        <f t="shared" si="24"/>
        <v>7</v>
      </c>
      <c r="P17" s="39">
        <f t="shared" si="24"/>
        <v>7</v>
      </c>
      <c r="Q17" s="39">
        <f t="shared" si="24"/>
        <v>7</v>
      </c>
      <c r="R17" s="39">
        <f t="shared" si="24"/>
        <v>7</v>
      </c>
      <c r="S17" s="39">
        <f t="shared" si="24"/>
        <v>7</v>
      </c>
      <c r="T17" s="39">
        <f t="shared" si="24"/>
        <v>7</v>
      </c>
      <c r="U17" s="39">
        <f t="shared" si="24"/>
        <v>7</v>
      </c>
      <c r="V17" s="39">
        <f t="shared" si="24"/>
        <v>7</v>
      </c>
      <c r="W17" s="39">
        <f t="shared" si="24"/>
        <v>7</v>
      </c>
      <c r="X17" s="39">
        <f t="shared" si="24"/>
        <v>7</v>
      </c>
      <c r="Y17" s="39">
        <f t="shared" si="24"/>
        <v>7</v>
      </c>
      <c r="Z17" s="39">
        <f t="shared" si="24"/>
        <v>7</v>
      </c>
      <c r="AA17" s="39">
        <f t="shared" si="24"/>
        <v>7</v>
      </c>
      <c r="AB17" s="39">
        <f t="shared" si="24"/>
        <v>7</v>
      </c>
      <c r="AC17" s="39">
        <f t="shared" si="24"/>
        <v>7</v>
      </c>
      <c r="AD17" s="39">
        <f t="shared" si="24"/>
        <v>7</v>
      </c>
      <c r="AE17" s="39">
        <f t="shared" si="24"/>
        <v>7</v>
      </c>
      <c r="AF17" s="39">
        <f t="shared" si="24"/>
        <v>7</v>
      </c>
      <c r="AG17" s="39">
        <f t="shared" si="24"/>
        <v>7</v>
      </c>
      <c r="AH17" s="39">
        <f t="shared" si="24"/>
        <v>7</v>
      </c>
      <c r="AI17" s="39">
        <f t="shared" si="24"/>
        <v>7</v>
      </c>
      <c r="AJ17" s="39">
        <f t="shared" si="24"/>
        <v>7</v>
      </c>
      <c r="AK17" s="39">
        <f t="shared" si="24"/>
        <v>7</v>
      </c>
      <c r="AL17" s="39">
        <f t="shared" si="24"/>
        <v>7</v>
      </c>
    </row>
    <row r="19" spans="3:38" ht="18">
      <c r="C19" s="15" t="s">
        <v>19</v>
      </c>
    </row>
    <row r="20" spans="3:38" ht="15">
      <c r="C20" s="4" t="s">
        <v>58</v>
      </c>
    </row>
    <row r="21" spans="3:38">
      <c r="C21" s="7" t="s">
        <v>58</v>
      </c>
      <c r="D21" s="16" t="s">
        <v>20</v>
      </c>
      <c r="F21" s="44">
        <f>Inputs!E24</f>
        <v>0.06</v>
      </c>
      <c r="J21" s="10">
        <f>$F$21*J7</f>
        <v>0</v>
      </c>
      <c r="K21" s="10">
        <f t="shared" ref="K21:AL21" si="25">$F$21*K7</f>
        <v>0</v>
      </c>
      <c r="L21" s="10">
        <f t="shared" si="25"/>
        <v>0.06</v>
      </c>
      <c r="M21" s="10">
        <f t="shared" si="25"/>
        <v>0.06</v>
      </c>
      <c r="N21" s="10">
        <f t="shared" si="25"/>
        <v>0.06</v>
      </c>
      <c r="O21" s="10">
        <f t="shared" si="25"/>
        <v>0.06</v>
      </c>
      <c r="P21" s="10">
        <f t="shared" si="25"/>
        <v>0.06</v>
      </c>
      <c r="Q21" s="10">
        <f t="shared" si="25"/>
        <v>0.06</v>
      </c>
      <c r="R21" s="10">
        <f t="shared" si="25"/>
        <v>0.06</v>
      </c>
      <c r="S21" s="10">
        <f t="shared" si="25"/>
        <v>0.06</v>
      </c>
      <c r="T21" s="10">
        <f t="shared" si="25"/>
        <v>0.06</v>
      </c>
      <c r="U21" s="10">
        <f t="shared" si="25"/>
        <v>0.06</v>
      </c>
      <c r="V21" s="10">
        <f t="shared" si="25"/>
        <v>0.06</v>
      </c>
      <c r="W21" s="10">
        <f t="shared" si="25"/>
        <v>0.06</v>
      </c>
      <c r="X21" s="10">
        <f t="shared" si="25"/>
        <v>0.06</v>
      </c>
      <c r="Y21" s="10">
        <f t="shared" si="25"/>
        <v>0.06</v>
      </c>
      <c r="Z21" s="10">
        <f t="shared" si="25"/>
        <v>0.06</v>
      </c>
      <c r="AA21" s="10">
        <f t="shared" si="25"/>
        <v>0.06</v>
      </c>
      <c r="AB21" s="10">
        <f t="shared" si="25"/>
        <v>0.06</v>
      </c>
      <c r="AC21" s="10">
        <f t="shared" si="25"/>
        <v>0.06</v>
      </c>
      <c r="AD21" s="10">
        <f t="shared" si="25"/>
        <v>0.06</v>
      </c>
      <c r="AE21" s="10">
        <f t="shared" si="25"/>
        <v>0.06</v>
      </c>
      <c r="AF21" s="10">
        <f t="shared" si="25"/>
        <v>0.06</v>
      </c>
      <c r="AG21" s="10">
        <f t="shared" si="25"/>
        <v>0.06</v>
      </c>
      <c r="AH21" s="10">
        <f t="shared" si="25"/>
        <v>0.06</v>
      </c>
      <c r="AI21" s="10">
        <f t="shared" si="25"/>
        <v>0.06</v>
      </c>
      <c r="AJ21" s="10">
        <f t="shared" si="25"/>
        <v>0.06</v>
      </c>
      <c r="AK21" s="10">
        <f t="shared" si="25"/>
        <v>0</v>
      </c>
      <c r="AL21" s="10">
        <f t="shared" si="25"/>
        <v>0</v>
      </c>
    </row>
    <row r="22" spans="3:38">
      <c r="C22" s="7" t="s">
        <v>192</v>
      </c>
      <c r="D22" s="16" t="s">
        <v>20</v>
      </c>
      <c r="F22" s="44">
        <f>Inputs!E47</f>
        <v>0.06</v>
      </c>
      <c r="J22" s="10">
        <f>$F$21*J8</f>
        <v>0</v>
      </c>
      <c r="K22" s="10">
        <f t="shared" ref="K22:AL22" si="26">$F$21*K8</f>
        <v>0</v>
      </c>
      <c r="L22" s="10">
        <f t="shared" si="26"/>
        <v>0</v>
      </c>
      <c r="M22" s="10">
        <f t="shared" si="26"/>
        <v>0</v>
      </c>
      <c r="N22" s="10">
        <f t="shared" si="26"/>
        <v>0</v>
      </c>
      <c r="O22" s="10">
        <f t="shared" si="26"/>
        <v>0</v>
      </c>
      <c r="P22" s="10">
        <f t="shared" si="26"/>
        <v>0</v>
      </c>
      <c r="Q22" s="10">
        <f t="shared" si="26"/>
        <v>0</v>
      </c>
      <c r="R22" s="10">
        <f t="shared" si="26"/>
        <v>0</v>
      </c>
      <c r="S22" s="10">
        <f t="shared" si="26"/>
        <v>0</v>
      </c>
      <c r="T22" s="10">
        <f t="shared" si="26"/>
        <v>0</v>
      </c>
      <c r="U22" s="10">
        <f t="shared" si="26"/>
        <v>0</v>
      </c>
      <c r="V22" s="10">
        <f t="shared" si="26"/>
        <v>0</v>
      </c>
      <c r="W22" s="10">
        <f t="shared" si="26"/>
        <v>0</v>
      </c>
      <c r="X22" s="10">
        <f t="shared" si="26"/>
        <v>0</v>
      </c>
      <c r="Y22" s="10">
        <f t="shared" si="26"/>
        <v>0</v>
      </c>
      <c r="Z22" s="10">
        <f t="shared" si="26"/>
        <v>0</v>
      </c>
      <c r="AA22" s="10">
        <f t="shared" si="26"/>
        <v>0</v>
      </c>
      <c r="AB22" s="10">
        <f t="shared" si="26"/>
        <v>0</v>
      </c>
      <c r="AC22" s="10">
        <f t="shared" si="26"/>
        <v>0</v>
      </c>
      <c r="AD22" s="10">
        <f t="shared" si="26"/>
        <v>0</v>
      </c>
      <c r="AE22" s="10">
        <f t="shared" si="26"/>
        <v>0</v>
      </c>
      <c r="AF22" s="10">
        <f t="shared" si="26"/>
        <v>0</v>
      </c>
      <c r="AG22" s="10">
        <f t="shared" si="26"/>
        <v>0</v>
      </c>
      <c r="AH22" s="10">
        <f t="shared" si="26"/>
        <v>0</v>
      </c>
      <c r="AI22" s="10">
        <f t="shared" si="26"/>
        <v>0</v>
      </c>
      <c r="AJ22" s="10">
        <f t="shared" si="26"/>
        <v>0</v>
      </c>
      <c r="AK22" s="10">
        <f t="shared" si="26"/>
        <v>0</v>
      </c>
      <c r="AL22" s="10">
        <f t="shared" si="26"/>
        <v>0</v>
      </c>
    </row>
    <row r="23" spans="3:38">
      <c r="C23" s="7" t="s">
        <v>193</v>
      </c>
      <c r="D23" s="16" t="s">
        <v>20</v>
      </c>
      <c r="F23" s="10">
        <v>0.12720000000000001</v>
      </c>
      <c r="I23" s="41">
        <v>1</v>
      </c>
      <c r="J23" s="9">
        <f t="shared" ref="J23:AL23" si="27">I23*(1+J22)*MAX(J6:J7)</f>
        <v>1</v>
      </c>
      <c r="K23" s="9">
        <f t="shared" si="27"/>
        <v>1</v>
      </c>
      <c r="L23" s="9">
        <f t="shared" si="27"/>
        <v>1</v>
      </c>
      <c r="M23" s="9">
        <f t="shared" si="27"/>
        <v>1</v>
      </c>
      <c r="N23" s="9">
        <f t="shared" si="27"/>
        <v>1</v>
      </c>
      <c r="O23" s="9">
        <f t="shared" si="27"/>
        <v>1</v>
      </c>
      <c r="P23" s="9">
        <f t="shared" si="27"/>
        <v>1</v>
      </c>
      <c r="Q23" s="9">
        <f t="shared" si="27"/>
        <v>1</v>
      </c>
      <c r="R23" s="9">
        <f t="shared" si="27"/>
        <v>1</v>
      </c>
      <c r="S23" s="9">
        <f t="shared" si="27"/>
        <v>1</v>
      </c>
      <c r="T23" s="9">
        <f t="shared" si="27"/>
        <v>1</v>
      </c>
      <c r="U23" s="9">
        <f t="shared" si="27"/>
        <v>1</v>
      </c>
      <c r="V23" s="9">
        <f t="shared" si="27"/>
        <v>1</v>
      </c>
      <c r="W23" s="9">
        <f t="shared" si="27"/>
        <v>1</v>
      </c>
      <c r="X23" s="9">
        <f t="shared" si="27"/>
        <v>1</v>
      </c>
      <c r="Y23" s="9">
        <f t="shared" si="27"/>
        <v>1</v>
      </c>
      <c r="Z23" s="9">
        <f t="shared" si="27"/>
        <v>1</v>
      </c>
      <c r="AA23" s="9">
        <f t="shared" si="27"/>
        <v>1</v>
      </c>
      <c r="AB23" s="9">
        <f t="shared" si="27"/>
        <v>1</v>
      </c>
      <c r="AC23" s="9">
        <f t="shared" si="27"/>
        <v>1</v>
      </c>
      <c r="AD23" s="9">
        <f t="shared" si="27"/>
        <v>1</v>
      </c>
      <c r="AE23" s="9">
        <f t="shared" si="27"/>
        <v>1</v>
      </c>
      <c r="AF23" s="9">
        <f t="shared" si="27"/>
        <v>1</v>
      </c>
      <c r="AG23" s="9">
        <f t="shared" si="27"/>
        <v>1</v>
      </c>
      <c r="AH23" s="9">
        <f t="shared" si="27"/>
        <v>1</v>
      </c>
      <c r="AI23" s="9">
        <f t="shared" si="27"/>
        <v>1</v>
      </c>
      <c r="AJ23" s="9">
        <f t="shared" si="27"/>
        <v>1</v>
      </c>
      <c r="AK23" s="9">
        <f t="shared" si="27"/>
        <v>0</v>
      </c>
      <c r="AL23" s="9">
        <f t="shared" si="27"/>
        <v>0</v>
      </c>
    </row>
    <row r="25" spans="3:38" ht="18">
      <c r="C25" s="15" t="s">
        <v>48</v>
      </c>
    </row>
    <row r="26" spans="3:38">
      <c r="C26" t="s">
        <v>81</v>
      </c>
      <c r="D26" s="16" t="s">
        <v>20</v>
      </c>
      <c r="F26" s="44" t="e">
        <f>#REF!</f>
        <v>#REF!</v>
      </c>
      <c r="J26" s="10" t="e">
        <f t="shared" ref="J26:Y27" si="28">$F26</f>
        <v>#REF!</v>
      </c>
      <c r="K26" s="10" t="e">
        <f t="shared" si="28"/>
        <v>#REF!</v>
      </c>
      <c r="L26" s="10" t="e">
        <f t="shared" si="28"/>
        <v>#REF!</v>
      </c>
      <c r="M26" s="10" t="e">
        <f t="shared" si="28"/>
        <v>#REF!</v>
      </c>
      <c r="N26" s="10" t="e">
        <f t="shared" si="28"/>
        <v>#REF!</v>
      </c>
      <c r="O26" s="10" t="e">
        <f t="shared" si="28"/>
        <v>#REF!</v>
      </c>
      <c r="P26" s="10" t="e">
        <f t="shared" si="28"/>
        <v>#REF!</v>
      </c>
      <c r="Q26" s="10" t="e">
        <f t="shared" si="28"/>
        <v>#REF!</v>
      </c>
      <c r="R26" s="10" t="e">
        <f t="shared" si="28"/>
        <v>#REF!</v>
      </c>
      <c r="S26" s="10" t="e">
        <f t="shared" si="28"/>
        <v>#REF!</v>
      </c>
      <c r="T26" s="10" t="e">
        <f t="shared" si="28"/>
        <v>#REF!</v>
      </c>
      <c r="U26" s="10" t="e">
        <f t="shared" si="28"/>
        <v>#REF!</v>
      </c>
      <c r="V26" s="10" t="e">
        <f t="shared" si="28"/>
        <v>#REF!</v>
      </c>
      <c r="W26" s="10" t="e">
        <f t="shared" si="28"/>
        <v>#REF!</v>
      </c>
      <c r="X26" s="10" t="e">
        <f t="shared" si="28"/>
        <v>#REF!</v>
      </c>
      <c r="Y26" s="10" t="e">
        <f t="shared" si="28"/>
        <v>#REF!</v>
      </c>
      <c r="Z26" s="10" t="e">
        <f t="shared" ref="Z26:AL27" si="29">$F26</f>
        <v>#REF!</v>
      </c>
      <c r="AA26" s="10" t="e">
        <f t="shared" si="29"/>
        <v>#REF!</v>
      </c>
      <c r="AB26" s="10" t="e">
        <f t="shared" si="29"/>
        <v>#REF!</v>
      </c>
      <c r="AC26" s="10" t="e">
        <f t="shared" si="29"/>
        <v>#REF!</v>
      </c>
      <c r="AD26" s="10" t="e">
        <f t="shared" si="29"/>
        <v>#REF!</v>
      </c>
      <c r="AE26" s="10" t="e">
        <f t="shared" si="29"/>
        <v>#REF!</v>
      </c>
      <c r="AF26" s="10" t="e">
        <f t="shared" si="29"/>
        <v>#REF!</v>
      </c>
      <c r="AG26" s="10" t="e">
        <f t="shared" si="29"/>
        <v>#REF!</v>
      </c>
      <c r="AH26" s="10" t="e">
        <f t="shared" si="29"/>
        <v>#REF!</v>
      </c>
      <c r="AI26" s="10" t="e">
        <f t="shared" si="29"/>
        <v>#REF!</v>
      </c>
      <c r="AJ26" s="10" t="e">
        <f t="shared" si="29"/>
        <v>#REF!</v>
      </c>
      <c r="AK26" s="10" t="e">
        <f t="shared" si="29"/>
        <v>#REF!</v>
      </c>
      <c r="AL26" s="10" t="e">
        <f t="shared" si="29"/>
        <v>#REF!</v>
      </c>
    </row>
    <row r="27" spans="3:38">
      <c r="C27" t="s">
        <v>85</v>
      </c>
      <c r="D27" s="16" t="s">
        <v>20</v>
      </c>
      <c r="F27" s="44" t="e">
        <f>#REF!</f>
        <v>#REF!</v>
      </c>
      <c r="J27" s="10" t="e">
        <f t="shared" si="28"/>
        <v>#REF!</v>
      </c>
      <c r="K27" s="10" t="e">
        <f t="shared" si="28"/>
        <v>#REF!</v>
      </c>
      <c r="L27" s="10" t="e">
        <f t="shared" si="28"/>
        <v>#REF!</v>
      </c>
      <c r="M27" s="10" t="e">
        <f t="shared" si="28"/>
        <v>#REF!</v>
      </c>
      <c r="N27" s="10" t="e">
        <f t="shared" si="28"/>
        <v>#REF!</v>
      </c>
      <c r="O27" s="10" t="e">
        <f t="shared" si="28"/>
        <v>#REF!</v>
      </c>
      <c r="P27" s="10" t="e">
        <f t="shared" si="28"/>
        <v>#REF!</v>
      </c>
      <c r="Q27" s="10" t="e">
        <f t="shared" si="28"/>
        <v>#REF!</v>
      </c>
      <c r="R27" s="10" t="e">
        <f t="shared" si="28"/>
        <v>#REF!</v>
      </c>
      <c r="S27" s="10" t="e">
        <f t="shared" si="28"/>
        <v>#REF!</v>
      </c>
      <c r="T27" s="10" t="e">
        <f t="shared" si="28"/>
        <v>#REF!</v>
      </c>
      <c r="U27" s="10" t="e">
        <f t="shared" si="28"/>
        <v>#REF!</v>
      </c>
      <c r="V27" s="10" t="e">
        <f t="shared" si="28"/>
        <v>#REF!</v>
      </c>
      <c r="W27" s="10" t="e">
        <f t="shared" si="28"/>
        <v>#REF!</v>
      </c>
      <c r="X27" s="10" t="e">
        <f t="shared" si="28"/>
        <v>#REF!</v>
      </c>
      <c r="Y27" s="10" t="e">
        <f t="shared" si="28"/>
        <v>#REF!</v>
      </c>
      <c r="Z27" s="10" t="e">
        <f t="shared" si="29"/>
        <v>#REF!</v>
      </c>
      <c r="AA27" s="10" t="e">
        <f t="shared" si="29"/>
        <v>#REF!</v>
      </c>
      <c r="AB27" s="10" t="e">
        <f t="shared" si="29"/>
        <v>#REF!</v>
      </c>
      <c r="AC27" s="10" t="e">
        <f t="shared" si="29"/>
        <v>#REF!</v>
      </c>
      <c r="AD27" s="10" t="e">
        <f t="shared" si="29"/>
        <v>#REF!</v>
      </c>
      <c r="AE27" s="10" t="e">
        <f t="shared" si="29"/>
        <v>#REF!</v>
      </c>
      <c r="AF27" s="10" t="e">
        <f t="shared" si="29"/>
        <v>#REF!</v>
      </c>
      <c r="AG27" s="10" t="e">
        <f t="shared" si="29"/>
        <v>#REF!</v>
      </c>
      <c r="AH27" s="10" t="e">
        <f t="shared" si="29"/>
        <v>#REF!</v>
      </c>
      <c r="AI27" s="10" t="e">
        <f t="shared" si="29"/>
        <v>#REF!</v>
      </c>
      <c r="AJ27" s="10" t="e">
        <f t="shared" si="29"/>
        <v>#REF!</v>
      </c>
      <c r="AK27" s="10" t="e">
        <f t="shared" si="29"/>
        <v>#REF!</v>
      </c>
      <c r="AL27" s="10" t="e">
        <f t="shared" si="29"/>
        <v>#REF!</v>
      </c>
    </row>
  </sheetData>
  <conditionalFormatting sqref="J6:AL6">
    <cfRule type="cellIs" dxfId="11" priority="8" operator="equal">
      <formula>1</formula>
    </cfRule>
  </conditionalFormatting>
  <conditionalFormatting sqref="J7:AL7">
    <cfRule type="cellIs" dxfId="10" priority="6" operator="equal">
      <formula>1</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47C66-114A-4BDD-9E9D-46CEDD3F553B}">
  <dimension ref="A2:M24"/>
  <sheetViews>
    <sheetView workbookViewId="0">
      <selection activeCell="H6" sqref="H6"/>
    </sheetView>
  </sheetViews>
  <sheetFormatPr defaultRowHeight="12.75"/>
  <cols>
    <col min="1" max="1" width="13.140625" bestFit="1" customWidth="1"/>
    <col min="2" max="2" width="17.85546875" customWidth="1"/>
    <col min="3" max="3" width="19.28515625" customWidth="1"/>
    <col min="4" max="4" width="20.42578125" customWidth="1"/>
    <col min="5" max="5" width="20.7109375" customWidth="1"/>
    <col min="7" max="7" width="10.7109375" customWidth="1"/>
    <col min="8" max="8" width="10" bestFit="1" customWidth="1"/>
  </cols>
  <sheetData>
    <row r="2" spans="1:13">
      <c r="B2" s="118" t="s">
        <v>359</v>
      </c>
      <c r="C2" s="118" t="s">
        <v>360</v>
      </c>
      <c r="D2" s="118" t="s">
        <v>361</v>
      </c>
      <c r="E2" s="118" t="s">
        <v>362</v>
      </c>
      <c r="F2" s="118" t="s">
        <v>363</v>
      </c>
      <c r="G2" s="118" t="s">
        <v>364</v>
      </c>
      <c r="H2" s="118" t="s">
        <v>354</v>
      </c>
    </row>
    <row r="3" spans="1:13" ht="25.5">
      <c r="A3" s="7" t="s">
        <v>365</v>
      </c>
      <c r="B3" s="119" t="s">
        <v>366</v>
      </c>
      <c r="C3" s="120" t="s">
        <v>367</v>
      </c>
      <c r="D3" s="96"/>
      <c r="E3" s="121" t="s">
        <v>368</v>
      </c>
      <c r="F3">
        <f>42+25+12</f>
        <v>79</v>
      </c>
      <c r="G3" s="7">
        <v>90</v>
      </c>
      <c r="H3" s="7">
        <v>144</v>
      </c>
      <c r="I3" s="7" t="s">
        <v>373</v>
      </c>
    </row>
    <row r="4" spans="1:13" ht="25.5">
      <c r="B4" s="95"/>
      <c r="C4" s="94"/>
      <c r="D4" s="94"/>
      <c r="E4" s="121" t="s">
        <v>369</v>
      </c>
      <c r="F4" s="7" t="s">
        <v>370</v>
      </c>
      <c r="G4" s="7" t="s">
        <v>371</v>
      </c>
      <c r="H4" s="7" t="s">
        <v>371</v>
      </c>
    </row>
    <row r="5" spans="1:13">
      <c r="B5" s="95"/>
      <c r="C5" s="96"/>
      <c r="D5" s="96"/>
      <c r="E5" s="94">
        <f>(950+395)</f>
        <v>1345</v>
      </c>
    </row>
    <row r="6" spans="1:13">
      <c r="A6" s="117">
        <f>SUM(B6:H6)</f>
        <v>7022784.8101265822</v>
      </c>
      <c r="B6" s="95">
        <v>1900000</v>
      </c>
      <c r="C6" s="94">
        <v>1130000</v>
      </c>
      <c r="D6" s="94"/>
      <c r="E6" s="94">
        <v>110000</v>
      </c>
      <c r="F6">
        <v>980000</v>
      </c>
      <c r="G6">
        <f>F7*G3</f>
        <v>1116455.6962025317</v>
      </c>
      <c r="H6">
        <f>F7*H3</f>
        <v>1786329.1139240507</v>
      </c>
      <c r="I6" s="7" t="s">
        <v>372</v>
      </c>
    </row>
    <row r="7" spans="1:13">
      <c r="B7" s="95"/>
      <c r="C7" s="95"/>
      <c r="D7" s="95"/>
      <c r="E7" s="95"/>
      <c r="F7">
        <f>F6/F3</f>
        <v>12405.06329113924</v>
      </c>
      <c r="G7" t="s">
        <v>392</v>
      </c>
    </row>
    <row r="8" spans="1:13">
      <c r="A8" s="65">
        <f>B8/A6</f>
        <v>0.44711607786589763</v>
      </c>
      <c r="B8" s="94">
        <f>(B6+C6+E6)</f>
        <v>3140000</v>
      </c>
      <c r="C8" s="120" t="s">
        <v>217</v>
      </c>
      <c r="D8" s="94"/>
      <c r="E8" s="94"/>
    </row>
    <row r="9" spans="1:13">
      <c r="A9" s="65">
        <f>B9/A6</f>
        <v>0.55288392213410242</v>
      </c>
      <c r="B9" s="94">
        <f>F6+H6+G6</f>
        <v>3882784.8101265822</v>
      </c>
      <c r="C9" s="120" t="s">
        <v>218</v>
      </c>
      <c r="D9" s="97"/>
      <c r="E9" s="97"/>
    </row>
    <row r="10" spans="1:13">
      <c r="B10" s="95"/>
      <c r="C10" s="95"/>
      <c r="D10" s="95"/>
      <c r="E10" s="95"/>
    </row>
    <row r="13" spans="1:13" ht="13.5" thickBot="1">
      <c r="A13" s="7" t="s">
        <v>382</v>
      </c>
      <c r="B13">
        <f>B6+C6+E6+F6</f>
        <v>4120000</v>
      </c>
    </row>
    <row r="14" spans="1:13" ht="54.75" thickBot="1">
      <c r="A14" s="7" t="s">
        <v>217</v>
      </c>
      <c r="B14" s="105">
        <f>(B6+C6+E6)/B13</f>
        <v>0.76213592233009708</v>
      </c>
      <c r="E14" s="152" t="s">
        <v>548</v>
      </c>
      <c r="F14" s="153" t="s">
        <v>457</v>
      </c>
      <c r="G14" s="153" t="s">
        <v>404</v>
      </c>
      <c r="H14" s="153" t="s">
        <v>412</v>
      </c>
      <c r="I14" s="153" t="s">
        <v>415</v>
      </c>
      <c r="J14" s="153" t="s">
        <v>416</v>
      </c>
      <c r="K14" s="153" t="s">
        <v>417</v>
      </c>
      <c r="L14" s="153" t="s">
        <v>549</v>
      </c>
      <c r="M14" s="154" t="s">
        <v>550</v>
      </c>
    </row>
    <row r="15" spans="1:13" ht="54.75" thickBot="1">
      <c r="A15" s="7" t="s">
        <v>218</v>
      </c>
      <c r="B15" s="105">
        <f>F6/B13</f>
        <v>0.23786407766990292</v>
      </c>
      <c r="E15" s="155" t="s">
        <v>551</v>
      </c>
      <c r="F15" s="156">
        <v>0</v>
      </c>
      <c r="G15" s="156">
        <v>0.85</v>
      </c>
      <c r="H15" s="156">
        <v>0.25</v>
      </c>
      <c r="I15" s="156">
        <v>0.37</v>
      </c>
      <c r="J15" s="156">
        <v>1.4</v>
      </c>
      <c r="K15" s="156">
        <v>0.6</v>
      </c>
      <c r="L15" s="156">
        <v>3.8</v>
      </c>
      <c r="M15" s="157" t="s">
        <v>169</v>
      </c>
    </row>
    <row r="16" spans="1:13" ht="54.75" thickBot="1">
      <c r="E16" s="155" t="s">
        <v>552</v>
      </c>
      <c r="F16" s="156">
        <v>6.6</v>
      </c>
      <c r="G16" s="156">
        <v>5.7</v>
      </c>
      <c r="H16" s="156">
        <v>6.3</v>
      </c>
      <c r="I16" s="156">
        <v>6.2</v>
      </c>
      <c r="J16" s="156">
        <v>5.0999999999999996</v>
      </c>
      <c r="K16" s="156">
        <v>5.9</v>
      </c>
      <c r="L16" s="156">
        <v>2.8</v>
      </c>
      <c r="M16" s="158">
        <v>0.57999999999999996</v>
      </c>
    </row>
    <row r="17" spans="1:13" ht="36.75" thickBot="1">
      <c r="A17" s="7" t="s">
        <v>383</v>
      </c>
      <c r="E17" s="155" t="s">
        <v>553</v>
      </c>
      <c r="F17" s="156">
        <v>0</v>
      </c>
      <c r="G17" s="156">
        <v>2</v>
      </c>
      <c r="H17" s="156">
        <v>0.5</v>
      </c>
      <c r="I17" s="156">
        <v>1</v>
      </c>
      <c r="J17" s="156">
        <v>81.25</v>
      </c>
      <c r="K17" s="156">
        <v>52.5</v>
      </c>
      <c r="L17" s="156">
        <v>137.25</v>
      </c>
      <c r="M17" s="157" t="s">
        <v>169</v>
      </c>
    </row>
    <row r="18" spans="1:13" ht="36.75" thickBot="1">
      <c r="A18" s="7" t="s">
        <v>384</v>
      </c>
      <c r="B18">
        <f>B6+C6+E6+F6+G6</f>
        <v>5236455.6962025315</v>
      </c>
      <c r="E18" s="155" t="s">
        <v>554</v>
      </c>
      <c r="F18" s="156">
        <v>1.8</v>
      </c>
      <c r="G18" s="156">
        <v>1.68</v>
      </c>
      <c r="H18" s="156">
        <v>1.79</v>
      </c>
      <c r="I18" s="156">
        <v>1.8</v>
      </c>
      <c r="J18" s="156">
        <v>1.4</v>
      </c>
      <c r="K18" s="156">
        <v>1.71</v>
      </c>
      <c r="L18" s="156">
        <v>1.2</v>
      </c>
      <c r="M18" s="158">
        <v>0.33</v>
      </c>
    </row>
    <row r="19" spans="1:13" ht="54.75" thickBot="1">
      <c r="A19" s="7" t="s">
        <v>217</v>
      </c>
      <c r="B19" s="105">
        <f>(B6+C6+E6)/B18</f>
        <v>0.59964223554438212</v>
      </c>
      <c r="E19" s="155" t="s">
        <v>555</v>
      </c>
      <c r="F19" s="159">
        <v>3304</v>
      </c>
      <c r="G19" s="159">
        <v>2396</v>
      </c>
      <c r="H19" s="159">
        <v>2955</v>
      </c>
      <c r="I19" s="159">
        <v>2966</v>
      </c>
      <c r="J19" s="159">
        <v>2058</v>
      </c>
      <c r="K19" s="159">
        <v>2780</v>
      </c>
      <c r="L19" s="156">
        <v>197</v>
      </c>
      <c r="M19" s="158">
        <v>0.94</v>
      </c>
    </row>
    <row r="20" spans="1:13" ht="36.75" thickBot="1">
      <c r="A20" s="7" t="s">
        <v>218</v>
      </c>
      <c r="B20" s="105">
        <f>(F6+G6)/B18</f>
        <v>0.40035776445561788</v>
      </c>
      <c r="E20" s="155" t="s">
        <v>556</v>
      </c>
      <c r="F20" s="159">
        <v>4640</v>
      </c>
      <c r="G20" s="159">
        <v>4120</v>
      </c>
      <c r="H20" s="159">
        <v>4355</v>
      </c>
      <c r="I20" s="159">
        <v>4640</v>
      </c>
      <c r="J20" s="159">
        <v>2185</v>
      </c>
      <c r="K20" s="159">
        <v>2228</v>
      </c>
      <c r="L20" s="156">
        <v>405</v>
      </c>
      <c r="M20" s="158">
        <v>0.91</v>
      </c>
    </row>
    <row r="21" spans="1:13" ht="36.75" thickBot="1">
      <c r="E21" s="160" t="s">
        <v>557</v>
      </c>
      <c r="F21" s="161">
        <v>10972</v>
      </c>
      <c r="G21" s="161">
        <v>10127</v>
      </c>
      <c r="H21" s="161">
        <v>10972</v>
      </c>
      <c r="I21" s="161">
        <v>10972</v>
      </c>
      <c r="J21" s="161">
        <v>7275</v>
      </c>
      <c r="K21" s="161">
        <v>12379</v>
      </c>
      <c r="L21" s="161">
        <v>7835</v>
      </c>
      <c r="M21" s="162">
        <v>0.28999999999999998</v>
      </c>
    </row>
    <row r="22" spans="1:13">
      <c r="A22" s="7" t="s">
        <v>385</v>
      </c>
      <c r="B22" s="133">
        <f>A6</f>
        <v>7022784.8101265822</v>
      </c>
    </row>
    <row r="23" spans="1:13">
      <c r="A23" s="7" t="s">
        <v>217</v>
      </c>
      <c r="B23" s="65">
        <f>B8/B22</f>
        <v>0.44711607786589763</v>
      </c>
    </row>
    <row r="24" spans="1:13">
      <c r="A24" s="7" t="s">
        <v>218</v>
      </c>
      <c r="B24" s="65">
        <f>B9/B22</f>
        <v>0.55288392213410242</v>
      </c>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2BC32C-FEC3-4CAB-A55D-7A36E90B861F}">
  <sheetPr codeName="Sheet22">
    <tabColor theme="0" tint="-0.14999847407452621"/>
  </sheetPr>
  <dimension ref="A1:AO204"/>
  <sheetViews>
    <sheetView topLeftCell="AA157" zoomScale="67" zoomScaleNormal="85" workbookViewId="0">
      <selection activeCell="AO103" sqref="AO103"/>
    </sheetView>
  </sheetViews>
  <sheetFormatPr defaultColWidth="9.140625" defaultRowHeight="12.75"/>
  <cols>
    <col min="1" max="3" width="2.140625" customWidth="1"/>
    <col min="4" max="4" width="39.7109375" bestFit="1" customWidth="1"/>
    <col min="5" max="5" width="13.5703125" customWidth="1"/>
    <col min="6" max="6" width="14" customWidth="1"/>
    <col min="7" max="7" width="15.28515625" customWidth="1"/>
    <col min="8" max="8" width="2.140625" customWidth="1"/>
    <col min="9" max="9" width="2.42578125" customWidth="1"/>
    <col min="10" max="10" width="16.140625" bestFit="1" customWidth="1"/>
    <col min="11" max="11" width="17.5703125" customWidth="1"/>
    <col min="12" max="22" width="15.28515625" customWidth="1"/>
    <col min="23" max="23" width="15.28515625" style="128" customWidth="1"/>
    <col min="24" max="26" width="15.28515625" customWidth="1"/>
    <col min="27" max="27" width="15.5703125" customWidth="1"/>
    <col min="28" max="28" width="14.5703125" style="128" customWidth="1"/>
    <col min="29" max="29" width="14.85546875" customWidth="1"/>
    <col min="30" max="30" width="14.28515625" customWidth="1"/>
    <col min="31" max="31" width="19.42578125" customWidth="1"/>
    <col min="32" max="32" width="14.85546875" customWidth="1"/>
    <col min="33" max="33" width="15.28515625" customWidth="1"/>
    <col min="34" max="34" width="14.140625" customWidth="1"/>
    <col min="35" max="35" width="14.42578125" customWidth="1"/>
    <col min="36" max="36" width="19.7109375" customWidth="1"/>
    <col min="37" max="37" width="15.42578125" customWidth="1"/>
    <col min="38" max="38" width="29.42578125" customWidth="1"/>
    <col min="39" max="39" width="19.42578125" customWidth="1"/>
    <col min="40" max="40" width="15.28515625" customWidth="1"/>
    <col min="41" max="41" width="13.140625" customWidth="1"/>
    <col min="56" max="56" width="1.28515625" customWidth="1"/>
    <col min="57" max="57" width="0.7109375" customWidth="1"/>
    <col min="58" max="58" width="1.28515625" customWidth="1"/>
    <col min="60" max="69" width="14" customWidth="1"/>
    <col min="70" max="70" width="16.28515625" customWidth="1"/>
  </cols>
  <sheetData>
    <row r="1" spans="1:38" ht="23.25">
      <c r="A1" s="30" t="s">
        <v>162</v>
      </c>
      <c r="B1" s="30"/>
      <c r="C1" s="30"/>
      <c r="D1" s="30"/>
      <c r="E1" s="30"/>
      <c r="F1" s="30"/>
      <c r="G1" s="30"/>
      <c r="H1" s="30"/>
      <c r="I1" s="30"/>
      <c r="J1" s="30"/>
      <c r="K1" s="30"/>
      <c r="L1" s="30"/>
      <c r="M1" s="30"/>
      <c r="N1" s="30"/>
      <c r="O1" s="30"/>
      <c r="P1" s="30"/>
      <c r="Q1" s="30"/>
      <c r="R1" s="30"/>
      <c r="S1" s="30"/>
      <c r="T1" s="30"/>
      <c r="U1" s="30"/>
      <c r="V1" s="30"/>
      <c r="W1" s="124"/>
      <c r="X1" s="30"/>
      <c r="Y1" s="30"/>
      <c r="Z1" s="30"/>
      <c r="AA1" s="30"/>
    </row>
    <row r="2" spans="1:38" ht="15.75">
      <c r="A2" s="17" t="str">
        <f>Name_Model</f>
        <v>Aspen PE</v>
      </c>
      <c r="B2" s="17"/>
      <c r="C2" s="17"/>
      <c r="D2" s="17"/>
      <c r="E2" s="17"/>
      <c r="F2" s="17"/>
      <c r="G2" s="17"/>
      <c r="H2" s="17"/>
      <c r="I2" s="17"/>
      <c r="J2" s="17"/>
      <c r="K2" s="17"/>
      <c r="L2" s="17"/>
      <c r="M2" s="17"/>
      <c r="N2" s="17"/>
      <c r="O2" s="17"/>
      <c r="P2" s="17"/>
      <c r="Q2" s="17"/>
      <c r="R2" s="17"/>
      <c r="S2" s="17"/>
      <c r="T2" s="17"/>
      <c r="U2" s="17"/>
      <c r="V2" s="17"/>
      <c r="W2" s="125"/>
      <c r="X2" s="17"/>
      <c r="Y2" s="17"/>
      <c r="Z2" s="17"/>
      <c r="AA2" s="17"/>
    </row>
    <row r="3" spans="1:38" ht="15.75">
      <c r="A3" s="64"/>
      <c r="B3" s="64"/>
      <c r="C3" s="64"/>
      <c r="D3" s="64"/>
      <c r="E3" s="64"/>
      <c r="F3" s="64"/>
      <c r="G3" s="64"/>
      <c r="H3" s="64"/>
      <c r="I3" s="64"/>
      <c r="J3" s="64"/>
      <c r="K3" s="64"/>
      <c r="L3" s="64"/>
      <c r="M3" s="64"/>
      <c r="N3" s="64"/>
      <c r="O3" s="64"/>
      <c r="P3" s="64"/>
      <c r="Q3" s="64"/>
      <c r="R3" s="64"/>
      <c r="S3" s="64"/>
      <c r="T3" s="64"/>
      <c r="U3" s="64"/>
      <c r="V3" s="64"/>
      <c r="W3" s="125"/>
      <c r="X3" s="64"/>
      <c r="Y3" s="64"/>
      <c r="Z3" s="64"/>
      <c r="AA3" s="64"/>
    </row>
    <row r="4" spans="1:38">
      <c r="D4" t="s">
        <v>70</v>
      </c>
      <c r="E4" s="16" t="s">
        <v>17</v>
      </c>
      <c r="K4" s="37">
        <f>J5+1</f>
        <v>44743</v>
      </c>
      <c r="L4" s="37">
        <f t="shared" ref="L4:AL4" si="0">K5+1</f>
        <v>45108</v>
      </c>
      <c r="M4" s="37">
        <f t="shared" si="0"/>
        <v>45474</v>
      </c>
      <c r="N4" s="37">
        <f t="shared" si="0"/>
        <v>45839</v>
      </c>
      <c r="O4" s="37">
        <f t="shared" si="0"/>
        <v>46204</v>
      </c>
      <c r="P4" s="37">
        <f t="shared" si="0"/>
        <v>46569</v>
      </c>
      <c r="Q4" s="37">
        <f t="shared" si="0"/>
        <v>46935</v>
      </c>
      <c r="R4" s="37">
        <f t="shared" si="0"/>
        <v>47300</v>
      </c>
      <c r="S4" s="37">
        <f t="shared" si="0"/>
        <v>47665</v>
      </c>
      <c r="T4" s="37">
        <f t="shared" si="0"/>
        <v>48030</v>
      </c>
      <c r="U4" s="37">
        <f t="shared" si="0"/>
        <v>48396</v>
      </c>
      <c r="V4" s="37">
        <f t="shared" si="0"/>
        <v>48761</v>
      </c>
      <c r="W4" s="126">
        <f t="shared" si="0"/>
        <v>49126</v>
      </c>
      <c r="X4" s="37">
        <f t="shared" si="0"/>
        <v>49491</v>
      </c>
      <c r="Y4" s="37">
        <f t="shared" si="0"/>
        <v>49857</v>
      </c>
      <c r="Z4" s="37">
        <f t="shared" si="0"/>
        <v>50222</v>
      </c>
      <c r="AA4" s="37">
        <f t="shared" si="0"/>
        <v>50587</v>
      </c>
      <c r="AB4" s="126">
        <f t="shared" si="0"/>
        <v>50952</v>
      </c>
      <c r="AC4" s="37">
        <f t="shared" si="0"/>
        <v>51318</v>
      </c>
      <c r="AD4" s="37">
        <f t="shared" si="0"/>
        <v>51683</v>
      </c>
      <c r="AE4" s="37">
        <f t="shared" si="0"/>
        <v>52048</v>
      </c>
      <c r="AF4" s="37">
        <f t="shared" si="0"/>
        <v>52413</v>
      </c>
      <c r="AG4" s="37">
        <f t="shared" si="0"/>
        <v>52779</v>
      </c>
      <c r="AH4" s="37">
        <f t="shared" si="0"/>
        <v>53144</v>
      </c>
      <c r="AI4" s="37">
        <f t="shared" si="0"/>
        <v>53509</v>
      </c>
      <c r="AJ4" s="37">
        <f t="shared" si="0"/>
        <v>53874</v>
      </c>
      <c r="AK4" s="37">
        <f t="shared" si="0"/>
        <v>54240</v>
      </c>
      <c r="AL4" s="37">
        <f t="shared" si="0"/>
        <v>54605</v>
      </c>
    </row>
    <row r="5" spans="1:38">
      <c r="D5" t="s">
        <v>71</v>
      </c>
      <c r="E5" s="16" t="s">
        <v>17</v>
      </c>
      <c r="F5" s="36" t="s">
        <v>16</v>
      </c>
      <c r="G5" s="36" t="s">
        <v>18</v>
      </c>
      <c r="J5" s="38">
        <f>Model_Start</f>
        <v>44742</v>
      </c>
      <c r="K5" s="37">
        <f>EOMONTH(K4,11)</f>
        <v>45107</v>
      </c>
      <c r="L5" s="37">
        <f t="shared" ref="L5:AL5" si="1">EOMONTH(L4,11)</f>
        <v>45473</v>
      </c>
      <c r="M5" s="37">
        <f t="shared" si="1"/>
        <v>45838</v>
      </c>
      <c r="N5" s="37">
        <f t="shared" si="1"/>
        <v>46203</v>
      </c>
      <c r="O5" s="37">
        <f t="shared" si="1"/>
        <v>46568</v>
      </c>
      <c r="P5" s="37">
        <f t="shared" si="1"/>
        <v>46934</v>
      </c>
      <c r="Q5" s="37">
        <f t="shared" si="1"/>
        <v>47299</v>
      </c>
      <c r="R5" s="37">
        <f t="shared" si="1"/>
        <v>47664</v>
      </c>
      <c r="S5" s="37">
        <f t="shared" si="1"/>
        <v>48029</v>
      </c>
      <c r="T5" s="37">
        <f t="shared" si="1"/>
        <v>48395</v>
      </c>
      <c r="U5" s="37">
        <f t="shared" si="1"/>
        <v>48760</v>
      </c>
      <c r="V5" s="37">
        <f t="shared" si="1"/>
        <v>49125</v>
      </c>
      <c r="W5" s="126">
        <f t="shared" si="1"/>
        <v>49490</v>
      </c>
      <c r="X5" s="37">
        <f t="shared" si="1"/>
        <v>49856</v>
      </c>
      <c r="Y5" s="37">
        <f t="shared" si="1"/>
        <v>50221</v>
      </c>
      <c r="Z5" s="37">
        <f t="shared" si="1"/>
        <v>50586</v>
      </c>
      <c r="AA5" s="37">
        <f t="shared" si="1"/>
        <v>50951</v>
      </c>
      <c r="AB5" s="126">
        <f t="shared" si="1"/>
        <v>51317</v>
      </c>
      <c r="AC5" s="37">
        <f t="shared" si="1"/>
        <v>51682</v>
      </c>
      <c r="AD5" s="37">
        <f t="shared" si="1"/>
        <v>52047</v>
      </c>
      <c r="AE5" s="37">
        <f t="shared" si="1"/>
        <v>52412</v>
      </c>
      <c r="AF5" s="37">
        <f t="shared" si="1"/>
        <v>52778</v>
      </c>
      <c r="AG5" s="37">
        <f t="shared" si="1"/>
        <v>53143</v>
      </c>
      <c r="AH5" s="37">
        <f t="shared" si="1"/>
        <v>53508</v>
      </c>
      <c r="AI5" s="37">
        <f t="shared" si="1"/>
        <v>53873</v>
      </c>
      <c r="AJ5" s="37">
        <f t="shared" si="1"/>
        <v>54239</v>
      </c>
      <c r="AK5" s="37">
        <f t="shared" si="1"/>
        <v>54604</v>
      </c>
      <c r="AL5" s="37">
        <f t="shared" si="1"/>
        <v>54969</v>
      </c>
    </row>
    <row r="6" spans="1:38">
      <c r="D6" s="7" t="s">
        <v>95</v>
      </c>
      <c r="E6" s="16" t="s">
        <v>72</v>
      </c>
      <c r="F6" s="38">
        <f>Inputs!E9</f>
        <v>44743</v>
      </c>
      <c r="G6" s="38">
        <f>Inputs!E11</f>
        <v>45473</v>
      </c>
      <c r="K6" s="8">
        <f t="shared" ref="K6:Z7" si="2">IF(AND(K$4&gt;=$F6,K$5&lt;=$G6),1,0)</f>
        <v>1</v>
      </c>
      <c r="L6" s="8">
        <f t="shared" si="2"/>
        <v>1</v>
      </c>
      <c r="M6" s="8">
        <f t="shared" si="2"/>
        <v>0</v>
      </c>
      <c r="N6" s="8">
        <f t="shared" si="2"/>
        <v>0</v>
      </c>
      <c r="O6" s="8">
        <f t="shared" si="2"/>
        <v>0</v>
      </c>
      <c r="P6" s="8">
        <f t="shared" si="2"/>
        <v>0</v>
      </c>
      <c r="Q6" s="8">
        <f t="shared" si="2"/>
        <v>0</v>
      </c>
      <c r="R6" s="8">
        <f t="shared" si="2"/>
        <v>0</v>
      </c>
      <c r="S6" s="8">
        <f t="shared" si="2"/>
        <v>0</v>
      </c>
      <c r="T6" s="8">
        <f t="shared" si="2"/>
        <v>0</v>
      </c>
      <c r="U6" s="8">
        <f t="shared" si="2"/>
        <v>0</v>
      </c>
      <c r="V6" s="8">
        <f t="shared" si="2"/>
        <v>0</v>
      </c>
      <c r="W6" s="127">
        <f t="shared" si="2"/>
        <v>0</v>
      </c>
      <c r="X6" s="8">
        <f t="shared" si="2"/>
        <v>0</v>
      </c>
      <c r="Y6" s="8">
        <f t="shared" si="2"/>
        <v>0</v>
      </c>
      <c r="Z6" s="8">
        <f t="shared" si="2"/>
        <v>0</v>
      </c>
      <c r="AA6" s="8">
        <f t="shared" ref="AA6:AL7" si="3">IF(AND(AA$4&gt;=$F6,AA$5&lt;=$G6),1,0)</f>
        <v>0</v>
      </c>
      <c r="AB6" s="127">
        <f t="shared" si="3"/>
        <v>0</v>
      </c>
      <c r="AC6" s="8">
        <f t="shared" si="3"/>
        <v>0</v>
      </c>
      <c r="AD6" s="8">
        <f t="shared" si="3"/>
        <v>0</v>
      </c>
      <c r="AE6" s="8">
        <f t="shared" si="3"/>
        <v>0</v>
      </c>
      <c r="AF6" s="8">
        <f t="shared" si="3"/>
        <v>0</v>
      </c>
      <c r="AG6" s="8">
        <f t="shared" si="3"/>
        <v>0</v>
      </c>
      <c r="AH6" s="8">
        <f t="shared" si="3"/>
        <v>0</v>
      </c>
      <c r="AI6" s="8">
        <f t="shared" si="3"/>
        <v>0</v>
      </c>
      <c r="AJ6" s="8">
        <f t="shared" si="3"/>
        <v>0</v>
      </c>
      <c r="AK6" s="8">
        <f t="shared" si="3"/>
        <v>0</v>
      </c>
      <c r="AL6" s="8">
        <f t="shared" si="3"/>
        <v>0</v>
      </c>
    </row>
    <row r="7" spans="1:38">
      <c r="D7" s="7" t="s">
        <v>103</v>
      </c>
      <c r="E7" s="16" t="s">
        <v>72</v>
      </c>
      <c r="F7" s="38">
        <f>Inputs!E14</f>
        <v>45474</v>
      </c>
      <c r="G7" s="38">
        <f>Inputs!E16</f>
        <v>54604</v>
      </c>
      <c r="K7" s="8">
        <f t="shared" si="2"/>
        <v>0</v>
      </c>
      <c r="L7" s="8">
        <f t="shared" si="2"/>
        <v>0</v>
      </c>
      <c r="M7" s="8">
        <f t="shared" si="2"/>
        <v>1</v>
      </c>
      <c r="N7" s="8">
        <f t="shared" si="2"/>
        <v>1</v>
      </c>
      <c r="O7" s="8">
        <f t="shared" si="2"/>
        <v>1</v>
      </c>
      <c r="P7" s="8">
        <f t="shared" si="2"/>
        <v>1</v>
      </c>
      <c r="Q7" s="8">
        <f t="shared" si="2"/>
        <v>1</v>
      </c>
      <c r="R7" s="8">
        <f t="shared" si="2"/>
        <v>1</v>
      </c>
      <c r="S7" s="8">
        <f t="shared" si="2"/>
        <v>1</v>
      </c>
      <c r="T7" s="8">
        <f t="shared" si="2"/>
        <v>1</v>
      </c>
      <c r="U7" s="8">
        <f t="shared" si="2"/>
        <v>1</v>
      </c>
      <c r="V7" s="8">
        <f t="shared" si="2"/>
        <v>1</v>
      </c>
      <c r="W7" s="127">
        <f t="shared" si="2"/>
        <v>1</v>
      </c>
      <c r="X7" s="8">
        <f t="shared" si="2"/>
        <v>1</v>
      </c>
      <c r="Y7" s="8">
        <f t="shared" si="2"/>
        <v>1</v>
      </c>
      <c r="Z7" s="8">
        <f t="shared" si="2"/>
        <v>1</v>
      </c>
      <c r="AA7" s="8">
        <f t="shared" si="3"/>
        <v>1</v>
      </c>
      <c r="AB7" s="127">
        <f t="shared" si="3"/>
        <v>1</v>
      </c>
      <c r="AC7" s="8">
        <f t="shared" si="3"/>
        <v>1</v>
      </c>
      <c r="AD7" s="8">
        <f t="shared" si="3"/>
        <v>1</v>
      </c>
      <c r="AE7" s="8">
        <f t="shared" si="3"/>
        <v>1</v>
      </c>
      <c r="AF7" s="8">
        <f t="shared" si="3"/>
        <v>1</v>
      </c>
      <c r="AG7" s="8">
        <f t="shared" si="3"/>
        <v>1</v>
      </c>
      <c r="AH7" s="8">
        <f t="shared" si="3"/>
        <v>1</v>
      </c>
      <c r="AI7" s="8">
        <f t="shared" si="3"/>
        <v>1</v>
      </c>
      <c r="AJ7" s="8">
        <f t="shared" si="3"/>
        <v>1</v>
      </c>
      <c r="AK7" s="8">
        <f t="shared" si="3"/>
        <v>1</v>
      </c>
      <c r="AL7" s="8">
        <f t="shared" si="3"/>
        <v>0</v>
      </c>
    </row>
    <row r="9" spans="1:38" ht="18">
      <c r="D9" s="15" t="s">
        <v>74</v>
      </c>
    </row>
    <row r="10" spans="1:38">
      <c r="D10" s="7" t="s">
        <v>77</v>
      </c>
      <c r="E10" s="16" t="s">
        <v>21</v>
      </c>
      <c r="K10">
        <f t="shared" ref="K10:AL10" si="4">YEAR(K5)</f>
        <v>2023</v>
      </c>
      <c r="L10">
        <f t="shared" si="4"/>
        <v>2024</v>
      </c>
      <c r="M10">
        <f t="shared" si="4"/>
        <v>2025</v>
      </c>
      <c r="N10">
        <f t="shared" si="4"/>
        <v>2026</v>
      </c>
      <c r="O10">
        <f t="shared" si="4"/>
        <v>2027</v>
      </c>
      <c r="P10">
        <f t="shared" si="4"/>
        <v>2028</v>
      </c>
      <c r="Q10">
        <f t="shared" si="4"/>
        <v>2029</v>
      </c>
      <c r="R10">
        <f t="shared" si="4"/>
        <v>2030</v>
      </c>
      <c r="S10">
        <f t="shared" si="4"/>
        <v>2031</v>
      </c>
      <c r="T10">
        <f t="shared" si="4"/>
        <v>2032</v>
      </c>
      <c r="U10">
        <f t="shared" si="4"/>
        <v>2033</v>
      </c>
      <c r="V10">
        <f t="shared" si="4"/>
        <v>2034</v>
      </c>
      <c r="W10" s="128">
        <f t="shared" si="4"/>
        <v>2035</v>
      </c>
      <c r="X10">
        <f t="shared" si="4"/>
        <v>2036</v>
      </c>
      <c r="Y10">
        <f t="shared" si="4"/>
        <v>2037</v>
      </c>
      <c r="Z10">
        <f t="shared" si="4"/>
        <v>2038</v>
      </c>
      <c r="AA10">
        <f t="shared" si="4"/>
        <v>2039</v>
      </c>
      <c r="AB10" s="128">
        <f t="shared" si="4"/>
        <v>2040</v>
      </c>
      <c r="AC10">
        <f t="shared" si="4"/>
        <v>2041</v>
      </c>
      <c r="AD10">
        <f t="shared" si="4"/>
        <v>2042</v>
      </c>
      <c r="AE10">
        <f t="shared" si="4"/>
        <v>2043</v>
      </c>
      <c r="AF10">
        <f t="shared" si="4"/>
        <v>2044</v>
      </c>
      <c r="AG10">
        <f t="shared" si="4"/>
        <v>2045</v>
      </c>
      <c r="AH10">
        <f t="shared" si="4"/>
        <v>2046</v>
      </c>
      <c r="AI10">
        <f t="shared" si="4"/>
        <v>2047</v>
      </c>
      <c r="AJ10">
        <f t="shared" si="4"/>
        <v>2048</v>
      </c>
      <c r="AK10">
        <f t="shared" si="4"/>
        <v>2049</v>
      </c>
      <c r="AL10">
        <f t="shared" si="4"/>
        <v>2050</v>
      </c>
    </row>
    <row r="11" spans="1:38">
      <c r="D11" s="7" t="s">
        <v>78</v>
      </c>
      <c r="E11" s="16" t="s">
        <v>76</v>
      </c>
      <c r="K11">
        <f>K5-K4+1</f>
        <v>365</v>
      </c>
      <c r="L11">
        <f t="shared" ref="L11:AL11" si="5">L5-L4+1</f>
        <v>366</v>
      </c>
      <c r="M11">
        <f t="shared" si="5"/>
        <v>365</v>
      </c>
      <c r="N11">
        <f t="shared" si="5"/>
        <v>365</v>
      </c>
      <c r="O11">
        <f t="shared" si="5"/>
        <v>365</v>
      </c>
      <c r="P11">
        <f t="shared" si="5"/>
        <v>366</v>
      </c>
      <c r="Q11">
        <f t="shared" si="5"/>
        <v>365</v>
      </c>
      <c r="R11">
        <f t="shared" si="5"/>
        <v>365</v>
      </c>
      <c r="S11">
        <f t="shared" si="5"/>
        <v>365</v>
      </c>
      <c r="T11">
        <f t="shared" si="5"/>
        <v>366</v>
      </c>
      <c r="U11">
        <f t="shared" si="5"/>
        <v>365</v>
      </c>
      <c r="V11">
        <f t="shared" si="5"/>
        <v>365</v>
      </c>
      <c r="W11" s="128">
        <f t="shared" si="5"/>
        <v>365</v>
      </c>
      <c r="X11">
        <f t="shared" si="5"/>
        <v>366</v>
      </c>
      <c r="Y11">
        <f t="shared" si="5"/>
        <v>365</v>
      </c>
      <c r="Z11">
        <f t="shared" si="5"/>
        <v>365</v>
      </c>
      <c r="AA11">
        <f t="shared" si="5"/>
        <v>365</v>
      </c>
      <c r="AB11" s="128">
        <f t="shared" si="5"/>
        <v>366</v>
      </c>
      <c r="AC11">
        <f t="shared" si="5"/>
        <v>365</v>
      </c>
      <c r="AD11">
        <f t="shared" si="5"/>
        <v>365</v>
      </c>
      <c r="AE11">
        <f t="shared" si="5"/>
        <v>365</v>
      </c>
      <c r="AF11">
        <f t="shared" si="5"/>
        <v>366</v>
      </c>
      <c r="AG11">
        <f t="shared" si="5"/>
        <v>365</v>
      </c>
      <c r="AH11">
        <f t="shared" si="5"/>
        <v>365</v>
      </c>
      <c r="AI11">
        <f t="shared" si="5"/>
        <v>365</v>
      </c>
      <c r="AJ11">
        <f t="shared" si="5"/>
        <v>366</v>
      </c>
      <c r="AK11">
        <f t="shared" si="5"/>
        <v>365</v>
      </c>
      <c r="AL11">
        <f t="shared" si="5"/>
        <v>365</v>
      </c>
    </row>
    <row r="12" spans="1:38" ht="15.75">
      <c r="A12" s="64"/>
      <c r="B12" s="64"/>
      <c r="C12" s="64"/>
      <c r="D12" s="64"/>
      <c r="E12" s="64"/>
      <c r="F12" s="64"/>
      <c r="G12" s="64"/>
      <c r="H12" s="64"/>
      <c r="I12" s="64"/>
      <c r="J12" s="64"/>
      <c r="K12" s="64"/>
      <c r="L12" s="64"/>
      <c r="M12" s="64"/>
      <c r="N12" s="64"/>
      <c r="O12" s="64"/>
      <c r="P12" s="64"/>
      <c r="Q12" s="64"/>
      <c r="R12" s="64"/>
      <c r="S12" s="64"/>
      <c r="T12" s="64"/>
      <c r="U12" s="64"/>
      <c r="V12" s="64"/>
      <c r="W12" s="125"/>
      <c r="X12" s="64"/>
      <c r="Y12" s="64"/>
      <c r="Z12" s="64"/>
      <c r="AA12" s="64"/>
    </row>
    <row r="13" spans="1:38" ht="24" thickBot="1">
      <c r="D13" s="57" t="s">
        <v>188</v>
      </c>
      <c r="AD13">
        <f>12*60*60*24*365/1000</f>
        <v>378432</v>
      </c>
    </row>
    <row r="14" spans="1:38" ht="18">
      <c r="D14" s="15" t="s">
        <v>331</v>
      </c>
    </row>
    <row r="15" spans="1:38" ht="15">
      <c r="D15" s="4" t="s">
        <v>410</v>
      </c>
      <c r="AC15">
        <f>ABS(AC17)/AC26</f>
        <v>0.30451328948578865</v>
      </c>
    </row>
    <row r="16" spans="1:38">
      <c r="D16" s="7" t="s">
        <v>332</v>
      </c>
      <c r="K16">
        <f>Inputs!E86</f>
        <v>376680</v>
      </c>
      <c r="L16">
        <f>Inputs!F86</f>
        <v>376680</v>
      </c>
      <c r="M16">
        <f>Inputs!G86</f>
        <v>376680</v>
      </c>
      <c r="N16">
        <f>Inputs!H86</f>
        <v>753360</v>
      </c>
      <c r="O16">
        <f>Inputs!I86</f>
        <v>753360</v>
      </c>
      <c r="P16">
        <f>Inputs!J86+Inputs!$E$174</f>
        <v>770360</v>
      </c>
      <c r="Q16">
        <f>P16</f>
        <v>770360</v>
      </c>
      <c r="R16">
        <f t="shared" ref="R16:AA16" si="6">Q16</f>
        <v>770360</v>
      </c>
      <c r="S16">
        <f t="shared" si="6"/>
        <v>770360</v>
      </c>
      <c r="T16">
        <f t="shared" si="6"/>
        <v>770360</v>
      </c>
      <c r="U16">
        <f>T16+(Inputs!$E$184*'Initiative 1 Model'!U11)</f>
        <v>1003047.5</v>
      </c>
      <c r="V16">
        <f t="shared" si="6"/>
        <v>1003047.5</v>
      </c>
      <c r="W16" s="128">
        <f>V16</f>
        <v>1003047.5</v>
      </c>
      <c r="X16">
        <f t="shared" si="6"/>
        <v>1003047.5</v>
      </c>
      <c r="Y16">
        <f t="shared" si="6"/>
        <v>1003047.5</v>
      </c>
      <c r="Z16">
        <f t="shared" si="6"/>
        <v>1003047.5</v>
      </c>
      <c r="AA16">
        <f t="shared" si="6"/>
        <v>1003047.5</v>
      </c>
      <c r="AB16" s="128">
        <f>AA16+(Inputs!$E$194*'Initiative 1 Model'!AB11)</f>
        <v>1240947.5</v>
      </c>
      <c r="AC16">
        <f>AB16-Inputs!$E$86</f>
        <v>864267.5</v>
      </c>
      <c r="AD16">
        <f>AC16</f>
        <v>864267.5</v>
      </c>
      <c r="AE16">
        <f t="shared" ref="AE16:AL16" si="7">AD16</f>
        <v>864267.5</v>
      </c>
      <c r="AF16">
        <f t="shared" si="7"/>
        <v>864267.5</v>
      </c>
      <c r="AG16">
        <f t="shared" si="7"/>
        <v>864267.5</v>
      </c>
      <c r="AH16">
        <f t="shared" si="7"/>
        <v>864267.5</v>
      </c>
      <c r="AI16">
        <f t="shared" si="7"/>
        <v>864267.5</v>
      </c>
      <c r="AJ16">
        <f t="shared" si="7"/>
        <v>864267.5</v>
      </c>
      <c r="AK16">
        <f t="shared" si="7"/>
        <v>864267.5</v>
      </c>
      <c r="AL16">
        <f t="shared" si="7"/>
        <v>864267.5</v>
      </c>
    </row>
    <row r="17" spans="4:39">
      <c r="D17" s="7" t="s">
        <v>402</v>
      </c>
      <c r="K17" s="65">
        <f t="shared" ref="K17:AL17" si="8">K16-K26</f>
        <v>183680</v>
      </c>
      <c r="L17" s="65">
        <f t="shared" si="8"/>
        <v>194438.02599999998</v>
      </c>
      <c r="M17" s="65">
        <f t="shared" si="8"/>
        <v>186671.55543999997</v>
      </c>
      <c r="N17" s="65">
        <f t="shared" si="8"/>
        <v>277801.66366720002</v>
      </c>
      <c r="O17" s="65">
        <f t="shared" si="8"/>
        <v>278960.61918141885</v>
      </c>
      <c r="P17" s="65">
        <f t="shared" si="8"/>
        <v>295960.61918141885</v>
      </c>
      <c r="Q17" s="65">
        <f t="shared" si="8"/>
        <v>213018.01918141881</v>
      </c>
      <c r="R17" s="65">
        <f t="shared" si="8"/>
        <v>213018.01918141881</v>
      </c>
      <c r="S17" s="65">
        <f t="shared" si="8"/>
        <v>107838.96095357079</v>
      </c>
      <c r="T17" s="65">
        <f t="shared" si="8"/>
        <v>107838.96095357079</v>
      </c>
      <c r="U17" s="65">
        <f t="shared" si="8"/>
        <v>340526.46095357079</v>
      </c>
      <c r="V17" s="65">
        <f t="shared" si="8"/>
        <v>340526.46095357079</v>
      </c>
      <c r="W17" s="65">
        <f t="shared" si="8"/>
        <v>340526.46095357079</v>
      </c>
      <c r="X17" s="65">
        <f t="shared" si="8"/>
        <v>340526.46095357079</v>
      </c>
      <c r="Y17" s="65">
        <f t="shared" si="8"/>
        <v>340526.46095357079</v>
      </c>
      <c r="Z17" s="65">
        <f t="shared" si="8"/>
        <v>340526.46095357079</v>
      </c>
      <c r="AA17" s="65">
        <f t="shared" si="8"/>
        <v>340526.46095357079</v>
      </c>
      <c r="AB17" s="65">
        <f t="shared" si="8"/>
        <v>578426.46095357079</v>
      </c>
      <c r="AC17" s="65">
        <f t="shared" si="8"/>
        <v>201746.46095357079</v>
      </c>
      <c r="AD17" s="65">
        <f t="shared" si="8"/>
        <v>201746.46095357079</v>
      </c>
      <c r="AE17" s="65">
        <f t="shared" si="8"/>
        <v>201746.46095357079</v>
      </c>
      <c r="AF17" s="65">
        <f t="shared" si="8"/>
        <v>201746.46095357079</v>
      </c>
      <c r="AG17" s="65">
        <f t="shared" si="8"/>
        <v>201746.46095357079</v>
      </c>
      <c r="AH17" s="65">
        <f t="shared" si="8"/>
        <v>201746.46095357079</v>
      </c>
      <c r="AI17" s="65">
        <f t="shared" si="8"/>
        <v>201746.46095357079</v>
      </c>
      <c r="AJ17" s="65">
        <f t="shared" si="8"/>
        <v>201746.46095357079</v>
      </c>
      <c r="AK17" s="65">
        <f t="shared" si="8"/>
        <v>201746.46095357079</v>
      </c>
      <c r="AL17" s="65">
        <f t="shared" si="8"/>
        <v>201746.46095357079</v>
      </c>
      <c r="AM17" s="145" t="s">
        <v>492</v>
      </c>
    </row>
    <row r="18" spans="4:39" ht="15">
      <c r="D18" s="4" t="s">
        <v>411</v>
      </c>
    </row>
    <row r="19" spans="4:39">
      <c r="D19" s="7" t="s">
        <v>332</v>
      </c>
      <c r="K19">
        <f>Inputs!E86</f>
        <v>376680</v>
      </c>
      <c r="L19">
        <f>Inputs!F86</f>
        <v>376680</v>
      </c>
      <c r="M19">
        <f>Inputs!G86</f>
        <v>376680</v>
      </c>
      <c r="N19">
        <f>Inputs!H86</f>
        <v>753360</v>
      </c>
      <c r="O19">
        <f>Inputs!I86</f>
        <v>753360</v>
      </c>
      <c r="P19">
        <f>Inputs!J86</f>
        <v>753360</v>
      </c>
      <c r="Q19">
        <f>P19</f>
        <v>753360</v>
      </c>
      <c r="R19">
        <f t="shared" ref="R19:AB19" si="9">Q19</f>
        <v>753360</v>
      </c>
      <c r="S19">
        <f t="shared" si="9"/>
        <v>753360</v>
      </c>
      <c r="T19">
        <f t="shared" si="9"/>
        <v>753360</v>
      </c>
      <c r="U19">
        <f t="shared" si="9"/>
        <v>753360</v>
      </c>
      <c r="V19">
        <f t="shared" si="9"/>
        <v>753360</v>
      </c>
      <c r="W19" s="128">
        <f t="shared" si="9"/>
        <v>753360</v>
      </c>
      <c r="X19">
        <f t="shared" si="9"/>
        <v>753360</v>
      </c>
      <c r="Y19">
        <f t="shared" si="9"/>
        <v>753360</v>
      </c>
      <c r="Z19">
        <f t="shared" si="9"/>
        <v>753360</v>
      </c>
      <c r="AA19">
        <f t="shared" si="9"/>
        <v>753360</v>
      </c>
      <c r="AB19" s="128">
        <f t="shared" si="9"/>
        <v>753360</v>
      </c>
      <c r="AC19">
        <f>AB19/2</f>
        <v>376680</v>
      </c>
      <c r="AD19">
        <f>AC19</f>
        <v>376680</v>
      </c>
      <c r="AE19">
        <f t="shared" ref="AE19:AL19" si="10">AD19</f>
        <v>376680</v>
      </c>
      <c r="AF19">
        <f t="shared" si="10"/>
        <v>376680</v>
      </c>
      <c r="AG19">
        <f t="shared" si="10"/>
        <v>376680</v>
      </c>
      <c r="AH19">
        <f t="shared" si="10"/>
        <v>376680</v>
      </c>
      <c r="AI19">
        <f t="shared" si="10"/>
        <v>376680</v>
      </c>
      <c r="AJ19">
        <f t="shared" si="10"/>
        <v>376680</v>
      </c>
      <c r="AK19">
        <f t="shared" si="10"/>
        <v>376680</v>
      </c>
      <c r="AL19">
        <f t="shared" si="10"/>
        <v>376680</v>
      </c>
    </row>
    <row r="20" spans="4:39">
      <c r="D20" s="7" t="s">
        <v>402</v>
      </c>
      <c r="K20" s="65">
        <f>K19-K26</f>
        <v>183680</v>
      </c>
      <c r="L20" s="65">
        <f t="shared" ref="L20:AL20" si="11">L19-L26</f>
        <v>194438.02599999998</v>
      </c>
      <c r="M20" s="65">
        <f t="shared" si="11"/>
        <v>186671.55543999997</v>
      </c>
      <c r="N20" s="65">
        <f t="shared" si="11"/>
        <v>277801.66366720002</v>
      </c>
      <c r="O20" s="65">
        <f t="shared" si="11"/>
        <v>278960.61918141885</v>
      </c>
      <c r="P20" s="65">
        <f t="shared" si="11"/>
        <v>278960.61918141885</v>
      </c>
      <c r="Q20" s="65">
        <f t="shared" si="11"/>
        <v>196018.01918141881</v>
      </c>
      <c r="R20" s="65">
        <f t="shared" si="11"/>
        <v>196018.01918141881</v>
      </c>
      <c r="S20" s="65">
        <f t="shared" si="11"/>
        <v>90838.960953570786</v>
      </c>
      <c r="T20" s="65">
        <f t="shared" si="11"/>
        <v>90838.960953570786</v>
      </c>
      <c r="U20" s="65">
        <f t="shared" si="11"/>
        <v>90838.960953570786</v>
      </c>
      <c r="V20" s="65">
        <f t="shared" si="11"/>
        <v>90838.960953570786</v>
      </c>
      <c r="W20" s="65">
        <f t="shared" si="11"/>
        <v>90838.960953570786</v>
      </c>
      <c r="X20" s="65">
        <f t="shared" si="11"/>
        <v>90838.960953570786</v>
      </c>
      <c r="Y20" s="65">
        <f t="shared" si="11"/>
        <v>90838.960953570786</v>
      </c>
      <c r="Z20" s="65">
        <f t="shared" si="11"/>
        <v>90838.960953570786</v>
      </c>
      <c r="AA20" s="65">
        <f t="shared" si="11"/>
        <v>90838.960953570786</v>
      </c>
      <c r="AB20" s="65">
        <f t="shared" si="11"/>
        <v>90838.960953570786</v>
      </c>
      <c r="AC20" s="65">
        <f t="shared" si="11"/>
        <v>-285841.03904642921</v>
      </c>
      <c r="AD20" s="65">
        <f t="shared" si="11"/>
        <v>-285841.03904642921</v>
      </c>
      <c r="AE20" s="65">
        <f t="shared" si="11"/>
        <v>-285841.03904642921</v>
      </c>
      <c r="AF20" s="65">
        <f t="shared" si="11"/>
        <v>-285841.03904642921</v>
      </c>
      <c r="AG20" s="65">
        <f t="shared" si="11"/>
        <v>-285841.03904642921</v>
      </c>
      <c r="AH20" s="65">
        <f t="shared" si="11"/>
        <v>-285841.03904642921</v>
      </c>
      <c r="AI20" s="65">
        <f t="shared" si="11"/>
        <v>-285841.03904642921</v>
      </c>
      <c r="AJ20" s="65">
        <f t="shared" si="11"/>
        <v>-285841.03904642921</v>
      </c>
      <c r="AK20" s="65">
        <f t="shared" si="11"/>
        <v>-285841.03904642921</v>
      </c>
      <c r="AL20" s="65">
        <f t="shared" si="11"/>
        <v>-285841.03904642921</v>
      </c>
    </row>
    <row r="21" spans="4:39" ht="15">
      <c r="D21" s="4" t="s">
        <v>180</v>
      </c>
      <c r="E21" s="16" t="s">
        <v>306</v>
      </c>
      <c r="K21" s="65">
        <f>'BaU Model'!K18</f>
        <v>800</v>
      </c>
      <c r="L21" s="65">
        <f>'BaU Model'!L18</f>
        <v>800</v>
      </c>
      <c r="M21" s="65">
        <f>'BaU Model'!M18</f>
        <v>800</v>
      </c>
      <c r="N21" s="65">
        <f>'BaU Model'!N18</f>
        <v>1800</v>
      </c>
      <c r="O21" s="65">
        <f>'BaU Model'!O18</f>
        <v>1800</v>
      </c>
      <c r="P21" s="65">
        <f>'BaU Model'!P18</f>
        <v>1800</v>
      </c>
      <c r="Q21" s="65">
        <f>'BaU Model'!Q18</f>
        <v>1800</v>
      </c>
      <c r="R21" s="65">
        <f>Q21</f>
        <v>1800</v>
      </c>
      <c r="S21" s="65">
        <f t="shared" ref="S21:AL21" si="12">R21</f>
        <v>1800</v>
      </c>
      <c r="T21" s="65">
        <f t="shared" si="12"/>
        <v>1800</v>
      </c>
      <c r="U21" s="65">
        <f t="shared" si="12"/>
        <v>1800</v>
      </c>
      <c r="V21" s="65">
        <f t="shared" si="12"/>
        <v>1800</v>
      </c>
      <c r="W21" s="65">
        <f t="shared" si="12"/>
        <v>1800</v>
      </c>
      <c r="X21" s="65">
        <f t="shared" si="12"/>
        <v>1800</v>
      </c>
      <c r="Y21" s="65">
        <f t="shared" si="12"/>
        <v>1800</v>
      </c>
      <c r="Z21" s="65">
        <f t="shared" si="12"/>
        <v>1800</v>
      </c>
      <c r="AA21" s="65">
        <f t="shared" si="12"/>
        <v>1800</v>
      </c>
      <c r="AB21" s="65">
        <f t="shared" si="12"/>
        <v>1800</v>
      </c>
      <c r="AC21" s="65">
        <f t="shared" si="12"/>
        <v>1800</v>
      </c>
      <c r="AD21" s="65">
        <f t="shared" si="12"/>
        <v>1800</v>
      </c>
      <c r="AE21" s="65">
        <f t="shared" si="12"/>
        <v>1800</v>
      </c>
      <c r="AF21" s="65">
        <f t="shared" si="12"/>
        <v>1800</v>
      </c>
      <c r="AG21" s="65">
        <f t="shared" si="12"/>
        <v>1800</v>
      </c>
      <c r="AH21" s="65">
        <f t="shared" si="12"/>
        <v>1800</v>
      </c>
      <c r="AI21" s="65">
        <f t="shared" si="12"/>
        <v>1800</v>
      </c>
      <c r="AJ21" s="65">
        <f t="shared" si="12"/>
        <v>1800</v>
      </c>
      <c r="AK21" s="65">
        <f t="shared" si="12"/>
        <v>1800</v>
      </c>
      <c r="AL21" s="65">
        <f t="shared" si="12"/>
        <v>1800</v>
      </c>
    </row>
    <row r="22" spans="4:39" ht="15">
      <c r="D22" s="4" t="s">
        <v>427</v>
      </c>
      <c r="E22" s="16" t="s">
        <v>106</v>
      </c>
      <c r="K22" s="65">
        <f>(K21+SUM(K35:K38))/K33</f>
        <v>1.8129533678756478</v>
      </c>
      <c r="L22" s="65">
        <f t="shared" ref="L22:O22" si="13">(L21+SUM(L35:L38))/L33</f>
        <v>1.9066551166747128</v>
      </c>
      <c r="M22" s="65">
        <f t="shared" si="13"/>
        <v>1.8367738032705883</v>
      </c>
      <c r="N22" s="65">
        <f t="shared" si="13"/>
        <v>1.8815339776532183</v>
      </c>
      <c r="O22" s="65">
        <f t="shared" si="13"/>
        <v>2.3849090588321165</v>
      </c>
      <c r="P22" s="65">
        <f t="shared" ref="P22:AL22" si="14">(P21+SUM(P35:P38))/P33</f>
        <v>2.3887033302261771</v>
      </c>
      <c r="Q22" s="65">
        <f t="shared" si="14"/>
        <v>2.1788094609974449</v>
      </c>
      <c r="R22" s="65">
        <f t="shared" si="14"/>
        <v>2.1788094609974449</v>
      </c>
      <c r="S22" s="65">
        <f t="shared" si="14"/>
        <v>1.9916666207998832</v>
      </c>
      <c r="T22" s="65">
        <f t="shared" si="14"/>
        <v>1.9943835156513896</v>
      </c>
      <c r="U22" s="65">
        <f t="shared" si="14"/>
        <v>1.9916666207998832</v>
      </c>
      <c r="V22" s="65">
        <f t="shared" si="14"/>
        <v>1.9916666207998832</v>
      </c>
      <c r="W22" s="65">
        <f t="shared" si="14"/>
        <v>1.9916666207998832</v>
      </c>
      <c r="X22" s="65">
        <f t="shared" si="14"/>
        <v>1.9943835156513896</v>
      </c>
      <c r="Y22" s="65">
        <f t="shared" si="14"/>
        <v>1.9916666207998832</v>
      </c>
      <c r="Z22" s="65">
        <f t="shared" si="14"/>
        <v>1.9916666207998832</v>
      </c>
      <c r="AA22" s="65">
        <f t="shared" si="14"/>
        <v>1.9916666207998832</v>
      </c>
      <c r="AB22" s="65">
        <f t="shared" si="14"/>
        <v>1.9943835156513896</v>
      </c>
      <c r="AC22" s="65">
        <f t="shared" si="14"/>
        <v>1.560222150058483</v>
      </c>
      <c r="AD22" s="65">
        <f t="shared" si="14"/>
        <v>1.560222150058483</v>
      </c>
      <c r="AE22" s="65">
        <f t="shared" si="14"/>
        <v>1.560222150058483</v>
      </c>
      <c r="AF22" s="65">
        <f t="shared" si="14"/>
        <v>1.5629390449099894</v>
      </c>
      <c r="AG22" s="65">
        <f t="shared" si="14"/>
        <v>1.560222150058483</v>
      </c>
      <c r="AH22" s="65">
        <f t="shared" si="14"/>
        <v>1.560222150058483</v>
      </c>
      <c r="AI22" s="65">
        <f t="shared" si="14"/>
        <v>1.560222150058483</v>
      </c>
      <c r="AJ22" s="65">
        <f t="shared" si="14"/>
        <v>1.5629390449099894</v>
      </c>
      <c r="AK22" s="65">
        <f t="shared" si="14"/>
        <v>1.560222150058483</v>
      </c>
      <c r="AL22" s="65">
        <f t="shared" si="14"/>
        <v>1.560222150058483</v>
      </c>
    </row>
    <row r="23" spans="4:39" ht="24" thickBot="1">
      <c r="D23" s="57"/>
    </row>
    <row r="24" spans="4:39" ht="18">
      <c r="D24" s="15" t="s">
        <v>225</v>
      </c>
      <c r="K24">
        <f>K29/K26</f>
        <v>0</v>
      </c>
      <c r="L24">
        <f t="shared" ref="L24:AL24" si="15">L29/L26</f>
        <v>0</v>
      </c>
      <c r="M24">
        <f t="shared" si="15"/>
        <v>0</v>
      </c>
      <c r="N24">
        <f t="shared" si="15"/>
        <v>0</v>
      </c>
      <c r="O24">
        <f t="shared" si="15"/>
        <v>0</v>
      </c>
      <c r="P24">
        <f t="shared" si="15"/>
        <v>0</v>
      </c>
      <c r="Q24">
        <f t="shared" si="15"/>
        <v>0</v>
      </c>
      <c r="R24">
        <f t="shared" si="15"/>
        <v>0</v>
      </c>
      <c r="S24">
        <f t="shared" si="15"/>
        <v>0</v>
      </c>
      <c r="T24">
        <f t="shared" si="15"/>
        <v>0</v>
      </c>
      <c r="U24">
        <f t="shared" si="15"/>
        <v>0</v>
      </c>
      <c r="V24">
        <f t="shared" si="15"/>
        <v>0</v>
      </c>
      <c r="W24">
        <f t="shared" si="15"/>
        <v>0</v>
      </c>
      <c r="X24">
        <f t="shared" si="15"/>
        <v>0</v>
      </c>
      <c r="Y24">
        <f t="shared" si="15"/>
        <v>0</v>
      </c>
      <c r="Z24">
        <f t="shared" si="15"/>
        <v>0</v>
      </c>
      <c r="AA24">
        <f t="shared" si="15"/>
        <v>0</v>
      </c>
      <c r="AB24">
        <f t="shared" si="15"/>
        <v>0</v>
      </c>
      <c r="AC24">
        <f t="shared" si="15"/>
        <v>0</v>
      </c>
      <c r="AD24">
        <f t="shared" si="15"/>
        <v>0</v>
      </c>
      <c r="AE24">
        <f t="shared" si="15"/>
        <v>0</v>
      </c>
      <c r="AF24">
        <f t="shared" si="15"/>
        <v>0</v>
      </c>
      <c r="AG24">
        <f t="shared" si="15"/>
        <v>0</v>
      </c>
      <c r="AH24">
        <f t="shared" si="15"/>
        <v>0</v>
      </c>
      <c r="AI24">
        <f t="shared" si="15"/>
        <v>0</v>
      </c>
      <c r="AJ24">
        <f t="shared" si="15"/>
        <v>0</v>
      </c>
      <c r="AK24">
        <f t="shared" si="15"/>
        <v>0</v>
      </c>
      <c r="AL24">
        <f t="shared" si="15"/>
        <v>0</v>
      </c>
    </row>
    <row r="25" spans="4:39" ht="15">
      <c r="D25" s="4" t="s">
        <v>310</v>
      </c>
      <c r="K25" s="65">
        <f>K26-SUM(K27:K31)</f>
        <v>0</v>
      </c>
      <c r="L25" s="65">
        <f t="shared" ref="L25:AL25" si="16">L26-SUM(L27:L31)</f>
        <v>0</v>
      </c>
      <c r="M25" s="65">
        <f t="shared" si="16"/>
        <v>0</v>
      </c>
      <c r="N25" s="65">
        <f t="shared" si="16"/>
        <v>0</v>
      </c>
      <c r="O25" s="65">
        <f t="shared" si="16"/>
        <v>0</v>
      </c>
      <c r="P25" s="65">
        <f t="shared" si="16"/>
        <v>0</v>
      </c>
      <c r="Q25" s="65">
        <f t="shared" si="16"/>
        <v>0</v>
      </c>
      <c r="R25" s="65">
        <f t="shared" si="16"/>
        <v>0</v>
      </c>
      <c r="S25" s="65">
        <f t="shared" si="16"/>
        <v>0</v>
      </c>
      <c r="T25" s="65">
        <f t="shared" si="16"/>
        <v>0</v>
      </c>
      <c r="U25" s="65">
        <f t="shared" si="16"/>
        <v>0</v>
      </c>
      <c r="V25" s="65">
        <f t="shared" si="16"/>
        <v>0</v>
      </c>
      <c r="W25" s="65">
        <f t="shared" si="16"/>
        <v>0</v>
      </c>
      <c r="X25" s="65">
        <f t="shared" si="16"/>
        <v>0</v>
      </c>
      <c r="Y25" s="65">
        <f t="shared" si="16"/>
        <v>0</v>
      </c>
      <c r="Z25" s="65">
        <f t="shared" si="16"/>
        <v>0</v>
      </c>
      <c r="AA25" s="65">
        <f t="shared" si="16"/>
        <v>0</v>
      </c>
      <c r="AB25" s="65">
        <f t="shared" si="16"/>
        <v>0</v>
      </c>
      <c r="AC25" s="65">
        <f t="shared" si="16"/>
        <v>0</v>
      </c>
      <c r="AD25" s="65">
        <f t="shared" si="16"/>
        <v>0</v>
      </c>
      <c r="AE25" s="65">
        <f t="shared" si="16"/>
        <v>0</v>
      </c>
      <c r="AF25" s="65">
        <f t="shared" si="16"/>
        <v>0</v>
      </c>
      <c r="AG25" s="65">
        <f t="shared" si="16"/>
        <v>0</v>
      </c>
      <c r="AH25" s="65">
        <f t="shared" si="16"/>
        <v>0</v>
      </c>
      <c r="AI25" s="65">
        <f t="shared" si="16"/>
        <v>0</v>
      </c>
      <c r="AJ25" s="65">
        <f t="shared" si="16"/>
        <v>0</v>
      </c>
      <c r="AK25" s="65">
        <f t="shared" si="16"/>
        <v>0</v>
      </c>
      <c r="AL25" s="65">
        <f t="shared" si="16"/>
        <v>0</v>
      </c>
    </row>
    <row r="26" spans="4:39">
      <c r="D26" t="s">
        <v>190</v>
      </c>
      <c r="E26" s="16" t="s">
        <v>145</v>
      </c>
      <c r="K26" s="59">
        <f>'BaU Model'!K23</f>
        <v>193000</v>
      </c>
      <c r="L26" s="59">
        <f>'BaU Model'!L23</f>
        <v>182241.97400000002</v>
      </c>
      <c r="M26" s="59">
        <f>'BaU Model'!M23</f>
        <v>190008.44456000003</v>
      </c>
      <c r="N26" s="59">
        <f>'BaU Model'!N23</f>
        <v>475558.33633279998</v>
      </c>
      <c r="O26" s="59">
        <f>'BaU Model'!O23*(1-Inputs!$E$163)</f>
        <v>474399.38081858115</v>
      </c>
      <c r="P26" s="59">
        <f>'BaU Model'!P23*(1-Inputs!$E$163)</f>
        <v>474399.38081858115</v>
      </c>
      <c r="Q26" s="59">
        <f>'BaU Model'!Q23*(1-Inputs!$E$163)</f>
        <v>557341.98081858119</v>
      </c>
      <c r="R26" s="59">
        <f>'BaU Model'!R23*(1-Inputs!$E$163)</f>
        <v>557341.98081858119</v>
      </c>
      <c r="S26" s="59">
        <f>'BaU Model'!S23*(1-Inputs!$E$163)</f>
        <v>662521.03904642921</v>
      </c>
      <c r="T26" s="59">
        <f>'BaU Model'!T23*(1-Inputs!$E$163)</f>
        <v>662521.03904642921</v>
      </c>
      <c r="U26" s="59">
        <f>'BaU Model'!U23*(1-Inputs!$E$163)</f>
        <v>662521.03904642921</v>
      </c>
      <c r="V26" s="59">
        <f>'BaU Model'!V23*(1-Inputs!$E$163)</f>
        <v>662521.03904642921</v>
      </c>
      <c r="W26" s="59">
        <f>'BaU Model'!W23*(1-Inputs!$E$163)</f>
        <v>662521.03904642921</v>
      </c>
      <c r="X26" s="59">
        <f>'BaU Model'!X23*(1-Inputs!$E$163)</f>
        <v>662521.03904642921</v>
      </c>
      <c r="Y26" s="59">
        <f>'BaU Model'!Y23*(1-Inputs!$E$163)</f>
        <v>662521.03904642921</v>
      </c>
      <c r="Z26" s="59">
        <f>'BaU Model'!Z23*(1-Inputs!$E$163)</f>
        <v>662521.03904642921</v>
      </c>
      <c r="AA26" s="59">
        <f>'BaU Model'!AA23*(1-Inputs!$E$163)</f>
        <v>662521.03904642921</v>
      </c>
      <c r="AB26" s="59">
        <f>'BaU Model'!AB23*(1-Inputs!$E$163)</f>
        <v>662521.03904642921</v>
      </c>
      <c r="AC26" s="59">
        <f>'BaU Model'!AC23*(1-Inputs!$E$163)</f>
        <v>662521.03904642921</v>
      </c>
      <c r="AD26" s="59">
        <f>'BaU Model'!AD23*(1-Inputs!$E$163)</f>
        <v>662521.03904642921</v>
      </c>
      <c r="AE26" s="59">
        <f>'BaU Model'!AE23*(1-Inputs!$E$163)</f>
        <v>662521.03904642921</v>
      </c>
      <c r="AF26" s="59">
        <f>'BaU Model'!AF23*(1-Inputs!$E$163)</f>
        <v>662521.03904642921</v>
      </c>
      <c r="AG26" s="59">
        <f>'BaU Model'!AG23*(1-Inputs!$E$163)</f>
        <v>662521.03904642921</v>
      </c>
      <c r="AH26" s="59">
        <f>'BaU Model'!AH23*(1-Inputs!$E$163)</f>
        <v>662521.03904642921</v>
      </c>
      <c r="AI26" s="59">
        <f>'BaU Model'!AI23*(1-Inputs!$E$163)</f>
        <v>662521.03904642921</v>
      </c>
      <c r="AJ26" s="59">
        <f>'BaU Model'!AJ23*(1-Inputs!$E$163)</f>
        <v>662521.03904642921</v>
      </c>
      <c r="AK26" s="59">
        <f>'BaU Model'!AK23*(1-Inputs!$E$163)</f>
        <v>662521.03904642921</v>
      </c>
      <c r="AL26" s="59">
        <f>'BaU Model'!AL23*(1-Inputs!$E$163)</f>
        <v>662521.03904642921</v>
      </c>
    </row>
    <row r="27" spans="4:39">
      <c r="D27" t="s">
        <v>189</v>
      </c>
      <c r="E27" s="16" t="s">
        <v>145</v>
      </c>
      <c r="K27" s="59">
        <f>Inputs!E93/100*'Initiative 1 Model'!K26</f>
        <v>135100</v>
      </c>
      <c r="L27" s="59">
        <f>Inputs!F93/100*'Initiative 1 Model'!L26</f>
        <v>127569.3818</v>
      </c>
      <c r="M27" s="59">
        <f>Inputs!G93/100*'Initiative 1 Model'!M26</f>
        <v>133005.91119200003</v>
      </c>
      <c r="N27" s="59">
        <f>Inputs!H93/100*'Initiative 1 Model'!N26</f>
        <v>237779.16816639999</v>
      </c>
      <c r="O27" s="59">
        <f>O26-O28</f>
        <v>0</v>
      </c>
      <c r="P27" s="59">
        <f t="shared" ref="P27:AL27" si="17">P26-P28</f>
        <v>0</v>
      </c>
      <c r="Q27" s="59">
        <f t="shared" si="17"/>
        <v>0</v>
      </c>
      <c r="R27" s="59">
        <f t="shared" si="17"/>
        <v>0</v>
      </c>
      <c r="S27" s="59">
        <f t="shared" si="17"/>
        <v>0</v>
      </c>
      <c r="T27" s="59">
        <f t="shared" si="17"/>
        <v>0</v>
      </c>
      <c r="U27" s="59">
        <f t="shared" si="17"/>
        <v>0</v>
      </c>
      <c r="V27" s="59">
        <f t="shared" si="17"/>
        <v>0</v>
      </c>
      <c r="W27" s="59">
        <f t="shared" si="17"/>
        <v>0</v>
      </c>
      <c r="X27" s="59">
        <f t="shared" si="17"/>
        <v>0</v>
      </c>
      <c r="Y27" s="59">
        <f t="shared" si="17"/>
        <v>0</v>
      </c>
      <c r="Z27" s="59">
        <f t="shared" si="17"/>
        <v>0</v>
      </c>
      <c r="AA27" s="59">
        <f t="shared" si="17"/>
        <v>0</v>
      </c>
      <c r="AB27" s="59">
        <f t="shared" si="17"/>
        <v>0</v>
      </c>
      <c r="AC27" s="59">
        <f t="shared" si="17"/>
        <v>285841.03904642921</v>
      </c>
      <c r="AD27" s="59">
        <f t="shared" si="17"/>
        <v>285841.03904642921</v>
      </c>
      <c r="AE27" s="59">
        <f t="shared" si="17"/>
        <v>285841.03904642921</v>
      </c>
      <c r="AF27" s="59">
        <f t="shared" si="17"/>
        <v>285841.03904642921</v>
      </c>
      <c r="AG27" s="59">
        <f t="shared" si="17"/>
        <v>285841.03904642921</v>
      </c>
      <c r="AH27" s="59">
        <f t="shared" si="17"/>
        <v>285841.03904642921</v>
      </c>
      <c r="AI27" s="59">
        <f t="shared" si="17"/>
        <v>285841.03904642921</v>
      </c>
      <c r="AJ27" s="59">
        <f t="shared" si="17"/>
        <v>285841.03904642921</v>
      </c>
      <c r="AK27" s="59">
        <f t="shared" si="17"/>
        <v>285841.03904642921</v>
      </c>
      <c r="AL27" s="59">
        <f t="shared" si="17"/>
        <v>285841.03904642921</v>
      </c>
      <c r="AM27" s="65">
        <f>SUM(M27:AL27)/1000</f>
        <v>3229.1954698226914</v>
      </c>
    </row>
    <row r="28" spans="4:39">
      <c r="D28" t="s">
        <v>144</v>
      </c>
      <c r="E28" s="16" t="s">
        <v>145</v>
      </c>
      <c r="K28" s="59">
        <f>Inputs!E89/100*'Initiative 1 Model'!K26</f>
        <v>57900</v>
      </c>
      <c r="L28" s="59">
        <f>Inputs!F89/100*'Initiative 1 Model'!L26</f>
        <v>54672.592200000006</v>
      </c>
      <c r="M28" s="59">
        <f>Inputs!G89/100*'Initiative 1 Model'!M26</f>
        <v>57002.533368000011</v>
      </c>
      <c r="N28" s="59">
        <f>Inputs!H89/100*'Initiative 1 Model'!N26</f>
        <v>237779.16816639999</v>
      </c>
      <c r="O28" s="59">
        <f>IF(O26&lt;O19,Inputs!$J$89/100*O26,O19)</f>
        <v>474399.38081858115</v>
      </c>
      <c r="P28" s="59">
        <f>IF(P26&lt;P19,Inputs!$J$89/100*P26,P19)</f>
        <v>474399.38081858115</v>
      </c>
      <c r="Q28" s="59">
        <f>IF(Q26&lt;Q19,Inputs!$J$89/100*Q26,Q19)</f>
        <v>557341.98081858119</v>
      </c>
      <c r="R28" s="59">
        <f>IF(R26&lt;R19,Inputs!$J$89/100*R26,R19)</f>
        <v>557341.98081858119</v>
      </c>
      <c r="S28" s="59">
        <f>IF(S26&lt;S19,Inputs!$J$89/100*S26,S19)</f>
        <v>662521.03904642921</v>
      </c>
      <c r="T28" s="59">
        <f>IF(T26&lt;T19,Inputs!$J$89/100*T26,T19)</f>
        <v>662521.03904642921</v>
      </c>
      <c r="U28" s="59">
        <f>IF(U26&lt;U19,Inputs!$J$89/100*U26,U19)</f>
        <v>662521.03904642921</v>
      </c>
      <c r="V28" s="59">
        <f>IF(V26&lt;V19,Inputs!$J$89/100*V26,V19)</f>
        <v>662521.03904642921</v>
      </c>
      <c r="W28" s="59">
        <f>IF(W26&lt;W19,Inputs!$J$89/100*W26,W19)</f>
        <v>662521.03904642921</v>
      </c>
      <c r="X28" s="59">
        <f>IF(X26&lt;X19,Inputs!$J$89/100*X26,X19)</f>
        <v>662521.03904642921</v>
      </c>
      <c r="Y28" s="59">
        <f>IF(Y26&lt;Y19,Inputs!$J$89/100*Y26,Y19)</f>
        <v>662521.03904642921</v>
      </c>
      <c r="Z28" s="59">
        <f>IF(Z26&lt;Z19,Inputs!$J$89/100*Z26,Z19)</f>
        <v>662521.03904642921</v>
      </c>
      <c r="AA28" s="59">
        <f>IF(AA26&lt;AA19,Inputs!$J$89/100*AA26,AA19)</f>
        <v>662521.03904642921</v>
      </c>
      <c r="AB28" s="59">
        <f>IF(AB26&lt;AB19,Inputs!$J$89/100*AB26,AB19)</f>
        <v>662521.03904642921</v>
      </c>
      <c r="AC28" s="59">
        <f>IF(AC26&lt;AC19,Inputs!$J$89/100*AC26,AC19)</f>
        <v>376680</v>
      </c>
      <c r="AD28" s="59">
        <f>IF(AD26&lt;AD19,Inputs!$J$89/100*AD26,AD19)</f>
        <v>376680</v>
      </c>
      <c r="AE28" s="59">
        <f>IF(AE26&lt;AE19,Inputs!$J$89/100*AE26,AE19)</f>
        <v>376680</v>
      </c>
      <c r="AF28" s="59">
        <f>IF(AF26&lt;AF19,Inputs!$J$89/100*AF26,AF19)</f>
        <v>376680</v>
      </c>
      <c r="AG28" s="59">
        <f>IF(AG26&lt;AG19,Inputs!$J$89/100*AG26,AG19)</f>
        <v>376680</v>
      </c>
      <c r="AH28" s="59">
        <f>IF(AH26&lt;AH19,Inputs!$J$89/100*AH26,AH19)</f>
        <v>376680</v>
      </c>
      <c r="AI28" s="59">
        <f>IF(AI26&lt;AI19,Inputs!$J$89/100*AI26,AI19)</f>
        <v>376680</v>
      </c>
      <c r="AJ28" s="59">
        <f>IF(AJ26&lt;AJ19,Inputs!$J$89/100*AJ26,AJ19)</f>
        <v>376680</v>
      </c>
      <c r="AK28" s="59">
        <f>IF(AK26&lt;AK19,Inputs!$J$89/100*AK26,AK19)</f>
        <v>376680</v>
      </c>
      <c r="AL28" s="59">
        <f>IF(AL26&lt;AL19,Inputs!$J$89/100*AL26,AL19)</f>
        <v>376680</v>
      </c>
    </row>
    <row r="29" spans="4:39">
      <c r="D29" t="s">
        <v>125</v>
      </c>
      <c r="E29" s="16" t="s">
        <v>145</v>
      </c>
      <c r="K29" s="59">
        <f>Inputs!E99/100*'Initiative 1 Model'!K26</f>
        <v>0</v>
      </c>
      <c r="L29" s="59">
        <f>Inputs!F99/100*'Initiative 1 Model'!L26</f>
        <v>0</v>
      </c>
      <c r="M29" s="59">
        <f>Inputs!G99/100*'Initiative 1 Model'!M26</f>
        <v>0</v>
      </c>
      <c r="N29" s="59">
        <f>Inputs!H99/100*'Initiative 1 Model'!N26</f>
        <v>0</v>
      </c>
      <c r="O29" s="59">
        <f>Inputs!I99/100*'Initiative 1 Model'!O26</f>
        <v>0</v>
      </c>
      <c r="P29" s="59"/>
      <c r="Q29" s="59"/>
      <c r="R29" s="59"/>
      <c r="S29" s="59"/>
      <c r="T29" s="59"/>
      <c r="U29" s="59"/>
      <c r="V29" s="59"/>
      <c r="W29" s="59"/>
      <c r="X29" s="59"/>
      <c r="Y29" s="59"/>
      <c r="Z29" s="59"/>
      <c r="AA29" s="59"/>
      <c r="AB29" s="59"/>
      <c r="AC29" s="59"/>
      <c r="AD29" s="59"/>
      <c r="AE29" s="59"/>
      <c r="AF29" s="59"/>
      <c r="AG29" s="59"/>
      <c r="AH29" s="59"/>
      <c r="AI29" s="59"/>
      <c r="AJ29" s="59"/>
      <c r="AK29" s="59"/>
      <c r="AL29" s="59"/>
    </row>
    <row r="30" spans="4:39">
      <c r="D30" t="s">
        <v>191</v>
      </c>
      <c r="E30" s="16" t="s">
        <v>145</v>
      </c>
      <c r="K30" s="59">
        <f>Inputs!E104/100*'Initiative 1 Model'!K26</f>
        <v>0</v>
      </c>
      <c r="L30" s="59">
        <f>Inputs!F104/100*'Initiative 1 Model'!L26</f>
        <v>0</v>
      </c>
      <c r="M30" s="59">
        <f>Inputs!G104/100*'Initiative 1 Model'!M26</f>
        <v>0</v>
      </c>
      <c r="N30" s="59">
        <f>Inputs!H104/100*'Initiative 1 Model'!N26</f>
        <v>0</v>
      </c>
      <c r="O30" s="59">
        <f>Inputs!I104/100*'Initiative 1 Model'!O26</f>
        <v>0</v>
      </c>
      <c r="P30" s="59">
        <f>Inputs!J104/100*'Initiative 1 Model'!P26</f>
        <v>0</v>
      </c>
      <c r="Q30" s="59">
        <f>Inputs!K104/100*'Initiative 1 Model'!Q26</f>
        <v>0</v>
      </c>
      <c r="R30" s="59">
        <f>Inputs!L104/100*'Initiative 1 Model'!R26</f>
        <v>0</v>
      </c>
      <c r="S30" s="59">
        <f>Inputs!M104/100*'Initiative 1 Model'!S26</f>
        <v>0</v>
      </c>
      <c r="T30" s="59">
        <f>Inputs!N104/100*'Initiative 1 Model'!T26</f>
        <v>0</v>
      </c>
      <c r="U30" s="59"/>
      <c r="V30" s="59"/>
      <c r="W30" s="59"/>
      <c r="X30" s="59"/>
      <c r="Y30" s="59"/>
      <c r="Z30" s="59"/>
      <c r="AA30" s="59"/>
      <c r="AB30" s="59"/>
      <c r="AC30" s="59"/>
      <c r="AD30" s="59"/>
      <c r="AE30" s="59"/>
      <c r="AF30" s="59"/>
      <c r="AG30" s="59"/>
      <c r="AH30" s="59"/>
      <c r="AI30" s="59"/>
      <c r="AJ30" s="59"/>
      <c r="AK30" s="59"/>
      <c r="AL30" s="59"/>
    </row>
    <row r="31" spans="4:39">
      <c r="D31" t="s">
        <v>424</v>
      </c>
      <c r="E31" s="16" t="s">
        <v>145</v>
      </c>
      <c r="K31" s="59">
        <f>Inputs!E105/100*'Initiative 1 Model'!K27</f>
        <v>0</v>
      </c>
      <c r="L31" s="59">
        <f>Inputs!F105/100*'Initiative 1 Model'!L27</f>
        <v>0</v>
      </c>
      <c r="M31" s="59">
        <f>Inputs!G105/100*'Initiative 1 Model'!M27</f>
        <v>0</v>
      </c>
      <c r="N31" s="59">
        <f>Inputs!H105/100*'Initiative 1 Model'!N27</f>
        <v>0</v>
      </c>
      <c r="O31" s="59">
        <f>Inputs!I105/100*'Initiative 1 Model'!O27</f>
        <v>0</v>
      </c>
      <c r="P31" s="59">
        <f>Inputs!J105/100*'Initiative 1 Model'!P27</f>
        <v>0</v>
      </c>
      <c r="Q31" s="59">
        <f>Inputs!K105/100*'Initiative 1 Model'!Q27</f>
        <v>0</v>
      </c>
      <c r="R31" s="59">
        <f>Inputs!L105/100*'Initiative 1 Model'!R27</f>
        <v>0</v>
      </c>
      <c r="S31" s="59">
        <f>Inputs!M105/100*'Initiative 1 Model'!S27</f>
        <v>0</v>
      </c>
      <c r="T31" s="59">
        <f>Inputs!N105/100*'Initiative 1 Model'!T27</f>
        <v>0</v>
      </c>
      <c r="U31" s="59">
        <f>Inputs!$E$184*'Initiative 1 Model'!U12</f>
        <v>0</v>
      </c>
      <c r="V31" s="59">
        <f>Inputs!$E$184*'Initiative 1 Model'!V12</f>
        <v>0</v>
      </c>
      <c r="W31" s="59">
        <f>Inputs!$E$184*'Initiative 1 Model'!W12</f>
        <v>0</v>
      </c>
      <c r="X31" s="59">
        <f>Inputs!$E$184*'Initiative 1 Model'!X12</f>
        <v>0</v>
      </c>
      <c r="Y31" s="59">
        <f>Inputs!$E$184*'Initiative 1 Model'!Y12</f>
        <v>0</v>
      </c>
      <c r="Z31" s="59">
        <f>Inputs!$E$184*'Initiative 1 Model'!Z12</f>
        <v>0</v>
      </c>
      <c r="AA31" s="59">
        <f>Inputs!$E$184*'Initiative 1 Model'!AA12</f>
        <v>0</v>
      </c>
      <c r="AB31" s="59"/>
      <c r="AC31" s="59"/>
      <c r="AD31" s="59"/>
      <c r="AE31" s="59"/>
      <c r="AF31" s="59"/>
      <c r="AG31" s="59"/>
      <c r="AH31" s="59"/>
      <c r="AI31" s="59"/>
      <c r="AJ31" s="59"/>
      <c r="AK31" s="59"/>
      <c r="AL31" s="59"/>
    </row>
    <row r="32" spans="4:39" ht="15">
      <c r="D32" s="4" t="s">
        <v>311</v>
      </c>
    </row>
    <row r="33" spans="4:38">
      <c r="D33" t="s">
        <v>190</v>
      </c>
      <c r="E33" s="16" t="s">
        <v>156</v>
      </c>
      <c r="K33" s="59">
        <f>K26/K11</f>
        <v>528.76712328767121</v>
      </c>
      <c r="L33" s="59">
        <f t="shared" ref="L33:AL33" si="18">L26/L11</f>
        <v>497.92889071038257</v>
      </c>
      <c r="M33" s="59">
        <f t="shared" si="18"/>
        <v>520.57108098630147</v>
      </c>
      <c r="N33" s="59">
        <f t="shared" si="18"/>
        <v>1302.8995515967122</v>
      </c>
      <c r="O33" s="59">
        <f t="shared" si="18"/>
        <v>1299.7243310098113</v>
      </c>
      <c r="P33" s="59">
        <f t="shared" si="18"/>
        <v>1296.1731716354677</v>
      </c>
      <c r="Q33" s="59">
        <f t="shared" si="18"/>
        <v>1526.9643310098115</v>
      </c>
      <c r="R33" s="59">
        <f t="shared" si="18"/>
        <v>1526.9643310098115</v>
      </c>
      <c r="S33" s="59">
        <f t="shared" si="18"/>
        <v>1815.1261343737788</v>
      </c>
      <c r="T33" s="59">
        <f t="shared" si="18"/>
        <v>1810.1667733508996</v>
      </c>
      <c r="U33" s="59">
        <f t="shared" si="18"/>
        <v>1815.1261343737788</v>
      </c>
      <c r="V33" s="59">
        <f t="shared" si="18"/>
        <v>1815.1261343737788</v>
      </c>
      <c r="W33" s="59">
        <f t="shared" si="18"/>
        <v>1815.1261343737788</v>
      </c>
      <c r="X33" s="59">
        <f t="shared" si="18"/>
        <v>1810.1667733508996</v>
      </c>
      <c r="Y33" s="59">
        <f t="shared" si="18"/>
        <v>1815.1261343737788</v>
      </c>
      <c r="Z33" s="59">
        <f t="shared" si="18"/>
        <v>1815.1261343737788</v>
      </c>
      <c r="AA33" s="59">
        <f t="shared" si="18"/>
        <v>1815.1261343737788</v>
      </c>
      <c r="AB33" s="59">
        <f t="shared" si="18"/>
        <v>1810.1667733508996</v>
      </c>
      <c r="AC33" s="59">
        <f t="shared" si="18"/>
        <v>1815.1261343737788</v>
      </c>
      <c r="AD33" s="59">
        <f t="shared" si="18"/>
        <v>1815.1261343737788</v>
      </c>
      <c r="AE33" s="59">
        <f t="shared" si="18"/>
        <v>1815.1261343737788</v>
      </c>
      <c r="AF33" s="59">
        <f t="shared" si="18"/>
        <v>1810.1667733508996</v>
      </c>
      <c r="AG33" s="59">
        <f t="shared" si="18"/>
        <v>1815.1261343737788</v>
      </c>
      <c r="AH33" s="59">
        <f t="shared" si="18"/>
        <v>1815.1261343737788</v>
      </c>
      <c r="AI33" s="59">
        <f t="shared" si="18"/>
        <v>1815.1261343737788</v>
      </c>
      <c r="AJ33" s="59">
        <f t="shared" si="18"/>
        <v>1810.1667733508996</v>
      </c>
      <c r="AK33" s="59">
        <f t="shared" si="18"/>
        <v>1815.1261343737788</v>
      </c>
      <c r="AL33" s="59">
        <f t="shared" si="18"/>
        <v>1815.1261343737788</v>
      </c>
    </row>
    <row r="34" spans="4:38">
      <c r="D34" t="s">
        <v>189</v>
      </c>
      <c r="E34" s="16" t="s">
        <v>156</v>
      </c>
      <c r="K34" s="59">
        <f>K27/K11</f>
        <v>370.13698630136986</v>
      </c>
      <c r="L34" s="59">
        <f t="shared" ref="L34:AL34" si="19">L27/L11</f>
        <v>348.55022349726778</v>
      </c>
      <c r="M34" s="59">
        <f t="shared" si="19"/>
        <v>364.39975669041104</v>
      </c>
      <c r="N34" s="59">
        <f t="shared" si="19"/>
        <v>651.44977579835609</v>
      </c>
      <c r="O34" s="59">
        <f t="shared" si="19"/>
        <v>0</v>
      </c>
      <c r="P34" s="59">
        <f t="shared" si="19"/>
        <v>0</v>
      </c>
      <c r="Q34" s="59">
        <f t="shared" si="19"/>
        <v>0</v>
      </c>
      <c r="R34" s="59">
        <f t="shared" si="19"/>
        <v>0</v>
      </c>
      <c r="S34" s="59">
        <f t="shared" si="19"/>
        <v>0</v>
      </c>
      <c r="T34" s="59">
        <f t="shared" si="19"/>
        <v>0</v>
      </c>
      <c r="U34" s="59">
        <f t="shared" si="19"/>
        <v>0</v>
      </c>
      <c r="V34" s="59">
        <f t="shared" si="19"/>
        <v>0</v>
      </c>
      <c r="W34" s="59">
        <f t="shared" si="19"/>
        <v>0</v>
      </c>
      <c r="X34" s="59">
        <f t="shared" si="19"/>
        <v>0</v>
      </c>
      <c r="Y34" s="59">
        <f t="shared" si="19"/>
        <v>0</v>
      </c>
      <c r="Z34" s="59">
        <f t="shared" si="19"/>
        <v>0</v>
      </c>
      <c r="AA34" s="59">
        <f t="shared" si="19"/>
        <v>0</v>
      </c>
      <c r="AB34" s="59">
        <f t="shared" si="19"/>
        <v>0</v>
      </c>
      <c r="AC34" s="59">
        <f t="shared" si="19"/>
        <v>783.12613437377865</v>
      </c>
      <c r="AD34" s="59">
        <f t="shared" si="19"/>
        <v>783.12613437377865</v>
      </c>
      <c r="AE34" s="59">
        <f t="shared" si="19"/>
        <v>783.12613437377865</v>
      </c>
      <c r="AF34" s="59">
        <f t="shared" si="19"/>
        <v>780.98644548204709</v>
      </c>
      <c r="AG34" s="59">
        <f t="shared" si="19"/>
        <v>783.12613437377865</v>
      </c>
      <c r="AH34" s="59">
        <f t="shared" si="19"/>
        <v>783.12613437377865</v>
      </c>
      <c r="AI34" s="59">
        <f t="shared" si="19"/>
        <v>783.12613437377865</v>
      </c>
      <c r="AJ34" s="59">
        <f t="shared" si="19"/>
        <v>780.98644548204709</v>
      </c>
      <c r="AK34" s="59">
        <f t="shared" si="19"/>
        <v>783.12613437377865</v>
      </c>
      <c r="AL34" s="59">
        <f t="shared" si="19"/>
        <v>783.12613437377865</v>
      </c>
    </row>
    <row r="35" spans="4:38">
      <c r="D35" t="s">
        <v>144</v>
      </c>
      <c r="E35" s="16" t="s">
        <v>156</v>
      </c>
      <c r="K35" s="59">
        <f>K28/K11</f>
        <v>158.63013698630138</v>
      </c>
      <c r="L35" s="59">
        <f t="shared" ref="L35:AL35" si="20">L28/L11</f>
        <v>149.37866721311477</v>
      </c>
      <c r="M35" s="59">
        <f t="shared" si="20"/>
        <v>156.17132429589043</v>
      </c>
      <c r="N35" s="59">
        <f t="shared" si="20"/>
        <v>651.44977579835609</v>
      </c>
      <c r="O35" s="59">
        <f t="shared" si="20"/>
        <v>1299.7243310098113</v>
      </c>
      <c r="P35" s="59">
        <f t="shared" si="20"/>
        <v>1296.1731716354677</v>
      </c>
      <c r="Q35" s="59">
        <f t="shared" si="20"/>
        <v>1526.9643310098115</v>
      </c>
      <c r="R35" s="59">
        <f t="shared" si="20"/>
        <v>1526.9643310098115</v>
      </c>
      <c r="S35" s="59">
        <f t="shared" si="20"/>
        <v>1815.1261343737788</v>
      </c>
      <c r="T35" s="59">
        <f t="shared" si="20"/>
        <v>1810.1667733508996</v>
      </c>
      <c r="U35" s="59">
        <f t="shared" si="20"/>
        <v>1815.1261343737788</v>
      </c>
      <c r="V35" s="59">
        <f t="shared" si="20"/>
        <v>1815.1261343737788</v>
      </c>
      <c r="W35" s="59">
        <f t="shared" si="20"/>
        <v>1815.1261343737788</v>
      </c>
      <c r="X35" s="59">
        <f t="shared" si="20"/>
        <v>1810.1667733508996</v>
      </c>
      <c r="Y35" s="59">
        <f t="shared" si="20"/>
        <v>1815.1261343737788</v>
      </c>
      <c r="Z35" s="59">
        <f t="shared" si="20"/>
        <v>1815.1261343737788</v>
      </c>
      <c r="AA35" s="59">
        <f t="shared" si="20"/>
        <v>1815.1261343737788</v>
      </c>
      <c r="AB35" s="59">
        <f t="shared" si="20"/>
        <v>1810.1667733508996</v>
      </c>
      <c r="AC35" s="59">
        <f t="shared" si="20"/>
        <v>1032</v>
      </c>
      <c r="AD35" s="59">
        <f t="shared" si="20"/>
        <v>1032</v>
      </c>
      <c r="AE35" s="59">
        <f t="shared" si="20"/>
        <v>1032</v>
      </c>
      <c r="AF35" s="59">
        <f t="shared" si="20"/>
        <v>1029.1803278688524</v>
      </c>
      <c r="AG35" s="59">
        <f t="shared" si="20"/>
        <v>1032</v>
      </c>
      <c r="AH35" s="59">
        <f t="shared" si="20"/>
        <v>1032</v>
      </c>
      <c r="AI35" s="59">
        <f t="shared" si="20"/>
        <v>1032</v>
      </c>
      <c r="AJ35" s="59">
        <f t="shared" si="20"/>
        <v>1029.1803278688524</v>
      </c>
      <c r="AK35" s="59">
        <f t="shared" si="20"/>
        <v>1032</v>
      </c>
      <c r="AL35" s="59">
        <f t="shared" si="20"/>
        <v>1032</v>
      </c>
    </row>
    <row r="36" spans="4:38">
      <c r="D36" t="s">
        <v>125</v>
      </c>
      <c r="E36" s="16" t="s">
        <v>156</v>
      </c>
      <c r="K36" s="59">
        <f>K29/K11</f>
        <v>0</v>
      </c>
      <c r="L36" s="59">
        <f t="shared" ref="L36:AL36" si="21">L29/L11</f>
        <v>0</v>
      </c>
      <c r="M36" s="59">
        <f t="shared" si="21"/>
        <v>0</v>
      </c>
      <c r="N36" s="59">
        <f t="shared" si="21"/>
        <v>0</v>
      </c>
      <c r="O36" s="59">
        <f t="shared" si="21"/>
        <v>0</v>
      </c>
      <c r="P36" s="59">
        <f t="shared" si="21"/>
        <v>0</v>
      </c>
      <c r="Q36" s="59">
        <f t="shared" si="21"/>
        <v>0</v>
      </c>
      <c r="R36" s="59">
        <f t="shared" si="21"/>
        <v>0</v>
      </c>
      <c r="S36" s="59">
        <f t="shared" si="21"/>
        <v>0</v>
      </c>
      <c r="T36" s="59">
        <f t="shared" si="21"/>
        <v>0</v>
      </c>
      <c r="U36" s="59">
        <f t="shared" si="21"/>
        <v>0</v>
      </c>
      <c r="V36" s="59">
        <f t="shared" si="21"/>
        <v>0</v>
      </c>
      <c r="W36" s="59">
        <f t="shared" si="21"/>
        <v>0</v>
      </c>
      <c r="X36" s="59">
        <f t="shared" si="21"/>
        <v>0</v>
      </c>
      <c r="Y36" s="59">
        <f t="shared" si="21"/>
        <v>0</v>
      </c>
      <c r="Z36" s="59">
        <f t="shared" si="21"/>
        <v>0</v>
      </c>
      <c r="AA36" s="59">
        <f t="shared" si="21"/>
        <v>0</v>
      </c>
      <c r="AB36" s="59">
        <f t="shared" si="21"/>
        <v>0</v>
      </c>
      <c r="AC36" s="59">
        <f t="shared" si="21"/>
        <v>0</v>
      </c>
      <c r="AD36" s="59">
        <f t="shared" si="21"/>
        <v>0</v>
      </c>
      <c r="AE36" s="59">
        <f t="shared" si="21"/>
        <v>0</v>
      </c>
      <c r="AF36" s="59">
        <f t="shared" si="21"/>
        <v>0</v>
      </c>
      <c r="AG36" s="59">
        <f t="shared" si="21"/>
        <v>0</v>
      </c>
      <c r="AH36" s="59">
        <f t="shared" si="21"/>
        <v>0</v>
      </c>
      <c r="AI36" s="59">
        <f t="shared" si="21"/>
        <v>0</v>
      </c>
      <c r="AJ36" s="59">
        <f t="shared" si="21"/>
        <v>0</v>
      </c>
      <c r="AK36" s="59">
        <f t="shared" si="21"/>
        <v>0</v>
      </c>
      <c r="AL36" s="59">
        <f t="shared" si="21"/>
        <v>0</v>
      </c>
    </row>
    <row r="37" spans="4:38">
      <c r="D37" t="s">
        <v>191</v>
      </c>
      <c r="E37" s="16" t="s">
        <v>156</v>
      </c>
      <c r="K37" s="59">
        <f>K30/K11</f>
        <v>0</v>
      </c>
      <c r="L37" s="59">
        <f t="shared" ref="L37:AL37" si="22">L30/L11</f>
        <v>0</v>
      </c>
      <c r="M37" s="59">
        <f t="shared" si="22"/>
        <v>0</v>
      </c>
      <c r="N37" s="59">
        <f t="shared" si="22"/>
        <v>0</v>
      </c>
      <c r="O37" s="59">
        <f t="shared" si="22"/>
        <v>0</v>
      </c>
      <c r="P37" s="59">
        <f t="shared" si="22"/>
        <v>0</v>
      </c>
      <c r="Q37" s="59">
        <f t="shared" si="22"/>
        <v>0</v>
      </c>
      <c r="R37" s="59">
        <f t="shared" si="22"/>
        <v>0</v>
      </c>
      <c r="S37" s="59">
        <f t="shared" si="22"/>
        <v>0</v>
      </c>
      <c r="T37" s="59">
        <f t="shared" si="22"/>
        <v>0</v>
      </c>
      <c r="U37" s="59">
        <f t="shared" si="22"/>
        <v>0</v>
      </c>
      <c r="V37" s="59">
        <f t="shared" si="22"/>
        <v>0</v>
      </c>
      <c r="W37" s="59">
        <f t="shared" si="22"/>
        <v>0</v>
      </c>
      <c r="X37" s="59">
        <f t="shared" si="22"/>
        <v>0</v>
      </c>
      <c r="Y37" s="59">
        <f t="shared" si="22"/>
        <v>0</v>
      </c>
      <c r="Z37" s="59">
        <f t="shared" si="22"/>
        <v>0</v>
      </c>
      <c r="AA37" s="59">
        <f t="shared" si="22"/>
        <v>0</v>
      </c>
      <c r="AB37" s="59">
        <f t="shared" si="22"/>
        <v>0</v>
      </c>
      <c r="AC37" s="59">
        <f t="shared" si="22"/>
        <v>0</v>
      </c>
      <c r="AD37" s="59">
        <f t="shared" si="22"/>
        <v>0</v>
      </c>
      <c r="AE37" s="59">
        <f t="shared" si="22"/>
        <v>0</v>
      </c>
      <c r="AF37" s="59">
        <f t="shared" si="22"/>
        <v>0</v>
      </c>
      <c r="AG37" s="59">
        <f t="shared" si="22"/>
        <v>0</v>
      </c>
      <c r="AH37" s="59">
        <f t="shared" si="22"/>
        <v>0</v>
      </c>
      <c r="AI37" s="59">
        <f t="shared" si="22"/>
        <v>0</v>
      </c>
      <c r="AJ37" s="59">
        <f t="shared" si="22"/>
        <v>0</v>
      </c>
      <c r="AK37" s="59">
        <f t="shared" si="22"/>
        <v>0</v>
      </c>
      <c r="AL37" s="59">
        <f t="shared" si="22"/>
        <v>0</v>
      </c>
    </row>
    <row r="38" spans="4:38">
      <c r="D38" t="s">
        <v>424</v>
      </c>
      <c r="E38" s="16" t="s">
        <v>156</v>
      </c>
      <c r="K38" s="59">
        <f>K31/K11</f>
        <v>0</v>
      </c>
      <c r="L38" s="59">
        <f t="shared" ref="L38:AL38" si="23">L31/L11</f>
        <v>0</v>
      </c>
      <c r="M38" s="59">
        <f t="shared" si="23"/>
        <v>0</v>
      </c>
      <c r="N38" s="59">
        <f t="shared" si="23"/>
        <v>0</v>
      </c>
      <c r="O38" s="59">
        <f t="shared" si="23"/>
        <v>0</v>
      </c>
      <c r="P38" s="59">
        <f t="shared" si="23"/>
        <v>0</v>
      </c>
      <c r="Q38" s="59">
        <f t="shared" si="23"/>
        <v>0</v>
      </c>
      <c r="R38" s="59">
        <f t="shared" si="23"/>
        <v>0</v>
      </c>
      <c r="S38" s="59">
        <f t="shared" si="23"/>
        <v>0</v>
      </c>
      <c r="T38" s="59">
        <f t="shared" si="23"/>
        <v>0</v>
      </c>
      <c r="U38" s="59">
        <f t="shared" si="23"/>
        <v>0</v>
      </c>
      <c r="V38" s="59">
        <f t="shared" si="23"/>
        <v>0</v>
      </c>
      <c r="W38" s="59">
        <f t="shared" si="23"/>
        <v>0</v>
      </c>
      <c r="X38" s="59">
        <f t="shared" si="23"/>
        <v>0</v>
      </c>
      <c r="Y38" s="59">
        <f t="shared" si="23"/>
        <v>0</v>
      </c>
      <c r="Z38" s="59">
        <f t="shared" si="23"/>
        <v>0</v>
      </c>
      <c r="AA38" s="59">
        <f t="shared" si="23"/>
        <v>0</v>
      </c>
      <c r="AB38" s="59">
        <f t="shared" si="23"/>
        <v>0</v>
      </c>
      <c r="AC38" s="59">
        <f t="shared" si="23"/>
        <v>0</v>
      </c>
      <c r="AD38" s="59">
        <f t="shared" si="23"/>
        <v>0</v>
      </c>
      <c r="AE38" s="59">
        <f t="shared" si="23"/>
        <v>0</v>
      </c>
      <c r="AF38" s="59">
        <f t="shared" si="23"/>
        <v>0</v>
      </c>
      <c r="AG38" s="59">
        <f t="shared" si="23"/>
        <v>0</v>
      </c>
      <c r="AH38" s="59">
        <f t="shared" si="23"/>
        <v>0</v>
      </c>
      <c r="AI38" s="59">
        <f t="shared" si="23"/>
        <v>0</v>
      </c>
      <c r="AJ38" s="59">
        <f t="shared" si="23"/>
        <v>0</v>
      </c>
      <c r="AK38" s="59">
        <f t="shared" si="23"/>
        <v>0</v>
      </c>
      <c r="AL38" s="59">
        <f t="shared" si="23"/>
        <v>0</v>
      </c>
    </row>
    <row r="39" spans="4:38" ht="15">
      <c r="D39" s="4" t="s">
        <v>194</v>
      </c>
    </row>
    <row r="40" spans="4:38">
      <c r="D40" t="s">
        <v>189</v>
      </c>
      <c r="E40" s="16" t="s">
        <v>195</v>
      </c>
      <c r="K40" s="60">
        <f>K27/Inputs!F34</f>
        <v>4.48E-2</v>
      </c>
    </row>
    <row r="41" spans="4:38">
      <c r="D41" t="s">
        <v>144</v>
      </c>
      <c r="E41" s="16" t="s">
        <v>195</v>
      </c>
      <c r="K41" s="61">
        <f>K28/Inputs!F34</f>
        <v>1.9199999999999998E-2</v>
      </c>
    </row>
    <row r="42" spans="4:38">
      <c r="D42" t="s">
        <v>125</v>
      </c>
      <c r="E42" s="16" t="s">
        <v>195</v>
      </c>
      <c r="K42" s="62"/>
    </row>
    <row r="43" spans="4:38">
      <c r="D43" t="s">
        <v>191</v>
      </c>
      <c r="E43" s="16" t="s">
        <v>195</v>
      </c>
      <c r="K43" s="62"/>
    </row>
    <row r="44" spans="4:38">
      <c r="E44" s="16"/>
      <c r="K44" s="66"/>
    </row>
    <row r="45" spans="4:38" ht="18">
      <c r="D45" s="15" t="s">
        <v>226</v>
      </c>
    </row>
    <row r="46" spans="4:38" ht="15">
      <c r="D46" s="4" t="s">
        <v>212</v>
      </c>
      <c r="E46" s="16" t="s">
        <v>145</v>
      </c>
      <c r="K46" s="116">
        <f>K26*Inputs!E117</f>
        <v>67550</v>
      </c>
      <c r="L46" s="116">
        <f>L26*Inputs!F117</f>
        <v>63784.690900000001</v>
      </c>
      <c r="M46" s="116">
        <f>M26*Inputs!G117</f>
        <v>66502.955596000014</v>
      </c>
      <c r="N46" s="116">
        <f>N26*Inputs!H117</f>
        <v>166445.41771647998</v>
      </c>
      <c r="O46" s="116">
        <f>O26*Inputs!I117</f>
        <v>166039.7832865034</v>
      </c>
      <c r="P46" s="116">
        <f>P26*Inputs!$J$117</f>
        <v>166039.7832865034</v>
      </c>
      <c r="Q46" s="116">
        <f>Q26*Inputs!$J$117</f>
        <v>195069.6932865034</v>
      </c>
      <c r="R46" s="116">
        <f>R26*Inputs!$J$117</f>
        <v>195069.6932865034</v>
      </c>
      <c r="S46" s="116">
        <f>S26*Inputs!$J$117</f>
        <v>231882.3636662502</v>
      </c>
      <c r="T46" s="116">
        <f>T26*Inputs!$J$117</f>
        <v>231882.3636662502</v>
      </c>
      <c r="U46" s="116">
        <f>U26*Inputs!$J$117</f>
        <v>231882.3636662502</v>
      </c>
      <c r="V46" s="116">
        <f>V26*Inputs!$J$117</f>
        <v>231882.3636662502</v>
      </c>
      <c r="W46" s="116">
        <f>W26*Inputs!$J$117</f>
        <v>231882.3636662502</v>
      </c>
      <c r="X46" s="116">
        <f>X26*Inputs!$J$117</f>
        <v>231882.3636662502</v>
      </c>
      <c r="Y46" s="116">
        <f>Y26*Inputs!$J$117</f>
        <v>231882.3636662502</v>
      </c>
      <c r="Z46" s="116">
        <f>Z26*Inputs!$J$117</f>
        <v>231882.3636662502</v>
      </c>
      <c r="AA46" s="116">
        <f>AA26*Inputs!$J$117</f>
        <v>231882.3636662502</v>
      </c>
      <c r="AB46" s="116">
        <f>AB26*Inputs!$J$117</f>
        <v>231882.3636662502</v>
      </c>
      <c r="AC46" s="116">
        <f>AC26*Inputs!$J$117</f>
        <v>231882.3636662502</v>
      </c>
      <c r="AD46" s="116">
        <f>AD26*Inputs!$J$117</f>
        <v>231882.3636662502</v>
      </c>
      <c r="AE46" s="116">
        <f>AE26*Inputs!$J$117</f>
        <v>231882.3636662502</v>
      </c>
      <c r="AF46" s="116">
        <f>AF26*Inputs!$J$117</f>
        <v>231882.3636662502</v>
      </c>
      <c r="AG46" s="116">
        <f>AG26*Inputs!$J$117</f>
        <v>231882.3636662502</v>
      </c>
      <c r="AH46" s="116">
        <f>AH26*Inputs!$J$117</f>
        <v>231882.3636662502</v>
      </c>
      <c r="AI46" s="116">
        <f>AI26*Inputs!$J$117</f>
        <v>231882.3636662502</v>
      </c>
      <c r="AJ46" s="116">
        <f>AJ26*Inputs!$J$117</f>
        <v>231882.3636662502</v>
      </c>
      <c r="AK46" s="116">
        <f>AK26*Inputs!$J$117</f>
        <v>231882.3636662502</v>
      </c>
      <c r="AL46" s="116">
        <f>AL26*Inputs!$J$117</f>
        <v>231882.3636662502</v>
      </c>
    </row>
    <row r="47" spans="4:38">
      <c r="D47" s="7" t="s">
        <v>122</v>
      </c>
      <c r="E47" s="16" t="s">
        <v>145</v>
      </c>
      <c r="K47" s="116">
        <f>(K46*Inputs!E118)*Inputs!E120</f>
        <v>48804.875</v>
      </c>
      <c r="L47" s="116">
        <f>(L46*Inputs!F118)*Inputs!F120</f>
        <v>46084.439175250001</v>
      </c>
      <c r="M47" s="116">
        <f>(M46*Inputs!G118)*Inputs!G120</f>
        <v>48048.385418110011</v>
      </c>
      <c r="N47" s="116">
        <f>(N46*Inputs!H118)*Inputs!H120</f>
        <v>120256.81430015677</v>
      </c>
      <c r="O47" s="116">
        <f>(O46*Inputs!I118)*Inputs!I120</f>
        <v>119963.74342449869</v>
      </c>
      <c r="P47" s="116">
        <f>(P46*Inputs!$J$118)*Inputs!$J$120</f>
        <v>119963.74342449869</v>
      </c>
      <c r="Q47" s="116">
        <f>(Q46*Inputs!$J$118)*Inputs!$J$120</f>
        <v>140937.85339949868</v>
      </c>
      <c r="R47" s="116">
        <f>(R46*Inputs!$J$118)*Inputs!$J$120</f>
        <v>140937.85339949868</v>
      </c>
      <c r="S47" s="116">
        <f>(S46*Inputs!$J$118)*Inputs!$J$120</f>
        <v>167535.00774886576</v>
      </c>
      <c r="T47" s="116">
        <f>(T46*Inputs!$J$118)*Inputs!$J$120</f>
        <v>167535.00774886576</v>
      </c>
      <c r="U47" s="116">
        <f>(U46*Inputs!$J$118)*Inputs!$J$120</f>
        <v>167535.00774886576</v>
      </c>
      <c r="V47" s="116">
        <f>(V46*Inputs!$J$118)*Inputs!$J$120</f>
        <v>167535.00774886576</v>
      </c>
      <c r="W47" s="116">
        <f>(W46*Inputs!$J$118)*Inputs!$J$120</f>
        <v>167535.00774886576</v>
      </c>
      <c r="X47" s="116">
        <f>(X46*Inputs!$J$118)*Inputs!$J$120</f>
        <v>167535.00774886576</v>
      </c>
      <c r="Y47" s="116">
        <f>(Y46*Inputs!$J$118)*Inputs!$J$120</f>
        <v>167535.00774886576</v>
      </c>
      <c r="Z47" s="116">
        <f>(Z46*Inputs!$J$118)*Inputs!$J$120</f>
        <v>167535.00774886576</v>
      </c>
      <c r="AA47" s="116">
        <f>(AA46*Inputs!$J$118)*Inputs!$J$120</f>
        <v>167535.00774886576</v>
      </c>
      <c r="AB47" s="116">
        <f>(AB46*Inputs!$J$118)*Inputs!$J$120</f>
        <v>167535.00774886576</v>
      </c>
      <c r="AC47" s="116">
        <f>(AC46*Inputs!$J$118)*Inputs!$J$120</f>
        <v>167535.00774886576</v>
      </c>
      <c r="AD47" s="116">
        <f>(AD46*Inputs!$J$118)*Inputs!$J$120</f>
        <v>167535.00774886576</v>
      </c>
      <c r="AE47" s="116">
        <f>(AE46*Inputs!$J$118)*Inputs!$J$120</f>
        <v>167535.00774886576</v>
      </c>
      <c r="AF47" s="116">
        <f>(AF46*Inputs!$J$118)*Inputs!$J$120</f>
        <v>167535.00774886576</v>
      </c>
      <c r="AG47" s="116">
        <f>(AG46*Inputs!$J$118)*Inputs!$J$120</f>
        <v>167535.00774886576</v>
      </c>
      <c r="AH47" s="116">
        <f>(AH46*Inputs!$J$118)*Inputs!$J$120</f>
        <v>167535.00774886576</v>
      </c>
      <c r="AI47" s="116">
        <f>(AI46*Inputs!$J$118)*Inputs!$J$120</f>
        <v>167535.00774886576</v>
      </c>
      <c r="AJ47" s="116">
        <f>(AJ46*Inputs!$J$118)*Inputs!$J$120</f>
        <v>167535.00774886576</v>
      </c>
      <c r="AK47" s="116">
        <f>(AK46*Inputs!$J$118)*Inputs!$J$120</f>
        <v>167535.00774886576</v>
      </c>
      <c r="AL47" s="116">
        <f>(AL46*Inputs!$J$118)*Inputs!$J$120</f>
        <v>167535.00774886576</v>
      </c>
    </row>
    <row r="48" spans="4:38">
      <c r="D48" s="7" t="s">
        <v>219</v>
      </c>
      <c r="E48" s="16" t="s">
        <v>145</v>
      </c>
      <c r="K48" s="116">
        <f>K46*Inputs!E119</f>
        <v>10132.5</v>
      </c>
      <c r="L48" s="116">
        <f>L46*Inputs!F119</f>
        <v>9567.7036349999998</v>
      </c>
      <c r="M48" s="116">
        <f>M46*Inputs!G119</f>
        <v>9975.4433394000025</v>
      </c>
      <c r="N48" s="116">
        <f>N46*Inputs!H119</f>
        <v>24966.812657471997</v>
      </c>
      <c r="O48" s="116">
        <f>O46*Inputs!I119</f>
        <v>24905.967492975509</v>
      </c>
      <c r="P48" s="116">
        <f>P46*Inputs!$J$119</f>
        <v>24905.967492975509</v>
      </c>
      <c r="Q48" s="116">
        <f>Q46*Inputs!$J$119</f>
        <v>29260.453992975508</v>
      </c>
      <c r="R48" s="116">
        <f>R46*Inputs!$J$119</f>
        <v>29260.453992975508</v>
      </c>
      <c r="S48" s="116">
        <f>S46*Inputs!$J$119</f>
        <v>34782.354549937525</v>
      </c>
      <c r="T48" s="116">
        <f>T46*Inputs!$J$119</f>
        <v>34782.354549937525</v>
      </c>
      <c r="U48" s="116">
        <f>U46*Inputs!$J$119</f>
        <v>34782.354549937525</v>
      </c>
      <c r="V48" s="116">
        <f>V46*Inputs!$J$119</f>
        <v>34782.354549937525</v>
      </c>
      <c r="W48" s="116">
        <f>W46*Inputs!$J$119</f>
        <v>34782.354549937525</v>
      </c>
      <c r="X48" s="116">
        <f>X46*Inputs!$J$119</f>
        <v>34782.354549937525</v>
      </c>
      <c r="Y48" s="116">
        <f>Y46*Inputs!$J$119</f>
        <v>34782.354549937525</v>
      </c>
      <c r="Z48" s="116">
        <f>Z46*Inputs!$J$119</f>
        <v>34782.354549937525</v>
      </c>
      <c r="AA48" s="116">
        <f>AA46*Inputs!$J$119</f>
        <v>34782.354549937525</v>
      </c>
      <c r="AB48" s="116">
        <f>AB46*Inputs!$J$119</f>
        <v>34782.354549937525</v>
      </c>
      <c r="AC48" s="116">
        <f>AC46*Inputs!$J$119</f>
        <v>34782.354549937525</v>
      </c>
      <c r="AD48" s="116">
        <f>AD46*Inputs!$J$119</f>
        <v>34782.354549937525</v>
      </c>
      <c r="AE48" s="116">
        <f>AE46*Inputs!$J$119</f>
        <v>34782.354549937525</v>
      </c>
      <c r="AF48" s="116">
        <f>AF46*Inputs!$J$119</f>
        <v>34782.354549937525</v>
      </c>
      <c r="AG48" s="116">
        <f>AG46*Inputs!$J$119</f>
        <v>34782.354549937525</v>
      </c>
      <c r="AH48" s="116">
        <f>AH46*Inputs!$J$119</f>
        <v>34782.354549937525</v>
      </c>
      <c r="AI48" s="116">
        <f>AI46*Inputs!$J$119</f>
        <v>34782.354549937525</v>
      </c>
      <c r="AJ48" s="116">
        <f>AJ46*Inputs!$J$119</f>
        <v>34782.354549937525</v>
      </c>
      <c r="AK48" s="116">
        <f>AK46*Inputs!$J$119</f>
        <v>34782.354549937525</v>
      </c>
      <c r="AL48" s="116">
        <f>AL46*Inputs!$J$119</f>
        <v>34782.354549937525</v>
      </c>
    </row>
    <row r="49" spans="4:39" ht="15">
      <c r="D49" s="131" t="s">
        <v>227</v>
      </c>
      <c r="E49" s="16" t="s">
        <v>145</v>
      </c>
      <c r="K49" s="116">
        <f>K26*Inputs!E114</f>
        <v>115800</v>
      </c>
      <c r="L49" s="116">
        <f>L26*Inputs!F114</f>
        <v>109345.18440000001</v>
      </c>
      <c r="M49" s="116">
        <f>M26*Inputs!G114</f>
        <v>114005.06673600002</v>
      </c>
      <c r="N49" s="116">
        <f>N26*Inputs!H114</f>
        <v>285335.00179968</v>
      </c>
      <c r="O49" s="116">
        <f>O26*Inputs!I114</f>
        <v>284639.6284911487</v>
      </c>
      <c r="P49" s="116">
        <f>P26*Inputs!$J$114</f>
        <v>284639.6284911487</v>
      </c>
      <c r="Q49" s="116">
        <f>Q26*Inputs!$J$114</f>
        <v>334405.1884911487</v>
      </c>
      <c r="R49" s="116">
        <f>R26*Inputs!$J$114</f>
        <v>334405.1884911487</v>
      </c>
      <c r="S49" s="116">
        <f>S26*Inputs!$J$114</f>
        <v>397512.62342785753</v>
      </c>
      <c r="T49" s="116">
        <f>T26*Inputs!$J$114</f>
        <v>397512.62342785753</v>
      </c>
      <c r="U49" s="116">
        <f>U26*Inputs!$J$114</f>
        <v>397512.62342785753</v>
      </c>
      <c r="V49" s="116">
        <f>V26*Inputs!$J$114</f>
        <v>397512.62342785753</v>
      </c>
      <c r="W49" s="116">
        <f>W26*Inputs!$J$114</f>
        <v>397512.62342785753</v>
      </c>
      <c r="X49" s="116">
        <f>X26*Inputs!$J$114</f>
        <v>397512.62342785753</v>
      </c>
      <c r="Y49" s="116">
        <f>Y26*Inputs!$J$114</f>
        <v>397512.62342785753</v>
      </c>
      <c r="Z49" s="116">
        <f>Z26*Inputs!$J$114</f>
        <v>397512.62342785753</v>
      </c>
      <c r="AA49" s="116">
        <f>AA26*Inputs!$J$114</f>
        <v>397512.62342785753</v>
      </c>
      <c r="AB49" s="116">
        <f>AB26*Inputs!$J$114</f>
        <v>397512.62342785753</v>
      </c>
      <c r="AC49" s="116">
        <f>AC26*Inputs!$J$114</f>
        <v>397512.62342785753</v>
      </c>
      <c r="AD49" s="116">
        <f>AD26*Inputs!$J$114</f>
        <v>397512.62342785753</v>
      </c>
      <c r="AE49" s="116">
        <f>AE26*Inputs!$J$114</f>
        <v>397512.62342785753</v>
      </c>
      <c r="AF49" s="116">
        <f>AF26*Inputs!$J$114</f>
        <v>397512.62342785753</v>
      </c>
      <c r="AG49" s="116">
        <f>AG26*Inputs!$J$114</f>
        <v>397512.62342785753</v>
      </c>
      <c r="AH49" s="116">
        <f>AH26*Inputs!$J$114</f>
        <v>397512.62342785753</v>
      </c>
      <c r="AI49" s="116">
        <f>AI26*Inputs!$J$114</f>
        <v>397512.62342785753</v>
      </c>
      <c r="AJ49" s="116">
        <f>AJ26*Inputs!$J$114</f>
        <v>397512.62342785753</v>
      </c>
      <c r="AK49" s="116">
        <f>AK26*Inputs!$J$114</f>
        <v>397512.62342785753</v>
      </c>
      <c r="AL49" s="116">
        <f>AL26*Inputs!$J$114</f>
        <v>397512.62342785753</v>
      </c>
    </row>
    <row r="50" spans="4:39">
      <c r="D50" s="63" t="s">
        <v>394</v>
      </c>
      <c r="E50" s="16" t="s">
        <v>145</v>
      </c>
      <c r="J50" s="65"/>
      <c r="K50" s="116">
        <f>K49*Inputs!E115</f>
        <v>11580</v>
      </c>
      <c r="L50" s="116">
        <f>L49*Inputs!F115</f>
        <v>10934.518440000002</v>
      </c>
      <c r="M50" s="116">
        <f>M49*Inputs!G115</f>
        <v>11400.506673600003</v>
      </c>
      <c r="N50" s="116">
        <f>N49*Inputs!H115</f>
        <v>28533.500179968003</v>
      </c>
      <c r="O50" s="116">
        <f>O49*Inputs!I115</f>
        <v>28463.962849114872</v>
      </c>
      <c r="P50" s="116">
        <f>P49*Inputs!J115</f>
        <v>28463.962849114872</v>
      </c>
      <c r="Q50" s="116">
        <f>P50</f>
        <v>28463.962849114872</v>
      </c>
      <c r="R50" s="116">
        <f t="shared" ref="R50:AL50" si="24">Q50</f>
        <v>28463.962849114872</v>
      </c>
      <c r="S50" s="116">
        <f t="shared" si="24"/>
        <v>28463.962849114872</v>
      </c>
      <c r="T50" s="116">
        <f t="shared" si="24"/>
        <v>28463.962849114872</v>
      </c>
      <c r="U50" s="116">
        <f t="shared" si="24"/>
        <v>28463.962849114872</v>
      </c>
      <c r="V50" s="116">
        <f t="shared" si="24"/>
        <v>28463.962849114872</v>
      </c>
      <c r="W50" s="116">
        <f t="shared" si="24"/>
        <v>28463.962849114872</v>
      </c>
      <c r="X50" s="116">
        <f t="shared" si="24"/>
        <v>28463.962849114872</v>
      </c>
      <c r="Y50" s="116">
        <f t="shared" si="24"/>
        <v>28463.962849114872</v>
      </c>
      <c r="Z50" s="116">
        <f t="shared" si="24"/>
        <v>28463.962849114872</v>
      </c>
      <c r="AA50" s="116">
        <f t="shared" si="24"/>
        <v>28463.962849114872</v>
      </c>
      <c r="AB50" s="116">
        <f t="shared" si="24"/>
        <v>28463.962849114872</v>
      </c>
      <c r="AC50" s="116">
        <f t="shared" si="24"/>
        <v>28463.962849114872</v>
      </c>
      <c r="AD50" s="116">
        <f t="shared" si="24"/>
        <v>28463.962849114872</v>
      </c>
      <c r="AE50" s="116">
        <f t="shared" si="24"/>
        <v>28463.962849114872</v>
      </c>
      <c r="AF50" s="116">
        <f t="shared" si="24"/>
        <v>28463.962849114872</v>
      </c>
      <c r="AG50" s="116">
        <f t="shared" si="24"/>
        <v>28463.962849114872</v>
      </c>
      <c r="AH50" s="116">
        <f t="shared" si="24"/>
        <v>28463.962849114872</v>
      </c>
      <c r="AI50" s="116">
        <f t="shared" si="24"/>
        <v>28463.962849114872</v>
      </c>
      <c r="AJ50" s="116">
        <f t="shared" si="24"/>
        <v>28463.962849114872</v>
      </c>
      <c r="AK50" s="116">
        <f t="shared" si="24"/>
        <v>28463.962849114872</v>
      </c>
      <c r="AL50" s="116">
        <f t="shared" si="24"/>
        <v>28463.962849114872</v>
      </c>
    </row>
    <row r="51" spans="4:39">
      <c r="D51" s="63" t="s">
        <v>395</v>
      </c>
      <c r="E51" s="16" t="s">
        <v>145</v>
      </c>
      <c r="J51" s="65"/>
      <c r="K51" s="116">
        <f>Inputs!E116*K49</f>
        <v>104220</v>
      </c>
      <c r="L51" s="116">
        <f>Inputs!F116*L49</f>
        <v>98410.665960000013</v>
      </c>
      <c r="M51" s="116">
        <f>Inputs!G116*M49</f>
        <v>102604.56006240002</v>
      </c>
      <c r="N51" s="116">
        <f>Inputs!H116*N49</f>
        <v>256801.50161971201</v>
      </c>
      <c r="O51" s="116">
        <f>Inputs!I116*O49</f>
        <v>256175.66564203383</v>
      </c>
      <c r="P51" s="116">
        <f>Inputs!J116*P49</f>
        <v>256175.66564203383</v>
      </c>
      <c r="Q51" s="116">
        <f t="shared" ref="Q51:AL51" si="25">P51</f>
        <v>256175.66564203383</v>
      </c>
      <c r="R51" s="116">
        <f t="shared" si="25"/>
        <v>256175.66564203383</v>
      </c>
      <c r="S51" s="116">
        <f t="shared" si="25"/>
        <v>256175.66564203383</v>
      </c>
      <c r="T51" s="116">
        <f t="shared" si="25"/>
        <v>256175.66564203383</v>
      </c>
      <c r="U51" s="116">
        <f t="shared" si="25"/>
        <v>256175.66564203383</v>
      </c>
      <c r="V51" s="116">
        <f t="shared" si="25"/>
        <v>256175.66564203383</v>
      </c>
      <c r="W51" s="116">
        <f t="shared" si="25"/>
        <v>256175.66564203383</v>
      </c>
      <c r="X51" s="116">
        <f t="shared" si="25"/>
        <v>256175.66564203383</v>
      </c>
      <c r="Y51" s="116">
        <f t="shared" si="25"/>
        <v>256175.66564203383</v>
      </c>
      <c r="Z51" s="116">
        <f t="shared" si="25"/>
        <v>256175.66564203383</v>
      </c>
      <c r="AA51" s="116">
        <f t="shared" si="25"/>
        <v>256175.66564203383</v>
      </c>
      <c r="AB51" s="116">
        <f t="shared" si="25"/>
        <v>256175.66564203383</v>
      </c>
      <c r="AC51" s="116">
        <f t="shared" si="25"/>
        <v>256175.66564203383</v>
      </c>
      <c r="AD51" s="116">
        <f t="shared" si="25"/>
        <v>256175.66564203383</v>
      </c>
      <c r="AE51" s="116">
        <f t="shared" si="25"/>
        <v>256175.66564203383</v>
      </c>
      <c r="AF51" s="116">
        <f t="shared" si="25"/>
        <v>256175.66564203383</v>
      </c>
      <c r="AG51" s="116">
        <f t="shared" si="25"/>
        <v>256175.66564203383</v>
      </c>
      <c r="AH51" s="116">
        <f t="shared" si="25"/>
        <v>256175.66564203383</v>
      </c>
      <c r="AI51" s="116">
        <f t="shared" si="25"/>
        <v>256175.66564203383</v>
      </c>
      <c r="AJ51" s="116">
        <f t="shared" si="25"/>
        <v>256175.66564203383</v>
      </c>
      <c r="AK51" s="116">
        <f t="shared" si="25"/>
        <v>256175.66564203383</v>
      </c>
      <c r="AL51" s="116">
        <f t="shared" si="25"/>
        <v>256175.66564203383</v>
      </c>
    </row>
    <row r="52" spans="4:39" ht="15">
      <c r="D52" s="4" t="s">
        <v>228</v>
      </c>
      <c r="E52" s="16" t="s">
        <v>145</v>
      </c>
      <c r="K52" s="116">
        <f>K26*Inputs!E113</f>
        <v>9650</v>
      </c>
      <c r="L52" s="116">
        <f>L26*Inputs!F113</f>
        <v>9112.0987000000005</v>
      </c>
      <c r="M52" s="116">
        <f>M26*Inputs!G113</f>
        <v>9500.4222280000013</v>
      </c>
      <c r="N52" s="116">
        <f>N26*Inputs!H113</f>
        <v>23777.916816640001</v>
      </c>
      <c r="O52" s="116">
        <f>O26*Inputs!I113</f>
        <v>23719.96904092906</v>
      </c>
      <c r="P52" s="116">
        <f>P26*Inputs!$J$113</f>
        <v>23719.96904092906</v>
      </c>
      <c r="Q52" s="116">
        <f>Q26*Inputs!$J$113</f>
        <v>27867.099040929061</v>
      </c>
      <c r="R52" s="116">
        <f>R26*Inputs!$J$113</f>
        <v>27867.099040929061</v>
      </c>
      <c r="S52" s="116">
        <f>S26*Inputs!$J$113</f>
        <v>33126.051952321461</v>
      </c>
      <c r="T52" s="116">
        <f>T26*Inputs!$J$113</f>
        <v>33126.051952321461</v>
      </c>
      <c r="U52" s="116">
        <f>U26*Inputs!$J$113</f>
        <v>33126.051952321461</v>
      </c>
      <c r="V52" s="116">
        <f>V26*Inputs!$J$113</f>
        <v>33126.051952321461</v>
      </c>
      <c r="W52" s="116">
        <f>W26*Inputs!$J$113</f>
        <v>33126.051952321461</v>
      </c>
      <c r="X52" s="116">
        <f>X26*Inputs!$J$113</f>
        <v>33126.051952321461</v>
      </c>
      <c r="Y52" s="116">
        <f>Y26*Inputs!$J$113</f>
        <v>33126.051952321461</v>
      </c>
      <c r="Z52" s="116">
        <f>Z26*Inputs!$J$113</f>
        <v>33126.051952321461</v>
      </c>
      <c r="AA52" s="116">
        <f>AA26*Inputs!$J$113</f>
        <v>33126.051952321461</v>
      </c>
      <c r="AB52" s="116">
        <f>AB26*Inputs!$J$113</f>
        <v>33126.051952321461</v>
      </c>
      <c r="AC52" s="116">
        <f>AC26*Inputs!$J$113</f>
        <v>33126.051952321461</v>
      </c>
      <c r="AD52" s="116">
        <f>AD26*Inputs!$J$113</f>
        <v>33126.051952321461</v>
      </c>
      <c r="AE52" s="116">
        <f>AE26*Inputs!$J$113</f>
        <v>33126.051952321461</v>
      </c>
      <c r="AF52" s="116">
        <f>AF26*Inputs!$J$113</f>
        <v>33126.051952321461</v>
      </c>
      <c r="AG52" s="116">
        <f>AG26*Inputs!$J$113</f>
        <v>33126.051952321461</v>
      </c>
      <c r="AH52" s="116">
        <f>AH26*Inputs!$J$113</f>
        <v>33126.051952321461</v>
      </c>
      <c r="AI52" s="116">
        <f>AI26*Inputs!$J$113</f>
        <v>33126.051952321461</v>
      </c>
      <c r="AJ52" s="116">
        <f>AJ26*Inputs!$J$113</f>
        <v>33126.051952321461</v>
      </c>
      <c r="AK52" s="116">
        <f>AK26*Inputs!$J$113</f>
        <v>33126.051952321461</v>
      </c>
      <c r="AL52" s="116">
        <f>AL26*Inputs!$J$113</f>
        <v>33126.051952321461</v>
      </c>
    </row>
    <row r="53" spans="4:39">
      <c r="N53" s="65"/>
    </row>
    <row r="54" spans="4:39" ht="24" thickBot="1">
      <c r="D54" s="57" t="s">
        <v>230</v>
      </c>
    </row>
    <row r="55" spans="4:39" ht="15">
      <c r="D55" s="4" t="s">
        <v>236</v>
      </c>
      <c r="E55" s="16" t="s">
        <v>145</v>
      </c>
      <c r="K55" s="117">
        <f>Inputs!E124*'Initiative 1 Model'!K26</f>
        <v>183350</v>
      </c>
      <c r="L55" s="117">
        <f>Inputs!F124*'Initiative 1 Model'!L26</f>
        <v>173129.87530000001</v>
      </c>
      <c r="M55" s="117">
        <f>Inputs!G124*'Initiative 1 Model'!M26</f>
        <v>180508.02233200002</v>
      </c>
      <c r="N55" s="117">
        <f>Inputs!H124*'Initiative 1 Model'!N26</f>
        <v>451780.41951615998</v>
      </c>
      <c r="O55" s="117">
        <f>Inputs!I124*'Initiative 1 Model'!O26</f>
        <v>450679.41177765204</v>
      </c>
      <c r="P55" s="117">
        <f>Inputs!$J$124*'Initiative 1 Model'!P26</f>
        <v>450679.41177765204</v>
      </c>
      <c r="Q55" s="117">
        <f>Inputs!$J$124*'Initiative 1 Model'!Q26</f>
        <v>529474.88177765207</v>
      </c>
      <c r="R55" s="117">
        <f>Inputs!$J$124*'Initiative 1 Model'!R26</f>
        <v>529474.88177765207</v>
      </c>
      <c r="S55" s="117">
        <f>Inputs!$J$124*'Initiative 1 Model'!S26</f>
        <v>629394.98709410767</v>
      </c>
      <c r="T55" s="117">
        <f>Inputs!$J$124*'Initiative 1 Model'!T26</f>
        <v>629394.98709410767</v>
      </c>
      <c r="U55" s="117">
        <f>Inputs!$J$124*'Initiative 1 Model'!U26</f>
        <v>629394.98709410767</v>
      </c>
      <c r="V55" s="117">
        <f>Inputs!$J$124*'Initiative 1 Model'!V26</f>
        <v>629394.98709410767</v>
      </c>
      <c r="W55" s="117">
        <f>Inputs!$J$124*'Initiative 1 Model'!W26</f>
        <v>629394.98709410767</v>
      </c>
      <c r="X55" s="117">
        <f>Inputs!$J$124*'Initiative 1 Model'!X26</f>
        <v>629394.98709410767</v>
      </c>
      <c r="Y55" s="117">
        <f>Inputs!$J$124*'Initiative 1 Model'!Y26</f>
        <v>629394.98709410767</v>
      </c>
      <c r="Z55" s="117">
        <f>Inputs!$J$124*'Initiative 1 Model'!Z26</f>
        <v>629394.98709410767</v>
      </c>
      <c r="AA55" s="117">
        <f>Inputs!$J$124*'Initiative 1 Model'!AA26</f>
        <v>629394.98709410767</v>
      </c>
      <c r="AB55" s="117">
        <f>Inputs!$J$124*'Initiative 1 Model'!AB26</f>
        <v>629394.98709410767</v>
      </c>
      <c r="AC55" s="117">
        <f>Inputs!$J$124*'Initiative 1 Model'!AC26</f>
        <v>629394.98709410767</v>
      </c>
      <c r="AD55" s="117">
        <f>Inputs!$J$124*'Initiative 1 Model'!AD26</f>
        <v>629394.98709410767</v>
      </c>
      <c r="AE55" s="117">
        <f>Inputs!$J$124*'Initiative 1 Model'!AE26</f>
        <v>629394.98709410767</v>
      </c>
      <c r="AF55" s="117">
        <f>Inputs!$J$124*'Initiative 1 Model'!AF26</f>
        <v>629394.98709410767</v>
      </c>
      <c r="AG55" s="117">
        <f>Inputs!$J$124*'Initiative 1 Model'!AG26</f>
        <v>629394.98709410767</v>
      </c>
      <c r="AH55" s="117">
        <f>Inputs!$J$124*'Initiative 1 Model'!AH26</f>
        <v>629394.98709410767</v>
      </c>
      <c r="AI55" s="117">
        <f>Inputs!$J$124*'Initiative 1 Model'!AI26</f>
        <v>629394.98709410767</v>
      </c>
      <c r="AJ55" s="117">
        <f>Inputs!$J$124*'Initiative 1 Model'!AJ26</f>
        <v>629394.98709410767</v>
      </c>
      <c r="AK55" s="117">
        <f>Inputs!$J$124*'Initiative 1 Model'!AK26</f>
        <v>629394.98709410767</v>
      </c>
      <c r="AL55" s="117">
        <f>Inputs!$J$124*'Initiative 1 Model'!AL26</f>
        <v>629394.98709410767</v>
      </c>
    </row>
    <row r="56" spans="4:39" ht="15">
      <c r="D56" s="4" t="s">
        <v>378</v>
      </c>
      <c r="E56" s="16" t="s">
        <v>145</v>
      </c>
      <c r="K56" s="65">
        <f>0.6*K55</f>
        <v>110010</v>
      </c>
      <c r="L56" s="65">
        <f t="shared" ref="L56:M56" si="26">0.6*L55</f>
        <v>103877.92518000001</v>
      </c>
      <c r="M56" s="65">
        <f t="shared" si="26"/>
        <v>108304.81339920001</v>
      </c>
      <c r="N56">
        <f>Inputs!H125</f>
        <v>260975</v>
      </c>
      <c r="O56">
        <f>Inputs!I125</f>
        <v>260975</v>
      </c>
      <c r="P56">
        <f>Inputs!J125</f>
        <v>260975</v>
      </c>
      <c r="Q56">
        <f>P56</f>
        <v>260975</v>
      </c>
      <c r="R56">
        <f t="shared" ref="R56:AL56" si="27">Q56</f>
        <v>260975</v>
      </c>
      <c r="S56">
        <f t="shared" si="27"/>
        <v>260975</v>
      </c>
      <c r="T56">
        <f t="shared" si="27"/>
        <v>260975</v>
      </c>
      <c r="U56">
        <f t="shared" si="27"/>
        <v>260975</v>
      </c>
      <c r="V56">
        <f t="shared" si="27"/>
        <v>260975</v>
      </c>
      <c r="W56">
        <f t="shared" si="27"/>
        <v>260975</v>
      </c>
      <c r="X56">
        <f t="shared" si="27"/>
        <v>260975</v>
      </c>
      <c r="Y56">
        <f t="shared" si="27"/>
        <v>260975</v>
      </c>
      <c r="Z56">
        <f t="shared" si="27"/>
        <v>260975</v>
      </c>
      <c r="AA56">
        <f t="shared" si="27"/>
        <v>260975</v>
      </c>
      <c r="AB56">
        <f t="shared" si="27"/>
        <v>260975</v>
      </c>
      <c r="AC56">
        <f t="shared" si="27"/>
        <v>260975</v>
      </c>
      <c r="AD56">
        <f t="shared" si="27"/>
        <v>260975</v>
      </c>
      <c r="AE56">
        <f t="shared" si="27"/>
        <v>260975</v>
      </c>
      <c r="AF56">
        <f t="shared" si="27"/>
        <v>260975</v>
      </c>
      <c r="AG56">
        <f t="shared" si="27"/>
        <v>260975</v>
      </c>
      <c r="AH56">
        <f t="shared" si="27"/>
        <v>260975</v>
      </c>
      <c r="AI56">
        <f t="shared" si="27"/>
        <v>260975</v>
      </c>
      <c r="AJ56">
        <f t="shared" si="27"/>
        <v>260975</v>
      </c>
      <c r="AK56">
        <f t="shared" si="27"/>
        <v>260975</v>
      </c>
      <c r="AL56">
        <f t="shared" si="27"/>
        <v>260975</v>
      </c>
    </row>
    <row r="57" spans="4:39" ht="15">
      <c r="D57" s="4" t="s">
        <v>154</v>
      </c>
      <c r="E57" s="16" t="s">
        <v>145</v>
      </c>
      <c r="K57" s="65"/>
      <c r="L57" s="65"/>
      <c r="M57" s="65"/>
      <c r="U57" s="139"/>
      <c r="V57" s="139"/>
      <c r="W57" s="139"/>
      <c r="X57" s="139"/>
      <c r="Y57" s="139"/>
      <c r="Z57" s="139"/>
      <c r="AA57" s="139"/>
      <c r="AB57" s="139"/>
      <c r="AC57" s="139"/>
      <c r="AD57" s="139"/>
      <c r="AE57" s="139"/>
      <c r="AF57" s="139"/>
      <c r="AG57" s="139"/>
      <c r="AH57" s="139"/>
      <c r="AI57" s="139"/>
      <c r="AJ57" s="139"/>
      <c r="AK57" s="139"/>
      <c r="AL57" s="139"/>
    </row>
    <row r="58" spans="4:39" ht="15">
      <c r="D58" s="4" t="s">
        <v>432</v>
      </c>
      <c r="E58" s="16" t="s">
        <v>145</v>
      </c>
      <c r="K58" s="65"/>
      <c r="L58" s="65"/>
      <c r="M58" s="65"/>
      <c r="U58" s="139"/>
      <c r="V58" s="139"/>
      <c r="W58" s="139"/>
      <c r="X58" s="139"/>
      <c r="Y58" s="139"/>
      <c r="Z58" s="139"/>
      <c r="AA58" s="139"/>
      <c r="AB58" s="139"/>
      <c r="AC58" s="139"/>
      <c r="AD58" s="139"/>
      <c r="AE58" s="139"/>
      <c r="AF58" s="139"/>
      <c r="AG58" s="139"/>
      <c r="AH58" s="139"/>
      <c r="AI58" s="139"/>
      <c r="AJ58" s="139"/>
      <c r="AK58" s="139"/>
      <c r="AL58" s="139"/>
    </row>
    <row r="59" spans="4:39" ht="15">
      <c r="D59" s="67" t="s">
        <v>379</v>
      </c>
      <c r="E59" s="16" t="s">
        <v>145</v>
      </c>
      <c r="K59" s="116">
        <f>K55-K56-K57</f>
        <v>73340</v>
      </c>
      <c r="L59" s="116">
        <f t="shared" ref="L59:AA59" si="28">L55-L56-L57</f>
        <v>69251.950120000009</v>
      </c>
      <c r="M59" s="116">
        <f t="shared" si="28"/>
        <v>72203.208932800015</v>
      </c>
      <c r="N59" s="116">
        <f t="shared" si="28"/>
        <v>190805.41951615998</v>
      </c>
      <c r="O59" s="116">
        <f t="shared" si="28"/>
        <v>189704.41177765204</v>
      </c>
      <c r="P59" s="116">
        <f t="shared" si="28"/>
        <v>189704.41177765204</v>
      </c>
      <c r="Q59" s="116">
        <f t="shared" si="28"/>
        <v>268499.88177765207</v>
      </c>
      <c r="R59" s="116">
        <f t="shared" si="28"/>
        <v>268499.88177765207</v>
      </c>
      <c r="S59" s="116">
        <f t="shared" si="28"/>
        <v>368419.98709410767</v>
      </c>
      <c r="T59" s="116">
        <f t="shared" si="28"/>
        <v>368419.98709410767</v>
      </c>
      <c r="U59" s="116">
        <f t="shared" si="28"/>
        <v>368419.98709410767</v>
      </c>
      <c r="V59" s="116">
        <f t="shared" si="28"/>
        <v>368419.98709410767</v>
      </c>
      <c r="W59" s="116">
        <f t="shared" si="28"/>
        <v>368419.98709410767</v>
      </c>
      <c r="X59" s="116">
        <f t="shared" si="28"/>
        <v>368419.98709410767</v>
      </c>
      <c r="Y59" s="116">
        <f t="shared" si="28"/>
        <v>368419.98709410767</v>
      </c>
      <c r="Z59" s="116">
        <f t="shared" si="28"/>
        <v>368419.98709410767</v>
      </c>
      <c r="AA59" s="116">
        <f t="shared" si="28"/>
        <v>368419.98709410767</v>
      </c>
      <c r="AB59" s="116">
        <f>AB55-AB56-AB57+AB58</f>
        <v>368419.98709410767</v>
      </c>
      <c r="AC59" s="116">
        <f t="shared" ref="AC59:AL59" si="29">AC55-AC56-AC57+AC58</f>
        <v>368419.98709410767</v>
      </c>
      <c r="AD59" s="116">
        <f t="shared" si="29"/>
        <v>368419.98709410767</v>
      </c>
      <c r="AE59" s="116">
        <f t="shared" si="29"/>
        <v>368419.98709410767</v>
      </c>
      <c r="AF59" s="116">
        <f t="shared" si="29"/>
        <v>368419.98709410767</v>
      </c>
      <c r="AG59" s="116">
        <f t="shared" si="29"/>
        <v>368419.98709410767</v>
      </c>
      <c r="AH59" s="116">
        <f t="shared" si="29"/>
        <v>368419.98709410767</v>
      </c>
      <c r="AI59" s="116">
        <f t="shared" si="29"/>
        <v>368419.98709410767</v>
      </c>
      <c r="AJ59" s="116">
        <f t="shared" si="29"/>
        <v>368419.98709410767</v>
      </c>
      <c r="AK59" s="116">
        <f t="shared" si="29"/>
        <v>368419.98709410767</v>
      </c>
      <c r="AL59" s="116">
        <f t="shared" si="29"/>
        <v>368419.98709410767</v>
      </c>
      <c r="AM59" s="65">
        <f>SUM(M59:AL59)/1000</f>
        <v>8547.8169574417243</v>
      </c>
    </row>
    <row r="60" spans="4:39" ht="15">
      <c r="D60" s="67"/>
      <c r="E60" s="16"/>
    </row>
    <row r="64" spans="4:39" ht="24" thickBot="1">
      <c r="D64" s="57" t="s">
        <v>109</v>
      </c>
    </row>
    <row r="65" spans="4:41">
      <c r="D65" t="s">
        <v>173</v>
      </c>
      <c r="E65" s="16" t="s">
        <v>213</v>
      </c>
      <c r="K65" s="116">
        <f>Inputs!E34*(1+(Inputs!E29/100))</f>
        <v>3204114.6302</v>
      </c>
      <c r="L65" s="116">
        <f>K65*(1+(Inputs!$E$29/100))</f>
        <v>3204114.6302</v>
      </c>
      <c r="M65" s="116">
        <f>L65*(1+(Inputs!$E$29/100))</f>
        <v>3204114.6302</v>
      </c>
      <c r="N65" s="116">
        <f>M65*(1+(Inputs!$E$29/100))</f>
        <v>3204114.6302</v>
      </c>
      <c r="O65" s="116">
        <f>N65*(1+(Inputs!$E$29/100))</f>
        <v>3204114.6302</v>
      </c>
      <c r="P65" s="116">
        <f>O65*(1+(Inputs!$E$29/100))</f>
        <v>3204114.6302</v>
      </c>
      <c r="Q65" s="116">
        <f>P65*(1+(Inputs!$E$29/100))</f>
        <v>3204114.6302</v>
      </c>
      <c r="R65" s="116">
        <f>Q65*(1+(Inputs!$E$29/100))</f>
        <v>3204114.6302</v>
      </c>
      <c r="S65" s="116">
        <f>R65*(1+(Inputs!$E$29/100))</f>
        <v>3204114.6302</v>
      </c>
      <c r="T65" s="116">
        <f>S65*(1+(Inputs!$E$29/100))</f>
        <v>3204114.6302</v>
      </c>
      <c r="U65" s="116">
        <f>T65*(1+(Inputs!$E$29/100))</f>
        <v>3204114.6302</v>
      </c>
      <c r="V65" s="116">
        <f>U65*(1+(Inputs!$E$29/100))</f>
        <v>3204114.6302</v>
      </c>
      <c r="W65" s="130">
        <f>V65*(1+(Inputs!$E$29/100))</f>
        <v>3204114.6302</v>
      </c>
      <c r="X65" s="116">
        <f>W65*(1+(Inputs!$E$29/100))</f>
        <v>3204114.6302</v>
      </c>
      <c r="Y65" s="116">
        <f>X65*(1+(Inputs!$E$29/100))</f>
        <v>3204114.6302</v>
      </c>
      <c r="Z65" s="116">
        <f>Y65*(1+(Inputs!$E$29/100))</f>
        <v>3204114.6302</v>
      </c>
      <c r="AA65" s="116">
        <v>6179091.8866104605</v>
      </c>
      <c r="AB65" s="130">
        <v>6179091.8866104605</v>
      </c>
      <c r="AC65" s="116">
        <v>6179091.8866104605</v>
      </c>
      <c r="AD65" s="116">
        <v>6179091.8866104605</v>
      </c>
      <c r="AE65" s="116">
        <v>6179091.8866104605</v>
      </c>
      <c r="AF65" s="116">
        <v>6179091.8866104605</v>
      </c>
      <c r="AG65" s="116">
        <v>6179091.8866104605</v>
      </c>
      <c r="AH65" s="116">
        <v>6179091.8866104605</v>
      </c>
      <c r="AI65" s="116">
        <v>6179091.8866104605</v>
      </c>
      <c r="AJ65" s="116">
        <v>6179091.8866104605</v>
      </c>
      <c r="AK65" s="116">
        <v>6179091.8866104605</v>
      </c>
      <c r="AL65" s="116">
        <v>6179091.8866104605</v>
      </c>
      <c r="AM65" s="116"/>
      <c r="AN65" s="116"/>
      <c r="AO65" s="116"/>
    </row>
    <row r="66" spans="4:41">
      <c r="D66" s="7" t="s">
        <v>375</v>
      </c>
      <c r="E66" s="16" t="s">
        <v>213</v>
      </c>
      <c r="K66" s="116">
        <f>K65-Inputs!F34</f>
        <v>188489.63020000001</v>
      </c>
      <c r="L66" s="116">
        <f>L65-Inputs!G34</f>
        <v>62011.630200000014</v>
      </c>
      <c r="M66" s="116">
        <f>M65-Inputs!H34</f>
        <v>450369.0568666663</v>
      </c>
      <c r="N66" s="116"/>
      <c r="O66" s="116"/>
      <c r="P66" s="116"/>
      <c r="Q66" s="116"/>
      <c r="R66" s="116"/>
      <c r="S66" s="116"/>
      <c r="T66" s="116"/>
      <c r="U66" s="116"/>
      <c r="V66" s="116"/>
      <c r="W66" s="116"/>
      <c r="X66" s="116"/>
      <c r="Y66" s="116"/>
      <c r="Z66" s="116"/>
      <c r="AA66" s="116"/>
    </row>
    <row r="67" spans="4:41">
      <c r="D67" s="23" t="s">
        <v>217</v>
      </c>
      <c r="E67" s="16" t="s">
        <v>213</v>
      </c>
      <c r="K67" s="117">
        <f>Inputs!F35*Inputs!F34</f>
        <v>2322031.25</v>
      </c>
      <c r="L67" s="117">
        <f>Inputs!G35*Inputs!G34</f>
        <v>2639366.52</v>
      </c>
      <c r="M67" s="117">
        <f>Inputs!H35*Inputs!H34</f>
        <v>2092846.6357333336</v>
      </c>
      <c r="N67" s="117">
        <f>Inputs!I35*N65</f>
        <v>2242880.2411400001</v>
      </c>
      <c r="O67" s="117">
        <f>Inputs!J35*O65</f>
        <v>1922468.7781199999</v>
      </c>
      <c r="P67" s="117">
        <f>Inputs!$K$35*P65</f>
        <v>1281645.8520800001</v>
      </c>
      <c r="Q67" s="117">
        <f>Inputs!$K$35*Q65</f>
        <v>1281645.8520800001</v>
      </c>
      <c r="R67" s="117">
        <f>Inputs!$K$35*R65</f>
        <v>1281645.8520800001</v>
      </c>
      <c r="S67" s="117">
        <f>Inputs!$K$35*S65</f>
        <v>1281645.8520800001</v>
      </c>
      <c r="T67" s="117">
        <f>Inputs!$K$35*T65</f>
        <v>1281645.8520800001</v>
      </c>
      <c r="U67" s="117">
        <f>Inputs!$K$35*U65</f>
        <v>1281645.8520800001</v>
      </c>
      <c r="V67" s="117">
        <f>Inputs!$K$35*V65</f>
        <v>1281645.8520800001</v>
      </c>
      <c r="W67" s="117">
        <f>Inputs!$K$35*W65</f>
        <v>1281645.8520800001</v>
      </c>
      <c r="X67" s="117">
        <f>Inputs!$K$35*X65</f>
        <v>1281645.8520800001</v>
      </c>
      <c r="Y67" s="117">
        <f>Inputs!$K$35*Y65</f>
        <v>1281645.8520800001</v>
      </c>
      <c r="Z67" s="117">
        <f>Inputs!$K$35*Z65</f>
        <v>1281645.8520800001</v>
      </c>
      <c r="AA67" s="117">
        <f>Inputs!$K$35*AA65</f>
        <v>2471636.7546441844</v>
      </c>
      <c r="AB67" s="117">
        <f>Inputs!$K$35*AB65</f>
        <v>2471636.7546441844</v>
      </c>
      <c r="AC67" s="117">
        <f>Inputs!$K$35*AC65</f>
        <v>2471636.7546441844</v>
      </c>
      <c r="AD67" s="117">
        <f>Inputs!$K$35*AD65</f>
        <v>2471636.7546441844</v>
      </c>
      <c r="AE67" s="117">
        <f>Inputs!$K$35*AE65</f>
        <v>2471636.7546441844</v>
      </c>
      <c r="AF67" s="117">
        <f>Inputs!$K$35*AF65</f>
        <v>2471636.7546441844</v>
      </c>
      <c r="AG67" s="117">
        <f>Inputs!$K$35*AG65</f>
        <v>2471636.7546441844</v>
      </c>
      <c r="AH67" s="117">
        <f>Inputs!$K$35*AH65</f>
        <v>2471636.7546441844</v>
      </c>
      <c r="AI67" s="117">
        <f>Inputs!$K$35*AI65</f>
        <v>2471636.7546441844</v>
      </c>
      <c r="AJ67" s="117">
        <f>Inputs!$K$35*AJ65</f>
        <v>2471636.7546441844</v>
      </c>
      <c r="AK67" s="117">
        <f>Inputs!$K$35*AK65</f>
        <v>2471636.7546441844</v>
      </c>
      <c r="AL67" s="117">
        <f>Inputs!$K$35*AL65</f>
        <v>2471636.7546441844</v>
      </c>
    </row>
    <row r="68" spans="4:41">
      <c r="D68" s="7" t="s">
        <v>218</v>
      </c>
      <c r="E68" s="16" t="s">
        <v>213</v>
      </c>
      <c r="K68" s="117">
        <f>Inputs!F36*Inputs!F34</f>
        <v>693593.75</v>
      </c>
      <c r="L68" s="117">
        <f>Inputs!G36*Inputs!G34</f>
        <v>502736.48</v>
      </c>
      <c r="M68" s="117">
        <f>Inputs!H36*Inputs!H34</f>
        <v>660898.93760000006</v>
      </c>
      <c r="N68" s="117">
        <f>Inputs!I36*N65</f>
        <v>961234.38905999996</v>
      </c>
      <c r="O68" s="117">
        <f>Inputs!J36*O65</f>
        <v>1281645.8520800001</v>
      </c>
      <c r="P68" s="117">
        <f>Inputs!$K$36*P65</f>
        <v>1922468.7781199999</v>
      </c>
      <c r="Q68" s="117">
        <f>Inputs!$K$36*Q65</f>
        <v>1922468.7781199999</v>
      </c>
      <c r="R68" s="117">
        <f>Inputs!$K$36*R65</f>
        <v>1922468.7781199999</v>
      </c>
      <c r="S68" s="117">
        <f>Inputs!$K$36*S65</f>
        <v>1922468.7781199999</v>
      </c>
      <c r="T68" s="117">
        <f>Inputs!$K$36*T65</f>
        <v>1922468.7781199999</v>
      </c>
      <c r="U68" s="117">
        <f>Inputs!$K$36*U65</f>
        <v>1922468.7781199999</v>
      </c>
      <c r="V68" s="117">
        <f>Inputs!$K$36*V65</f>
        <v>1922468.7781199999</v>
      </c>
      <c r="W68" s="117">
        <f>Inputs!$K$36*W65</f>
        <v>1922468.7781199999</v>
      </c>
      <c r="X68" s="117">
        <f>Inputs!$K$36*X65</f>
        <v>1922468.7781199999</v>
      </c>
      <c r="Y68" s="117">
        <f>Inputs!$K$36*Y65</f>
        <v>1922468.7781199999</v>
      </c>
      <c r="Z68" s="117">
        <f>Inputs!$K$36*Z65</f>
        <v>1922468.7781199999</v>
      </c>
      <c r="AA68" s="117">
        <f>Inputs!$K$36*AA65</f>
        <v>3707455.1319662761</v>
      </c>
      <c r="AB68" s="117">
        <f>Inputs!$K$36*AB65</f>
        <v>3707455.1319662761</v>
      </c>
      <c r="AC68" s="117">
        <f>Inputs!$K$36*AC65</f>
        <v>3707455.1319662761</v>
      </c>
      <c r="AD68" s="117">
        <f>Inputs!$K$36*AD65</f>
        <v>3707455.1319662761</v>
      </c>
      <c r="AE68" s="117">
        <f>Inputs!$K$36*AE65</f>
        <v>3707455.1319662761</v>
      </c>
      <c r="AF68" s="117">
        <f>Inputs!$K$36*AF65</f>
        <v>3707455.1319662761</v>
      </c>
      <c r="AG68" s="117">
        <f>Inputs!$K$36*AG65</f>
        <v>3707455.1319662761</v>
      </c>
      <c r="AH68" s="117">
        <f>Inputs!$K$36*AH65</f>
        <v>3707455.1319662761</v>
      </c>
      <c r="AI68" s="117">
        <f>Inputs!$K$36*AI65</f>
        <v>3707455.1319662761</v>
      </c>
      <c r="AJ68" s="117">
        <f>Inputs!$K$36*AJ65</f>
        <v>3707455.1319662761</v>
      </c>
      <c r="AK68" s="117">
        <f>Inputs!$K$36*AK65</f>
        <v>3707455.1319662761</v>
      </c>
      <c r="AL68" s="117">
        <f>Inputs!$K$36*AL65</f>
        <v>3707455.1319662761</v>
      </c>
    </row>
    <row r="70" spans="4:41" ht="24" thickBot="1">
      <c r="D70" s="57" t="s">
        <v>400</v>
      </c>
    </row>
    <row r="71" spans="4:41">
      <c r="D71" s="7" t="s">
        <v>116</v>
      </c>
      <c r="E71" s="16" t="s">
        <v>118</v>
      </c>
      <c r="K71" s="105">
        <f>Inputs!E42</f>
        <v>27.73</v>
      </c>
      <c r="L71" s="105">
        <f>Inputs!F42</f>
        <v>29.5</v>
      </c>
      <c r="M71" s="105">
        <f>Inputs!G42</f>
        <v>30.24</v>
      </c>
      <c r="N71" s="105">
        <f>Inputs!H42</f>
        <v>32.06</v>
      </c>
      <c r="O71" s="105">
        <f>(1+Inputs!I47)*'Initiative 1 Model'!N71</f>
        <v>33.983600000000003</v>
      </c>
      <c r="P71" s="105">
        <f>(1+Inputs!$J$47)*'Initiative 1 Model'!O71</f>
        <v>36.022616000000006</v>
      </c>
      <c r="Q71" s="105">
        <f>(1+Inputs!$J$47)*'Initiative 1 Model'!P71</f>
        <v>38.183972960000006</v>
      </c>
      <c r="R71" s="105">
        <f>(1+Inputs!$J$47)*'Initiative 1 Model'!Q71</f>
        <v>40.475011337600009</v>
      </c>
      <c r="S71" s="105">
        <f>(1+Inputs!$J$47)*'Initiative 1 Model'!R71</f>
        <v>42.903512017856009</v>
      </c>
      <c r="T71" s="105">
        <f>(1+Inputs!$J$47)*'Initiative 1 Model'!S71</f>
        <v>45.477722738927369</v>
      </c>
      <c r="U71" s="105">
        <f>(1+Inputs!$J$47)*'Initiative 1 Model'!T71</f>
        <v>48.206386103263014</v>
      </c>
      <c r="V71" s="105">
        <f>(1+Inputs!$J$47)*'Initiative 1 Model'!U71</f>
        <v>51.098769269458799</v>
      </c>
      <c r="W71" s="105">
        <f>(1+Inputs!$J$47)*'Initiative 1 Model'!V71</f>
        <v>54.164695425626327</v>
      </c>
      <c r="X71" s="105">
        <f>(1+Inputs!$J$47)*'Initiative 1 Model'!W71</f>
        <v>57.414577151163911</v>
      </c>
      <c r="Y71" s="105">
        <f>(1+Inputs!$J$47)*'Initiative 1 Model'!X71</f>
        <v>60.859451780233748</v>
      </c>
      <c r="Z71" s="105">
        <f>(1+Inputs!$J$47)*'Initiative 1 Model'!Y71</f>
        <v>64.511018887047783</v>
      </c>
      <c r="AA71" s="105">
        <f>(1+Inputs!$J$47)*'Initiative 1 Model'!Z71</f>
        <v>68.38168002027065</v>
      </c>
      <c r="AB71" s="105">
        <f>(1+Inputs!$J$47)*'Initiative 1 Model'!AA71</f>
        <v>72.484580821486887</v>
      </c>
      <c r="AC71" s="105">
        <f>(1+Inputs!$J$47)*'Initiative 1 Model'!AB71</f>
        <v>76.83365567077611</v>
      </c>
      <c r="AD71" s="105">
        <f>(1+Inputs!$J$47)*'Initiative 1 Model'!AC71</f>
        <v>81.443675011022677</v>
      </c>
      <c r="AE71" s="105">
        <f>(1+Inputs!$J$47)*'Initiative 1 Model'!AD71</f>
        <v>86.330295511684042</v>
      </c>
      <c r="AF71" s="105">
        <f>(1+Inputs!$J$47)*'Initiative 1 Model'!AE71</f>
        <v>91.510113242385088</v>
      </c>
      <c r="AG71" s="105">
        <f>(1+Inputs!$J$47)*'Initiative 1 Model'!AF71</f>
        <v>97.0007200369282</v>
      </c>
      <c r="AH71" s="105">
        <f>(1+Inputs!$J$47)*'Initiative 1 Model'!AG71</f>
        <v>102.8207632391439</v>
      </c>
      <c r="AI71" s="105">
        <f>(1+Inputs!$J$47)*'Initiative 1 Model'!AH71</f>
        <v>108.99000903349254</v>
      </c>
      <c r="AJ71" s="105">
        <f>(1+Inputs!$J$47)*'Initiative 1 Model'!AI71</f>
        <v>115.5294095755021</v>
      </c>
      <c r="AK71" s="105">
        <f>(1+Inputs!$J$47)*'Initiative 1 Model'!AJ71</f>
        <v>122.46117415003224</v>
      </c>
      <c r="AL71" s="105">
        <f>(1+Inputs!$J$47)*'Initiative 1 Model'!AK71</f>
        <v>129.80884459903419</v>
      </c>
    </row>
    <row r="72" spans="4:41">
      <c r="D72" s="7" t="s">
        <v>238</v>
      </c>
      <c r="E72" s="16" t="s">
        <v>118</v>
      </c>
      <c r="K72" s="105">
        <f>Inputs!E44</f>
        <v>20.47</v>
      </c>
      <c r="L72" s="105">
        <f>Inputs!F44</f>
        <v>21.78</v>
      </c>
      <c r="M72" s="105">
        <f>Inputs!G44</f>
        <v>23.09</v>
      </c>
      <c r="N72" s="105">
        <f>Inputs!H44</f>
        <v>24.475000000000001</v>
      </c>
      <c r="O72" s="105">
        <f>(1+Inputs!I47)*'Initiative 1 Model'!N72</f>
        <v>25.943500000000004</v>
      </c>
      <c r="P72" s="105">
        <f>(1+Inputs!$J$47)*'Initiative 1 Model'!O72</f>
        <v>27.500110000000006</v>
      </c>
      <c r="Q72" s="105">
        <f>(1+Inputs!$J$47)*'Initiative 1 Model'!P72</f>
        <v>29.150116600000008</v>
      </c>
      <c r="R72" s="105">
        <f>(1+Inputs!$J$47)*'Initiative 1 Model'!Q72</f>
        <v>30.89912359600001</v>
      </c>
      <c r="S72" s="105">
        <f>(1+Inputs!$J$47)*'Initiative 1 Model'!R72</f>
        <v>32.753071011760014</v>
      </c>
      <c r="T72" s="105">
        <f>(1+Inputs!$J$47)*'Initiative 1 Model'!S72</f>
        <v>34.718255272465619</v>
      </c>
      <c r="U72" s="105">
        <f>(1+Inputs!$J$47)*'Initiative 1 Model'!T72</f>
        <v>36.801350588813555</v>
      </c>
      <c r="V72" s="105">
        <f>(1+Inputs!$J$47)*'Initiative 1 Model'!U72</f>
        <v>39.009431624142373</v>
      </c>
      <c r="W72" s="105">
        <f>(1+Inputs!$J$47)*'Initiative 1 Model'!V72</f>
        <v>41.349997521590915</v>
      </c>
      <c r="X72" s="105">
        <f>(1+Inputs!$J$47)*'Initiative 1 Model'!W72</f>
        <v>43.830997372886372</v>
      </c>
      <c r="Y72" s="105">
        <f>(1+Inputs!$J$47)*'Initiative 1 Model'!X72</f>
        <v>46.460857215259558</v>
      </c>
      <c r="Z72" s="105">
        <f>(1+Inputs!$J$47)*'Initiative 1 Model'!Y72</f>
        <v>49.248508648175132</v>
      </c>
      <c r="AA72" s="105">
        <f>(1+Inputs!$J$47)*'Initiative 1 Model'!Z72</f>
        <v>52.20341916706564</v>
      </c>
      <c r="AB72" s="105">
        <f>(1+Inputs!$J$47)*'Initiative 1 Model'!AA72</f>
        <v>55.335624317089582</v>
      </c>
      <c r="AC72" s="105">
        <f>(1+Inputs!$J$47)*'Initiative 1 Model'!AB72</f>
        <v>58.655761776114957</v>
      </c>
      <c r="AD72" s="105">
        <f>(1+Inputs!$J$47)*'Initiative 1 Model'!AC72</f>
        <v>62.175107482681859</v>
      </c>
      <c r="AE72" s="105">
        <f>(1+Inputs!$J$47)*'Initiative 1 Model'!AD72</f>
        <v>65.905613931642776</v>
      </c>
      <c r="AF72" s="105">
        <f>(1+Inputs!$J$47)*'Initiative 1 Model'!AE72</f>
        <v>69.859950767541349</v>
      </c>
      <c r="AG72" s="105">
        <f>(1+Inputs!$J$47)*'Initiative 1 Model'!AF72</f>
        <v>74.051547813593828</v>
      </c>
      <c r="AH72" s="105">
        <f>(1+Inputs!$J$47)*'Initiative 1 Model'!AG72</f>
        <v>78.494640682409468</v>
      </c>
      <c r="AI72" s="105">
        <f>(1+Inputs!$J$47)*'Initiative 1 Model'!AH72</f>
        <v>83.20431912335404</v>
      </c>
      <c r="AJ72" s="105">
        <f>(1+Inputs!$J$47)*'Initiative 1 Model'!AI72</f>
        <v>88.196578270755282</v>
      </c>
      <c r="AK72" s="105">
        <f>(1+Inputs!$J$47)*'Initiative 1 Model'!AJ72</f>
        <v>93.488372967000601</v>
      </c>
      <c r="AL72" s="105">
        <f>(1+Inputs!$J$47)*'Initiative 1 Model'!AK72</f>
        <v>99.097675345020647</v>
      </c>
    </row>
    <row r="73" spans="4:41">
      <c r="D73" s="7" t="s">
        <v>239</v>
      </c>
      <c r="E73" s="16" t="s">
        <v>118</v>
      </c>
      <c r="K73" s="105">
        <f>Inputs!E45</f>
        <v>3.29</v>
      </c>
      <c r="L73" s="105">
        <f>Inputs!F45</f>
        <v>3.5</v>
      </c>
      <c r="M73" s="105">
        <f>Inputs!G45</f>
        <v>3.73</v>
      </c>
      <c r="N73" s="105">
        <f>Inputs!H45</f>
        <v>3.95</v>
      </c>
      <c r="O73" s="105">
        <f>(1+Inputs!I47)*'Initiative 1 Model'!N73</f>
        <v>4.1870000000000003</v>
      </c>
      <c r="P73" s="105">
        <f>(1+Inputs!$J$47)*'Initiative 1 Model'!O73</f>
        <v>4.4382200000000003</v>
      </c>
      <c r="Q73" s="105">
        <f>(1+Inputs!$J$47)*'Initiative 1 Model'!P73</f>
        <v>4.7045132000000009</v>
      </c>
      <c r="R73" s="105">
        <f>(1+Inputs!$J$47)*'Initiative 1 Model'!Q73</f>
        <v>4.9867839920000012</v>
      </c>
      <c r="S73" s="105">
        <f>(1+Inputs!$J$47)*'Initiative 1 Model'!R73</f>
        <v>5.2859910315200018</v>
      </c>
      <c r="T73" s="105">
        <f>(1+Inputs!$J$47)*'Initiative 1 Model'!S73</f>
        <v>5.603150493411202</v>
      </c>
      <c r="U73" s="105">
        <f>(1+Inputs!$J$47)*'Initiative 1 Model'!T73</f>
        <v>5.9393395230158745</v>
      </c>
      <c r="V73" s="105">
        <f>(1+Inputs!$J$47)*'Initiative 1 Model'!U73</f>
        <v>6.2956998943968276</v>
      </c>
      <c r="W73" s="105">
        <f>(1+Inputs!$J$47)*'Initiative 1 Model'!V73</f>
        <v>6.6734418880606379</v>
      </c>
      <c r="X73" s="105">
        <f>(1+Inputs!$J$47)*'Initiative 1 Model'!W73</f>
        <v>7.0738484013442768</v>
      </c>
      <c r="Y73" s="105">
        <f>(1+Inputs!$J$47)*'Initiative 1 Model'!X73</f>
        <v>7.4982793054249335</v>
      </c>
      <c r="Z73" s="105">
        <f>(1+Inputs!$J$47)*'Initiative 1 Model'!Y73</f>
        <v>7.94817606375043</v>
      </c>
      <c r="AA73" s="105">
        <f>(1+Inputs!$J$47)*'Initiative 1 Model'!Z73</f>
        <v>8.4250666275754558</v>
      </c>
      <c r="AB73" s="105">
        <f>(1+Inputs!$J$47)*'Initiative 1 Model'!AA73</f>
        <v>8.9305706252299828</v>
      </c>
      <c r="AC73" s="105">
        <f>(1+Inputs!$J$47)*'Initiative 1 Model'!AB73</f>
        <v>9.4664048627437829</v>
      </c>
      <c r="AD73" s="105">
        <f>(1+Inputs!$J$47)*'Initiative 1 Model'!AC73</f>
        <v>10.034389154508411</v>
      </c>
      <c r="AE73" s="105">
        <f>(1+Inputs!$J$47)*'Initiative 1 Model'!AD73</f>
        <v>10.636452503778916</v>
      </c>
      <c r="AF73" s="105">
        <f>(1+Inputs!$J$47)*'Initiative 1 Model'!AE73</f>
        <v>11.274639654005652</v>
      </c>
      <c r="AG73" s="105">
        <f>(1+Inputs!$J$47)*'Initiative 1 Model'!AF73</f>
        <v>11.951118033245992</v>
      </c>
      <c r="AH73" s="105">
        <f>(1+Inputs!$J$47)*'Initiative 1 Model'!AG73</f>
        <v>12.668185115240751</v>
      </c>
      <c r="AI73" s="105">
        <f>(1+Inputs!$J$47)*'Initiative 1 Model'!AH73</f>
        <v>13.428276222155198</v>
      </c>
      <c r="AJ73" s="105">
        <f>(1+Inputs!$J$47)*'Initiative 1 Model'!AI73</f>
        <v>14.23397279548451</v>
      </c>
      <c r="AK73" s="105">
        <f>(1+Inputs!$J$47)*'Initiative 1 Model'!AJ73</f>
        <v>15.088011163213581</v>
      </c>
      <c r="AL73" s="105">
        <f>(1+Inputs!$J$47)*'Initiative 1 Model'!AK73</f>
        <v>15.993291833006397</v>
      </c>
    </row>
    <row r="74" spans="4:41">
      <c r="D74" s="7" t="s">
        <v>120</v>
      </c>
      <c r="E74" s="16" t="s">
        <v>118</v>
      </c>
      <c r="K74" s="105">
        <f>Inputs!E52</f>
        <v>7.23</v>
      </c>
      <c r="L74" s="105">
        <f>Inputs!F52</f>
        <v>7.9067280000000002</v>
      </c>
      <c r="M74" s="105">
        <f>Inputs!G52</f>
        <v>8.6467977408000003</v>
      </c>
      <c r="N74" s="105">
        <f>Inputs!H52</f>
        <v>14.73</v>
      </c>
      <c r="O74" s="105">
        <f>Inputs!I52</f>
        <v>16.108727999999999</v>
      </c>
      <c r="P74" s="105">
        <f>Inputs!J52</f>
        <v>17.616504940799999</v>
      </c>
      <c r="Q74" s="105">
        <f>P74*(1+Inputs!$J$61)</f>
        <v>19.265409803258876</v>
      </c>
      <c r="R74" s="105">
        <f>Q74*(1+Inputs!$J$61)</f>
        <v>21.068652160843904</v>
      </c>
      <c r="S74" s="105">
        <f>R74*(1+Inputs!$J$61)</f>
        <v>23.04067800309889</v>
      </c>
      <c r="T74" s="105">
        <f>S74*(1+Inputs!$J$61)</f>
        <v>25.197285464188944</v>
      </c>
      <c r="U74" s="105">
        <f>T74*(1+Inputs!$J$61)</f>
        <v>27.555751383637027</v>
      </c>
      <c r="V74" s="105">
        <f>U74*(1+Inputs!$J$61)</f>
        <v>30.134969713145448</v>
      </c>
      <c r="W74" s="105">
        <f>V74*(1+Inputs!$J$61)</f>
        <v>32.955602878295856</v>
      </c>
      <c r="X74" s="105">
        <f>W74*(1+Inputs!$J$61)</f>
        <v>36.040247307704348</v>
      </c>
      <c r="Y74" s="105">
        <f>X74*(1+Inputs!$J$61)</f>
        <v>39.413614455705471</v>
      </c>
      <c r="Z74" s="105">
        <f>Y74*(1+Inputs!$J$61)</f>
        <v>43.102728768759498</v>
      </c>
      <c r="AA74" s="105">
        <f>Z74*(1+Inputs!$J$61)</f>
        <v>47.137144181515382</v>
      </c>
      <c r="AB74" s="105">
        <f>AA74*(1+Inputs!$J$61)</f>
        <v>51.549180876905218</v>
      </c>
      <c r="AC74" s="105">
        <f>AB74*(1+Inputs!$J$61)</f>
        <v>56.374184206983543</v>
      </c>
      <c r="AD74" s="105">
        <f>AC74*(1+Inputs!$J$61)</f>
        <v>61.650807848757196</v>
      </c>
      <c r="AE74" s="105">
        <f>AD74*(1+Inputs!$J$61)</f>
        <v>67.421323463400867</v>
      </c>
      <c r="AF74" s="105">
        <f>AE74*(1+Inputs!$J$61)</f>
        <v>73.731959339575184</v>
      </c>
      <c r="AG74" s="105">
        <f>AF74*(1+Inputs!$J$61)</f>
        <v>80.633270733759417</v>
      </c>
      <c r="AH74" s="105">
        <f>AG74*(1+Inputs!$J$61)</f>
        <v>88.180544874439292</v>
      </c>
      <c r="AI74" s="105">
        <f>AH74*(1+Inputs!$J$61)</f>
        <v>96.4342438746868</v>
      </c>
      <c r="AJ74" s="105">
        <f>AI74*(1+Inputs!$J$61)</f>
        <v>105.46048910135748</v>
      </c>
      <c r="AK74" s="105">
        <f>AJ74*(1+Inputs!$J$61)</f>
        <v>115.33159088124454</v>
      </c>
      <c r="AL74" s="105">
        <f>AK74*(1+Inputs!$J$61)</f>
        <v>126.12662778772902</v>
      </c>
    </row>
    <row r="75" spans="4:41">
      <c r="D75" s="7" t="s">
        <v>122</v>
      </c>
      <c r="E75" s="16" t="s">
        <v>118</v>
      </c>
      <c r="K75" s="105">
        <f>Inputs!E54</f>
        <v>13</v>
      </c>
      <c r="L75" s="105">
        <f>Inputs!F54</f>
        <v>14.216799999999999</v>
      </c>
      <c r="M75" s="105">
        <f>Inputs!G54</f>
        <v>15.547492479999997</v>
      </c>
      <c r="N75" s="105">
        <f>Inputs!H54</f>
        <v>17.002737776127997</v>
      </c>
      <c r="O75" s="105">
        <f>Inputs!I54</f>
        <v>18.594194031973576</v>
      </c>
      <c r="P75" s="105">
        <f>Inputs!J54</f>
        <v>20.3346105933663</v>
      </c>
      <c r="Q75" s="105">
        <f>P75*(1+Inputs!$J$61)</f>
        <v>22.237930144905384</v>
      </c>
      <c r="R75" s="105">
        <f>Q75*(1+Inputs!$J$61)</f>
        <v>24.319400406468525</v>
      </c>
      <c r="S75" s="105">
        <f>R75*(1+Inputs!$J$61)</f>
        <v>26.595696284513977</v>
      </c>
      <c r="T75" s="105">
        <f>S75*(1+Inputs!$J$61)</f>
        <v>29.085053456744483</v>
      </c>
      <c r="U75" s="105">
        <f>T75*(1+Inputs!$J$61)</f>
        <v>31.807414460295764</v>
      </c>
      <c r="V75" s="105">
        <f>U75*(1+Inputs!$J$61)</f>
        <v>34.784588453779442</v>
      </c>
      <c r="W75" s="105">
        <f>V75*(1+Inputs!$J$61)</f>
        <v>38.040425933053193</v>
      </c>
      <c r="X75" s="105">
        <f>W75*(1+Inputs!$J$61)</f>
        <v>41.601009800386969</v>
      </c>
      <c r="Y75" s="105">
        <f>X75*(1+Inputs!$J$61)</f>
        <v>45.494864317703183</v>
      </c>
      <c r="Z75" s="105">
        <f>Y75*(1+Inputs!$J$61)</f>
        <v>49.753183617840193</v>
      </c>
      <c r="AA75" s="105">
        <f>Z75*(1+Inputs!$J$61)</f>
        <v>54.41008160447003</v>
      </c>
      <c r="AB75" s="105">
        <f>AA75*(1+Inputs!$J$61)</f>
        <v>59.502865242648419</v>
      </c>
      <c r="AC75" s="105">
        <f>AB75*(1+Inputs!$J$61)</f>
        <v>65.072333429360299</v>
      </c>
      <c r="AD75" s="105">
        <f>AC75*(1+Inputs!$J$61)</f>
        <v>71.16310383834842</v>
      </c>
      <c r="AE75" s="105">
        <f>AD75*(1+Inputs!$J$61)</f>
        <v>77.823970357617824</v>
      </c>
      <c r="AF75" s="105">
        <f>AE75*(1+Inputs!$J$61)</f>
        <v>85.108293983090846</v>
      </c>
      <c r="AG75" s="105">
        <f>AF75*(1+Inputs!$J$61)</f>
        <v>93.074430299908144</v>
      </c>
      <c r="AH75" s="105">
        <f>AG75*(1+Inputs!$J$61)</f>
        <v>101.78619697597954</v>
      </c>
      <c r="AI75" s="105">
        <f>AH75*(1+Inputs!$J$61)</f>
        <v>111.31338501293121</v>
      </c>
      <c r="AJ75" s="105">
        <f>AI75*(1+Inputs!$J$61)</f>
        <v>121.73231785014156</v>
      </c>
      <c r="AK75" s="105">
        <f>AJ75*(1+Inputs!$J$61)</f>
        <v>133.12646280091479</v>
      </c>
      <c r="AL75" s="105">
        <f>AK75*(1+Inputs!$J$61)</f>
        <v>145.58709971908041</v>
      </c>
    </row>
    <row r="76" spans="4:41">
      <c r="D76" s="7" t="s">
        <v>123</v>
      </c>
      <c r="E76" s="16" t="s">
        <v>118</v>
      </c>
      <c r="K76" s="105">
        <f>Inputs!E55</f>
        <v>282</v>
      </c>
      <c r="L76" s="105">
        <f>Inputs!F55</f>
        <v>304.27799999999996</v>
      </c>
      <c r="M76" s="105">
        <f>Inputs!G55</f>
        <v>332.75842079999995</v>
      </c>
      <c r="N76" s="105">
        <f>Inputs!H55</f>
        <v>363.90460898687991</v>
      </c>
      <c r="O76" s="105">
        <f>Inputs!I55</f>
        <v>397.96608038805181</v>
      </c>
      <c r="P76" s="105">
        <f>Inputs!J55</f>
        <v>435.2157055123734</v>
      </c>
      <c r="Q76" s="105">
        <f>P76*(1+Inputs!$J$62)</f>
        <v>469.59774624785086</v>
      </c>
      <c r="R76" s="105">
        <f>Q76*(1+Inputs!$J$62)</f>
        <v>506.69596820143107</v>
      </c>
      <c r="S76" s="105">
        <f>R76*(1+Inputs!$J$62)</f>
        <v>546.72494968934416</v>
      </c>
      <c r="T76" s="105">
        <f>S76*(1+Inputs!$J$62)</f>
        <v>589.91622071480231</v>
      </c>
      <c r="U76" s="105">
        <f>T76*(1+Inputs!$J$62)</f>
        <v>636.51960215127167</v>
      </c>
      <c r="V76" s="105">
        <f>U76*(1+Inputs!$J$62)</f>
        <v>686.80465072122206</v>
      </c>
      <c r="W76" s="105">
        <f>V76*(1+Inputs!$J$62)</f>
        <v>741.06221812819854</v>
      </c>
      <c r="X76" s="105">
        <f>W76*(1+Inputs!$J$62)</f>
        <v>799.60613336032623</v>
      </c>
      <c r="Y76" s="105">
        <f>X76*(1+Inputs!$J$62)</f>
        <v>862.77501789579196</v>
      </c>
      <c r="Z76" s="105">
        <f>Y76*(1+Inputs!$J$62)</f>
        <v>930.93424430955952</v>
      </c>
      <c r="AA76" s="105">
        <f>Z76*(1+Inputs!$J$62)</f>
        <v>1004.4780496100146</v>
      </c>
      <c r="AB76" s="105">
        <f>AA76*(1+Inputs!$J$62)</f>
        <v>1083.8318155292056</v>
      </c>
      <c r="AC76" s="105">
        <f>AB76*(1+Inputs!$J$62)</f>
        <v>1169.4545289560128</v>
      </c>
      <c r="AD76" s="105">
        <f>AC76*(1+Inputs!$J$62)</f>
        <v>1261.8414367435378</v>
      </c>
      <c r="AE76" s="105">
        <f>AD76*(1+Inputs!$J$62)</f>
        <v>1361.5269102462771</v>
      </c>
      <c r="AF76" s="105">
        <f>AE76*(1+Inputs!$J$62)</f>
        <v>1469.087536155733</v>
      </c>
      <c r="AG76" s="105">
        <f>AF76*(1+Inputs!$J$62)</f>
        <v>1585.1454515120358</v>
      </c>
      <c r="AH76" s="105">
        <f>AG76*(1+Inputs!$J$62)</f>
        <v>1710.3719421814867</v>
      </c>
      <c r="AI76" s="105">
        <f>AH76*(1+Inputs!$J$62)</f>
        <v>1845.4913256138241</v>
      </c>
      <c r="AJ76" s="105">
        <f>AI76*(1+Inputs!$J$62)</f>
        <v>1991.2851403373161</v>
      </c>
      <c r="AK76" s="105">
        <f>AJ76*(1+Inputs!$J$62)</f>
        <v>2148.5966664239641</v>
      </c>
      <c r="AL76" s="105">
        <f>AK76*(1+Inputs!$J$62)</f>
        <v>2318.3358030714571</v>
      </c>
    </row>
    <row r="77" spans="4:41">
      <c r="D77" s="7" t="s">
        <v>124</v>
      </c>
      <c r="E77" s="16" t="s">
        <v>118</v>
      </c>
      <c r="K77" s="105">
        <f>Inputs!E56</f>
        <v>4.0999999999999996</v>
      </c>
      <c r="L77" s="105">
        <f>Inputs!F56</f>
        <v>4.4837599999999993</v>
      </c>
      <c r="M77" s="105">
        <f>Inputs!G56</f>
        <v>4.9034399359999989</v>
      </c>
      <c r="N77" s="105">
        <f>Inputs!H56</f>
        <v>5.362401914009598</v>
      </c>
      <c r="O77" s="105">
        <f>Inputs!I56</f>
        <v>5.864322733160896</v>
      </c>
      <c r="P77" s="105">
        <f>Inputs!J56</f>
        <v>6.4132233409847554</v>
      </c>
      <c r="Q77" s="105">
        <f>P77*(1+Inputs!$J$61)</f>
        <v>7.0135010457009281</v>
      </c>
      <c r="R77" s="105">
        <f>Q77*(1+Inputs!$J$61)</f>
        <v>7.6699647435785341</v>
      </c>
      <c r="S77" s="105">
        <f>R77*(1+Inputs!$J$61)</f>
        <v>8.3878734435774849</v>
      </c>
      <c r="T77" s="105">
        <f>S77*(1+Inputs!$J$61)</f>
        <v>9.1729783978963368</v>
      </c>
      <c r="U77" s="105">
        <f>T77*(1+Inputs!$J$61)</f>
        <v>10.031569175939433</v>
      </c>
      <c r="V77" s="105">
        <f>U77*(1+Inputs!$J$61)</f>
        <v>10.970524050807363</v>
      </c>
      <c r="W77" s="105">
        <f>V77*(1+Inputs!$J$61)</f>
        <v>11.997365101962931</v>
      </c>
      <c r="X77" s="105">
        <f>W77*(1+Inputs!$J$61)</f>
        <v>13.120318475506661</v>
      </c>
      <c r="Y77" s="105">
        <f>X77*(1+Inputs!$J$61)</f>
        <v>14.348380284814082</v>
      </c>
      <c r="Z77" s="105">
        <f>Y77*(1+Inputs!$J$61)</f>
        <v>15.691388679472679</v>
      </c>
      <c r="AA77" s="105">
        <f>Z77*(1+Inputs!$J$61)</f>
        <v>17.16010265987132</v>
      </c>
      <c r="AB77" s="105">
        <f>AA77*(1+Inputs!$J$61)</f>
        <v>18.766288268835275</v>
      </c>
      <c r="AC77" s="105">
        <f>AB77*(1+Inputs!$J$61)</f>
        <v>20.522812850798257</v>
      </c>
      <c r="AD77" s="105">
        <f>AC77*(1+Inputs!$J$61)</f>
        <v>22.443748133632972</v>
      </c>
      <c r="AE77" s="105">
        <f>AD77*(1+Inputs!$J$61)</f>
        <v>24.544482958941018</v>
      </c>
      <c r="AF77" s="105">
        <f>AE77*(1+Inputs!$J$61)</f>
        <v>26.841846563897896</v>
      </c>
      <c r="AG77" s="105">
        <f>AF77*(1+Inputs!$J$61)</f>
        <v>29.354243402278737</v>
      </c>
      <c r="AH77" s="105">
        <f>AG77*(1+Inputs!$J$61)</f>
        <v>32.101800584732025</v>
      </c>
      <c r="AI77" s="105">
        <f>AH77*(1+Inputs!$J$61)</f>
        <v>35.106529119462941</v>
      </c>
      <c r="AJ77" s="105">
        <f>AI77*(1+Inputs!$J$61)</f>
        <v>38.392500245044666</v>
      </c>
      <c r="AK77" s="105">
        <f>AJ77*(1+Inputs!$J$61)</f>
        <v>41.986038267980845</v>
      </c>
      <c r="AL77" s="105">
        <f>AK77*(1+Inputs!$J$61)</f>
        <v>45.915931449863848</v>
      </c>
    </row>
    <row r="78" spans="4:41">
      <c r="D78" s="7" t="s">
        <v>125</v>
      </c>
      <c r="E78" s="16" t="s">
        <v>118</v>
      </c>
      <c r="K78">
        <f>Inputs!E57</f>
        <v>0</v>
      </c>
      <c r="L78">
        <f>Inputs!F57</f>
        <v>0</v>
      </c>
      <c r="M78">
        <f>Inputs!G57</f>
        <v>10.1</v>
      </c>
      <c r="N78" s="105">
        <f>Inputs!H57</f>
        <v>11.045359999999999</v>
      </c>
      <c r="O78" s="105">
        <f>Inputs!I57</f>
        <v>12.079205695999997</v>
      </c>
      <c r="P78" s="105">
        <f>Inputs!J57</f>
        <v>13.209819349145596</v>
      </c>
      <c r="Q78" s="105">
        <f>P78*(1+Inputs!$J$61)</f>
        <v>14.446258440225622</v>
      </c>
      <c r="R78" s="105">
        <f>Q78*(1+Inputs!$J$61)</f>
        <v>15.798428230230739</v>
      </c>
      <c r="S78" s="105">
        <f>R78*(1+Inputs!$J$61)</f>
        <v>17.277161112580334</v>
      </c>
      <c r="T78" s="105">
        <f>S78*(1+Inputs!$J$61)</f>
        <v>18.894303392717852</v>
      </c>
      <c r="U78" s="105">
        <f>T78*(1+Inputs!$J$61)</f>
        <v>20.66281019027624</v>
      </c>
      <c r="V78" s="105">
        <f>U78*(1+Inputs!$J$61)</f>
        <v>22.596849224086093</v>
      </c>
      <c r="W78" s="105">
        <f>V78*(1+Inputs!$J$61)</f>
        <v>24.71191431146055</v>
      </c>
      <c r="X78" s="105">
        <f>W78*(1+Inputs!$J$61)</f>
        <v>27.024949491013256</v>
      </c>
      <c r="Y78" s="105">
        <f>X78*(1+Inputs!$J$61)</f>
        <v>29.554484763372095</v>
      </c>
      <c r="Z78" s="105">
        <f>Y78*(1+Inputs!$J$61)</f>
        <v>32.320784537223723</v>
      </c>
      <c r="AA78" s="105">
        <f>Z78*(1+Inputs!$J$61)</f>
        <v>35.346009969907861</v>
      </c>
      <c r="AB78" s="105">
        <f>AA78*(1+Inputs!$J$61)</f>
        <v>38.654396503091235</v>
      </c>
      <c r="AC78" s="105">
        <f>AB78*(1+Inputs!$J$61)</f>
        <v>42.272448015780569</v>
      </c>
      <c r="AD78" s="105">
        <f>AC78*(1+Inputs!$J$61)</f>
        <v>46.229149150057623</v>
      </c>
      <c r="AE78" s="105">
        <f>AD78*(1+Inputs!$J$61)</f>
        <v>50.556197510503011</v>
      </c>
      <c r="AF78" s="105">
        <f>AE78*(1+Inputs!$J$61)</f>
        <v>55.288257597486087</v>
      </c>
      <c r="AG78" s="105">
        <f>AF78*(1+Inputs!$J$61)</f>
        <v>60.463238508610779</v>
      </c>
      <c r="AH78" s="105">
        <f>AG78*(1+Inputs!$J$61)</f>
        <v>66.122597633016738</v>
      </c>
      <c r="AI78" s="105">
        <f>AH78*(1+Inputs!$J$61)</f>
        <v>72.311672771467101</v>
      </c>
      <c r="AJ78" s="105">
        <f>AI78*(1+Inputs!$J$61)</f>
        <v>79.080045342876417</v>
      </c>
      <c r="AK78" s="105">
        <f>AJ78*(1+Inputs!$J$61)</f>
        <v>86.481937586969636</v>
      </c>
      <c r="AL78" s="105">
        <f>AK78*(1+Inputs!$J$61)</f>
        <v>94.576646945109985</v>
      </c>
    </row>
    <row r="79" spans="4:41">
      <c r="D79" s="7" t="s">
        <v>154</v>
      </c>
      <c r="E79" s="16" t="s">
        <v>118</v>
      </c>
      <c r="K79">
        <f>Inputs!E58</f>
        <v>0</v>
      </c>
      <c r="L79">
        <f>Inputs!F58</f>
        <v>0</v>
      </c>
      <c r="M79">
        <f>Inputs!G58</f>
        <v>0</v>
      </c>
      <c r="N79">
        <f>Inputs!H58</f>
        <v>0</v>
      </c>
      <c r="O79">
        <f>Inputs!I58</f>
        <v>0</v>
      </c>
      <c r="P79">
        <f>Inputs!J58</f>
        <v>45</v>
      </c>
      <c r="Q79" s="105">
        <f>P79*(1+Inputs!$J$61)</f>
        <v>49.211999999999996</v>
      </c>
      <c r="R79" s="105">
        <f>Q79*(1+Inputs!$J$61)</f>
        <v>53.818243199999991</v>
      </c>
      <c r="S79" s="105">
        <f>R79*(1+Inputs!$J$61)</f>
        <v>58.855630763519983</v>
      </c>
      <c r="T79" s="105">
        <f>S79*(1+Inputs!$J$61)</f>
        <v>64.364517802985446</v>
      </c>
      <c r="U79" s="105">
        <f>T79*(1+Inputs!$J$61)</f>
        <v>70.389036669344875</v>
      </c>
      <c r="V79" s="105">
        <f>U79*(1+Inputs!$J$61)</f>
        <v>76.977450501595555</v>
      </c>
      <c r="W79" s="105">
        <f>V79*(1+Inputs!$J$61)</f>
        <v>84.182539868544893</v>
      </c>
      <c r="X79" s="105">
        <f>W79*(1+Inputs!$J$61)</f>
        <v>92.062025600240688</v>
      </c>
      <c r="Y79" s="105">
        <f>X79*(1+Inputs!$J$61)</f>
        <v>100.67903119642321</v>
      </c>
      <c r="Z79" s="105">
        <f>Y79*(1+Inputs!$J$61)</f>
        <v>110.10258851640842</v>
      </c>
      <c r="AA79" s="105">
        <f>Z79*(1+Inputs!$J$61)</f>
        <v>120.40819080154424</v>
      </c>
      <c r="AB79" s="105">
        <f>AA79*(1+Inputs!$J$61)</f>
        <v>131.67839746056876</v>
      </c>
      <c r="AC79" s="105">
        <f>AB79*(1+Inputs!$J$61)</f>
        <v>144.00349546287799</v>
      </c>
      <c r="AD79" s="105">
        <f>AC79*(1+Inputs!$J$61)</f>
        <v>157.48222263820335</v>
      </c>
      <c r="AE79" s="105">
        <f>AD79*(1+Inputs!$J$61)</f>
        <v>172.22255867713918</v>
      </c>
      <c r="AF79" s="105">
        <f>AE79*(1+Inputs!$J$61)</f>
        <v>188.34259016931938</v>
      </c>
      <c r="AG79" s="105">
        <f>AF79*(1+Inputs!$J$61)</f>
        <v>205.97145660916766</v>
      </c>
      <c r="AH79" s="105">
        <f>AG79*(1+Inputs!$J$61)</f>
        <v>225.25038494778573</v>
      </c>
      <c r="AI79" s="105">
        <f>AH79*(1+Inputs!$J$61)</f>
        <v>246.33382097889844</v>
      </c>
      <c r="AJ79" s="105">
        <f>AI79*(1+Inputs!$J$61)</f>
        <v>269.39066662252333</v>
      </c>
      <c r="AK79" s="105">
        <f>AJ79*(1+Inputs!$J$61)</f>
        <v>294.60563301839147</v>
      </c>
      <c r="AL79" s="105">
        <f>AK79*(1+Inputs!$J$61)</f>
        <v>322.18072026891286</v>
      </c>
    </row>
    <row r="80" spans="4:41">
      <c r="D80" s="7" t="s">
        <v>423</v>
      </c>
      <c r="E80" s="16" t="s">
        <v>118</v>
      </c>
      <c r="O80">
        <f>Inputs!I59</f>
        <v>0</v>
      </c>
      <c r="P80">
        <f>Inputs!J59</f>
        <v>0</v>
      </c>
      <c r="Q80" s="105">
        <f>P80*(1+Inputs!$J$61)</f>
        <v>0</v>
      </c>
      <c r="R80" s="105">
        <f>Q80*(1+Inputs!$J$61)</f>
        <v>0</v>
      </c>
      <c r="S80" s="105">
        <f>R80*(1+Inputs!$J$61)</f>
        <v>0</v>
      </c>
      <c r="T80" s="105">
        <f>S80*(1+Inputs!$J$61)</f>
        <v>0</v>
      </c>
      <c r="U80" s="105">
        <f>T80*(1+Inputs!$J$61)</f>
        <v>0</v>
      </c>
      <c r="V80" s="105">
        <f>U80*(1+Inputs!$J$61)</f>
        <v>0</v>
      </c>
      <c r="W80" s="105">
        <f>V80*(1+Inputs!$J$61)</f>
        <v>0</v>
      </c>
      <c r="X80" s="105">
        <f>W80*(1+Inputs!$J$61)</f>
        <v>0</v>
      </c>
      <c r="Y80" s="105">
        <f>X80*(1+Inputs!$J$61)</f>
        <v>0</v>
      </c>
      <c r="Z80" s="105">
        <f>Y80*(1+Inputs!$J$61)</f>
        <v>0</v>
      </c>
      <c r="AA80" s="105">
        <f>Z80*(1+Inputs!$J$61)</f>
        <v>0</v>
      </c>
      <c r="AB80" s="105">
        <f>Inputs!E190</f>
        <v>11.33</v>
      </c>
      <c r="AC80" s="105">
        <f>AB80*(1+Inputs!$J$61)</f>
        <v>12.390488</v>
      </c>
      <c r="AD80" s="105">
        <f>AC80*(1+Inputs!$J$61)</f>
        <v>13.550237676799998</v>
      </c>
      <c r="AE80" s="105">
        <f>AD80*(1+Inputs!$J$61)</f>
        <v>14.818539923348476</v>
      </c>
      <c r="AF80" s="105">
        <f>AE80*(1+Inputs!$J$61)</f>
        <v>16.205555260173892</v>
      </c>
      <c r="AG80" s="105">
        <f>AF80*(1+Inputs!$J$61)</f>
        <v>17.722395232526168</v>
      </c>
      <c r="AH80" s="105">
        <f>AG80*(1+Inputs!$J$61)</f>
        <v>19.381211426290616</v>
      </c>
      <c r="AI80" s="105">
        <f>AH80*(1+Inputs!$J$61)</f>
        <v>21.195292815791415</v>
      </c>
      <c r="AJ80" s="105">
        <f>AI80*(1+Inputs!$J$61)</f>
        <v>23.179172223349489</v>
      </c>
      <c r="AK80" s="105">
        <f>AJ80*(1+Inputs!$J$61)</f>
        <v>25.348742743454999</v>
      </c>
      <c r="AL80" s="105">
        <f>AK80*(1+Inputs!$J$61)</f>
        <v>27.721385064242384</v>
      </c>
    </row>
    <row r="81" spans="4:40">
      <c r="D81" s="7" t="s">
        <v>401</v>
      </c>
      <c r="E81" s="16" t="s">
        <v>246</v>
      </c>
      <c r="K81">
        <f>(1-Inputs!E24)*'Initiative 1 Model'!L81</f>
        <v>1767200000</v>
      </c>
      <c r="L81">
        <f>(1-Inputs!F24)*'Initiative 1 Model'!M81</f>
        <v>1880000000</v>
      </c>
      <c r="M81">
        <f>Inputs!G27</f>
        <v>2000000000</v>
      </c>
      <c r="N81">
        <f>M81*(1+Inputs!H24)</f>
        <v>2120000000</v>
      </c>
      <c r="O81">
        <f>N81*(1+Inputs!I24)</f>
        <v>2247200000</v>
      </c>
      <c r="P81">
        <f>O81*(1+Inputs!$J$24)</f>
        <v>2382032000</v>
      </c>
      <c r="Q81">
        <f>P81*(1+Inputs!$J$24)</f>
        <v>2524953920</v>
      </c>
      <c r="R81">
        <f>Q81*(1+Inputs!$J$24)</f>
        <v>2676451155.2000003</v>
      </c>
      <c r="S81">
        <f>R81*(1+Inputs!$J$24)</f>
        <v>2837038224.5120006</v>
      </c>
      <c r="T81">
        <f>S81*(1+Inputs!$J$24)</f>
        <v>3007260517.9827209</v>
      </c>
      <c r="U81">
        <f>T81*(1+Inputs!$J$24)</f>
        <v>3187696149.0616841</v>
      </c>
      <c r="V81">
        <f>U81*(1+Inputs!$J$24)</f>
        <v>3378957918.0053854</v>
      </c>
      <c r="W81">
        <f>V81*(1+Inputs!$J$24)</f>
        <v>3581695393.0857086</v>
      </c>
      <c r="X81">
        <f>W81*(1+Inputs!$J$24)</f>
        <v>3796597116.6708512</v>
      </c>
      <c r="Y81">
        <f>X81*(1+Inputs!$J$24)</f>
        <v>4024392943.6711025</v>
      </c>
      <c r="Z81">
        <f>Y81*(1+Inputs!$J$24)</f>
        <v>4265856520.291369</v>
      </c>
      <c r="AA81">
        <f>Z81*(1+Inputs!$J$24)</f>
        <v>4521807911.5088511</v>
      </c>
      <c r="AB81">
        <f>AA81*(1+Inputs!$J$24)</f>
        <v>4793116386.1993828</v>
      </c>
      <c r="AC81">
        <f>AB81*(1+Inputs!$J$24)</f>
        <v>5080703369.3713465</v>
      </c>
      <c r="AD81">
        <f>AC81*(1+Inputs!$J$24)</f>
        <v>5385545571.5336275</v>
      </c>
      <c r="AE81">
        <f>AD81*(1+Inputs!$J$24)</f>
        <v>5708678305.8256454</v>
      </c>
      <c r="AF81">
        <f>AE81*(1+Inputs!$J$24)</f>
        <v>6051199004.1751842</v>
      </c>
      <c r="AG81">
        <f>AF81*(1+Inputs!$J$24)</f>
        <v>6414270944.4256954</v>
      </c>
      <c r="AH81">
        <f>AG81*(1+Inputs!$J$24)</f>
        <v>6799127201.0912371</v>
      </c>
      <c r="AI81">
        <f>AH81*(1+Inputs!$J$24)</f>
        <v>7207074833.1567116</v>
      </c>
      <c r="AJ81">
        <f>AI81*(1+Inputs!$J$24)</f>
        <v>7639499323.1461143</v>
      </c>
      <c r="AK81">
        <f>AJ81*(1+Inputs!$J$24)</f>
        <v>8097869282.5348816</v>
      </c>
      <c r="AL81">
        <f>AK81*(1+Inputs!$J$24)</f>
        <v>8583741439.4869747</v>
      </c>
    </row>
    <row r="83" spans="4:40" ht="24" thickBot="1">
      <c r="D83" s="57" t="s">
        <v>197</v>
      </c>
    </row>
    <row r="84" spans="4:40" ht="18">
      <c r="D84" s="15" t="s">
        <v>143</v>
      </c>
    </row>
    <row r="85" spans="4:40">
      <c r="D85" t="s">
        <v>190</v>
      </c>
      <c r="E85" s="16" t="s">
        <v>211</v>
      </c>
      <c r="K85" s="69">
        <f>SUM(K86:K90)</f>
        <v>4164940</v>
      </c>
      <c r="L85" s="69">
        <f t="shared" ref="L85:AK85" si="30">SUM(L86:L90)</f>
        <v>4195578.0786803216</v>
      </c>
      <c r="M85" s="69">
        <f t="shared" si="30"/>
        <v>4514988.1311923796</v>
      </c>
      <c r="N85" s="69">
        <f t="shared" si="30"/>
        <v>11125687.278505856</v>
      </c>
      <c r="O85" s="69">
        <f t="shared" si="30"/>
        <v>7641970.5889749406</v>
      </c>
      <c r="P85" s="69">
        <f t="shared" si="30"/>
        <v>8357259.0361029953</v>
      </c>
      <c r="Q85" s="69">
        <f t="shared" si="30"/>
        <v>10737421.661030015</v>
      </c>
      <c r="R85" s="69">
        <f t="shared" si="30"/>
        <v>11742444.328502422</v>
      </c>
      <c r="S85" s="69">
        <f t="shared" si="30"/>
        <v>15264933.930947281</v>
      </c>
      <c r="T85" s="69">
        <f t="shared" si="30"/>
        <v>16693731.746883947</v>
      </c>
      <c r="U85" s="69">
        <f t="shared" si="30"/>
        <v>18256265.038392283</v>
      </c>
      <c r="V85" s="69">
        <f t="shared" si="30"/>
        <v>19965051.445985798</v>
      </c>
      <c r="W85" s="69">
        <f t="shared" si="30"/>
        <v>21833780.261330064</v>
      </c>
      <c r="X85" s="69">
        <f t="shared" si="30"/>
        <v>23877422.093790557</v>
      </c>
      <c r="Y85" s="69">
        <f t="shared" si="30"/>
        <v>26112348.80176935</v>
      </c>
      <c r="Z85" s="69">
        <f t="shared" si="30"/>
        <v>28556464.64961496</v>
      </c>
      <c r="AA85" s="69">
        <f t="shared" si="30"/>
        <v>31229349.740818914</v>
      </c>
      <c r="AB85" s="69">
        <f t="shared" si="30"/>
        <v>34152416.876559563</v>
      </c>
      <c r="AC85" s="69">
        <f t="shared" si="30"/>
        <v>43197239.677756771</v>
      </c>
      <c r="AD85" s="69">
        <f t="shared" si="30"/>
        <v>46502570.989380285</v>
      </c>
      <c r="AE85" s="69">
        <f t="shared" si="30"/>
        <v>50073005.49243889</v>
      </c>
      <c r="AF85" s="69">
        <f t="shared" si="30"/>
        <v>53930700.296490937</v>
      </c>
      <c r="AG85" s="69">
        <f t="shared" si="30"/>
        <v>58099727.023599841</v>
      </c>
      <c r="AH85" s="69">
        <f t="shared" si="30"/>
        <v>62606241.44312758</v>
      </c>
      <c r="AI85" s="69">
        <f t="shared" si="30"/>
        <v>67478668.410530239</v>
      </c>
      <c r="AJ85" s="69">
        <f t="shared" si="30"/>
        <v>72747903.508181348</v>
      </c>
      <c r="AK85" s="69">
        <f t="shared" si="30"/>
        <v>78447532.915038124</v>
      </c>
      <c r="AL85" s="69">
        <f>SUM(AL86:AL90)</f>
        <v>84614073.17268616</v>
      </c>
    </row>
    <row r="86" spans="4:40">
      <c r="D86" t="s">
        <v>189</v>
      </c>
      <c r="E86" s="16" t="s">
        <v>211</v>
      </c>
      <c r="K86" s="65">
        <f>K27*K71</f>
        <v>3746323</v>
      </c>
      <c r="L86" s="65">
        <f t="shared" ref="L86:AK86" si="31">L27*L71</f>
        <v>3763296.7631000001</v>
      </c>
      <c r="M86" s="65">
        <f t="shared" si="31"/>
        <v>4022098.7544460809</v>
      </c>
      <c r="N86" s="65">
        <f t="shared" si="31"/>
        <v>7623200.1314147841</v>
      </c>
      <c r="O86" s="65">
        <f t="shared" si="31"/>
        <v>0</v>
      </c>
      <c r="P86" s="65">
        <f t="shared" si="31"/>
        <v>0</v>
      </c>
      <c r="Q86" s="65">
        <f t="shared" si="31"/>
        <v>0</v>
      </c>
      <c r="R86" s="65">
        <f t="shared" si="31"/>
        <v>0</v>
      </c>
      <c r="S86" s="65">
        <f t="shared" si="31"/>
        <v>0</v>
      </c>
      <c r="T86" s="65">
        <f t="shared" si="31"/>
        <v>0</v>
      </c>
      <c r="U86" s="65">
        <f t="shared" si="31"/>
        <v>0</v>
      </c>
      <c r="V86" s="65">
        <f t="shared" si="31"/>
        <v>0</v>
      </c>
      <c r="W86" s="65">
        <f t="shared" si="31"/>
        <v>0</v>
      </c>
      <c r="X86" s="65">
        <f t="shared" si="31"/>
        <v>0</v>
      </c>
      <c r="Y86" s="65">
        <f t="shared" si="31"/>
        <v>0</v>
      </c>
      <c r="Z86" s="65">
        <f t="shared" si="31"/>
        <v>0</v>
      </c>
      <c r="AA86" s="65">
        <f t="shared" si="31"/>
        <v>0</v>
      </c>
      <c r="AB86" s="65">
        <f t="shared" si="31"/>
        <v>0</v>
      </c>
      <c r="AC86" s="65">
        <f t="shared" si="31"/>
        <v>21962211.970670212</v>
      </c>
      <c r="AD86" s="65">
        <f t="shared" si="31"/>
        <v>23279944.688910425</v>
      </c>
      <c r="AE86" s="65">
        <f t="shared" si="31"/>
        <v>24676741.370245051</v>
      </c>
      <c r="AF86" s="65">
        <f t="shared" si="31"/>
        <v>26157345.852459755</v>
      </c>
      <c r="AG86" s="65">
        <f t="shared" si="31"/>
        <v>27726786.603607342</v>
      </c>
      <c r="AH86" s="65">
        <f t="shared" si="31"/>
        <v>29390393.799823787</v>
      </c>
      <c r="AI86" s="65">
        <f t="shared" si="31"/>
        <v>31153817.427813213</v>
      </c>
      <c r="AJ86" s="65">
        <f t="shared" si="31"/>
        <v>33023046.473482009</v>
      </c>
      <c r="AK86" s="65">
        <f t="shared" si="31"/>
        <v>35004429.261890933</v>
      </c>
      <c r="AL86" s="65">
        <f>AL27*AL71</f>
        <v>37104695.017604396</v>
      </c>
    </row>
    <row r="87" spans="4:40">
      <c r="D87" t="s">
        <v>144</v>
      </c>
      <c r="E87" s="16" t="s">
        <v>211</v>
      </c>
      <c r="K87" s="65">
        <f>K28*K74</f>
        <v>418617</v>
      </c>
      <c r="L87" s="65">
        <f t="shared" ref="L87:AK87" si="32">L28*L74</f>
        <v>432281.31558032165</v>
      </c>
      <c r="M87" s="65">
        <f t="shared" si="32"/>
        <v>492889.37674629915</v>
      </c>
      <c r="N87" s="65">
        <f>N28*N74</f>
        <v>3502487.1470910721</v>
      </c>
      <c r="O87" s="65">
        <f t="shared" si="32"/>
        <v>7641970.5889749406</v>
      </c>
      <c r="P87" s="65">
        <f t="shared" si="32"/>
        <v>8357259.0361029953</v>
      </c>
      <c r="Q87" s="65">
        <f t="shared" si="32"/>
        <v>10737421.661030015</v>
      </c>
      <c r="R87" s="65">
        <f t="shared" si="32"/>
        <v>11742444.328502422</v>
      </c>
      <c r="S87" s="65">
        <f t="shared" si="32"/>
        <v>15264933.930947281</v>
      </c>
      <c r="T87" s="65">
        <f t="shared" si="32"/>
        <v>16693731.746883947</v>
      </c>
      <c r="U87" s="65">
        <f t="shared" si="32"/>
        <v>18256265.038392283</v>
      </c>
      <c r="V87" s="65">
        <f t="shared" si="32"/>
        <v>19965051.445985798</v>
      </c>
      <c r="W87" s="65">
        <f t="shared" si="32"/>
        <v>21833780.261330064</v>
      </c>
      <c r="X87" s="65">
        <f t="shared" si="32"/>
        <v>23877422.093790557</v>
      </c>
      <c r="Y87" s="65">
        <f t="shared" si="32"/>
        <v>26112348.80176935</v>
      </c>
      <c r="Z87" s="65">
        <f t="shared" si="32"/>
        <v>28556464.64961496</v>
      </c>
      <c r="AA87" s="65">
        <f t="shared" si="32"/>
        <v>31229349.740818914</v>
      </c>
      <c r="AB87" s="65">
        <f t="shared" si="32"/>
        <v>34152416.876559563</v>
      </c>
      <c r="AC87" s="65">
        <f t="shared" si="32"/>
        <v>21235027.707086559</v>
      </c>
      <c r="AD87" s="65">
        <f t="shared" si="32"/>
        <v>23222626.30046986</v>
      </c>
      <c r="AE87" s="65">
        <f t="shared" si="32"/>
        <v>25396264.122193839</v>
      </c>
      <c r="AF87" s="65">
        <f t="shared" si="32"/>
        <v>27773354.444031179</v>
      </c>
      <c r="AG87" s="65">
        <f t="shared" si="32"/>
        <v>30372940.419992499</v>
      </c>
      <c r="AH87" s="65">
        <f t="shared" si="32"/>
        <v>33215847.643303793</v>
      </c>
      <c r="AI87" s="65">
        <f t="shared" si="32"/>
        <v>36324850.982717022</v>
      </c>
      <c r="AJ87" s="65">
        <f t="shared" si="32"/>
        <v>39724857.034699336</v>
      </c>
      <c r="AK87" s="65">
        <f t="shared" si="32"/>
        <v>43443103.653147191</v>
      </c>
      <c r="AL87" s="65">
        <f>AL28*AL74</f>
        <v>47509378.155081764</v>
      </c>
      <c r="AM87" s="65">
        <f>SUM(M87:AL87)</f>
        <v>606634487.18726349</v>
      </c>
    </row>
    <row r="88" spans="4:40">
      <c r="D88" t="s">
        <v>125</v>
      </c>
      <c r="E88" s="16" t="s">
        <v>211</v>
      </c>
      <c r="K88" s="65">
        <f>K78*K29</f>
        <v>0</v>
      </c>
      <c r="L88" s="65">
        <f t="shared" ref="L88:AK88" si="33">L78*L29</f>
        <v>0</v>
      </c>
      <c r="M88" s="65">
        <f t="shared" si="33"/>
        <v>0</v>
      </c>
      <c r="N88" s="65">
        <f t="shared" si="33"/>
        <v>0</v>
      </c>
      <c r="O88" s="65">
        <f t="shared" si="33"/>
        <v>0</v>
      </c>
      <c r="P88" s="65">
        <f t="shared" si="33"/>
        <v>0</v>
      </c>
      <c r="Q88" s="65">
        <f t="shared" si="33"/>
        <v>0</v>
      </c>
      <c r="R88" s="65">
        <f t="shared" si="33"/>
        <v>0</v>
      </c>
      <c r="S88" s="65">
        <f t="shared" si="33"/>
        <v>0</v>
      </c>
      <c r="T88" s="65">
        <f t="shared" si="33"/>
        <v>0</v>
      </c>
      <c r="U88" s="65">
        <f t="shared" si="33"/>
        <v>0</v>
      </c>
      <c r="V88" s="65">
        <f t="shared" si="33"/>
        <v>0</v>
      </c>
      <c r="W88" s="65">
        <f t="shared" si="33"/>
        <v>0</v>
      </c>
      <c r="X88" s="65">
        <f t="shared" si="33"/>
        <v>0</v>
      </c>
      <c r="Y88" s="65">
        <f t="shared" si="33"/>
        <v>0</v>
      </c>
      <c r="Z88" s="65">
        <f t="shared" si="33"/>
        <v>0</v>
      </c>
      <c r="AA88" s="65">
        <f t="shared" si="33"/>
        <v>0</v>
      </c>
      <c r="AB88" s="65">
        <f t="shared" si="33"/>
        <v>0</v>
      </c>
      <c r="AC88" s="65">
        <f t="shared" si="33"/>
        <v>0</v>
      </c>
      <c r="AD88" s="65">
        <f t="shared" si="33"/>
        <v>0</v>
      </c>
      <c r="AE88" s="65">
        <f t="shared" si="33"/>
        <v>0</v>
      </c>
      <c r="AF88" s="65">
        <f t="shared" si="33"/>
        <v>0</v>
      </c>
      <c r="AG88" s="65">
        <f t="shared" si="33"/>
        <v>0</v>
      </c>
      <c r="AH88" s="65">
        <f t="shared" si="33"/>
        <v>0</v>
      </c>
      <c r="AI88" s="65">
        <f t="shared" si="33"/>
        <v>0</v>
      </c>
      <c r="AJ88" s="65">
        <f t="shared" si="33"/>
        <v>0</v>
      </c>
      <c r="AK88" s="65">
        <f t="shared" si="33"/>
        <v>0</v>
      </c>
      <c r="AL88" s="65">
        <f>AL78*AL29</f>
        <v>0</v>
      </c>
      <c r="AM88" s="65">
        <f t="shared" ref="AM88:AM90" si="34">SUM(M88:AL88)</f>
        <v>0</v>
      </c>
    </row>
    <row r="89" spans="4:40">
      <c r="D89" t="s">
        <v>154</v>
      </c>
      <c r="E89" s="16" t="s">
        <v>211</v>
      </c>
      <c r="K89" s="65">
        <f>K30*K79</f>
        <v>0</v>
      </c>
      <c r="L89" s="65">
        <f t="shared" ref="L89:AK89" si="35">L30*L79</f>
        <v>0</v>
      </c>
      <c r="M89" s="65">
        <f t="shared" si="35"/>
        <v>0</v>
      </c>
      <c r="N89" s="65">
        <f t="shared" si="35"/>
        <v>0</v>
      </c>
      <c r="O89" s="65">
        <f t="shared" si="35"/>
        <v>0</v>
      </c>
      <c r="P89" s="65">
        <f t="shared" si="35"/>
        <v>0</v>
      </c>
      <c r="Q89" s="65">
        <f t="shared" si="35"/>
        <v>0</v>
      </c>
      <c r="R89" s="65">
        <f t="shared" si="35"/>
        <v>0</v>
      </c>
      <c r="S89" s="65">
        <f t="shared" si="35"/>
        <v>0</v>
      </c>
      <c r="T89" s="65">
        <f t="shared" si="35"/>
        <v>0</v>
      </c>
      <c r="U89" s="65">
        <f t="shared" si="35"/>
        <v>0</v>
      </c>
      <c r="V89" s="65">
        <f t="shared" si="35"/>
        <v>0</v>
      </c>
      <c r="W89" s="65">
        <f t="shared" si="35"/>
        <v>0</v>
      </c>
      <c r="X89" s="65">
        <f t="shared" si="35"/>
        <v>0</v>
      </c>
      <c r="Y89" s="65">
        <f t="shared" si="35"/>
        <v>0</v>
      </c>
      <c r="Z89" s="65">
        <f t="shared" si="35"/>
        <v>0</v>
      </c>
      <c r="AA89" s="65">
        <f t="shared" si="35"/>
        <v>0</v>
      </c>
      <c r="AB89" s="65">
        <f t="shared" si="35"/>
        <v>0</v>
      </c>
      <c r="AC89" s="65">
        <f t="shared" si="35"/>
        <v>0</v>
      </c>
      <c r="AD89" s="65">
        <f t="shared" si="35"/>
        <v>0</v>
      </c>
      <c r="AE89" s="65">
        <f t="shared" si="35"/>
        <v>0</v>
      </c>
      <c r="AF89" s="65">
        <f t="shared" si="35"/>
        <v>0</v>
      </c>
      <c r="AG89" s="65">
        <f t="shared" si="35"/>
        <v>0</v>
      </c>
      <c r="AH89" s="65">
        <f t="shared" si="35"/>
        <v>0</v>
      </c>
      <c r="AI89" s="65">
        <f t="shared" si="35"/>
        <v>0</v>
      </c>
      <c r="AJ89" s="65">
        <f t="shared" si="35"/>
        <v>0</v>
      </c>
      <c r="AK89" s="65">
        <f t="shared" si="35"/>
        <v>0</v>
      </c>
      <c r="AL89" s="65">
        <f>AL30*AL79</f>
        <v>0</v>
      </c>
      <c r="AM89" s="65">
        <f t="shared" si="34"/>
        <v>0</v>
      </c>
    </row>
    <row r="90" spans="4:40">
      <c r="D90" t="s">
        <v>423</v>
      </c>
      <c r="E90" s="16" t="s">
        <v>211</v>
      </c>
      <c r="K90" s="65">
        <f>K80*K31</f>
        <v>0</v>
      </c>
      <c r="L90" s="65">
        <f t="shared" ref="L90:AK90" si="36">L80*L31</f>
        <v>0</v>
      </c>
      <c r="M90" s="65">
        <f t="shared" si="36"/>
        <v>0</v>
      </c>
      <c r="N90" s="65">
        <f t="shared" si="36"/>
        <v>0</v>
      </c>
      <c r="O90" s="65">
        <f t="shared" si="36"/>
        <v>0</v>
      </c>
      <c r="P90" s="65">
        <f t="shared" si="36"/>
        <v>0</v>
      </c>
      <c r="Q90" s="65">
        <f t="shared" si="36"/>
        <v>0</v>
      </c>
      <c r="R90" s="65">
        <f t="shared" si="36"/>
        <v>0</v>
      </c>
      <c r="S90" s="65">
        <f t="shared" si="36"/>
        <v>0</v>
      </c>
      <c r="T90" s="65">
        <f t="shared" si="36"/>
        <v>0</v>
      </c>
      <c r="U90" s="65">
        <f t="shared" si="36"/>
        <v>0</v>
      </c>
      <c r="V90" s="65">
        <f t="shared" si="36"/>
        <v>0</v>
      </c>
      <c r="W90" s="65">
        <f t="shared" si="36"/>
        <v>0</v>
      </c>
      <c r="X90" s="65">
        <f t="shared" si="36"/>
        <v>0</v>
      </c>
      <c r="Y90" s="65">
        <f t="shared" si="36"/>
        <v>0</v>
      </c>
      <c r="Z90" s="65">
        <f t="shared" si="36"/>
        <v>0</v>
      </c>
      <c r="AA90" s="65">
        <f t="shared" si="36"/>
        <v>0</v>
      </c>
      <c r="AB90" s="65">
        <f t="shared" si="36"/>
        <v>0</v>
      </c>
      <c r="AC90" s="65">
        <f t="shared" si="36"/>
        <v>0</v>
      </c>
      <c r="AD90" s="65">
        <f t="shared" si="36"/>
        <v>0</v>
      </c>
      <c r="AE90" s="65">
        <f t="shared" si="36"/>
        <v>0</v>
      </c>
      <c r="AF90" s="65">
        <f t="shared" si="36"/>
        <v>0</v>
      </c>
      <c r="AG90" s="65">
        <f t="shared" si="36"/>
        <v>0</v>
      </c>
      <c r="AH90" s="65">
        <f t="shared" si="36"/>
        <v>0</v>
      </c>
      <c r="AI90" s="65">
        <f t="shared" si="36"/>
        <v>0</v>
      </c>
      <c r="AJ90" s="65">
        <f t="shared" si="36"/>
        <v>0</v>
      </c>
      <c r="AK90" s="65">
        <f t="shared" si="36"/>
        <v>0</v>
      </c>
      <c r="AL90" s="65">
        <f>AL80*AL31</f>
        <v>0</v>
      </c>
      <c r="AM90" s="65">
        <f t="shared" si="34"/>
        <v>0</v>
      </c>
      <c r="AN90" s="65">
        <f>SUM(AM87:AM90)</f>
        <v>606634487.18726349</v>
      </c>
    </row>
    <row r="91" spans="4:40">
      <c r="D91" t="s">
        <v>528</v>
      </c>
      <c r="E91" s="16" t="s">
        <v>211</v>
      </c>
      <c r="K91" s="65">
        <f>SUM(K87:K90)</f>
        <v>418617</v>
      </c>
      <c r="L91" s="65">
        <f t="shared" ref="L91:AL91" si="37">SUM(L87:L90)</f>
        <v>432281.31558032165</v>
      </c>
      <c r="M91" s="65">
        <f t="shared" si="37"/>
        <v>492889.37674629915</v>
      </c>
      <c r="N91" s="65">
        <f t="shared" si="37"/>
        <v>3502487.1470910721</v>
      </c>
      <c r="O91" s="65">
        <f t="shared" si="37"/>
        <v>7641970.5889749406</v>
      </c>
      <c r="P91" s="65">
        <f t="shared" si="37"/>
        <v>8357259.0361029953</v>
      </c>
      <c r="Q91" s="65">
        <f t="shared" si="37"/>
        <v>10737421.661030015</v>
      </c>
      <c r="R91" s="65">
        <f t="shared" si="37"/>
        <v>11742444.328502422</v>
      </c>
      <c r="S91" s="65">
        <f t="shared" si="37"/>
        <v>15264933.930947281</v>
      </c>
      <c r="T91" s="65">
        <f t="shared" si="37"/>
        <v>16693731.746883947</v>
      </c>
      <c r="U91" s="65">
        <f t="shared" si="37"/>
        <v>18256265.038392283</v>
      </c>
      <c r="V91" s="65">
        <f t="shared" si="37"/>
        <v>19965051.445985798</v>
      </c>
      <c r="W91" s="65">
        <f t="shared" si="37"/>
        <v>21833780.261330064</v>
      </c>
      <c r="X91" s="65">
        <f t="shared" si="37"/>
        <v>23877422.093790557</v>
      </c>
      <c r="Y91" s="65">
        <f t="shared" si="37"/>
        <v>26112348.80176935</v>
      </c>
      <c r="Z91" s="65">
        <f t="shared" si="37"/>
        <v>28556464.64961496</v>
      </c>
      <c r="AA91" s="65">
        <f t="shared" si="37"/>
        <v>31229349.740818914</v>
      </c>
      <c r="AB91" s="65">
        <f t="shared" si="37"/>
        <v>34152416.876559563</v>
      </c>
      <c r="AC91" s="65">
        <f t="shared" si="37"/>
        <v>21235027.707086559</v>
      </c>
      <c r="AD91" s="65">
        <f t="shared" si="37"/>
        <v>23222626.30046986</v>
      </c>
      <c r="AE91" s="65">
        <f t="shared" si="37"/>
        <v>25396264.122193839</v>
      </c>
      <c r="AF91" s="65">
        <f t="shared" si="37"/>
        <v>27773354.444031179</v>
      </c>
      <c r="AG91" s="65">
        <f t="shared" si="37"/>
        <v>30372940.419992499</v>
      </c>
      <c r="AH91" s="65">
        <f t="shared" si="37"/>
        <v>33215847.643303793</v>
      </c>
      <c r="AI91" s="65">
        <f t="shared" si="37"/>
        <v>36324850.982717022</v>
      </c>
      <c r="AJ91" s="65">
        <f t="shared" si="37"/>
        <v>39724857.034699336</v>
      </c>
      <c r="AK91" s="65">
        <f t="shared" si="37"/>
        <v>43443103.653147191</v>
      </c>
      <c r="AL91" s="65">
        <f t="shared" si="37"/>
        <v>47509378.155081764</v>
      </c>
      <c r="AM91" s="65"/>
      <c r="AN91" s="65"/>
    </row>
    <row r="92" spans="4:40" ht="18">
      <c r="D92" s="15" t="s">
        <v>212</v>
      </c>
      <c r="E92" s="16"/>
      <c r="K92" s="70">
        <f>SUM(K93:K96)</f>
        <v>3539306.375</v>
      </c>
      <c r="L92" s="70">
        <f t="shared" ref="L92:AK92" si="38">SUM(L93:L96)</f>
        <v>3615442.7379177581</v>
      </c>
      <c r="M92" s="70">
        <f t="shared" si="38"/>
        <v>4122346.3830767944</v>
      </c>
      <c r="N92" s="70">
        <f t="shared" si="38"/>
        <v>11283241.373082571</v>
      </c>
      <c r="O92" s="70">
        <f t="shared" si="38"/>
        <v>12309281.247900631</v>
      </c>
      <c r="P92" s="70">
        <f t="shared" si="38"/>
        <v>13461429.972704127</v>
      </c>
      <c r="Q92" s="70">
        <f t="shared" si="38"/>
        <v>17074441.421168253</v>
      </c>
      <c r="R92" s="70">
        <f t="shared" si="38"/>
        <v>18471995.746749964</v>
      </c>
      <c r="S92" s="70">
        <f t="shared" si="38"/>
        <v>23710843.34258512</v>
      </c>
      <c r="T92" s="70">
        <f t="shared" si="38"/>
        <v>25652539.116246771</v>
      </c>
      <c r="U92" s="70">
        <f t="shared" si="38"/>
        <v>27754044.120430008</v>
      </c>
      <c r="V92" s="70">
        <f t="shared" si="38"/>
        <v>30028583.753094099</v>
      </c>
      <c r="W92" s="70">
        <f t="shared" si="38"/>
        <v>32490484.422511902</v>
      </c>
      <c r="X92" s="70">
        <f t="shared" si="38"/>
        <v>35155265.787767336</v>
      </c>
      <c r="Y92" s="70">
        <f t="shared" si="38"/>
        <v>38039740.77865205</v>
      </c>
      <c r="Z92" s="70">
        <f t="shared" si="38"/>
        <v>41162124.055622384</v>
      </c>
      <c r="AA92" s="70">
        <f t="shared" si="38"/>
        <v>44542149.626984142</v>
      </c>
      <c r="AB92" s="70">
        <f t="shared" si="38"/>
        <v>48201198.401846044</v>
      </c>
      <c r="AC92" s="70">
        <f t="shared" si="38"/>
        <v>52162436.52404733</v>
      </c>
      <c r="AD92" s="70">
        <f t="shared" si="38"/>
        <v>56450965.404677957</v>
      </c>
      <c r="AE92" s="70">
        <f t="shared" si="38"/>
        <v>61093984.449472003</v>
      </c>
      <c r="AF92" s="70">
        <f t="shared" si="38"/>
        <v>66120967.562809169</v>
      </c>
      <c r="AG92" s="70">
        <f t="shared" si="38"/>
        <v>71563854.602895141</v>
      </c>
      <c r="AH92" s="70">
        <f t="shared" si="38"/>
        <v>77457259.063553527</v>
      </c>
      <c r="AI92" s="70">
        <f t="shared" si="38"/>
        <v>83838693.367645904</v>
      </c>
      <c r="AJ92" s="70">
        <f t="shared" si="38"/>
        <v>90748813.276205078</v>
      </c>
      <c r="AK92" s="70">
        <f t="shared" si="38"/>
        <v>98231683.04674384</v>
      </c>
      <c r="AL92" s="70">
        <f>SUM(AL93:AL96)</f>
        <v>106335063.11478803</v>
      </c>
    </row>
    <row r="93" spans="4:40">
      <c r="D93" s="7" t="s">
        <v>122</v>
      </c>
      <c r="E93" s="16" t="s">
        <v>211</v>
      </c>
      <c r="K93" s="65">
        <f>K47*K75</f>
        <v>634463.375</v>
      </c>
      <c r="L93" s="65">
        <f t="shared" ref="L93:AL94" si="39">L47*L75</f>
        <v>655173.25486669422</v>
      </c>
      <c r="M93" s="65">
        <f t="shared" si="39"/>
        <v>747031.91096420691</v>
      </c>
      <c r="N93" s="65">
        <f t="shared" si="39"/>
        <v>2044695.0793380849</v>
      </c>
      <c r="O93" s="65">
        <f t="shared" si="39"/>
        <v>2230629.1220370228</v>
      </c>
      <c r="P93" s="65">
        <f t="shared" si="39"/>
        <v>2439416.0078596878</v>
      </c>
      <c r="Q93" s="65">
        <f t="shared" si="39"/>
        <v>3134166.1386709674</v>
      </c>
      <c r="R93" s="65">
        <f t="shared" si="39"/>
        <v>3427524.0892505697</v>
      </c>
      <c r="S93" s="65">
        <f t="shared" si="39"/>
        <v>4455710.1831125291</v>
      </c>
      <c r="T93" s="65">
        <f t="shared" si="39"/>
        <v>4872764.6562518617</v>
      </c>
      <c r="U93" s="65">
        <f t="shared" si="39"/>
        <v>5328855.4280770356</v>
      </c>
      <c r="V93" s="65">
        <f t="shared" si="39"/>
        <v>5827636.2961450452</v>
      </c>
      <c r="W93" s="65">
        <f t="shared" si="39"/>
        <v>6373103.0534642208</v>
      </c>
      <c r="X93" s="65">
        <f t="shared" si="39"/>
        <v>6969625.4992684713</v>
      </c>
      <c r="Y93" s="65">
        <f t="shared" si="39"/>
        <v>7621982.4459999986</v>
      </c>
      <c r="Z93" s="65">
        <f t="shared" si="39"/>
        <v>8335400.0029455973</v>
      </c>
      <c r="AA93" s="65">
        <f t="shared" si="39"/>
        <v>9115593.4432213046</v>
      </c>
      <c r="AB93" s="65">
        <f t="shared" si="39"/>
        <v>9968812.9895068184</v>
      </c>
      <c r="AC93" s="65">
        <f t="shared" si="39"/>
        <v>10901893.885324653</v>
      </c>
      <c r="AD93" s="65">
        <f t="shared" si="39"/>
        <v>11922311.152991042</v>
      </c>
      <c r="AE93" s="65">
        <f t="shared" si="39"/>
        <v>13038239.476911001</v>
      </c>
      <c r="AF93" s="65">
        <f t="shared" si="39"/>
        <v>14258618.69194987</v>
      </c>
      <c r="AG93" s="65">
        <f t="shared" si="39"/>
        <v>15593225.401516376</v>
      </c>
      <c r="AH93" s="65">
        <f t="shared" si="39"/>
        <v>17052751.299098309</v>
      </c>
      <c r="AI93" s="65">
        <f t="shared" si="39"/>
        <v>18648888.820693906</v>
      </c>
      <c r="AJ93" s="65">
        <f t="shared" si="39"/>
        <v>20394424.814310856</v>
      </c>
      <c r="AK93" s="65">
        <f t="shared" si="39"/>
        <v>22303342.97693035</v>
      </c>
      <c r="AL93" s="65">
        <f t="shared" si="39"/>
        <v>24390935.879571028</v>
      </c>
    </row>
    <row r="94" spans="4:40">
      <c r="D94" s="7" t="s">
        <v>123</v>
      </c>
      <c r="E94" s="16" t="s">
        <v>211</v>
      </c>
      <c r="K94" s="65">
        <f>K48*K76</f>
        <v>2857365</v>
      </c>
      <c r="L94" s="65">
        <f t="shared" si="39"/>
        <v>2911241.7266505295</v>
      </c>
      <c r="M94" s="65">
        <f t="shared" si="39"/>
        <v>3319412.7723986227</v>
      </c>
      <c r="N94" s="65">
        <f t="shared" si="39"/>
        <v>9085538.1977660321</v>
      </c>
      <c r="O94" s="65">
        <f t="shared" si="39"/>
        <v>9911730.261451697</v>
      </c>
      <c r="P94" s="65">
        <f t="shared" si="39"/>
        <v>10839468.213923573</v>
      </c>
      <c r="Q94" s="65">
        <f t="shared" si="39"/>
        <v>13740643.249290228</v>
      </c>
      <c r="R94" s="65">
        <f t="shared" si="39"/>
        <v>14826154.065984154</v>
      </c>
      <c r="S94" s="65">
        <f t="shared" si="39"/>
        <v>19016381.041391525</v>
      </c>
      <c r="T94" s="65">
        <f t="shared" si="39"/>
        <v>20518675.143661454</v>
      </c>
      <c r="U94" s="65">
        <f t="shared" si="39"/>
        <v>22139650.480010707</v>
      </c>
      <c r="V94" s="65">
        <f t="shared" si="39"/>
        <v>23888682.867931552</v>
      </c>
      <c r="W94" s="65">
        <f t="shared" si="39"/>
        <v>25775888.814498141</v>
      </c>
      <c r="X94" s="65">
        <f t="shared" si="39"/>
        <v>27812184.030843493</v>
      </c>
      <c r="Y94" s="65">
        <f t="shared" si="39"/>
        <v>30009346.569280129</v>
      </c>
      <c r="Z94" s="65">
        <f t="shared" si="39"/>
        <v>32380084.948253259</v>
      </c>
      <c r="AA94" s="65">
        <f t="shared" si="39"/>
        <v>34938111.659165263</v>
      </c>
      <c r="AB94" s="65">
        <f t="shared" si="39"/>
        <v>37698222.480239317</v>
      </c>
      <c r="AC94" s="65">
        <f t="shared" si="39"/>
        <v>40676382.05617822</v>
      </c>
      <c r="AD94" s="65">
        <f t="shared" si="39"/>
        <v>43889816.238616295</v>
      </c>
      <c r="AE94" s="65">
        <f t="shared" si="39"/>
        <v>47357111.721466973</v>
      </c>
      <c r="AF94" s="65">
        <f t="shared" si="39"/>
        <v>51098323.547462866</v>
      </c>
      <c r="AG94" s="65">
        <f t="shared" si="39"/>
        <v>55135091.107712433</v>
      </c>
      <c r="AH94" s="65">
        <f t="shared" si="39"/>
        <v>59490763.305221714</v>
      </c>
      <c r="AI94" s="65">
        <f t="shared" si="39"/>
        <v>64190533.606334232</v>
      </c>
      <c r="AJ94" s="65">
        <f t="shared" si="39"/>
        <v>69261585.761234626</v>
      </c>
      <c r="AK94" s="65">
        <f t="shared" si="39"/>
        <v>74733251.03637217</v>
      </c>
      <c r="AL94" s="65">
        <f t="shared" si="39"/>
        <v>80637177.868245557</v>
      </c>
    </row>
    <row r="95" spans="4:40">
      <c r="D95" s="63" t="s">
        <v>124</v>
      </c>
      <c r="E95" s="16" t="s">
        <v>211</v>
      </c>
      <c r="K95" s="65">
        <f>K77*K50</f>
        <v>47477.999999999993</v>
      </c>
      <c r="L95" s="65">
        <f t="shared" ref="L95:AL95" si="40">L77*L50</f>
        <v>49027.756400534403</v>
      </c>
      <c r="M95" s="65">
        <f t="shared" si="40"/>
        <v>55901.699713964757</v>
      </c>
      <c r="N95" s="65">
        <f t="shared" si="40"/>
        <v>153008.09597845364</v>
      </c>
      <c r="O95" s="65">
        <f t="shared" si="40"/>
        <v>166921.86441191152</v>
      </c>
      <c r="P95" s="65">
        <f t="shared" si="40"/>
        <v>182545.75092086644</v>
      </c>
      <c r="Q95" s="65">
        <f t="shared" si="40"/>
        <v>199632.03320705952</v>
      </c>
      <c r="R95" s="65">
        <f t="shared" si="40"/>
        <v>218317.59151524026</v>
      </c>
      <c r="S95" s="65">
        <f t="shared" si="40"/>
        <v>238752.11808106676</v>
      </c>
      <c r="T95" s="65">
        <f t="shared" si="40"/>
        <v>261099.3163334546</v>
      </c>
      <c r="U95" s="65">
        <f t="shared" si="40"/>
        <v>285538.21234226594</v>
      </c>
      <c r="V95" s="65">
        <f t="shared" si="40"/>
        <v>312264.58901750197</v>
      </c>
      <c r="W95" s="65">
        <f t="shared" si="40"/>
        <v>341492.5545495401</v>
      </c>
      <c r="X95" s="65">
        <f t="shared" si="40"/>
        <v>373456.25765537709</v>
      </c>
      <c r="Y95" s="65">
        <f t="shared" si="40"/>
        <v>408411.76337192033</v>
      </c>
      <c r="Z95" s="65">
        <f t="shared" si="40"/>
        <v>446639.10442353203</v>
      </c>
      <c r="AA95" s="65">
        <f t="shared" si="40"/>
        <v>488444.52459757455</v>
      </c>
      <c r="AB95" s="65">
        <f t="shared" si="40"/>
        <v>534162.93209990754</v>
      </c>
      <c r="AC95" s="65">
        <f t="shared" si="40"/>
        <v>584160.58254445891</v>
      </c>
      <c r="AD95" s="65">
        <f t="shared" si="40"/>
        <v>638838.01307062013</v>
      </c>
      <c r="AE95" s="65">
        <f t="shared" si="40"/>
        <v>698633.25109403022</v>
      </c>
      <c r="AF95" s="65">
        <f t="shared" si="40"/>
        <v>764025.3233964314</v>
      </c>
      <c r="AG95" s="65">
        <f t="shared" si="40"/>
        <v>835538.09366633731</v>
      </c>
      <c r="AH95" s="65">
        <f t="shared" si="40"/>
        <v>913744.45923350647</v>
      </c>
      <c r="AI95" s="65">
        <f t="shared" si="40"/>
        <v>999270.94061776262</v>
      </c>
      <c r="AJ95" s="65">
        <f t="shared" si="40"/>
        <v>1092802.700659585</v>
      </c>
      <c r="AK95" s="65">
        <f t="shared" si="40"/>
        <v>1195089.0334413222</v>
      </c>
      <c r="AL95" s="65">
        <f t="shared" si="40"/>
        <v>1306949.3669714297</v>
      </c>
    </row>
    <row r="96" spans="4:40">
      <c r="D96" s="7" t="s">
        <v>233</v>
      </c>
      <c r="E96" s="16" t="s">
        <v>211</v>
      </c>
      <c r="W96"/>
      <c r="AB96"/>
    </row>
    <row r="97" spans="4:41" ht="18">
      <c r="D97" s="15" t="s">
        <v>234</v>
      </c>
      <c r="K97" s="69">
        <f>SUM(K98:K99)</f>
        <v>1742558.4</v>
      </c>
      <c r="L97" s="69">
        <f t="shared" ref="L97:AK97" si="41">SUM(L98:L99)</f>
        <v>1750689.2990336004</v>
      </c>
      <c r="M97" s="69">
        <f t="shared" si="41"/>
        <v>1936490.0635776964</v>
      </c>
      <c r="N97" s="69">
        <f t="shared" si="41"/>
        <v>5423644.0497468477</v>
      </c>
      <c r="O97" s="69">
        <f t="shared" si="41"/>
        <v>5715888.7790665459</v>
      </c>
      <c r="P97" s="69">
        <f t="shared" si="41"/>
        <v>6058842.1058105398</v>
      </c>
      <c r="Q97" s="69">
        <f t="shared" si="41"/>
        <v>9089964.0989261791</v>
      </c>
      <c r="R97" s="69">
        <f t="shared" si="41"/>
        <v>9635361.944861751</v>
      </c>
      <c r="S97" s="69">
        <f t="shared" si="41"/>
        <v>14014350.747057183</v>
      </c>
      <c r="T97" s="69">
        <f t="shared" si="41"/>
        <v>14855211.791880617</v>
      </c>
      <c r="U97" s="69">
        <f t="shared" si="41"/>
        <v>15746524.499393454</v>
      </c>
      <c r="V97" s="69">
        <f t="shared" si="41"/>
        <v>16691315.969357062</v>
      </c>
      <c r="W97" s="69">
        <f t="shared" si="41"/>
        <v>17692794.927518487</v>
      </c>
      <c r="X97" s="69">
        <f t="shared" si="41"/>
        <v>18754362.623169597</v>
      </c>
      <c r="Y97" s="69">
        <f t="shared" si="41"/>
        <v>19879624.380559776</v>
      </c>
      <c r="Z97" s="69">
        <f t="shared" si="41"/>
        <v>21072401.843393363</v>
      </c>
      <c r="AA97" s="69">
        <f t="shared" si="41"/>
        <v>22336745.953996964</v>
      </c>
      <c r="AB97" s="69">
        <f t="shared" si="41"/>
        <v>23676950.711236779</v>
      </c>
      <c r="AC97" s="69">
        <f t="shared" si="41"/>
        <v>25097567.753910989</v>
      </c>
      <c r="AD97" s="69">
        <f t="shared" si="41"/>
        <v>26603421.81914565</v>
      </c>
      <c r="AE97" s="69">
        <f t="shared" si="41"/>
        <v>28199627.12829439</v>
      </c>
      <c r="AF97" s="69">
        <f t="shared" si="41"/>
        <v>29891604.755992059</v>
      </c>
      <c r="AG97" s="69">
        <f t="shared" si="41"/>
        <v>31685101.041351579</v>
      </c>
      <c r="AH97" s="69">
        <f t="shared" si="41"/>
        <v>33586207.103832677</v>
      </c>
      <c r="AI97" s="69">
        <f t="shared" si="41"/>
        <v>35601379.530062646</v>
      </c>
      <c r="AJ97" s="69">
        <f t="shared" si="41"/>
        <v>37737462.301866397</v>
      </c>
      <c r="AK97" s="69">
        <f t="shared" si="41"/>
        <v>40001710.039978385</v>
      </c>
      <c r="AL97" s="69">
        <f>SUM(AL98:AL99)</f>
        <v>42401812.642377093</v>
      </c>
    </row>
    <row r="98" spans="4:41">
      <c r="D98" s="7" t="s">
        <v>236</v>
      </c>
      <c r="E98" s="16" t="s">
        <v>211</v>
      </c>
      <c r="K98" s="65">
        <f t="shared" ref="K98:AK98" si="42">K59*K72</f>
        <v>1501269.7999999998</v>
      </c>
      <c r="L98" s="65">
        <f t="shared" si="42"/>
        <v>1508307.4736136002</v>
      </c>
      <c r="M98" s="65">
        <f t="shared" si="42"/>
        <v>1667172.0942583524</v>
      </c>
      <c r="N98" s="65">
        <f t="shared" si="42"/>
        <v>4669962.6426580157</v>
      </c>
      <c r="O98" s="65">
        <f t="shared" si="42"/>
        <v>4921596.4069535164</v>
      </c>
      <c r="P98" s="65">
        <f t="shared" si="42"/>
        <v>5216892.1913707284</v>
      </c>
      <c r="Q98" s="65">
        <f t="shared" si="42"/>
        <v>7826802.8609047756</v>
      </c>
      <c r="R98" s="65">
        <f t="shared" si="42"/>
        <v>8296411.0325590624</v>
      </c>
      <c r="S98" s="65">
        <f t="shared" si="42"/>
        <v>12066885.999445016</v>
      </c>
      <c r="T98" s="65">
        <f t="shared" si="42"/>
        <v>12790899.159411719</v>
      </c>
      <c r="U98" s="65">
        <f t="shared" si="42"/>
        <v>13558353.108976422</v>
      </c>
      <c r="V98" s="65">
        <f t="shared" si="42"/>
        <v>14371854.295515008</v>
      </c>
      <c r="W98" s="65">
        <f t="shared" si="42"/>
        <v>15234165.55324591</v>
      </c>
      <c r="X98" s="65">
        <f t="shared" si="42"/>
        <v>16148215.486440664</v>
      </c>
      <c r="Y98" s="65">
        <f t="shared" si="42"/>
        <v>17117108.415627107</v>
      </c>
      <c r="Z98" s="65">
        <f t="shared" si="42"/>
        <v>18144134.920564733</v>
      </c>
      <c r="AA98" s="65">
        <f t="shared" si="42"/>
        <v>19232783.015798617</v>
      </c>
      <c r="AB98" s="65">
        <f t="shared" si="42"/>
        <v>20386749.996746533</v>
      </c>
      <c r="AC98" s="65">
        <f t="shared" si="42"/>
        <v>21609954.996551327</v>
      </c>
      <c r="AD98" s="65">
        <f t="shared" si="42"/>
        <v>22906552.296344407</v>
      </c>
      <c r="AE98" s="65">
        <f t="shared" si="42"/>
        <v>24280945.434125073</v>
      </c>
      <c r="AF98" s="65">
        <f t="shared" si="42"/>
        <v>25737802.160172582</v>
      </c>
      <c r="AG98" s="65">
        <f t="shared" si="42"/>
        <v>27282070.289782934</v>
      </c>
      <c r="AH98" s="65">
        <f t="shared" si="42"/>
        <v>28918994.507169914</v>
      </c>
      <c r="AI98" s="65">
        <f t="shared" si="42"/>
        <v>30654134.177600112</v>
      </c>
      <c r="AJ98" s="65">
        <f t="shared" si="42"/>
        <v>32493382.228256118</v>
      </c>
      <c r="AK98" s="65">
        <f t="shared" si="42"/>
        <v>34442985.161951482</v>
      </c>
      <c r="AL98" s="65">
        <f>AL59*AL72</f>
        <v>36509564.271668576</v>
      </c>
    </row>
    <row r="99" spans="4:41">
      <c r="D99" s="7" t="s">
        <v>237</v>
      </c>
      <c r="E99" s="16" t="s">
        <v>211</v>
      </c>
      <c r="K99" s="106">
        <f t="shared" ref="K99:AL99" si="43">K59*K73</f>
        <v>241288.6</v>
      </c>
      <c r="L99" s="106">
        <f t="shared" si="43"/>
        <v>242381.82542000004</v>
      </c>
      <c r="M99" s="106">
        <f t="shared" si="43"/>
        <v>269317.96931934403</v>
      </c>
      <c r="N99" s="106">
        <f t="shared" si="43"/>
        <v>753681.407088832</v>
      </c>
      <c r="O99" s="106">
        <f t="shared" si="43"/>
        <v>794292.37211302912</v>
      </c>
      <c r="P99" s="106">
        <f t="shared" si="43"/>
        <v>841949.91443981091</v>
      </c>
      <c r="Q99" s="106">
        <f t="shared" si="43"/>
        <v>1263161.238021404</v>
      </c>
      <c r="R99" s="106">
        <f t="shared" si="43"/>
        <v>1338950.9123026882</v>
      </c>
      <c r="S99" s="106">
        <f t="shared" si="43"/>
        <v>1947464.7476121678</v>
      </c>
      <c r="T99" s="106">
        <f t="shared" si="43"/>
        <v>2064312.6324688981</v>
      </c>
      <c r="U99" s="106">
        <f t="shared" si="43"/>
        <v>2188171.3904170319</v>
      </c>
      <c r="V99" s="106">
        <f t="shared" si="43"/>
        <v>2319461.6738420543</v>
      </c>
      <c r="W99" s="106">
        <f t="shared" si="43"/>
        <v>2458629.3742725779</v>
      </c>
      <c r="X99" s="106">
        <f t="shared" si="43"/>
        <v>2606147.1367289326</v>
      </c>
      <c r="Y99" s="106">
        <f t="shared" si="43"/>
        <v>2762515.9649326685</v>
      </c>
      <c r="Z99" s="106">
        <f t="shared" si="43"/>
        <v>2928266.9228286287</v>
      </c>
      <c r="AA99" s="106">
        <f t="shared" si="43"/>
        <v>3103962.9381983466</v>
      </c>
      <c r="AB99" s="106">
        <f t="shared" si="43"/>
        <v>3290200.7144902474</v>
      </c>
      <c r="AC99" s="106">
        <f t="shared" si="43"/>
        <v>3487612.7573596626</v>
      </c>
      <c r="AD99" s="106">
        <f t="shared" si="43"/>
        <v>3696869.5228012428</v>
      </c>
      <c r="AE99" s="106">
        <f t="shared" si="43"/>
        <v>3918681.6941693174</v>
      </c>
      <c r="AF99" s="106">
        <f t="shared" si="43"/>
        <v>4153802.595819477</v>
      </c>
      <c r="AG99" s="106">
        <f t="shared" si="43"/>
        <v>4403030.7515686462</v>
      </c>
      <c r="AH99" s="106">
        <f t="shared" si="43"/>
        <v>4667212.5966627644</v>
      </c>
      <c r="AI99" s="106">
        <f t="shared" si="43"/>
        <v>4947245.3524625311</v>
      </c>
      <c r="AJ99" s="106">
        <f t="shared" si="43"/>
        <v>5244080.0736102825</v>
      </c>
      <c r="AK99" s="106">
        <f t="shared" si="43"/>
        <v>5558724.8780268999</v>
      </c>
      <c r="AL99" s="106">
        <f t="shared" si="43"/>
        <v>5892248.370708514</v>
      </c>
    </row>
    <row r="100" spans="4:41" ht="18">
      <c r="D100" s="15" t="s">
        <v>428</v>
      </c>
      <c r="K100" s="69">
        <f>SUM(K101)</f>
        <v>0</v>
      </c>
      <c r="L100" s="69">
        <f t="shared" ref="L100:AK100" si="44">SUM(L101)</f>
        <v>0</v>
      </c>
      <c r="M100" s="69">
        <f t="shared" si="44"/>
        <v>0</v>
      </c>
      <c r="N100" s="69">
        <f t="shared" si="44"/>
        <v>0</v>
      </c>
      <c r="O100" s="69">
        <f t="shared" si="44"/>
        <v>0</v>
      </c>
      <c r="P100" s="69">
        <f t="shared" si="44"/>
        <v>0</v>
      </c>
      <c r="Q100" s="69">
        <f t="shared" si="44"/>
        <v>50000</v>
      </c>
      <c r="R100" s="69">
        <f t="shared" si="44"/>
        <v>50000</v>
      </c>
      <c r="S100" s="69">
        <f t="shared" si="44"/>
        <v>50000</v>
      </c>
      <c r="T100" s="69">
        <f t="shared" si="44"/>
        <v>50000</v>
      </c>
      <c r="U100" s="69">
        <f t="shared" si="44"/>
        <v>50000</v>
      </c>
      <c r="V100" s="69">
        <f t="shared" si="44"/>
        <v>50000</v>
      </c>
      <c r="W100" s="69">
        <f t="shared" si="44"/>
        <v>50000</v>
      </c>
      <c r="X100" s="69">
        <f t="shared" si="44"/>
        <v>50000</v>
      </c>
      <c r="Y100" s="69">
        <f t="shared" si="44"/>
        <v>50000</v>
      </c>
      <c r="Z100" s="69">
        <f t="shared" si="44"/>
        <v>50000</v>
      </c>
      <c r="AA100" s="69">
        <f t="shared" si="44"/>
        <v>50000</v>
      </c>
      <c r="AB100" s="69">
        <f t="shared" si="44"/>
        <v>50000</v>
      </c>
      <c r="AC100" s="69">
        <f t="shared" si="44"/>
        <v>50000</v>
      </c>
      <c r="AD100" s="69">
        <f t="shared" si="44"/>
        <v>50000</v>
      </c>
      <c r="AE100" s="69">
        <f t="shared" si="44"/>
        <v>50000</v>
      </c>
      <c r="AF100" s="69">
        <f t="shared" si="44"/>
        <v>50000</v>
      </c>
      <c r="AG100" s="69">
        <f t="shared" si="44"/>
        <v>50000</v>
      </c>
      <c r="AH100" s="69">
        <f t="shared" si="44"/>
        <v>50000</v>
      </c>
      <c r="AI100" s="69">
        <f t="shared" si="44"/>
        <v>50000</v>
      </c>
      <c r="AJ100" s="69">
        <f t="shared" si="44"/>
        <v>50000</v>
      </c>
      <c r="AK100" s="69">
        <f t="shared" si="44"/>
        <v>50000</v>
      </c>
      <c r="AL100" s="69">
        <f>SUM(AL101)</f>
        <v>50000</v>
      </c>
    </row>
    <row r="101" spans="4:41">
      <c r="D101" s="7" t="s">
        <v>429</v>
      </c>
      <c r="E101" s="16" t="s">
        <v>211</v>
      </c>
      <c r="K101" s="65">
        <f>K61*K74</f>
        <v>0</v>
      </c>
      <c r="L101" s="65">
        <f t="shared" ref="L101:P101" si="45">L61*L74</f>
        <v>0</v>
      </c>
      <c r="M101" s="65">
        <f t="shared" si="45"/>
        <v>0</v>
      </c>
      <c r="N101" s="65">
        <f t="shared" si="45"/>
        <v>0</v>
      </c>
      <c r="O101" s="65">
        <f t="shared" si="45"/>
        <v>0</v>
      </c>
      <c r="P101" s="65">
        <f t="shared" si="45"/>
        <v>0</v>
      </c>
      <c r="Q101" s="65">
        <f>Inputs!$E$200</f>
        <v>50000</v>
      </c>
      <c r="R101" s="65">
        <f>Inputs!$E$200</f>
        <v>50000</v>
      </c>
      <c r="S101" s="65">
        <f>Inputs!$E$200</f>
        <v>50000</v>
      </c>
      <c r="T101" s="65">
        <f>Inputs!$E$200</f>
        <v>50000</v>
      </c>
      <c r="U101" s="65">
        <f>Inputs!$E$200</f>
        <v>50000</v>
      </c>
      <c r="V101" s="65">
        <f>Inputs!$E$200</f>
        <v>50000</v>
      </c>
      <c r="W101" s="65">
        <f>Inputs!$E$200</f>
        <v>50000</v>
      </c>
      <c r="X101" s="65">
        <f>Inputs!$E$200</f>
        <v>50000</v>
      </c>
      <c r="Y101" s="65">
        <f>Inputs!$E$200</f>
        <v>50000</v>
      </c>
      <c r="Z101" s="65">
        <f>Inputs!$E$200</f>
        <v>50000</v>
      </c>
      <c r="AA101" s="65">
        <f>Inputs!$E$200</f>
        <v>50000</v>
      </c>
      <c r="AB101" s="65">
        <f>Inputs!$E$200</f>
        <v>50000</v>
      </c>
      <c r="AC101" s="65">
        <f>Inputs!$E$200</f>
        <v>50000</v>
      </c>
      <c r="AD101" s="65">
        <f>Inputs!$E$200</f>
        <v>50000</v>
      </c>
      <c r="AE101" s="65">
        <f>Inputs!$E$200</f>
        <v>50000</v>
      </c>
      <c r="AF101" s="65">
        <f>Inputs!$E$200</f>
        <v>50000</v>
      </c>
      <c r="AG101" s="65">
        <f>Inputs!$E$200</f>
        <v>50000</v>
      </c>
      <c r="AH101" s="65">
        <f>Inputs!$E$200</f>
        <v>50000</v>
      </c>
      <c r="AI101" s="65">
        <f>Inputs!$E$200</f>
        <v>50000</v>
      </c>
      <c r="AJ101" s="65">
        <f>Inputs!$E$200</f>
        <v>50000</v>
      </c>
      <c r="AK101" s="65">
        <f>Inputs!$E$200</f>
        <v>50000</v>
      </c>
      <c r="AL101" s="65">
        <f>Inputs!$E$200</f>
        <v>50000</v>
      </c>
    </row>
    <row r="102" spans="4:41">
      <c r="D102" s="23" t="s">
        <v>338</v>
      </c>
      <c r="E102" s="16" t="s">
        <v>211</v>
      </c>
      <c r="K102" s="70">
        <f>K97+K100+K92+K85</f>
        <v>9446804.7750000004</v>
      </c>
      <c r="L102" s="70">
        <f t="shared" ref="L102:AK102" si="46">L97+L100+L92+L85</f>
        <v>9561710.1156316809</v>
      </c>
      <c r="M102" s="70">
        <f t="shared" si="46"/>
        <v>10573824.57784687</v>
      </c>
      <c r="N102" s="70">
        <f t="shared" si="46"/>
        <v>27832572.701335274</v>
      </c>
      <c r="O102" s="70">
        <f t="shared" si="46"/>
        <v>25667140.615942117</v>
      </c>
      <c r="P102" s="70">
        <f t="shared" si="46"/>
        <v>27877531.114617661</v>
      </c>
      <c r="Q102" s="70">
        <f t="shared" si="46"/>
        <v>36951827.181124449</v>
      </c>
      <c r="R102" s="70">
        <f t="shared" si="46"/>
        <v>39899802.020114139</v>
      </c>
      <c r="S102" s="70">
        <f t="shared" si="46"/>
        <v>53040128.020589583</v>
      </c>
      <c r="T102" s="70">
        <f t="shared" si="46"/>
        <v>57251482.655011341</v>
      </c>
      <c r="U102" s="70">
        <f t="shared" si="46"/>
        <v>61806833.658215746</v>
      </c>
      <c r="V102" s="70">
        <f t="shared" si="46"/>
        <v>66734951.168436959</v>
      </c>
      <c r="W102" s="70">
        <f t="shared" si="46"/>
        <v>72067059.611360461</v>
      </c>
      <c r="X102" s="70">
        <f t="shared" si="46"/>
        <v>77837050.504727498</v>
      </c>
      <c r="Y102" s="70">
        <f t="shared" si="46"/>
        <v>84081713.960981175</v>
      </c>
      <c r="Z102" s="70">
        <f t="shared" si="46"/>
        <v>90840990.548630714</v>
      </c>
      <c r="AA102" s="70">
        <f t="shared" si="46"/>
        <v>98158245.321800023</v>
      </c>
      <c r="AB102" s="70">
        <f t="shared" si="46"/>
        <v>106080565.98964238</v>
      </c>
      <c r="AC102" s="70">
        <f t="shared" si="46"/>
        <v>120507243.95571509</v>
      </c>
      <c r="AD102" s="70">
        <f t="shared" si="46"/>
        <v>129606958.21320389</v>
      </c>
      <c r="AE102" s="70">
        <f t="shared" si="46"/>
        <v>139416617.07020527</v>
      </c>
      <c r="AF102" s="70">
        <f t="shared" si="46"/>
        <v>149993272.61529216</v>
      </c>
      <c r="AG102" s="70">
        <f t="shared" si="46"/>
        <v>161398682.66784656</v>
      </c>
      <c r="AH102" s="70">
        <f t="shared" si="46"/>
        <v>173699707.61051378</v>
      </c>
      <c r="AI102" s="70">
        <f t="shared" si="46"/>
        <v>186968741.3082388</v>
      </c>
      <c r="AJ102" s="70">
        <f t="shared" si="46"/>
        <v>201284179.08625281</v>
      </c>
      <c r="AK102" s="70">
        <f t="shared" si="46"/>
        <v>216730926.00176036</v>
      </c>
      <c r="AL102" s="70">
        <f>AL97+AL100+AL92+AL85</f>
        <v>233400948.92985129</v>
      </c>
    </row>
    <row r="103" spans="4:41" s="110" customFormat="1">
      <c r="D103" s="143" t="s">
        <v>468</v>
      </c>
      <c r="E103" s="112" t="s">
        <v>211</v>
      </c>
      <c r="K103" s="144">
        <f>K85+K97</f>
        <v>5907498.4000000004</v>
      </c>
      <c r="L103" s="144">
        <f t="shared" ref="L103:AK103" si="47">L85+L97</f>
        <v>5946267.3777139224</v>
      </c>
      <c r="M103" s="144">
        <f t="shared" si="47"/>
        <v>6451478.1947700763</v>
      </c>
      <c r="N103" s="144">
        <f t="shared" si="47"/>
        <v>16549331.328252703</v>
      </c>
      <c r="O103" s="144">
        <f t="shared" si="47"/>
        <v>13357859.368041486</v>
      </c>
      <c r="P103" s="144">
        <f t="shared" si="47"/>
        <v>14416101.141913535</v>
      </c>
      <c r="Q103" s="144">
        <f t="shared" si="47"/>
        <v>19827385.759956196</v>
      </c>
      <c r="R103" s="144">
        <f t="shared" si="47"/>
        <v>21377806.273364171</v>
      </c>
      <c r="S103" s="144">
        <f t="shared" si="47"/>
        <v>29279284.678004466</v>
      </c>
      <c r="T103" s="144">
        <f t="shared" si="47"/>
        <v>31548943.538764566</v>
      </c>
      <c r="U103" s="144">
        <f t="shared" si="47"/>
        <v>34002789.537785739</v>
      </c>
      <c r="V103" s="144">
        <f t="shared" si="47"/>
        <v>36656367.41534286</v>
      </c>
      <c r="W103" s="144">
        <f t="shared" si="47"/>
        <v>39526575.188848555</v>
      </c>
      <c r="X103" s="144">
        <f t="shared" si="47"/>
        <v>42631784.716960154</v>
      </c>
      <c r="Y103" s="144">
        <f t="shared" si="47"/>
        <v>45991973.182329126</v>
      </c>
      <c r="Z103" s="144">
        <f t="shared" si="47"/>
        <v>49628866.493008323</v>
      </c>
      <c r="AA103" s="144">
        <f t="shared" si="47"/>
        <v>53566095.694815874</v>
      </c>
      <c r="AB103" s="144">
        <f t="shared" si="47"/>
        <v>57829367.587796345</v>
      </c>
      <c r="AC103" s="144">
        <f t="shared" si="47"/>
        <v>68294807.43166776</v>
      </c>
      <c r="AD103" s="144">
        <f t="shared" si="47"/>
        <v>73105992.808525935</v>
      </c>
      <c r="AE103" s="144">
        <f t="shared" si="47"/>
        <v>78272632.620733276</v>
      </c>
      <c r="AF103" s="144">
        <f t="shared" si="47"/>
        <v>83822305.052482992</v>
      </c>
      <c r="AG103" s="144">
        <f t="shared" si="47"/>
        <v>89784828.06495142</v>
      </c>
      <c r="AH103" s="144">
        <f t="shared" si="47"/>
        <v>96192448.546960264</v>
      </c>
      <c r="AI103" s="144">
        <f t="shared" si="47"/>
        <v>103080047.94059289</v>
      </c>
      <c r="AJ103" s="144">
        <f t="shared" si="47"/>
        <v>110485365.81004775</v>
      </c>
      <c r="AK103" s="144">
        <f t="shared" si="47"/>
        <v>118449242.95501651</v>
      </c>
      <c r="AL103" s="144">
        <f>AL85+AL97</f>
        <v>127015885.81506325</v>
      </c>
      <c r="AM103" s="122">
        <f>SUM(M103:AL103)/10^6</f>
        <v>1461.1455671459964</v>
      </c>
      <c r="AN103" s="122">
        <f>AM103+Inputs!F161/10^6</f>
        <v>1464.5955671459965</v>
      </c>
      <c r="AO103" s="65">
        <f>'BaU Model'!AM92-'Initiative 1 Model'!AM103</f>
        <v>142.65767826173601</v>
      </c>
    </row>
    <row r="105" spans="4:41">
      <c r="D105" s="110" t="s">
        <v>241</v>
      </c>
      <c r="E105" s="112" t="s">
        <v>337</v>
      </c>
      <c r="F105" s="110"/>
      <c r="G105" s="110"/>
      <c r="H105" s="110"/>
      <c r="I105" s="110"/>
      <c r="J105" s="110"/>
      <c r="K105" s="113">
        <f t="shared" ref="K105:AL105" si="48">K102/K26</f>
        <v>48.947175000000001</v>
      </c>
      <c r="L105" s="113">
        <f t="shared" si="48"/>
        <v>52.467112299999997</v>
      </c>
      <c r="M105" s="113">
        <f t="shared" si="48"/>
        <v>55.649234971279995</v>
      </c>
      <c r="N105" s="113">
        <f t="shared" si="48"/>
        <v>58.526095696191916</v>
      </c>
      <c r="O105" s="113">
        <f t="shared" si="48"/>
        <v>54.104498559111086</v>
      </c>
      <c r="P105" s="113">
        <f t="shared" si="48"/>
        <v>58.76384380290439</v>
      </c>
      <c r="Q105" s="113">
        <f t="shared" si="48"/>
        <v>66.300096624432342</v>
      </c>
      <c r="R105" s="113">
        <f t="shared" si="48"/>
        <v>71.589443094726803</v>
      </c>
      <c r="S105" s="113">
        <f t="shared" si="48"/>
        <v>80.058028190215026</v>
      </c>
      <c r="T105" s="113">
        <f t="shared" si="48"/>
        <v>86.414588036953162</v>
      </c>
      <c r="U105" s="113">
        <f t="shared" si="48"/>
        <v>93.290371196626026</v>
      </c>
      <c r="V105" s="113">
        <f t="shared" si="48"/>
        <v>100.72880291392558</v>
      </c>
      <c r="W105" s="113">
        <f t="shared" si="48"/>
        <v>108.777012900733</v>
      </c>
      <c r="X105" s="113">
        <f t="shared" si="48"/>
        <v>117.48615654041548</v>
      </c>
      <c r="Y105" s="113">
        <f t="shared" si="48"/>
        <v>126.9117643146858</v>
      </c>
      <c r="Z105" s="113">
        <f t="shared" si="48"/>
        <v>137.11412195962671</v>
      </c>
      <c r="AA105" s="113">
        <f t="shared" si="48"/>
        <v>148.15868408206299</v>
      </c>
      <c r="AB105" s="113">
        <f t="shared" si="48"/>
        <v>160.11652421231003</v>
      </c>
      <c r="AC105" s="113">
        <f t="shared" si="48"/>
        <v>181.89195037362427</v>
      </c>
      <c r="AD105" s="113">
        <f t="shared" si="48"/>
        <v>195.62693193826422</v>
      </c>
      <c r="AE105" s="113">
        <f t="shared" si="48"/>
        <v>210.43349396249891</v>
      </c>
      <c r="AF105" s="113">
        <f t="shared" si="48"/>
        <v>226.39775007172366</v>
      </c>
      <c r="AG105" s="113">
        <f t="shared" si="48"/>
        <v>243.61291665567137</v>
      </c>
      <c r="AH105" s="113">
        <f t="shared" si="48"/>
        <v>262.1799118417747</v>
      </c>
      <c r="AI105" s="113">
        <f t="shared" si="48"/>
        <v>282.20800591833898</v>
      </c>
      <c r="AJ105" s="113">
        <f t="shared" si="48"/>
        <v>303.81552769397695</v>
      </c>
      <c r="AK105" s="113">
        <f t="shared" si="48"/>
        <v>327.1306316757919</v>
      </c>
      <c r="AL105" s="113">
        <f t="shared" si="48"/>
        <v>352.29213138013966</v>
      </c>
    </row>
    <row r="106" spans="4:41">
      <c r="D106" s="7" t="s">
        <v>241</v>
      </c>
      <c r="E106" s="16" t="s">
        <v>320</v>
      </c>
      <c r="K106" s="65">
        <f>(K97+K92+K85)/Inputs!F34</f>
        <v>3.1326192000000002</v>
      </c>
      <c r="L106" s="65">
        <f>(L97+L92+L85)/Inputs!G34</f>
        <v>3.0430925134000004</v>
      </c>
      <c r="M106" s="65">
        <f>(M97+M92+M85)/Inputs!H34</f>
        <v>3.8397972130183198</v>
      </c>
      <c r="N106" s="65">
        <f t="shared" ref="N106:AL106" si="49">(N97+N92+N85)/N65</f>
        <v>8.6865096644803792</v>
      </c>
      <c r="O106" s="65">
        <f t="shared" si="49"/>
        <v>8.0106811329468517</v>
      </c>
      <c r="P106" s="65">
        <f t="shared" si="49"/>
        <v>8.7005411266692274</v>
      </c>
      <c r="Q106" s="65">
        <f t="shared" si="49"/>
        <v>11.517012167202347</v>
      </c>
      <c r="R106" s="65">
        <f t="shared" si="49"/>
        <v>12.437071272205616</v>
      </c>
      <c r="S106" s="65">
        <f t="shared" si="49"/>
        <v>16.538149890499376</v>
      </c>
      <c r="T106" s="65">
        <f t="shared" si="49"/>
        <v>17.852508183029904</v>
      </c>
      <c r="U106" s="65">
        <f t="shared" si="49"/>
        <v>19.274227293909551</v>
      </c>
      <c r="V106" s="65">
        <f t="shared" si="49"/>
        <v>20.812286345783608</v>
      </c>
      <c r="W106" s="65">
        <f t="shared" si="49"/>
        <v>22.476430441212141</v>
      </c>
      <c r="X106" s="65">
        <f t="shared" si="49"/>
        <v>24.27723707870965</v>
      </c>
      <c r="Y106" s="65">
        <f t="shared" si="49"/>
        <v>26.226188404419208</v>
      </c>
      <c r="Z106" s="65">
        <f t="shared" si="49"/>
        <v>28.335749817715968</v>
      </c>
      <c r="AA106" s="65">
        <f t="shared" si="49"/>
        <v>15.877453697426287</v>
      </c>
      <c r="AB106" s="65">
        <f t="shared" si="49"/>
        <v>17.159571007416339</v>
      </c>
      <c r="AC106" s="65">
        <f t="shared" si="49"/>
        <v>19.494327996114635</v>
      </c>
      <c r="AD106" s="65">
        <f t="shared" si="49"/>
        <v>20.966990067576472</v>
      </c>
      <c r="AE106" s="65">
        <f t="shared" si="49"/>
        <v>22.554546789019316</v>
      </c>
      <c r="AF106" s="65">
        <f t="shared" si="49"/>
        <v>24.26623124673155</v>
      </c>
      <c r="AG106" s="65">
        <f t="shared" si="49"/>
        <v>26.112038084022466</v>
      </c>
      <c r="AH106" s="65">
        <f t="shared" si="49"/>
        <v>28.102787723030492</v>
      </c>
      <c r="AI106" s="65">
        <f t="shared" si="49"/>
        <v>30.250196102970243</v>
      </c>
      <c r="AJ106" s="65">
        <f t="shared" si="49"/>
        <v>32.566950415854677</v>
      </c>
      <c r="AK106" s="65">
        <f t="shared" si="49"/>
        <v>35.066791363191825</v>
      </c>
      <c r="AL106" s="65">
        <f t="shared" si="49"/>
        <v>37.764602503403765</v>
      </c>
    </row>
    <row r="107" spans="4:41">
      <c r="D107" s="7"/>
      <c r="E107" s="7"/>
      <c r="K107" s="65"/>
    </row>
    <row r="108" spans="4:41">
      <c r="D108" s="7" t="s">
        <v>469</v>
      </c>
      <c r="E108" s="7" t="s">
        <v>337</v>
      </c>
      <c r="K108" s="65">
        <f>K103/K26</f>
        <v>30.608800000000002</v>
      </c>
      <c r="L108" s="65">
        <f t="shared" ref="L108:AK108" si="50">L103/L26</f>
        <v>32.628418400000001</v>
      </c>
      <c r="M108" s="65">
        <f t="shared" si="50"/>
        <v>33.953639322240001</v>
      </c>
      <c r="N108" s="65">
        <f t="shared" si="50"/>
        <v>34.799792294401783</v>
      </c>
      <c r="O108" s="65">
        <f t="shared" si="50"/>
        <v>28.1574131589134</v>
      </c>
      <c r="P108" s="65">
        <f t="shared" si="50"/>
        <v>30.388111209248208</v>
      </c>
      <c r="Q108" s="65">
        <f t="shared" si="50"/>
        <v>35.574900944722039</v>
      </c>
      <c r="R108" s="65">
        <f t="shared" si="50"/>
        <v>38.35671277079485</v>
      </c>
      <c r="S108" s="65">
        <f t="shared" si="50"/>
        <v>44.193743220813531</v>
      </c>
      <c r="T108" s="65">
        <f t="shared" si="50"/>
        <v>47.619534594966467</v>
      </c>
      <c r="U108" s="65">
        <f t="shared" si="50"/>
        <v>51.323335462261198</v>
      </c>
      <c r="V108" s="65">
        <f t="shared" si="50"/>
        <v>55.328608836487071</v>
      </c>
      <c r="W108" s="65">
        <f t="shared" si="50"/>
        <v>59.660860349037982</v>
      </c>
      <c r="X108" s="65">
        <f t="shared" si="50"/>
        <v>64.347820226690999</v>
      </c>
      <c r="Y108" s="65">
        <f t="shared" si="50"/>
        <v>69.419641749831328</v>
      </c>
      <c r="Z108" s="65">
        <f t="shared" si="50"/>
        <v>74.909117700532903</v>
      </c>
      <c r="AA108" s="65">
        <f t="shared" si="50"/>
        <v>80.851916449195187</v>
      </c>
      <c r="AB108" s="65">
        <f t="shared" si="50"/>
        <v>87.28683948064581</v>
      </c>
      <c r="AC108" s="65">
        <f t="shared" si="50"/>
        <v>103.08322816429335</v>
      </c>
      <c r="AD108" s="65">
        <f t="shared" si="50"/>
        <v>110.34516415319861</v>
      </c>
      <c r="AE108" s="65">
        <f t="shared" si="50"/>
        <v>118.14361810062904</v>
      </c>
      <c r="AF108" s="65">
        <f t="shared" si="50"/>
        <v>126.52021613250045</v>
      </c>
      <c r="AG108" s="65">
        <f t="shared" si="50"/>
        <v>135.51996506281415</v>
      </c>
      <c r="AH108" s="65">
        <f t="shared" si="50"/>
        <v>145.19153789502394</v>
      </c>
      <c r="AI108" s="65">
        <f t="shared" si="50"/>
        <v>155.58758419046836</v>
      </c>
      <c r="AJ108" s="65">
        <f t="shared" si="50"/>
        <v>166.76506752007461</v>
      </c>
      <c r="AK108" s="65">
        <f t="shared" si="50"/>
        <v>178.78563241629467</v>
      </c>
      <c r="AL108" s="65">
        <f>AL103/AL26</f>
        <v>191.71600346138143</v>
      </c>
    </row>
    <row r="110" spans="4:41" ht="24" thickBot="1">
      <c r="D110" s="57" t="s">
        <v>198</v>
      </c>
    </row>
    <row r="112" spans="4:41" ht="18">
      <c r="D112" s="15" t="s">
        <v>248</v>
      </c>
    </row>
    <row r="113" spans="4:38" ht="15">
      <c r="D113" s="4" t="s">
        <v>250</v>
      </c>
      <c r="E113" s="7"/>
      <c r="M113" s="7"/>
    </row>
    <row r="114" spans="4:38">
      <c r="D114" s="3" t="s">
        <v>134</v>
      </c>
      <c r="E114" s="7"/>
      <c r="M114" s="7"/>
    </row>
    <row r="115" spans="4:38">
      <c r="D115" s="7" t="s">
        <v>299</v>
      </c>
      <c r="E115" s="16" t="s">
        <v>169</v>
      </c>
      <c r="K115" t="str">
        <f>Inputs!E73</f>
        <v>Good</v>
      </c>
      <c r="L115" t="str">
        <f>Inputs!F73</f>
        <v>Good</v>
      </c>
      <c r="M115" t="str">
        <f>Inputs!G73</f>
        <v>Good</v>
      </c>
      <c r="N115" t="str">
        <f>Inputs!H73</f>
        <v>Good</v>
      </c>
      <c r="O115" t="str">
        <f>Inputs!I73</f>
        <v>Good</v>
      </c>
      <c r="P115" t="str">
        <f>Inputs!J73</f>
        <v>Good</v>
      </c>
      <c r="Q115" t="str">
        <f>P115</f>
        <v>Good</v>
      </c>
      <c r="R115" t="str">
        <f t="shared" ref="R115:AL115" si="51">Q115</f>
        <v>Good</v>
      </c>
      <c r="S115" t="str">
        <f t="shared" si="51"/>
        <v>Good</v>
      </c>
      <c r="T115" t="str">
        <f t="shared" si="51"/>
        <v>Good</v>
      </c>
      <c r="U115" t="str">
        <f t="shared" si="51"/>
        <v>Good</v>
      </c>
      <c r="V115" t="str">
        <f t="shared" si="51"/>
        <v>Good</v>
      </c>
      <c r="W115" t="str">
        <f t="shared" si="51"/>
        <v>Good</v>
      </c>
      <c r="X115" t="str">
        <f t="shared" si="51"/>
        <v>Good</v>
      </c>
      <c r="Y115" t="str">
        <f t="shared" si="51"/>
        <v>Good</v>
      </c>
      <c r="Z115" t="str">
        <f t="shared" si="51"/>
        <v>Good</v>
      </c>
      <c r="AA115" t="str">
        <f t="shared" si="51"/>
        <v>Good</v>
      </c>
      <c r="AB115" t="str">
        <f t="shared" si="51"/>
        <v>Good</v>
      </c>
      <c r="AC115" t="str">
        <f t="shared" si="51"/>
        <v>Good</v>
      </c>
      <c r="AD115" t="str">
        <f t="shared" si="51"/>
        <v>Good</v>
      </c>
      <c r="AE115" t="str">
        <f t="shared" si="51"/>
        <v>Good</v>
      </c>
      <c r="AF115" t="str">
        <f t="shared" si="51"/>
        <v>Good</v>
      </c>
      <c r="AG115" t="str">
        <f t="shared" si="51"/>
        <v>Good</v>
      </c>
      <c r="AH115" t="str">
        <f t="shared" si="51"/>
        <v>Good</v>
      </c>
      <c r="AI115" t="str">
        <f t="shared" si="51"/>
        <v>Good</v>
      </c>
      <c r="AJ115" t="str">
        <f t="shared" si="51"/>
        <v>Good</v>
      </c>
      <c r="AK115" t="str">
        <f t="shared" si="51"/>
        <v>Good</v>
      </c>
      <c r="AL115" t="str">
        <f t="shared" si="51"/>
        <v>Good</v>
      </c>
    </row>
    <row r="116" spans="4:38">
      <c r="D116" s="7" t="s">
        <v>300</v>
      </c>
      <c r="E116" s="16" t="s">
        <v>303</v>
      </c>
      <c r="K116">
        <f>INDEX('Availability Model'!$C$4:$T$8, MATCH($K$115,'Availability Model'!$B$4:$B$8, 0), MATCH($K$10, 'Availability Model'!$C$1:$T$1, 0))</f>
        <v>1</v>
      </c>
      <c r="L116">
        <f>INDEX('Availability Model'!$C$4:$T$8, MATCH($K$115,'Availability Model'!$B$4:$B$8, 0), MATCH($K$10, 'Availability Model'!$C$1:$T$1, 0))</f>
        <v>1</v>
      </c>
      <c r="M116">
        <f>INDEX('Availability Model'!$C$4:$T$8, MATCH($K$115,'Availability Model'!$B$4:$B$8, 0), MATCH($K$10, 'Availability Model'!$C$1:$T$1, 0))</f>
        <v>1</v>
      </c>
      <c r="N116">
        <f>INDEX('Availability Model'!$C$4:$T$8, MATCH($K$115,'Availability Model'!$B$4:$B$8, 0), MATCH($K$10, 'Availability Model'!$C$1:$T$1, 0))</f>
        <v>1</v>
      </c>
      <c r="O116">
        <f>INDEX('Availability Model'!$C$4:$T$8, MATCH($K$115,'Availability Model'!$B$4:$B$8, 0), MATCH($K$10, 'Availability Model'!$C$1:$T$1, 0))</f>
        <v>1</v>
      </c>
      <c r="P116">
        <f>INDEX('Availability Model'!$C$4:$T$8, MATCH($K$115,'Availability Model'!$B$4:$B$8, 0), MATCH($K$10, 'Availability Model'!$C$1:$T$1, 0))</f>
        <v>1</v>
      </c>
      <c r="Q116">
        <f>INDEX('Availability Model'!$C$4:$T$8, MATCH($K$115,'Availability Model'!$B$4:$B$8, 0), MATCH($K$10, 'Availability Model'!$C$1:$T$1, 0))</f>
        <v>1</v>
      </c>
      <c r="R116">
        <f>INDEX('Availability Model'!$C$4:$T$8, MATCH($K$115,'Availability Model'!$B$4:$B$8, 0), MATCH($K$10, 'Availability Model'!$C$1:$T$1, 0))</f>
        <v>1</v>
      </c>
      <c r="S116">
        <f>INDEX('Availability Model'!$C$4:$T$8, MATCH($K$115,'Availability Model'!$B$4:$B$8, 0), MATCH($K$10, 'Availability Model'!$C$1:$T$1, 0))</f>
        <v>1</v>
      </c>
      <c r="T116">
        <f>INDEX('Availability Model'!$C$4:$T$8, MATCH($K$115,'Availability Model'!$B$4:$B$8, 0), MATCH($K$10, 'Availability Model'!$C$1:$T$1, 0))</f>
        <v>1</v>
      </c>
      <c r="U116">
        <f>INDEX('Availability Model'!$C$4:$T$8, MATCH($K$115,'Availability Model'!$B$4:$B$8, 0), MATCH($K$10, 'Availability Model'!$C$1:$T$1, 0))</f>
        <v>1</v>
      </c>
      <c r="V116">
        <f>INDEX('Availability Model'!$C$4:$T$8, MATCH($K$115,'Availability Model'!$B$4:$B$8, 0), MATCH($K$10, 'Availability Model'!$C$1:$T$1, 0))</f>
        <v>1</v>
      </c>
      <c r="W116">
        <f>INDEX('Availability Model'!$C$4:$T$8, MATCH($K$115,'Availability Model'!$B$4:$B$8, 0), MATCH($K$10, 'Availability Model'!$C$1:$T$1, 0))</f>
        <v>1</v>
      </c>
      <c r="X116">
        <f>INDEX('Availability Model'!$C$4:$T$8, MATCH($K$115,'Availability Model'!$B$4:$B$8, 0), MATCH($K$10, 'Availability Model'!$C$1:$T$1, 0))</f>
        <v>1</v>
      </c>
      <c r="Y116">
        <f>INDEX('Availability Model'!$C$4:$T$8, MATCH($K$115,'Availability Model'!$B$4:$B$8, 0), MATCH($K$10, 'Availability Model'!$C$1:$T$1, 0))</f>
        <v>1</v>
      </c>
      <c r="Z116">
        <f>INDEX('Availability Model'!$C$4:$T$8, MATCH($K$115,'Availability Model'!$B$4:$B$8, 0), MATCH($K$10, 'Availability Model'!$C$1:$T$1, 0))</f>
        <v>1</v>
      </c>
      <c r="AA116">
        <f>INDEX('Availability Model'!$C$4:$T$8, MATCH($K$115,'Availability Model'!$B$4:$B$8, 0), MATCH($K$10, 'Availability Model'!$C$1:$T$1, 0))</f>
        <v>1</v>
      </c>
      <c r="AB116">
        <f>INDEX('Availability Model'!$C$4:$T$8, MATCH($K$115,'Availability Model'!$B$4:$B$8, 0), MATCH($K$10, 'Availability Model'!$C$1:$T$1, 0))</f>
        <v>1</v>
      </c>
      <c r="AC116">
        <f>INDEX('Availability Model'!$C$4:$T$8, MATCH($K$115,'Availability Model'!$B$4:$B$8, 0), MATCH($K$10, 'Availability Model'!$C$1:$T$1, 0))</f>
        <v>1</v>
      </c>
      <c r="AD116">
        <f>INDEX('Availability Model'!$C$4:$T$8, MATCH($K$115,'Availability Model'!$B$4:$B$8, 0), MATCH($K$10, 'Availability Model'!$C$1:$T$1, 0))</f>
        <v>1</v>
      </c>
      <c r="AE116">
        <f>INDEX('Availability Model'!$C$4:$T$8, MATCH($K$115,'Availability Model'!$B$4:$B$8, 0), MATCH($K$10, 'Availability Model'!$C$1:$T$1, 0))</f>
        <v>1</v>
      </c>
      <c r="AF116">
        <f>INDEX('Availability Model'!$C$4:$T$8, MATCH($K$115,'Availability Model'!$B$4:$B$8, 0), MATCH($K$10, 'Availability Model'!$C$1:$T$1, 0))</f>
        <v>1</v>
      </c>
      <c r="AG116">
        <f>INDEX('Availability Model'!$C$4:$T$8, MATCH($K$115,'Availability Model'!$B$4:$B$8, 0), MATCH($K$10, 'Availability Model'!$C$1:$T$1, 0))</f>
        <v>1</v>
      </c>
      <c r="AH116">
        <f>INDEX('Availability Model'!$C$4:$T$8, MATCH($K$115,'Availability Model'!$B$4:$B$8, 0), MATCH($K$10, 'Availability Model'!$C$1:$T$1, 0))</f>
        <v>1</v>
      </c>
      <c r="AI116">
        <f>INDEX('Availability Model'!$C$4:$T$8, MATCH($K$115,'Availability Model'!$B$4:$B$8, 0), MATCH($K$10, 'Availability Model'!$C$1:$T$1, 0))</f>
        <v>1</v>
      </c>
      <c r="AJ116">
        <f>INDEX('Availability Model'!$C$4:$T$8, MATCH($K$115,'Availability Model'!$B$4:$B$8, 0), MATCH($K$10, 'Availability Model'!$C$1:$T$1, 0))</f>
        <v>1</v>
      </c>
      <c r="AK116">
        <f>INDEX('Availability Model'!$C$4:$T$8, MATCH($K$115,'Availability Model'!$B$4:$B$8, 0), MATCH($K$10, 'Availability Model'!$C$1:$T$1, 0))</f>
        <v>1</v>
      </c>
      <c r="AL116">
        <f>INDEX('Availability Model'!$C$4:$T$8, MATCH($K$115,'Availability Model'!$B$4:$B$8, 0), MATCH($K$10, 'Availability Model'!$C$1:$T$1, 0))</f>
        <v>1</v>
      </c>
    </row>
    <row r="117" spans="4:38">
      <c r="D117" s="7" t="s">
        <v>301</v>
      </c>
      <c r="E117" s="16" t="s">
        <v>106</v>
      </c>
      <c r="K117">
        <f>K116*INDEX('Availability Model'!$C$11:$T$15, MATCH($K$115,'Availability Model'!$B$11:$B$15, 0), MATCH($K$10, 'Availability Model'!$C$1:$T$1, 0))</f>
        <v>0.5</v>
      </c>
      <c r="L117">
        <f>L116*INDEX('Availability Model'!$C$11:$T$15, MATCH($K$115,'Availability Model'!$B$11:$B$15, 0), MATCH($K$10, 'Availability Model'!$C$1:$T$1, 0))</f>
        <v>0.5</v>
      </c>
      <c r="M117">
        <f>M116*INDEX('Availability Model'!$C$11:$T$15, MATCH($K$115,'Availability Model'!$B$11:$B$15, 0), MATCH($K$10, 'Availability Model'!$C$1:$T$1, 0))</f>
        <v>0.5</v>
      </c>
      <c r="N117">
        <f>N116*INDEX('Availability Model'!$C$11:$T$15, MATCH($K$115,'Availability Model'!$B$11:$B$15, 0), MATCH($K$10, 'Availability Model'!$C$1:$T$1, 0))</f>
        <v>0.5</v>
      </c>
      <c r="O117">
        <f>O116*INDEX('Availability Model'!$C$11:$T$15, MATCH($K$115,'Availability Model'!$B$11:$B$15, 0), MATCH($K$10, 'Availability Model'!$C$1:$T$1, 0))</f>
        <v>0.5</v>
      </c>
      <c r="P117">
        <f>P116*INDEX('Availability Model'!$C$11:$T$15, MATCH($K$115,'Availability Model'!$B$11:$B$15, 0), MATCH($K$10, 'Availability Model'!$C$1:$T$1, 0))</f>
        <v>0.5</v>
      </c>
      <c r="Q117">
        <f>Q116*INDEX('Availability Model'!$C$11:$T$15, MATCH($K$115,'Availability Model'!$B$11:$B$15, 0), MATCH($K$10, 'Availability Model'!$C$1:$T$1, 0))</f>
        <v>0.5</v>
      </c>
      <c r="R117">
        <f>R116*INDEX('Availability Model'!$C$11:$T$15, MATCH($K$115,'Availability Model'!$B$11:$B$15, 0), MATCH($K$10, 'Availability Model'!$C$1:$T$1, 0))</f>
        <v>0.5</v>
      </c>
      <c r="S117">
        <f>S116*INDEX('Availability Model'!$C$11:$T$15, MATCH($K$115,'Availability Model'!$B$11:$B$15, 0), MATCH($K$10, 'Availability Model'!$C$1:$T$1, 0))</f>
        <v>0.5</v>
      </c>
      <c r="T117">
        <f>T116*INDEX('Availability Model'!$C$11:$T$15, MATCH($K$115,'Availability Model'!$B$11:$B$15, 0), MATCH($K$10, 'Availability Model'!$C$1:$T$1, 0))</f>
        <v>0.5</v>
      </c>
      <c r="U117">
        <f>U116*INDEX('Availability Model'!$C$11:$T$15, MATCH($K$115,'Availability Model'!$B$11:$B$15, 0), MATCH($K$10, 'Availability Model'!$C$1:$T$1, 0))</f>
        <v>0.5</v>
      </c>
      <c r="V117">
        <f>V116*INDEX('Availability Model'!$C$11:$T$15, MATCH($K$115,'Availability Model'!$B$11:$B$15, 0), MATCH($K$10, 'Availability Model'!$C$1:$T$1, 0))</f>
        <v>0.5</v>
      </c>
      <c r="W117">
        <f>W116*INDEX('Availability Model'!$C$11:$T$15, MATCH($K$115,'Availability Model'!$B$11:$B$15, 0), MATCH($K$10, 'Availability Model'!$C$1:$T$1, 0))</f>
        <v>0.5</v>
      </c>
      <c r="X117">
        <f>X116*INDEX('Availability Model'!$C$11:$T$15, MATCH($K$115,'Availability Model'!$B$11:$B$15, 0), MATCH($K$10, 'Availability Model'!$C$1:$T$1, 0))</f>
        <v>0.5</v>
      </c>
      <c r="Y117">
        <f>Y116*INDEX('Availability Model'!$C$11:$T$15, MATCH($K$115,'Availability Model'!$B$11:$B$15, 0), MATCH($K$10, 'Availability Model'!$C$1:$T$1, 0))</f>
        <v>0.5</v>
      </c>
      <c r="Z117">
        <f>Z116*INDEX('Availability Model'!$C$11:$T$15, MATCH($K$115,'Availability Model'!$B$11:$B$15, 0), MATCH($K$10, 'Availability Model'!$C$1:$T$1, 0))</f>
        <v>0.5</v>
      </c>
      <c r="AA117">
        <f>AA116*INDEX('Availability Model'!$C$11:$T$15, MATCH($K$115,'Availability Model'!$B$11:$B$15, 0), MATCH($K$10, 'Availability Model'!$C$1:$T$1, 0))</f>
        <v>0.5</v>
      </c>
      <c r="AB117">
        <f>AB116*INDEX('Availability Model'!$C$11:$T$15, MATCH($K$115,'Availability Model'!$B$11:$B$15, 0), MATCH($K$10, 'Availability Model'!$C$1:$T$1, 0))</f>
        <v>0.5</v>
      </c>
      <c r="AC117">
        <f>AC116*INDEX('Availability Model'!$C$11:$T$15, MATCH($K$115,'Availability Model'!$B$11:$B$15, 0), MATCH($K$10, 'Availability Model'!$C$1:$T$1, 0))</f>
        <v>0.5</v>
      </c>
      <c r="AD117">
        <f>AD116*INDEX('Availability Model'!$C$11:$T$15, MATCH($K$115,'Availability Model'!$B$11:$B$15, 0), MATCH($K$10, 'Availability Model'!$C$1:$T$1, 0))</f>
        <v>0.5</v>
      </c>
      <c r="AE117">
        <f>AE116*INDEX('Availability Model'!$C$11:$T$15, MATCH($K$115,'Availability Model'!$B$11:$B$15, 0), MATCH($K$10, 'Availability Model'!$C$1:$T$1, 0))</f>
        <v>0.5</v>
      </c>
      <c r="AF117">
        <f>AF116*INDEX('Availability Model'!$C$11:$T$15, MATCH($K$115,'Availability Model'!$B$11:$B$15, 0), MATCH($K$10, 'Availability Model'!$C$1:$T$1, 0))</f>
        <v>0.5</v>
      </c>
      <c r="AG117">
        <f>AG116*INDEX('Availability Model'!$C$11:$T$15, MATCH($K$115,'Availability Model'!$B$11:$B$15, 0), MATCH($K$10, 'Availability Model'!$C$1:$T$1, 0))</f>
        <v>0.5</v>
      </c>
      <c r="AH117">
        <f>AH116*INDEX('Availability Model'!$C$11:$T$15, MATCH($K$115,'Availability Model'!$B$11:$B$15, 0), MATCH($K$10, 'Availability Model'!$C$1:$T$1, 0))</f>
        <v>0.5</v>
      </c>
      <c r="AI117">
        <f>AI116*INDEX('Availability Model'!$C$11:$T$15, MATCH($K$115,'Availability Model'!$B$11:$B$15, 0), MATCH($K$10, 'Availability Model'!$C$1:$T$1, 0))</f>
        <v>0.5</v>
      </c>
      <c r="AJ117">
        <f>AJ116*INDEX('Availability Model'!$C$11:$T$15, MATCH($K$115,'Availability Model'!$B$11:$B$15, 0), MATCH($K$10, 'Availability Model'!$C$1:$T$1, 0))</f>
        <v>0.5</v>
      </c>
      <c r="AK117">
        <f>AK116*INDEX('Availability Model'!$C$11:$T$15, MATCH($K$115,'Availability Model'!$B$11:$B$15, 0), MATCH($K$10, 'Availability Model'!$C$1:$T$1, 0))</f>
        <v>0.5</v>
      </c>
      <c r="AL117">
        <f>AL116*INDEX('Availability Model'!$C$11:$T$15, MATCH($K$115,'Availability Model'!$B$11:$B$15, 0), MATCH($K$10, 'Availability Model'!$C$1:$T$1, 0))</f>
        <v>0.5</v>
      </c>
    </row>
    <row r="118" spans="4:38">
      <c r="D118" s="7" t="s">
        <v>302</v>
      </c>
      <c r="E118" s="16" t="s">
        <v>106</v>
      </c>
      <c r="K118" s="65">
        <f t="shared" ref="K118:AL118" si="52">K22</f>
        <v>1.8129533678756478</v>
      </c>
      <c r="L118" s="65">
        <f t="shared" si="52"/>
        <v>1.9066551166747128</v>
      </c>
      <c r="M118" s="65">
        <f t="shared" si="52"/>
        <v>1.8367738032705883</v>
      </c>
      <c r="N118" s="65">
        <f t="shared" si="52"/>
        <v>1.8815339776532183</v>
      </c>
      <c r="O118" s="65">
        <f t="shared" si="52"/>
        <v>2.3849090588321165</v>
      </c>
      <c r="P118" s="65">
        <f t="shared" si="52"/>
        <v>2.3887033302261771</v>
      </c>
      <c r="Q118" s="65">
        <f t="shared" si="52"/>
        <v>2.1788094609974449</v>
      </c>
      <c r="R118" s="65">
        <f t="shared" si="52"/>
        <v>2.1788094609974449</v>
      </c>
      <c r="S118" s="65">
        <f t="shared" si="52"/>
        <v>1.9916666207998832</v>
      </c>
      <c r="T118" s="65">
        <f t="shared" si="52"/>
        <v>1.9943835156513896</v>
      </c>
      <c r="U118" s="65">
        <f t="shared" si="52"/>
        <v>1.9916666207998832</v>
      </c>
      <c r="V118" s="65">
        <f t="shared" si="52"/>
        <v>1.9916666207998832</v>
      </c>
      <c r="W118" s="65">
        <f t="shared" si="52"/>
        <v>1.9916666207998832</v>
      </c>
      <c r="X118" s="65">
        <f t="shared" si="52"/>
        <v>1.9943835156513896</v>
      </c>
      <c r="Y118" s="65">
        <f t="shared" si="52"/>
        <v>1.9916666207998832</v>
      </c>
      <c r="Z118" s="65">
        <f t="shared" si="52"/>
        <v>1.9916666207998832</v>
      </c>
      <c r="AA118" s="65">
        <f t="shared" si="52"/>
        <v>1.9916666207998832</v>
      </c>
      <c r="AB118" s="65">
        <f t="shared" si="52"/>
        <v>1.9943835156513896</v>
      </c>
      <c r="AC118" s="65">
        <f t="shared" si="52"/>
        <v>1.560222150058483</v>
      </c>
      <c r="AD118" s="65">
        <f t="shared" si="52"/>
        <v>1.560222150058483</v>
      </c>
      <c r="AE118" s="65">
        <f t="shared" si="52"/>
        <v>1.560222150058483</v>
      </c>
      <c r="AF118" s="65">
        <f t="shared" si="52"/>
        <v>1.5629390449099894</v>
      </c>
      <c r="AG118" s="65">
        <f t="shared" si="52"/>
        <v>1.560222150058483</v>
      </c>
      <c r="AH118" s="65">
        <f t="shared" si="52"/>
        <v>1.560222150058483</v>
      </c>
      <c r="AI118" s="65">
        <f t="shared" si="52"/>
        <v>1.560222150058483</v>
      </c>
      <c r="AJ118" s="65">
        <f t="shared" si="52"/>
        <v>1.5629390449099894</v>
      </c>
      <c r="AK118" s="65">
        <f t="shared" si="52"/>
        <v>1.560222150058483</v>
      </c>
      <c r="AL118" s="65">
        <f t="shared" si="52"/>
        <v>1.560222150058483</v>
      </c>
    </row>
    <row r="119" spans="4:38">
      <c r="D119" s="7" t="s">
        <v>304</v>
      </c>
      <c r="E119" s="16" t="s">
        <v>106</v>
      </c>
      <c r="K119">
        <f>IF((K117-K118)&gt;0, K117-K118,0)</f>
        <v>0</v>
      </c>
      <c r="L119">
        <f t="shared" ref="L119:AL119" si="53">IF((L117-L118)&gt;0, L117-L118,0)</f>
        <v>0</v>
      </c>
      <c r="M119">
        <f t="shared" si="53"/>
        <v>0</v>
      </c>
      <c r="N119">
        <f t="shared" si="53"/>
        <v>0</v>
      </c>
      <c r="O119">
        <f t="shared" si="53"/>
        <v>0</v>
      </c>
      <c r="P119">
        <f t="shared" si="53"/>
        <v>0</v>
      </c>
      <c r="Q119">
        <f t="shared" si="53"/>
        <v>0</v>
      </c>
      <c r="R119">
        <f t="shared" si="53"/>
        <v>0</v>
      </c>
      <c r="S119">
        <f t="shared" si="53"/>
        <v>0</v>
      </c>
      <c r="T119">
        <f t="shared" si="53"/>
        <v>0</v>
      </c>
      <c r="U119">
        <f t="shared" si="53"/>
        <v>0</v>
      </c>
      <c r="V119">
        <f t="shared" si="53"/>
        <v>0</v>
      </c>
      <c r="W119">
        <f t="shared" si="53"/>
        <v>0</v>
      </c>
      <c r="X119">
        <f t="shared" si="53"/>
        <v>0</v>
      </c>
      <c r="Y119">
        <f t="shared" si="53"/>
        <v>0</v>
      </c>
      <c r="Z119">
        <f t="shared" si="53"/>
        <v>0</v>
      </c>
      <c r="AA119">
        <f t="shared" si="53"/>
        <v>0</v>
      </c>
      <c r="AB119">
        <f t="shared" si="53"/>
        <v>0</v>
      </c>
      <c r="AC119">
        <f t="shared" si="53"/>
        <v>0</v>
      </c>
      <c r="AD119">
        <f t="shared" si="53"/>
        <v>0</v>
      </c>
      <c r="AE119">
        <f t="shared" si="53"/>
        <v>0</v>
      </c>
      <c r="AF119">
        <f t="shared" si="53"/>
        <v>0</v>
      </c>
      <c r="AG119">
        <f t="shared" si="53"/>
        <v>0</v>
      </c>
      <c r="AH119">
        <f t="shared" si="53"/>
        <v>0</v>
      </c>
      <c r="AI119">
        <f t="shared" si="53"/>
        <v>0</v>
      </c>
      <c r="AJ119">
        <f t="shared" si="53"/>
        <v>0</v>
      </c>
      <c r="AK119">
        <f t="shared" si="53"/>
        <v>0</v>
      </c>
      <c r="AL119">
        <f t="shared" si="53"/>
        <v>0</v>
      </c>
    </row>
    <row r="120" spans="4:38">
      <c r="D120" s="7"/>
      <c r="E120" s="7"/>
      <c r="M120" s="7"/>
    </row>
    <row r="121" spans="4:38">
      <c r="D121" s="3" t="s">
        <v>297</v>
      </c>
      <c r="M121" s="7"/>
    </row>
    <row r="122" spans="4:38">
      <c r="D122" s="7" t="s">
        <v>299</v>
      </c>
      <c r="E122" s="16" t="s">
        <v>169</v>
      </c>
      <c r="K122" t="str">
        <f>Inputs!E74</f>
        <v>Very Poor</v>
      </c>
      <c r="L122" t="str">
        <f>Inputs!F74</f>
        <v>Very Poor</v>
      </c>
      <c r="M122" t="str">
        <f>Inputs!G74</f>
        <v>Very Poor</v>
      </c>
      <c r="N122" t="str">
        <f>Inputs!H74</f>
        <v>Very Poor</v>
      </c>
      <c r="O122" t="str">
        <f>Inputs!I74</f>
        <v>Very Poor</v>
      </c>
      <c r="P122" t="str">
        <f>Inputs!J74</f>
        <v>Very Poor</v>
      </c>
      <c r="Q122" t="str">
        <f>P122</f>
        <v>Very Poor</v>
      </c>
      <c r="R122" t="str">
        <f t="shared" ref="R122:AL122" si="54">Q122</f>
        <v>Very Poor</v>
      </c>
      <c r="S122" t="str">
        <f t="shared" si="54"/>
        <v>Very Poor</v>
      </c>
      <c r="T122" t="str">
        <f t="shared" si="54"/>
        <v>Very Poor</v>
      </c>
      <c r="U122" t="str">
        <f t="shared" si="54"/>
        <v>Very Poor</v>
      </c>
      <c r="V122" t="str">
        <f t="shared" si="54"/>
        <v>Very Poor</v>
      </c>
      <c r="W122" t="str">
        <f t="shared" si="54"/>
        <v>Very Poor</v>
      </c>
      <c r="X122" t="str">
        <f t="shared" si="54"/>
        <v>Very Poor</v>
      </c>
      <c r="Y122" t="str">
        <f t="shared" si="54"/>
        <v>Very Poor</v>
      </c>
      <c r="Z122" t="str">
        <f t="shared" si="54"/>
        <v>Very Poor</v>
      </c>
      <c r="AA122" t="str">
        <f t="shared" si="54"/>
        <v>Very Poor</v>
      </c>
      <c r="AB122" t="str">
        <f t="shared" si="54"/>
        <v>Very Poor</v>
      </c>
      <c r="AC122" t="str">
        <f t="shared" si="54"/>
        <v>Very Poor</v>
      </c>
      <c r="AD122" t="str">
        <f t="shared" si="54"/>
        <v>Very Poor</v>
      </c>
      <c r="AE122" t="str">
        <f t="shared" si="54"/>
        <v>Very Poor</v>
      </c>
      <c r="AF122" t="str">
        <f t="shared" si="54"/>
        <v>Very Poor</v>
      </c>
      <c r="AG122" t="str">
        <f t="shared" si="54"/>
        <v>Very Poor</v>
      </c>
      <c r="AH122" t="str">
        <f t="shared" si="54"/>
        <v>Very Poor</v>
      </c>
      <c r="AI122" t="str">
        <f t="shared" si="54"/>
        <v>Very Poor</v>
      </c>
      <c r="AJ122" t="str">
        <f t="shared" si="54"/>
        <v>Very Poor</v>
      </c>
      <c r="AK122" t="str">
        <f t="shared" si="54"/>
        <v>Very Poor</v>
      </c>
      <c r="AL122" t="str">
        <f t="shared" si="54"/>
        <v>Very Poor</v>
      </c>
    </row>
    <row r="123" spans="4:38">
      <c r="D123" s="7" t="s">
        <v>300</v>
      </c>
      <c r="E123" s="16" t="s">
        <v>303</v>
      </c>
      <c r="K123">
        <f>INDEX('Availability Model'!$C$18:$T$22, MATCH($K$122,'Availability Model'!$B$18:$B$22, 0), MATCH($K$10, 'Availability Model'!$C$1:$T$1, 0))</f>
        <v>3</v>
      </c>
      <c r="L123">
        <f>INDEX('Availability Model'!$C$18:$T$22, MATCH($K$122,'Availability Model'!$B$18:$B$22, 0), MATCH($K$10, 'Availability Model'!$C$1:$T$1, 0))</f>
        <v>3</v>
      </c>
      <c r="M123">
        <f>INDEX('Availability Model'!$C$18:$T$22, MATCH($K$122,'Availability Model'!$B$18:$B$22, 0), MATCH($K$10, 'Availability Model'!$C$1:$T$1, 0))</f>
        <v>3</v>
      </c>
      <c r="N123">
        <f>INDEX('Availability Model'!$C$18:$T$22, MATCH($K$122,'Availability Model'!$B$18:$B$22, 0), MATCH($K$10, 'Availability Model'!$C$1:$T$1, 0))</f>
        <v>3</v>
      </c>
      <c r="O123">
        <f>INDEX('Availability Model'!$C$18:$T$22, MATCH($K$122,'Availability Model'!$B$18:$B$22, 0), MATCH($K$10, 'Availability Model'!$C$1:$T$1, 0))</f>
        <v>3</v>
      </c>
      <c r="P123">
        <f>INDEX('Availability Model'!$C$18:$T$22, MATCH($K$122,'Availability Model'!$B$18:$B$22, 0), MATCH($K$10, 'Availability Model'!$C$1:$T$1, 0))</f>
        <v>3</v>
      </c>
      <c r="Q123">
        <f>INDEX('Availability Model'!$C$18:$T$22, MATCH($K$122,'Availability Model'!$B$18:$B$22, 0), MATCH($K$10, 'Availability Model'!$C$1:$T$1, 0))</f>
        <v>3</v>
      </c>
      <c r="R123">
        <f>INDEX('Availability Model'!$C$18:$T$22, MATCH($K$122,'Availability Model'!$B$18:$B$22, 0), MATCH($K$10, 'Availability Model'!$C$1:$T$1, 0))</f>
        <v>3</v>
      </c>
      <c r="S123">
        <f>INDEX('Availability Model'!$C$18:$T$22, MATCH($K$122,'Availability Model'!$B$18:$B$22, 0), MATCH($K$10, 'Availability Model'!$C$1:$T$1, 0))</f>
        <v>3</v>
      </c>
      <c r="T123">
        <f>INDEX('Availability Model'!$C$18:$T$22, MATCH($K$122,'Availability Model'!$B$18:$B$22, 0), MATCH($K$10, 'Availability Model'!$C$1:$T$1, 0))</f>
        <v>3</v>
      </c>
      <c r="U123">
        <f>INDEX('Availability Model'!$C$18:$T$22, MATCH($K$122,'Availability Model'!$B$18:$B$22, 0), MATCH($K$10, 'Availability Model'!$C$1:$T$1, 0))</f>
        <v>3</v>
      </c>
      <c r="V123">
        <f>INDEX('Availability Model'!$C$18:$T$22, MATCH($K$122,'Availability Model'!$B$18:$B$22, 0), MATCH($K$10, 'Availability Model'!$C$1:$T$1, 0))</f>
        <v>3</v>
      </c>
      <c r="W123">
        <f>INDEX('Availability Model'!$C$18:$T$22, MATCH($K$122,'Availability Model'!$B$18:$B$22, 0), MATCH($K$10, 'Availability Model'!$C$1:$T$1, 0))</f>
        <v>3</v>
      </c>
      <c r="X123">
        <f>INDEX('Availability Model'!$C$18:$T$22, MATCH($K$122,'Availability Model'!$B$18:$B$22, 0), MATCH($K$10, 'Availability Model'!$C$1:$T$1, 0))</f>
        <v>3</v>
      </c>
      <c r="Y123">
        <f>INDEX('Availability Model'!$C$18:$T$22, MATCH($K$122,'Availability Model'!$B$18:$B$22, 0), MATCH($K$10, 'Availability Model'!$C$1:$T$1, 0))</f>
        <v>3</v>
      </c>
      <c r="Z123">
        <f>INDEX('Availability Model'!$C$18:$T$22, MATCH($K$122,'Availability Model'!$B$18:$B$22, 0), MATCH($K$10, 'Availability Model'!$C$1:$T$1, 0))</f>
        <v>3</v>
      </c>
      <c r="AA123">
        <f>INDEX('Availability Model'!$C$18:$T$22, MATCH($K$122,'Availability Model'!$B$18:$B$22, 0), MATCH($K$10, 'Availability Model'!$C$1:$T$1, 0))</f>
        <v>3</v>
      </c>
      <c r="AB123">
        <f>INDEX('Availability Model'!$C$18:$T$22, MATCH($K$122,'Availability Model'!$B$18:$B$22, 0), MATCH($K$10, 'Availability Model'!$C$1:$T$1, 0))</f>
        <v>3</v>
      </c>
      <c r="AC123">
        <f>INDEX('Availability Model'!$C$18:$T$22, MATCH($K$122,'Availability Model'!$B$18:$B$22, 0), MATCH($K$10, 'Availability Model'!$C$1:$T$1, 0))</f>
        <v>3</v>
      </c>
      <c r="AD123">
        <f>INDEX('Availability Model'!$C$18:$T$22, MATCH($K$122,'Availability Model'!$B$18:$B$22, 0), MATCH($K$10, 'Availability Model'!$C$1:$T$1, 0))</f>
        <v>3</v>
      </c>
      <c r="AE123">
        <f>INDEX('Availability Model'!$C$18:$T$22, MATCH($K$122,'Availability Model'!$B$18:$B$22, 0), MATCH($K$10, 'Availability Model'!$C$1:$T$1, 0))</f>
        <v>3</v>
      </c>
      <c r="AF123">
        <f>INDEX('Availability Model'!$C$18:$T$22, MATCH($K$122,'Availability Model'!$B$18:$B$22, 0), MATCH($K$10, 'Availability Model'!$C$1:$T$1, 0))</f>
        <v>3</v>
      </c>
      <c r="AG123">
        <f>INDEX('Availability Model'!$C$18:$T$22, MATCH($K$122,'Availability Model'!$B$18:$B$22, 0), MATCH($K$10, 'Availability Model'!$C$1:$T$1, 0))</f>
        <v>3</v>
      </c>
      <c r="AH123">
        <f>INDEX('Availability Model'!$C$18:$T$22, MATCH($K$122,'Availability Model'!$B$18:$B$22, 0), MATCH($K$10, 'Availability Model'!$C$1:$T$1, 0))</f>
        <v>3</v>
      </c>
      <c r="AI123">
        <f>INDEX('Availability Model'!$C$18:$T$22, MATCH($K$122,'Availability Model'!$B$18:$B$22, 0), MATCH($K$10, 'Availability Model'!$C$1:$T$1, 0))</f>
        <v>3</v>
      </c>
      <c r="AJ123">
        <f>INDEX('Availability Model'!$C$18:$T$22, MATCH($K$122,'Availability Model'!$B$18:$B$22, 0), MATCH($K$10, 'Availability Model'!$C$1:$T$1, 0))</f>
        <v>3</v>
      </c>
      <c r="AK123">
        <f>INDEX('Availability Model'!$C$18:$T$22, MATCH($K$122,'Availability Model'!$B$18:$B$22, 0), MATCH($K$10, 'Availability Model'!$C$1:$T$1, 0))</f>
        <v>3</v>
      </c>
      <c r="AL123">
        <f>INDEX('Availability Model'!$C$18:$T$22, MATCH($K$122,'Availability Model'!$B$18:$B$22, 0), MATCH($K$10, 'Availability Model'!$C$1:$T$1, 0))</f>
        <v>3</v>
      </c>
    </row>
    <row r="124" spans="4:38">
      <c r="D124" s="7" t="s">
        <v>301</v>
      </c>
      <c r="E124" s="16" t="s">
        <v>106</v>
      </c>
      <c r="K124">
        <f>K123*INDEX('Availability Model'!$C$25:$T$30, MATCH($K$122,'Availability Model'!$B$25:$B$30, 0), MATCH($K$10, 'Availability Model'!$C$1:$T$1, 0))</f>
        <v>9</v>
      </c>
      <c r="L124">
        <f>L123*INDEX('Availability Model'!$C$25:$T$30, MATCH($K$122,'Availability Model'!$B$25:$B$30, 0), MATCH($K$10, 'Availability Model'!$C$1:$T$1, 0))</f>
        <v>9</v>
      </c>
      <c r="M124">
        <f>M123*INDEX('Availability Model'!$C$25:$T$30, MATCH($K$122,'Availability Model'!$B$25:$B$30, 0), MATCH($K$10, 'Availability Model'!$C$1:$T$1, 0))</f>
        <v>9</v>
      </c>
      <c r="N124">
        <f>N123*INDEX('Availability Model'!$C$25:$T$30, MATCH($K$122,'Availability Model'!$B$25:$B$30, 0), MATCH($K$10, 'Availability Model'!$C$1:$T$1, 0))</f>
        <v>9</v>
      </c>
      <c r="O124">
        <f>O123*INDEX('Availability Model'!$C$25:$T$30, MATCH($K$122,'Availability Model'!$B$25:$B$30, 0), MATCH($K$10, 'Availability Model'!$C$1:$T$1, 0))</f>
        <v>9</v>
      </c>
      <c r="P124">
        <f>P123*INDEX('Availability Model'!$C$25:$T$30, MATCH($K$122,'Availability Model'!$B$25:$B$30, 0), MATCH($K$10, 'Availability Model'!$C$1:$T$1, 0))</f>
        <v>9</v>
      </c>
      <c r="Q124">
        <f>Q123*INDEX('Availability Model'!$C$25:$T$30, MATCH($K$122,'Availability Model'!$B$25:$B$30, 0), MATCH($K$10, 'Availability Model'!$C$1:$T$1, 0))</f>
        <v>9</v>
      </c>
      <c r="R124">
        <f>R123*INDEX('Availability Model'!$C$25:$T$30, MATCH($K$122,'Availability Model'!$B$25:$B$30, 0), MATCH($K$10, 'Availability Model'!$C$1:$T$1, 0))</f>
        <v>9</v>
      </c>
      <c r="S124">
        <f>S123*INDEX('Availability Model'!$C$25:$T$30, MATCH($K$122,'Availability Model'!$B$25:$B$30, 0), MATCH($K$10, 'Availability Model'!$C$1:$T$1, 0))</f>
        <v>9</v>
      </c>
      <c r="T124">
        <f>T123*INDEX('Availability Model'!$C$25:$T$30, MATCH($K$122,'Availability Model'!$B$25:$B$30, 0), MATCH($K$10, 'Availability Model'!$C$1:$T$1, 0))</f>
        <v>9</v>
      </c>
      <c r="U124">
        <f>U123*INDEX('Availability Model'!$C$25:$T$30, MATCH($K$122,'Availability Model'!$B$25:$B$30, 0), MATCH($K$10, 'Availability Model'!$C$1:$T$1, 0))</f>
        <v>9</v>
      </c>
      <c r="V124">
        <f>V123*INDEX('Availability Model'!$C$25:$T$30, MATCH($K$122,'Availability Model'!$B$25:$B$30, 0), MATCH($K$10, 'Availability Model'!$C$1:$T$1, 0))</f>
        <v>9</v>
      </c>
      <c r="W124">
        <f>W123*INDEX('Availability Model'!$C$25:$T$30, MATCH($K$122,'Availability Model'!$B$25:$B$30, 0), MATCH($K$10, 'Availability Model'!$C$1:$T$1, 0))</f>
        <v>9</v>
      </c>
      <c r="X124">
        <f>X123*INDEX('Availability Model'!$C$25:$T$30, MATCH($K$122,'Availability Model'!$B$25:$B$30, 0), MATCH($K$10, 'Availability Model'!$C$1:$T$1, 0))</f>
        <v>9</v>
      </c>
      <c r="Y124">
        <f>Y123*INDEX('Availability Model'!$C$25:$T$30, MATCH($K$122,'Availability Model'!$B$25:$B$30, 0), MATCH($K$10, 'Availability Model'!$C$1:$T$1, 0))</f>
        <v>9</v>
      </c>
      <c r="Z124">
        <f>Z123*INDEX('Availability Model'!$C$25:$T$30, MATCH($K$122,'Availability Model'!$B$25:$B$30, 0), MATCH($K$10, 'Availability Model'!$C$1:$T$1, 0))</f>
        <v>9</v>
      </c>
      <c r="AA124">
        <f>AA123*INDEX('Availability Model'!$C$25:$T$30, MATCH($K$122,'Availability Model'!$B$25:$B$30, 0), MATCH($K$10, 'Availability Model'!$C$1:$T$1, 0))</f>
        <v>9</v>
      </c>
      <c r="AB124">
        <f>AB123*INDEX('Availability Model'!$C$25:$T$30, MATCH($K$122,'Availability Model'!$B$25:$B$30, 0), MATCH($K$10, 'Availability Model'!$C$1:$T$1, 0))</f>
        <v>9</v>
      </c>
      <c r="AC124">
        <f>AC123*INDEX('Availability Model'!$C$25:$T$30, MATCH($K$122,'Availability Model'!$B$25:$B$30, 0), MATCH($K$10, 'Availability Model'!$C$1:$T$1, 0))</f>
        <v>9</v>
      </c>
      <c r="AD124">
        <f>AD123*INDEX('Availability Model'!$C$25:$T$30, MATCH($K$122,'Availability Model'!$B$25:$B$30, 0), MATCH($K$10, 'Availability Model'!$C$1:$T$1, 0))</f>
        <v>9</v>
      </c>
      <c r="AE124">
        <f>AE123*INDEX('Availability Model'!$C$25:$T$30, MATCH($K$122,'Availability Model'!$B$25:$B$30, 0), MATCH($K$10, 'Availability Model'!$C$1:$T$1, 0))</f>
        <v>9</v>
      </c>
      <c r="AF124">
        <f>AF123*INDEX('Availability Model'!$C$25:$T$30, MATCH($K$122,'Availability Model'!$B$25:$B$30, 0), MATCH($K$10, 'Availability Model'!$C$1:$T$1, 0))</f>
        <v>9</v>
      </c>
      <c r="AG124">
        <f>AG123*INDEX('Availability Model'!$C$25:$T$30, MATCH($K$122,'Availability Model'!$B$25:$B$30, 0), MATCH($K$10, 'Availability Model'!$C$1:$T$1, 0))</f>
        <v>9</v>
      </c>
      <c r="AH124">
        <f>AH123*INDEX('Availability Model'!$C$25:$T$30, MATCH($K$122,'Availability Model'!$B$25:$B$30, 0), MATCH($K$10, 'Availability Model'!$C$1:$T$1, 0))</f>
        <v>9</v>
      </c>
      <c r="AI124">
        <f>AI123*INDEX('Availability Model'!$C$25:$T$30, MATCH($K$122,'Availability Model'!$B$25:$B$30, 0), MATCH($K$10, 'Availability Model'!$C$1:$T$1, 0))</f>
        <v>9</v>
      </c>
      <c r="AJ124">
        <f>AJ123*INDEX('Availability Model'!$C$25:$T$30, MATCH($K$122,'Availability Model'!$B$25:$B$30, 0), MATCH($K$10, 'Availability Model'!$C$1:$T$1, 0))</f>
        <v>9</v>
      </c>
      <c r="AK124">
        <f>AK123*INDEX('Availability Model'!$C$25:$T$30, MATCH($K$122,'Availability Model'!$B$25:$B$30, 0), MATCH($K$10, 'Availability Model'!$C$1:$T$1, 0))</f>
        <v>9</v>
      </c>
      <c r="AL124">
        <f>AL123*INDEX('Availability Model'!$C$25:$T$30, MATCH($K$122,'Availability Model'!$B$25:$B$30, 0), MATCH($K$10, 'Availability Model'!$C$1:$T$1, 0))</f>
        <v>9</v>
      </c>
    </row>
    <row r="125" spans="4:38">
      <c r="D125" s="7" t="s">
        <v>302</v>
      </c>
      <c r="E125" s="16" t="s">
        <v>106</v>
      </c>
      <c r="K125" s="65">
        <f>K118</f>
        <v>1.8129533678756478</v>
      </c>
      <c r="L125" s="65">
        <f t="shared" ref="L125:AL125" si="55">L118</f>
        <v>1.9066551166747128</v>
      </c>
      <c r="M125" s="65">
        <f t="shared" si="55"/>
        <v>1.8367738032705883</v>
      </c>
      <c r="N125" s="65">
        <f t="shared" si="55"/>
        <v>1.8815339776532183</v>
      </c>
      <c r="O125" s="65">
        <f t="shared" si="55"/>
        <v>2.3849090588321165</v>
      </c>
      <c r="P125" s="65">
        <f t="shared" si="55"/>
        <v>2.3887033302261771</v>
      </c>
      <c r="Q125" s="65">
        <f t="shared" si="55"/>
        <v>2.1788094609974449</v>
      </c>
      <c r="R125" s="65">
        <f t="shared" si="55"/>
        <v>2.1788094609974449</v>
      </c>
      <c r="S125" s="65">
        <f t="shared" si="55"/>
        <v>1.9916666207998832</v>
      </c>
      <c r="T125" s="65">
        <f t="shared" si="55"/>
        <v>1.9943835156513896</v>
      </c>
      <c r="U125" s="65">
        <f t="shared" si="55"/>
        <v>1.9916666207998832</v>
      </c>
      <c r="V125" s="65">
        <f t="shared" si="55"/>
        <v>1.9916666207998832</v>
      </c>
      <c r="W125" s="65">
        <f t="shared" si="55"/>
        <v>1.9916666207998832</v>
      </c>
      <c r="X125" s="65">
        <f t="shared" si="55"/>
        <v>1.9943835156513896</v>
      </c>
      <c r="Y125" s="65">
        <f t="shared" si="55"/>
        <v>1.9916666207998832</v>
      </c>
      <c r="Z125" s="65">
        <f t="shared" si="55"/>
        <v>1.9916666207998832</v>
      </c>
      <c r="AA125" s="65">
        <f t="shared" si="55"/>
        <v>1.9916666207998832</v>
      </c>
      <c r="AB125" s="65">
        <f t="shared" si="55"/>
        <v>1.9943835156513896</v>
      </c>
      <c r="AC125" s="65">
        <f t="shared" si="55"/>
        <v>1.560222150058483</v>
      </c>
      <c r="AD125" s="65">
        <f t="shared" si="55"/>
        <v>1.560222150058483</v>
      </c>
      <c r="AE125" s="65">
        <f t="shared" si="55"/>
        <v>1.560222150058483</v>
      </c>
      <c r="AF125" s="65">
        <f t="shared" si="55"/>
        <v>1.5629390449099894</v>
      </c>
      <c r="AG125" s="65">
        <f t="shared" si="55"/>
        <v>1.560222150058483</v>
      </c>
      <c r="AH125" s="65">
        <f t="shared" si="55"/>
        <v>1.560222150058483</v>
      </c>
      <c r="AI125" s="65">
        <f t="shared" si="55"/>
        <v>1.560222150058483</v>
      </c>
      <c r="AJ125" s="65">
        <f t="shared" si="55"/>
        <v>1.5629390449099894</v>
      </c>
      <c r="AK125" s="65">
        <f t="shared" si="55"/>
        <v>1.560222150058483</v>
      </c>
      <c r="AL125" s="65">
        <f t="shared" si="55"/>
        <v>1.560222150058483</v>
      </c>
    </row>
    <row r="126" spans="4:38">
      <c r="D126" s="7" t="s">
        <v>304</v>
      </c>
      <c r="E126" s="16" t="s">
        <v>106</v>
      </c>
      <c r="K126" s="140">
        <f>ROUND(K124-K125,0)</f>
        <v>7</v>
      </c>
      <c r="L126" s="140">
        <f t="shared" ref="L126:AL126" si="56">ROUND(L124-L125,0)</f>
        <v>7</v>
      </c>
      <c r="M126" s="140">
        <f t="shared" si="56"/>
        <v>7</v>
      </c>
      <c r="N126" s="140">
        <f t="shared" si="56"/>
        <v>7</v>
      </c>
      <c r="O126" s="140">
        <f t="shared" si="56"/>
        <v>7</v>
      </c>
      <c r="P126" s="140">
        <f t="shared" si="56"/>
        <v>7</v>
      </c>
      <c r="Q126" s="140">
        <f t="shared" si="56"/>
        <v>7</v>
      </c>
      <c r="R126" s="140">
        <f t="shared" si="56"/>
        <v>7</v>
      </c>
      <c r="S126" s="140">
        <f t="shared" si="56"/>
        <v>7</v>
      </c>
      <c r="T126" s="140">
        <f t="shared" si="56"/>
        <v>7</v>
      </c>
      <c r="U126" s="140">
        <f t="shared" si="56"/>
        <v>7</v>
      </c>
      <c r="V126" s="140">
        <f t="shared" si="56"/>
        <v>7</v>
      </c>
      <c r="W126" s="140">
        <f t="shared" si="56"/>
        <v>7</v>
      </c>
      <c r="X126" s="140">
        <f t="shared" si="56"/>
        <v>7</v>
      </c>
      <c r="Y126" s="140">
        <f t="shared" si="56"/>
        <v>7</v>
      </c>
      <c r="Z126" s="140">
        <f t="shared" si="56"/>
        <v>7</v>
      </c>
      <c r="AA126" s="140">
        <f t="shared" si="56"/>
        <v>7</v>
      </c>
      <c r="AB126" s="140">
        <f t="shared" si="56"/>
        <v>7</v>
      </c>
      <c r="AC126" s="140">
        <f t="shared" si="56"/>
        <v>7</v>
      </c>
      <c r="AD126" s="140">
        <f t="shared" si="56"/>
        <v>7</v>
      </c>
      <c r="AE126" s="140">
        <f t="shared" si="56"/>
        <v>7</v>
      </c>
      <c r="AF126" s="140">
        <f t="shared" si="56"/>
        <v>7</v>
      </c>
      <c r="AG126" s="140">
        <f t="shared" si="56"/>
        <v>7</v>
      </c>
      <c r="AH126" s="140">
        <f t="shared" si="56"/>
        <v>7</v>
      </c>
      <c r="AI126" s="140">
        <f t="shared" si="56"/>
        <v>7</v>
      </c>
      <c r="AJ126" s="140">
        <f t="shared" si="56"/>
        <v>7</v>
      </c>
      <c r="AK126" s="140">
        <f t="shared" si="56"/>
        <v>7</v>
      </c>
      <c r="AL126" s="140">
        <f t="shared" si="56"/>
        <v>7</v>
      </c>
    </row>
    <row r="127" spans="4:38">
      <c r="D127" s="7"/>
      <c r="E127" s="16"/>
    </row>
    <row r="128" spans="4:38">
      <c r="D128" s="3" t="s">
        <v>298</v>
      </c>
    </row>
    <row r="129" spans="4:38">
      <c r="D129" s="7" t="s">
        <v>299</v>
      </c>
      <c r="E129" s="16" t="s">
        <v>169</v>
      </c>
      <c r="K129" t="str">
        <f>Inputs!E75</f>
        <v>Average</v>
      </c>
      <c r="L129" t="str">
        <f>Inputs!F75</f>
        <v>Average</v>
      </c>
      <c r="M129" t="str">
        <f>Inputs!G75</f>
        <v>Average</v>
      </c>
      <c r="N129" t="str">
        <f>Inputs!H75</f>
        <v>Average</v>
      </c>
      <c r="O129" t="str">
        <f>Inputs!I75</f>
        <v>Average</v>
      </c>
      <c r="P129" t="str">
        <f>Inputs!J75</f>
        <v>Average</v>
      </c>
      <c r="Q129" t="str">
        <f>P129</f>
        <v>Average</v>
      </c>
      <c r="R129" t="str">
        <f t="shared" ref="R129:AL129" si="57">Q129</f>
        <v>Average</v>
      </c>
      <c r="S129" t="str">
        <f t="shared" si="57"/>
        <v>Average</v>
      </c>
      <c r="T129" t="str">
        <f t="shared" si="57"/>
        <v>Average</v>
      </c>
      <c r="U129" t="str">
        <f t="shared" si="57"/>
        <v>Average</v>
      </c>
      <c r="V129" t="str">
        <f t="shared" si="57"/>
        <v>Average</v>
      </c>
      <c r="W129" t="str">
        <f t="shared" si="57"/>
        <v>Average</v>
      </c>
      <c r="X129" t="str">
        <f t="shared" si="57"/>
        <v>Average</v>
      </c>
      <c r="Y129" t="str">
        <f t="shared" si="57"/>
        <v>Average</v>
      </c>
      <c r="Z129" t="str">
        <f t="shared" si="57"/>
        <v>Average</v>
      </c>
      <c r="AA129" t="str">
        <f t="shared" si="57"/>
        <v>Average</v>
      </c>
      <c r="AB129" t="str">
        <f t="shared" si="57"/>
        <v>Average</v>
      </c>
      <c r="AC129" t="str">
        <f t="shared" si="57"/>
        <v>Average</v>
      </c>
      <c r="AD129" t="str">
        <f t="shared" si="57"/>
        <v>Average</v>
      </c>
      <c r="AE129" t="str">
        <f t="shared" si="57"/>
        <v>Average</v>
      </c>
      <c r="AF129" t="str">
        <f t="shared" si="57"/>
        <v>Average</v>
      </c>
      <c r="AG129" t="str">
        <f t="shared" si="57"/>
        <v>Average</v>
      </c>
      <c r="AH129" t="str">
        <f t="shared" si="57"/>
        <v>Average</v>
      </c>
      <c r="AI129" t="str">
        <f t="shared" si="57"/>
        <v>Average</v>
      </c>
      <c r="AJ129" t="str">
        <f t="shared" si="57"/>
        <v>Average</v>
      </c>
      <c r="AK129" t="str">
        <f t="shared" si="57"/>
        <v>Average</v>
      </c>
      <c r="AL129" t="str">
        <f t="shared" si="57"/>
        <v>Average</v>
      </c>
    </row>
    <row r="130" spans="4:38">
      <c r="D130" s="7" t="s">
        <v>300</v>
      </c>
      <c r="E130" s="16" t="s">
        <v>303</v>
      </c>
      <c r="K130">
        <f>INDEX('Availability Model'!$C$32:$T$36, MATCH($K$129,'Availability Model'!$B$32:$B$36, 0), MATCH($K$10, 'Availability Model'!$C$1:$T$1, 0))</f>
        <v>2</v>
      </c>
      <c r="L130">
        <f>INDEX('Availability Model'!$C$32:$T$36, MATCH($K$129,'Availability Model'!$B$32:$B$36, 0), MATCH($K$10, 'Availability Model'!$C$1:$T$1, 0))</f>
        <v>2</v>
      </c>
      <c r="M130">
        <f>INDEX('Availability Model'!$C$32:$T$36, MATCH($K$129,'Availability Model'!$B$32:$B$36, 0), MATCH($K$10, 'Availability Model'!$C$1:$T$1, 0))</f>
        <v>2</v>
      </c>
      <c r="N130">
        <f>INDEX('Availability Model'!$C$32:$T$36, MATCH($K$129,'Availability Model'!$B$32:$B$36, 0), MATCH($K$10, 'Availability Model'!$C$1:$T$1, 0))</f>
        <v>2</v>
      </c>
      <c r="O130">
        <f>INDEX('Availability Model'!$C$32:$T$36, MATCH($K$129,'Availability Model'!$B$32:$B$36, 0), MATCH($K$10, 'Availability Model'!$C$1:$T$1, 0))</f>
        <v>2</v>
      </c>
      <c r="P130">
        <f>INDEX('Availability Model'!$C$32:$T$36, MATCH($K$129,'Availability Model'!$B$32:$B$36, 0), MATCH($K$10, 'Availability Model'!$C$1:$T$1, 0))</f>
        <v>2</v>
      </c>
      <c r="Q130">
        <f>INDEX('Availability Model'!$C$32:$T$36, MATCH($K$129,'Availability Model'!$B$32:$B$36, 0), MATCH($K$10, 'Availability Model'!$C$1:$T$1, 0))</f>
        <v>2</v>
      </c>
      <c r="R130">
        <f>INDEX('Availability Model'!$C$32:$T$36, MATCH($K$129,'Availability Model'!$B$32:$B$36, 0), MATCH($K$10, 'Availability Model'!$C$1:$T$1, 0))</f>
        <v>2</v>
      </c>
      <c r="S130">
        <f>INDEX('Availability Model'!$C$32:$T$36, MATCH($K$129,'Availability Model'!$B$32:$B$36, 0), MATCH($K$10, 'Availability Model'!$C$1:$T$1, 0))</f>
        <v>2</v>
      </c>
      <c r="T130">
        <f>INDEX('Availability Model'!$C$32:$T$36, MATCH($K$129,'Availability Model'!$B$32:$B$36, 0), MATCH($K$10, 'Availability Model'!$C$1:$T$1, 0))</f>
        <v>2</v>
      </c>
      <c r="U130">
        <f>INDEX('Availability Model'!$C$32:$T$36, MATCH($K$129,'Availability Model'!$B$32:$B$36, 0), MATCH($K$10, 'Availability Model'!$C$1:$T$1, 0))</f>
        <v>2</v>
      </c>
      <c r="V130">
        <f>INDEX('Availability Model'!$C$32:$T$36, MATCH($K$129,'Availability Model'!$B$32:$B$36, 0), MATCH($K$10, 'Availability Model'!$C$1:$T$1, 0))</f>
        <v>2</v>
      </c>
      <c r="W130">
        <f>INDEX('Availability Model'!$C$32:$T$36, MATCH($K$129,'Availability Model'!$B$32:$B$36, 0), MATCH($K$10, 'Availability Model'!$C$1:$T$1, 0))</f>
        <v>2</v>
      </c>
      <c r="X130">
        <f>INDEX('Availability Model'!$C$32:$T$36, MATCH($K$129,'Availability Model'!$B$32:$B$36, 0), MATCH($K$10, 'Availability Model'!$C$1:$T$1, 0))</f>
        <v>2</v>
      </c>
      <c r="Y130">
        <f>INDEX('Availability Model'!$C$32:$T$36, MATCH($K$129,'Availability Model'!$B$32:$B$36, 0), MATCH($K$10, 'Availability Model'!$C$1:$T$1, 0))</f>
        <v>2</v>
      </c>
      <c r="Z130">
        <f>INDEX('Availability Model'!$C$32:$T$36, MATCH($K$129,'Availability Model'!$B$32:$B$36, 0), MATCH($K$10, 'Availability Model'!$C$1:$T$1, 0))</f>
        <v>2</v>
      </c>
      <c r="AA130">
        <f>INDEX('Availability Model'!$C$32:$T$36, MATCH($K$129,'Availability Model'!$B$32:$B$36, 0), MATCH($K$10, 'Availability Model'!$C$1:$T$1, 0))</f>
        <v>2</v>
      </c>
      <c r="AB130">
        <f>INDEX('Availability Model'!$C$32:$T$36, MATCH($K$129,'Availability Model'!$B$32:$B$36, 0), MATCH($K$10, 'Availability Model'!$C$1:$T$1, 0))</f>
        <v>2</v>
      </c>
      <c r="AC130">
        <f>INDEX('Availability Model'!$C$32:$T$36, MATCH($K$129,'Availability Model'!$B$32:$B$36, 0), MATCH($K$10, 'Availability Model'!$C$1:$T$1, 0))</f>
        <v>2</v>
      </c>
      <c r="AD130">
        <f>INDEX('Availability Model'!$C$32:$T$36, MATCH($K$129,'Availability Model'!$B$32:$B$36, 0), MATCH($K$10, 'Availability Model'!$C$1:$T$1, 0))</f>
        <v>2</v>
      </c>
      <c r="AE130">
        <f>INDEX('Availability Model'!$C$32:$T$36, MATCH($K$129,'Availability Model'!$B$32:$B$36, 0), MATCH($K$10, 'Availability Model'!$C$1:$T$1, 0))</f>
        <v>2</v>
      </c>
      <c r="AF130">
        <f>INDEX('Availability Model'!$C$32:$T$36, MATCH($K$129,'Availability Model'!$B$32:$B$36, 0), MATCH($K$10, 'Availability Model'!$C$1:$T$1, 0))</f>
        <v>2</v>
      </c>
      <c r="AG130">
        <f>INDEX('Availability Model'!$C$32:$T$36, MATCH($K$129,'Availability Model'!$B$32:$B$36, 0), MATCH($K$10, 'Availability Model'!$C$1:$T$1, 0))</f>
        <v>2</v>
      </c>
      <c r="AH130">
        <f>INDEX('Availability Model'!$C$32:$T$36, MATCH($K$129,'Availability Model'!$B$32:$B$36, 0), MATCH($K$10, 'Availability Model'!$C$1:$T$1, 0))</f>
        <v>2</v>
      </c>
      <c r="AI130">
        <f>INDEX('Availability Model'!$C$32:$T$36, MATCH($K$129,'Availability Model'!$B$32:$B$36, 0), MATCH($K$10, 'Availability Model'!$C$1:$T$1, 0))</f>
        <v>2</v>
      </c>
      <c r="AJ130">
        <f>INDEX('Availability Model'!$C$32:$T$36, MATCH($K$129,'Availability Model'!$B$32:$B$36, 0), MATCH($K$10, 'Availability Model'!$C$1:$T$1, 0))</f>
        <v>2</v>
      </c>
      <c r="AK130">
        <f>INDEX('Availability Model'!$C$32:$T$36, MATCH($K$129,'Availability Model'!$B$32:$B$36, 0), MATCH($K$10, 'Availability Model'!$C$1:$T$1, 0))</f>
        <v>2</v>
      </c>
      <c r="AL130">
        <f>INDEX('Availability Model'!$C$32:$T$36, MATCH($K$129,'Availability Model'!$B$32:$B$36, 0), MATCH($K$10, 'Availability Model'!$C$1:$T$1, 0))</f>
        <v>2</v>
      </c>
    </row>
    <row r="131" spans="4:38">
      <c r="D131" s="7" t="s">
        <v>301</v>
      </c>
      <c r="E131" s="16" t="s">
        <v>106</v>
      </c>
      <c r="K131">
        <f>K130*INDEX('Availability Model'!$C$39:$T$43, MATCH($K$129,'Availability Model'!$B$39:$B$43, 0), MATCH($K$10, 'Availability Model'!$C$1:$T$1, 0))</f>
        <v>6</v>
      </c>
      <c r="L131">
        <f>L130*INDEX('Availability Model'!$C$39:$T$43, MATCH($K$129,'Availability Model'!$B$39:$B$43, 0), MATCH($K$10, 'Availability Model'!$C$1:$T$1, 0))</f>
        <v>6</v>
      </c>
      <c r="M131">
        <f>M130*INDEX('Availability Model'!$C$39:$T$43, MATCH($K$129,'Availability Model'!$B$39:$B$43, 0), MATCH($K$10, 'Availability Model'!$C$1:$T$1, 0))</f>
        <v>6</v>
      </c>
      <c r="N131">
        <f>N130*INDEX('Availability Model'!$C$39:$T$43, MATCH($K$129,'Availability Model'!$B$39:$B$43, 0), MATCH($K$10, 'Availability Model'!$C$1:$T$1, 0))</f>
        <v>6</v>
      </c>
      <c r="O131">
        <f>O130*INDEX('Availability Model'!$C$39:$T$43, MATCH($K$129,'Availability Model'!$B$39:$B$43, 0), MATCH($K$10, 'Availability Model'!$C$1:$T$1, 0))</f>
        <v>6</v>
      </c>
      <c r="P131">
        <f>P130*INDEX('Availability Model'!$C$39:$T$43, MATCH($K$129,'Availability Model'!$B$39:$B$43, 0), MATCH($K$10, 'Availability Model'!$C$1:$T$1, 0))</f>
        <v>6</v>
      </c>
      <c r="Q131">
        <f>Q130*INDEX('Availability Model'!$C$39:$T$43, MATCH($K$129,'Availability Model'!$B$39:$B$43, 0), MATCH($K$10, 'Availability Model'!$C$1:$T$1, 0))</f>
        <v>6</v>
      </c>
      <c r="R131">
        <f>R130*INDEX('Availability Model'!$C$39:$T$43, MATCH($K$129,'Availability Model'!$B$39:$B$43, 0), MATCH($K$10, 'Availability Model'!$C$1:$T$1, 0))</f>
        <v>6</v>
      </c>
      <c r="S131">
        <f>S130*INDEX('Availability Model'!$C$39:$T$43, MATCH($K$129,'Availability Model'!$B$39:$B$43, 0), MATCH($K$10, 'Availability Model'!$C$1:$T$1, 0))</f>
        <v>6</v>
      </c>
      <c r="T131">
        <f>T130*INDEX('Availability Model'!$C$39:$T$43, MATCH($K$129,'Availability Model'!$B$39:$B$43, 0), MATCH($K$10, 'Availability Model'!$C$1:$T$1, 0))</f>
        <v>6</v>
      </c>
      <c r="U131">
        <f>U130*INDEX('Availability Model'!$C$39:$T$43, MATCH($K$129,'Availability Model'!$B$39:$B$43, 0), MATCH($K$10, 'Availability Model'!$C$1:$T$1, 0))</f>
        <v>6</v>
      </c>
      <c r="V131">
        <f>V130*INDEX('Availability Model'!$C$39:$T$43, MATCH($K$129,'Availability Model'!$B$39:$B$43, 0), MATCH($K$10, 'Availability Model'!$C$1:$T$1, 0))</f>
        <v>6</v>
      </c>
      <c r="W131">
        <f>W130*INDEX('Availability Model'!$C$39:$T$43, MATCH($K$129,'Availability Model'!$B$39:$B$43, 0), MATCH($K$10, 'Availability Model'!$C$1:$T$1, 0))</f>
        <v>6</v>
      </c>
      <c r="X131">
        <f>X130*INDEX('Availability Model'!$C$39:$T$43, MATCH($K$129,'Availability Model'!$B$39:$B$43, 0), MATCH($K$10, 'Availability Model'!$C$1:$T$1, 0))</f>
        <v>6</v>
      </c>
      <c r="Y131">
        <f>Y130*INDEX('Availability Model'!$C$39:$T$43, MATCH($K$129,'Availability Model'!$B$39:$B$43, 0), MATCH($K$10, 'Availability Model'!$C$1:$T$1, 0))</f>
        <v>6</v>
      </c>
      <c r="Z131">
        <f>Z130*INDEX('Availability Model'!$C$39:$T$43, MATCH($K$129,'Availability Model'!$B$39:$B$43, 0), MATCH($K$10, 'Availability Model'!$C$1:$T$1, 0))</f>
        <v>6</v>
      </c>
      <c r="AA131">
        <f>AA130*INDEX('Availability Model'!$C$39:$T$43, MATCH($K$129,'Availability Model'!$B$39:$B$43, 0), MATCH($K$10, 'Availability Model'!$C$1:$T$1, 0))</f>
        <v>6</v>
      </c>
      <c r="AB131">
        <f>AB130*INDEX('Availability Model'!$C$39:$T$43, MATCH($K$129,'Availability Model'!$B$39:$B$43, 0), MATCH($K$10, 'Availability Model'!$C$1:$T$1, 0))</f>
        <v>6</v>
      </c>
      <c r="AC131">
        <f>AC130*INDEX('Availability Model'!$C$39:$T$43, MATCH($K$129,'Availability Model'!$B$39:$B$43, 0), MATCH($K$10, 'Availability Model'!$C$1:$T$1, 0))</f>
        <v>6</v>
      </c>
      <c r="AD131">
        <f>AD130*INDEX('Availability Model'!$C$39:$T$43, MATCH($K$129,'Availability Model'!$B$39:$B$43, 0), MATCH($K$10, 'Availability Model'!$C$1:$T$1, 0))</f>
        <v>6</v>
      </c>
      <c r="AE131">
        <f>AE130*INDEX('Availability Model'!$C$39:$T$43, MATCH($K$129,'Availability Model'!$B$39:$B$43, 0), MATCH($K$10, 'Availability Model'!$C$1:$T$1, 0))</f>
        <v>6</v>
      </c>
      <c r="AF131">
        <f>AF130*INDEX('Availability Model'!$C$39:$T$43, MATCH($K$129,'Availability Model'!$B$39:$B$43, 0), MATCH($K$10, 'Availability Model'!$C$1:$T$1, 0))</f>
        <v>6</v>
      </c>
      <c r="AG131">
        <f>AG130*INDEX('Availability Model'!$C$39:$T$43, MATCH($K$129,'Availability Model'!$B$39:$B$43, 0), MATCH($K$10, 'Availability Model'!$C$1:$T$1, 0))</f>
        <v>6</v>
      </c>
      <c r="AH131">
        <f>AH130*INDEX('Availability Model'!$C$39:$T$43, MATCH($K$129,'Availability Model'!$B$39:$B$43, 0), MATCH($K$10, 'Availability Model'!$C$1:$T$1, 0))</f>
        <v>6</v>
      </c>
      <c r="AI131">
        <f>AI130*INDEX('Availability Model'!$C$39:$T$43, MATCH($K$129,'Availability Model'!$B$39:$B$43, 0), MATCH($K$10, 'Availability Model'!$C$1:$T$1, 0))</f>
        <v>6</v>
      </c>
      <c r="AJ131">
        <f>AJ130*INDEX('Availability Model'!$C$39:$T$43, MATCH($K$129,'Availability Model'!$B$39:$B$43, 0), MATCH($K$10, 'Availability Model'!$C$1:$T$1, 0))</f>
        <v>6</v>
      </c>
      <c r="AK131">
        <f>AK130*INDEX('Availability Model'!$C$39:$T$43, MATCH($K$129,'Availability Model'!$B$39:$B$43, 0), MATCH($K$10, 'Availability Model'!$C$1:$T$1, 0))</f>
        <v>6</v>
      </c>
      <c r="AL131">
        <f>AL130*INDEX('Availability Model'!$C$39:$T$43, MATCH($K$129,'Availability Model'!$B$39:$B$43, 0), MATCH($K$10, 'Availability Model'!$C$1:$T$1, 0))</f>
        <v>6</v>
      </c>
    </row>
    <row r="132" spans="4:38">
      <c r="D132" s="7" t="s">
        <v>302</v>
      </c>
      <c r="E132" s="16" t="s">
        <v>106</v>
      </c>
      <c r="K132" s="65">
        <f>K125</f>
        <v>1.8129533678756478</v>
      </c>
      <c r="L132" s="65">
        <f t="shared" ref="L132:AL132" si="58">L125</f>
        <v>1.9066551166747128</v>
      </c>
      <c r="M132" s="65">
        <f t="shared" si="58"/>
        <v>1.8367738032705883</v>
      </c>
      <c r="N132" s="65">
        <f t="shared" si="58"/>
        <v>1.8815339776532183</v>
      </c>
      <c r="O132" s="65">
        <f t="shared" si="58"/>
        <v>2.3849090588321165</v>
      </c>
      <c r="P132" s="65">
        <f t="shared" si="58"/>
        <v>2.3887033302261771</v>
      </c>
      <c r="Q132" s="65">
        <f t="shared" si="58"/>
        <v>2.1788094609974449</v>
      </c>
      <c r="R132" s="65">
        <f t="shared" si="58"/>
        <v>2.1788094609974449</v>
      </c>
      <c r="S132" s="65">
        <f t="shared" si="58"/>
        <v>1.9916666207998832</v>
      </c>
      <c r="T132" s="65">
        <f t="shared" si="58"/>
        <v>1.9943835156513896</v>
      </c>
      <c r="U132" s="65">
        <f t="shared" si="58"/>
        <v>1.9916666207998832</v>
      </c>
      <c r="V132" s="65">
        <f t="shared" si="58"/>
        <v>1.9916666207998832</v>
      </c>
      <c r="W132" s="65">
        <f t="shared" si="58"/>
        <v>1.9916666207998832</v>
      </c>
      <c r="X132" s="65">
        <f t="shared" si="58"/>
        <v>1.9943835156513896</v>
      </c>
      <c r="Y132" s="65">
        <f t="shared" si="58"/>
        <v>1.9916666207998832</v>
      </c>
      <c r="Z132" s="65">
        <f t="shared" si="58"/>
        <v>1.9916666207998832</v>
      </c>
      <c r="AA132" s="65">
        <f t="shared" si="58"/>
        <v>1.9916666207998832</v>
      </c>
      <c r="AB132" s="65">
        <f t="shared" si="58"/>
        <v>1.9943835156513896</v>
      </c>
      <c r="AC132" s="65">
        <f t="shared" si="58"/>
        <v>1.560222150058483</v>
      </c>
      <c r="AD132" s="65">
        <f t="shared" si="58"/>
        <v>1.560222150058483</v>
      </c>
      <c r="AE132" s="65">
        <f t="shared" si="58"/>
        <v>1.560222150058483</v>
      </c>
      <c r="AF132" s="65">
        <f t="shared" si="58"/>
        <v>1.5629390449099894</v>
      </c>
      <c r="AG132" s="65">
        <f t="shared" si="58"/>
        <v>1.560222150058483</v>
      </c>
      <c r="AH132" s="65">
        <f t="shared" si="58"/>
        <v>1.560222150058483</v>
      </c>
      <c r="AI132" s="65">
        <f t="shared" si="58"/>
        <v>1.560222150058483</v>
      </c>
      <c r="AJ132" s="65">
        <f t="shared" si="58"/>
        <v>1.5629390449099894</v>
      </c>
      <c r="AK132" s="65">
        <f t="shared" si="58"/>
        <v>1.560222150058483</v>
      </c>
      <c r="AL132" s="65">
        <f t="shared" si="58"/>
        <v>1.560222150058483</v>
      </c>
    </row>
    <row r="133" spans="4:38">
      <c r="D133" s="7" t="s">
        <v>304</v>
      </c>
      <c r="E133" s="16" t="s">
        <v>106</v>
      </c>
      <c r="K133" s="140">
        <f>ROUND(K131-K132,0)</f>
        <v>4</v>
      </c>
      <c r="L133" s="140">
        <f t="shared" ref="L133:AL133" si="59">ROUND(L131-L132,0)</f>
        <v>4</v>
      </c>
      <c r="M133" s="140">
        <f t="shared" si="59"/>
        <v>4</v>
      </c>
      <c r="N133" s="140">
        <f t="shared" si="59"/>
        <v>4</v>
      </c>
      <c r="O133" s="140">
        <f t="shared" si="59"/>
        <v>4</v>
      </c>
      <c r="P133" s="140">
        <f t="shared" si="59"/>
        <v>4</v>
      </c>
      <c r="Q133" s="140">
        <f t="shared" si="59"/>
        <v>4</v>
      </c>
      <c r="R133" s="140">
        <f t="shared" si="59"/>
        <v>4</v>
      </c>
      <c r="S133" s="140">
        <f t="shared" si="59"/>
        <v>4</v>
      </c>
      <c r="T133" s="140">
        <f t="shared" si="59"/>
        <v>4</v>
      </c>
      <c r="U133" s="140">
        <f t="shared" si="59"/>
        <v>4</v>
      </c>
      <c r="V133" s="140">
        <f t="shared" si="59"/>
        <v>4</v>
      </c>
      <c r="W133" s="140">
        <f t="shared" si="59"/>
        <v>4</v>
      </c>
      <c r="X133" s="140">
        <f t="shared" si="59"/>
        <v>4</v>
      </c>
      <c r="Y133" s="140">
        <f t="shared" si="59"/>
        <v>4</v>
      </c>
      <c r="Z133" s="140">
        <f t="shared" si="59"/>
        <v>4</v>
      </c>
      <c r="AA133" s="140">
        <f t="shared" si="59"/>
        <v>4</v>
      </c>
      <c r="AB133" s="140">
        <f t="shared" si="59"/>
        <v>4</v>
      </c>
      <c r="AC133" s="140">
        <f t="shared" si="59"/>
        <v>4</v>
      </c>
      <c r="AD133" s="140">
        <f t="shared" si="59"/>
        <v>4</v>
      </c>
      <c r="AE133" s="140">
        <f t="shared" si="59"/>
        <v>4</v>
      </c>
      <c r="AF133" s="140">
        <f t="shared" si="59"/>
        <v>4</v>
      </c>
      <c r="AG133" s="140">
        <f t="shared" si="59"/>
        <v>4</v>
      </c>
      <c r="AH133" s="140">
        <f t="shared" si="59"/>
        <v>4</v>
      </c>
      <c r="AI133" s="140">
        <f t="shared" si="59"/>
        <v>4</v>
      </c>
      <c r="AJ133" s="140">
        <f t="shared" si="59"/>
        <v>4</v>
      </c>
      <c r="AK133" s="140">
        <f t="shared" si="59"/>
        <v>4</v>
      </c>
      <c r="AL133" s="140">
        <f t="shared" si="59"/>
        <v>4</v>
      </c>
    </row>
    <row r="134" spans="4:38">
      <c r="D134" s="7"/>
      <c r="W134"/>
      <c r="AB134"/>
    </row>
    <row r="135" spans="4:38">
      <c r="D135" s="3" t="s">
        <v>309</v>
      </c>
      <c r="E135" s="16" t="s">
        <v>106</v>
      </c>
      <c r="K135">
        <f>K119+K126+K133</f>
        <v>11</v>
      </c>
      <c r="L135">
        <f t="shared" ref="L135:AL135" si="60">L119+L126+L133</f>
        <v>11</v>
      </c>
      <c r="M135">
        <f t="shared" si="60"/>
        <v>11</v>
      </c>
      <c r="N135">
        <f t="shared" si="60"/>
        <v>11</v>
      </c>
      <c r="O135">
        <f t="shared" si="60"/>
        <v>11</v>
      </c>
      <c r="P135">
        <f t="shared" si="60"/>
        <v>11</v>
      </c>
      <c r="Q135">
        <f t="shared" si="60"/>
        <v>11</v>
      </c>
      <c r="R135">
        <f t="shared" si="60"/>
        <v>11</v>
      </c>
      <c r="S135">
        <f t="shared" si="60"/>
        <v>11</v>
      </c>
      <c r="T135">
        <f t="shared" si="60"/>
        <v>11</v>
      </c>
      <c r="U135">
        <f t="shared" si="60"/>
        <v>11</v>
      </c>
      <c r="V135">
        <f t="shared" si="60"/>
        <v>11</v>
      </c>
      <c r="W135">
        <f t="shared" si="60"/>
        <v>11</v>
      </c>
      <c r="X135">
        <f t="shared" si="60"/>
        <v>11</v>
      </c>
      <c r="Y135">
        <f t="shared" si="60"/>
        <v>11</v>
      </c>
      <c r="Z135">
        <f t="shared" si="60"/>
        <v>11</v>
      </c>
      <c r="AA135">
        <f t="shared" si="60"/>
        <v>11</v>
      </c>
      <c r="AB135">
        <f t="shared" si="60"/>
        <v>11</v>
      </c>
      <c r="AC135">
        <f t="shared" si="60"/>
        <v>11</v>
      </c>
      <c r="AD135">
        <f t="shared" si="60"/>
        <v>11</v>
      </c>
      <c r="AE135">
        <f t="shared" si="60"/>
        <v>11</v>
      </c>
      <c r="AF135">
        <f t="shared" si="60"/>
        <v>11</v>
      </c>
      <c r="AG135">
        <f t="shared" si="60"/>
        <v>11</v>
      </c>
      <c r="AH135">
        <f t="shared" si="60"/>
        <v>11</v>
      </c>
      <c r="AI135">
        <f t="shared" si="60"/>
        <v>11</v>
      </c>
      <c r="AJ135">
        <f t="shared" si="60"/>
        <v>11</v>
      </c>
      <c r="AK135">
        <f t="shared" si="60"/>
        <v>11</v>
      </c>
      <c r="AL135">
        <f t="shared" si="60"/>
        <v>11</v>
      </c>
    </row>
    <row r="136" spans="4:38" ht="15">
      <c r="D136" s="4"/>
    </row>
    <row r="137" spans="4:38" ht="15">
      <c r="D137" s="4" t="s">
        <v>137</v>
      </c>
    </row>
    <row r="138" spans="4:38">
      <c r="D138" s="7" t="s">
        <v>299</v>
      </c>
      <c r="E138" s="16" t="s">
        <v>169</v>
      </c>
      <c r="K138" t="str">
        <f>Inputs!E76</f>
        <v>Average</v>
      </c>
      <c r="L138" t="str">
        <f>Inputs!F76</f>
        <v>Average</v>
      </c>
      <c r="M138" t="str">
        <f>Inputs!G76</f>
        <v>Average</v>
      </c>
      <c r="N138" t="str">
        <f>Inputs!H76</f>
        <v>Average</v>
      </c>
      <c r="O138" t="str">
        <f>Inputs!I76</f>
        <v>Average</v>
      </c>
      <c r="P138" t="str">
        <f>Inputs!J76</f>
        <v>Average</v>
      </c>
      <c r="Q138" t="str">
        <f>P138</f>
        <v>Average</v>
      </c>
      <c r="R138" t="str">
        <f t="shared" ref="R138:AL138" si="61">Q138</f>
        <v>Average</v>
      </c>
      <c r="S138" t="str">
        <f t="shared" si="61"/>
        <v>Average</v>
      </c>
      <c r="T138" t="str">
        <f t="shared" si="61"/>
        <v>Average</v>
      </c>
      <c r="U138" t="str">
        <f t="shared" si="61"/>
        <v>Average</v>
      </c>
      <c r="V138" t="str">
        <f t="shared" si="61"/>
        <v>Average</v>
      </c>
      <c r="W138" t="str">
        <f t="shared" si="61"/>
        <v>Average</v>
      </c>
      <c r="X138" t="str">
        <f t="shared" si="61"/>
        <v>Average</v>
      </c>
      <c r="Y138" t="str">
        <f t="shared" si="61"/>
        <v>Average</v>
      </c>
      <c r="Z138" t="str">
        <f t="shared" si="61"/>
        <v>Average</v>
      </c>
      <c r="AA138" t="str">
        <f t="shared" si="61"/>
        <v>Average</v>
      </c>
      <c r="AB138" t="str">
        <f t="shared" si="61"/>
        <v>Average</v>
      </c>
      <c r="AC138" t="str">
        <f t="shared" si="61"/>
        <v>Average</v>
      </c>
      <c r="AD138" t="str">
        <f t="shared" si="61"/>
        <v>Average</v>
      </c>
      <c r="AE138" t="str">
        <f t="shared" si="61"/>
        <v>Average</v>
      </c>
      <c r="AF138" t="str">
        <f t="shared" si="61"/>
        <v>Average</v>
      </c>
      <c r="AG138" t="str">
        <f t="shared" si="61"/>
        <v>Average</v>
      </c>
      <c r="AH138" t="str">
        <f t="shared" si="61"/>
        <v>Average</v>
      </c>
      <c r="AI138" t="str">
        <f t="shared" si="61"/>
        <v>Average</v>
      </c>
      <c r="AJ138" t="str">
        <f t="shared" si="61"/>
        <v>Average</v>
      </c>
      <c r="AK138" t="str">
        <f t="shared" si="61"/>
        <v>Average</v>
      </c>
      <c r="AL138" t="str">
        <f t="shared" si="61"/>
        <v>Average</v>
      </c>
    </row>
    <row r="139" spans="4:38">
      <c r="D139" s="7" t="s">
        <v>300</v>
      </c>
      <c r="E139" s="16" t="s">
        <v>303</v>
      </c>
      <c r="K139">
        <f>INDEX('Availability Model'!$C$46:$T$50, MATCH($K$138,'Availability Model'!$B$46:$B$50, 0), MATCH($K$10, 'Availability Model'!$C$1:$T$1, 0))</f>
        <v>2</v>
      </c>
      <c r="L139">
        <f>INDEX('Availability Model'!$C$46:$T$50, MATCH($K$138,'Availability Model'!$B$46:$B$50, 0), MATCH($K$10, 'Availability Model'!$C$1:$T$1, 0))</f>
        <v>2</v>
      </c>
      <c r="M139">
        <f>INDEX('Availability Model'!$C$46:$T$50, MATCH($K$138,'Availability Model'!$B$46:$B$50, 0), MATCH($K$10, 'Availability Model'!$C$1:$T$1, 0))</f>
        <v>2</v>
      </c>
      <c r="N139">
        <f>INDEX('Availability Model'!$C$46:$T$50, MATCH($K$138,'Availability Model'!$B$46:$B$50, 0), MATCH($K$10, 'Availability Model'!$C$1:$T$1, 0))</f>
        <v>2</v>
      </c>
      <c r="O139">
        <f>INDEX('Availability Model'!$C$46:$T$50, MATCH($K$138,'Availability Model'!$B$46:$B$50, 0), MATCH($K$10, 'Availability Model'!$C$1:$T$1, 0))</f>
        <v>2</v>
      </c>
      <c r="P139">
        <f>INDEX('Availability Model'!$C$46:$T$50, MATCH($K$138,'Availability Model'!$B$46:$B$50, 0), MATCH($K$10, 'Availability Model'!$C$1:$T$1, 0))</f>
        <v>2</v>
      </c>
      <c r="Q139">
        <f>INDEX('Availability Model'!$C$46:$T$50, MATCH($K$138,'Availability Model'!$B$46:$B$50, 0), MATCH($K$10, 'Availability Model'!$C$1:$T$1, 0))</f>
        <v>2</v>
      </c>
      <c r="R139">
        <f>INDEX('Availability Model'!$C$46:$T$50, MATCH($K$138,'Availability Model'!$B$46:$B$50, 0), MATCH($K$10, 'Availability Model'!$C$1:$T$1, 0))</f>
        <v>2</v>
      </c>
      <c r="S139">
        <f>INDEX('Availability Model'!$C$46:$T$50, MATCH($K$138,'Availability Model'!$B$46:$B$50, 0), MATCH($K$10, 'Availability Model'!$C$1:$T$1, 0))</f>
        <v>2</v>
      </c>
      <c r="T139">
        <f>INDEX('Availability Model'!$C$46:$T$50, MATCH($K$138,'Availability Model'!$B$46:$B$50, 0), MATCH($K$10, 'Availability Model'!$C$1:$T$1, 0))</f>
        <v>2</v>
      </c>
      <c r="U139">
        <f>INDEX('Availability Model'!$C$46:$T$50, MATCH($K$138,'Availability Model'!$B$46:$B$50, 0), MATCH($K$10, 'Availability Model'!$C$1:$T$1, 0))</f>
        <v>2</v>
      </c>
      <c r="V139">
        <f>INDEX('Availability Model'!$C$46:$T$50, MATCH($K$138,'Availability Model'!$B$46:$B$50, 0), MATCH($K$10, 'Availability Model'!$C$1:$T$1, 0))</f>
        <v>2</v>
      </c>
      <c r="W139">
        <f>INDEX('Availability Model'!$C$46:$T$50, MATCH($K$138,'Availability Model'!$B$46:$B$50, 0), MATCH($K$10, 'Availability Model'!$C$1:$T$1, 0))</f>
        <v>2</v>
      </c>
      <c r="X139">
        <f>INDEX('Availability Model'!$C$46:$T$50, MATCH($K$138,'Availability Model'!$B$46:$B$50, 0), MATCH($K$10, 'Availability Model'!$C$1:$T$1, 0))</f>
        <v>2</v>
      </c>
      <c r="Y139">
        <f>INDEX('Availability Model'!$C$46:$T$50, MATCH($K$138,'Availability Model'!$B$46:$B$50, 0), MATCH($K$10, 'Availability Model'!$C$1:$T$1, 0))</f>
        <v>2</v>
      </c>
      <c r="Z139">
        <f>INDEX('Availability Model'!$C$46:$T$50, MATCH($K$138,'Availability Model'!$B$46:$B$50, 0), MATCH($K$10, 'Availability Model'!$C$1:$T$1, 0))</f>
        <v>2</v>
      </c>
      <c r="AA139">
        <f>INDEX('Availability Model'!$C$46:$T$50, MATCH($K$138,'Availability Model'!$B$46:$B$50, 0), MATCH($K$10, 'Availability Model'!$C$1:$T$1, 0))</f>
        <v>2</v>
      </c>
      <c r="AB139">
        <f>INDEX('Availability Model'!$C$46:$T$50, MATCH($K$138,'Availability Model'!$B$46:$B$50, 0), MATCH($K$10, 'Availability Model'!$C$1:$T$1, 0))</f>
        <v>2</v>
      </c>
      <c r="AC139">
        <f>INDEX('Availability Model'!$C$46:$T$50, MATCH($K$138,'Availability Model'!$B$46:$B$50, 0), MATCH($K$10, 'Availability Model'!$C$1:$T$1, 0))</f>
        <v>2</v>
      </c>
      <c r="AD139">
        <f>INDEX('Availability Model'!$C$46:$T$50, MATCH($K$138,'Availability Model'!$B$46:$B$50, 0), MATCH($K$10, 'Availability Model'!$C$1:$T$1, 0))</f>
        <v>2</v>
      </c>
      <c r="AE139">
        <f>INDEX('Availability Model'!$C$46:$T$50, MATCH($K$138,'Availability Model'!$B$46:$B$50, 0), MATCH($K$10, 'Availability Model'!$C$1:$T$1, 0))</f>
        <v>2</v>
      </c>
      <c r="AF139">
        <f>INDEX('Availability Model'!$C$46:$T$50, MATCH($K$138,'Availability Model'!$B$46:$B$50, 0), MATCH($K$10, 'Availability Model'!$C$1:$T$1, 0))</f>
        <v>2</v>
      </c>
      <c r="AG139">
        <f>INDEX('Availability Model'!$C$46:$T$50, MATCH($K$138,'Availability Model'!$B$46:$B$50, 0), MATCH($K$10, 'Availability Model'!$C$1:$T$1, 0))</f>
        <v>2</v>
      </c>
      <c r="AH139">
        <f>INDEX('Availability Model'!$C$46:$T$50, MATCH($K$138,'Availability Model'!$B$46:$B$50, 0), MATCH($K$10, 'Availability Model'!$C$1:$T$1, 0))</f>
        <v>2</v>
      </c>
      <c r="AI139">
        <f>INDEX('Availability Model'!$C$46:$T$50, MATCH($K$138,'Availability Model'!$B$46:$B$50, 0), MATCH($K$10, 'Availability Model'!$C$1:$T$1, 0))</f>
        <v>2</v>
      </c>
      <c r="AJ139">
        <f>INDEX('Availability Model'!$C$46:$T$50, MATCH($K$138,'Availability Model'!$B$46:$B$50, 0), MATCH($K$10, 'Availability Model'!$C$1:$T$1, 0))</f>
        <v>2</v>
      </c>
      <c r="AK139">
        <f>INDEX('Availability Model'!$C$46:$T$50, MATCH($K$138,'Availability Model'!$B$46:$B$50, 0), MATCH($K$10, 'Availability Model'!$C$1:$T$1, 0))</f>
        <v>2</v>
      </c>
      <c r="AL139">
        <f>INDEX('Availability Model'!$C$46:$T$50, MATCH($K$138,'Availability Model'!$B$46:$B$50, 0), MATCH($K$10, 'Availability Model'!$C$1:$T$1, 0))</f>
        <v>2</v>
      </c>
    </row>
    <row r="140" spans="4:38">
      <c r="D140" s="7" t="s">
        <v>312</v>
      </c>
      <c r="E140" s="16" t="s">
        <v>106</v>
      </c>
      <c r="K140">
        <f>K139*INDEX('Availability Model'!$C$53:$T$57, MATCH($K$138,'Availability Model'!$B$53:$B$57, 0), MATCH($K$10, 'Availability Model'!$C$1:$T$1, 0))</f>
        <v>4</v>
      </c>
      <c r="L140">
        <f>L139*INDEX('Availability Model'!$C$53:$T$57, MATCH($K$138,'Availability Model'!$B$53:$B$57, 0), MATCH($K$10, 'Availability Model'!$C$1:$T$1, 0))</f>
        <v>4</v>
      </c>
      <c r="M140">
        <f>M139*INDEX('Availability Model'!$C$53:$T$57, MATCH($K$138,'Availability Model'!$B$53:$B$57, 0), MATCH($K$10, 'Availability Model'!$C$1:$T$1, 0))</f>
        <v>4</v>
      </c>
      <c r="N140">
        <f>N139*INDEX('Availability Model'!$C$53:$T$57, MATCH($K$138,'Availability Model'!$B$53:$B$57, 0), MATCH($K$10, 'Availability Model'!$C$1:$T$1, 0))</f>
        <v>4</v>
      </c>
      <c r="O140">
        <f>O139*INDEX('Availability Model'!$C$53:$T$57, MATCH($K$138,'Availability Model'!$B$53:$B$57, 0), MATCH($K$10, 'Availability Model'!$C$1:$T$1, 0))</f>
        <v>4</v>
      </c>
      <c r="P140">
        <f>P139*INDEX('Availability Model'!$C$53:$T$57, MATCH($K$138,'Availability Model'!$B$53:$B$57, 0), MATCH($K$10, 'Availability Model'!$C$1:$T$1, 0))</f>
        <v>4</v>
      </c>
      <c r="Q140">
        <f>Q139*INDEX('Availability Model'!$C$53:$T$57, MATCH($K$138,'Availability Model'!$B$53:$B$57, 0), MATCH($K$10, 'Availability Model'!$C$1:$T$1, 0))</f>
        <v>4</v>
      </c>
      <c r="R140">
        <f>R139*INDEX('Availability Model'!$C$53:$T$57, MATCH($K$138,'Availability Model'!$B$53:$B$57, 0), MATCH($K$10, 'Availability Model'!$C$1:$T$1, 0))</f>
        <v>4</v>
      </c>
      <c r="S140">
        <f>S139*INDEX('Availability Model'!$C$53:$T$57, MATCH($K$138,'Availability Model'!$B$53:$B$57, 0), MATCH($K$10, 'Availability Model'!$C$1:$T$1, 0))</f>
        <v>4</v>
      </c>
      <c r="T140">
        <f>T139*INDEX('Availability Model'!$C$53:$T$57, MATCH($K$138,'Availability Model'!$B$53:$B$57, 0), MATCH($K$10, 'Availability Model'!$C$1:$T$1, 0))</f>
        <v>4</v>
      </c>
      <c r="U140">
        <f>U139*INDEX('Availability Model'!$C$53:$T$57, MATCH($K$138,'Availability Model'!$B$53:$B$57, 0), MATCH($K$10, 'Availability Model'!$C$1:$T$1, 0))</f>
        <v>4</v>
      </c>
      <c r="V140">
        <f>V139*INDEX('Availability Model'!$C$53:$T$57, MATCH($K$138,'Availability Model'!$B$53:$B$57, 0), MATCH($K$10, 'Availability Model'!$C$1:$T$1, 0))</f>
        <v>4</v>
      </c>
      <c r="W140">
        <f>W139*INDEX('Availability Model'!$C$53:$T$57, MATCH($K$138,'Availability Model'!$B$53:$B$57, 0), MATCH($K$10, 'Availability Model'!$C$1:$T$1, 0))</f>
        <v>4</v>
      </c>
      <c r="X140">
        <f>X139*INDEX('Availability Model'!$C$53:$T$57, MATCH($K$138,'Availability Model'!$B$53:$B$57, 0), MATCH($K$10, 'Availability Model'!$C$1:$T$1, 0))</f>
        <v>4</v>
      </c>
      <c r="Y140">
        <f>Y139*INDEX('Availability Model'!$C$53:$T$57, MATCH($K$138,'Availability Model'!$B$53:$B$57, 0), MATCH($K$10, 'Availability Model'!$C$1:$T$1, 0))</f>
        <v>4</v>
      </c>
      <c r="Z140">
        <f>Z139*INDEX('Availability Model'!$C$53:$T$57, MATCH($K$138,'Availability Model'!$B$53:$B$57, 0), MATCH($K$10, 'Availability Model'!$C$1:$T$1, 0))</f>
        <v>4</v>
      </c>
      <c r="AA140">
        <f>AA139*INDEX('Availability Model'!$C$53:$T$57, MATCH($K$138,'Availability Model'!$B$53:$B$57, 0), MATCH($K$10, 'Availability Model'!$C$1:$T$1, 0))</f>
        <v>4</v>
      </c>
      <c r="AB140">
        <f>AB139*INDEX('Availability Model'!$C$53:$T$57, MATCH($K$138,'Availability Model'!$B$53:$B$57, 0), MATCH($K$10, 'Availability Model'!$C$1:$T$1, 0))</f>
        <v>4</v>
      </c>
      <c r="AC140">
        <f>AC139*INDEX('Availability Model'!$C$53:$T$57, MATCH($K$138,'Availability Model'!$B$53:$B$57, 0), MATCH($K$10, 'Availability Model'!$C$1:$T$1, 0))</f>
        <v>4</v>
      </c>
      <c r="AD140">
        <f>AD139*INDEX('Availability Model'!$C$53:$T$57, MATCH($K$138,'Availability Model'!$B$53:$B$57, 0), MATCH($K$10, 'Availability Model'!$C$1:$T$1, 0))</f>
        <v>4</v>
      </c>
      <c r="AE140">
        <f>AE139*INDEX('Availability Model'!$C$53:$T$57, MATCH($K$138,'Availability Model'!$B$53:$B$57, 0), MATCH($K$10, 'Availability Model'!$C$1:$T$1, 0))</f>
        <v>4</v>
      </c>
      <c r="AF140">
        <f>AF139*INDEX('Availability Model'!$C$53:$T$57, MATCH($K$138,'Availability Model'!$B$53:$B$57, 0), MATCH($K$10, 'Availability Model'!$C$1:$T$1, 0))</f>
        <v>4</v>
      </c>
      <c r="AG140">
        <f>AG139*INDEX('Availability Model'!$C$53:$T$57, MATCH($K$138,'Availability Model'!$B$53:$B$57, 0), MATCH($K$10, 'Availability Model'!$C$1:$T$1, 0))</f>
        <v>4</v>
      </c>
      <c r="AH140">
        <f>AH139*INDEX('Availability Model'!$C$53:$T$57, MATCH($K$138,'Availability Model'!$B$53:$B$57, 0), MATCH($K$10, 'Availability Model'!$C$1:$T$1, 0))</f>
        <v>4</v>
      </c>
      <c r="AI140">
        <f>AI139*INDEX('Availability Model'!$C$53:$T$57, MATCH($K$138,'Availability Model'!$B$53:$B$57, 0), MATCH($K$10, 'Availability Model'!$C$1:$T$1, 0))</f>
        <v>4</v>
      </c>
      <c r="AJ140">
        <f>AJ139*INDEX('Availability Model'!$C$53:$T$57, MATCH($K$138,'Availability Model'!$B$53:$B$57, 0), MATCH($K$10, 'Availability Model'!$C$1:$T$1, 0))</f>
        <v>4</v>
      </c>
      <c r="AK140">
        <f>AK139*INDEX('Availability Model'!$C$53:$T$57, MATCH($K$138,'Availability Model'!$B$53:$B$57, 0), MATCH($K$10, 'Availability Model'!$C$1:$T$1, 0))</f>
        <v>4</v>
      </c>
      <c r="AL140">
        <f>AL139*INDEX('Availability Model'!$C$53:$T$57, MATCH($K$138,'Availability Model'!$B$53:$B$57, 0), MATCH($K$10, 'Availability Model'!$C$1:$T$1, 0))</f>
        <v>4</v>
      </c>
    </row>
    <row r="141" spans="4:38">
      <c r="D141" s="7" t="s">
        <v>302</v>
      </c>
      <c r="E141" s="16" t="s">
        <v>106</v>
      </c>
      <c r="K141" s="65">
        <f>K132</f>
        <v>1.8129533678756478</v>
      </c>
      <c r="L141" s="65">
        <f t="shared" ref="L141:AL141" si="62">L132</f>
        <v>1.9066551166747128</v>
      </c>
      <c r="M141" s="65">
        <f t="shared" si="62"/>
        <v>1.8367738032705883</v>
      </c>
      <c r="N141" s="65">
        <f t="shared" si="62"/>
        <v>1.8815339776532183</v>
      </c>
      <c r="O141" s="65">
        <f t="shared" si="62"/>
        <v>2.3849090588321165</v>
      </c>
      <c r="P141" s="65">
        <f t="shared" si="62"/>
        <v>2.3887033302261771</v>
      </c>
      <c r="Q141" s="65">
        <f t="shared" si="62"/>
        <v>2.1788094609974449</v>
      </c>
      <c r="R141" s="65">
        <f t="shared" si="62"/>
        <v>2.1788094609974449</v>
      </c>
      <c r="S141" s="65">
        <f t="shared" si="62"/>
        <v>1.9916666207998832</v>
      </c>
      <c r="T141" s="65">
        <f t="shared" si="62"/>
        <v>1.9943835156513896</v>
      </c>
      <c r="U141" s="65">
        <f t="shared" si="62"/>
        <v>1.9916666207998832</v>
      </c>
      <c r="V141" s="65">
        <f t="shared" si="62"/>
        <v>1.9916666207998832</v>
      </c>
      <c r="W141" s="65">
        <f t="shared" si="62"/>
        <v>1.9916666207998832</v>
      </c>
      <c r="X141" s="65">
        <f t="shared" si="62"/>
        <v>1.9943835156513896</v>
      </c>
      <c r="Y141" s="65">
        <f t="shared" si="62"/>
        <v>1.9916666207998832</v>
      </c>
      <c r="Z141" s="65">
        <f t="shared" si="62"/>
        <v>1.9916666207998832</v>
      </c>
      <c r="AA141" s="65">
        <f t="shared" si="62"/>
        <v>1.9916666207998832</v>
      </c>
      <c r="AB141" s="65">
        <f t="shared" si="62"/>
        <v>1.9943835156513896</v>
      </c>
      <c r="AC141" s="65">
        <f t="shared" si="62"/>
        <v>1.560222150058483</v>
      </c>
      <c r="AD141" s="65">
        <f t="shared" si="62"/>
        <v>1.560222150058483</v>
      </c>
      <c r="AE141" s="65">
        <f t="shared" si="62"/>
        <v>1.560222150058483</v>
      </c>
      <c r="AF141" s="65">
        <f t="shared" si="62"/>
        <v>1.5629390449099894</v>
      </c>
      <c r="AG141" s="65">
        <f t="shared" si="62"/>
        <v>1.560222150058483</v>
      </c>
      <c r="AH141" s="65">
        <f t="shared" si="62"/>
        <v>1.560222150058483</v>
      </c>
      <c r="AI141" s="65">
        <f t="shared" si="62"/>
        <v>1.560222150058483</v>
      </c>
      <c r="AJ141" s="65">
        <f t="shared" si="62"/>
        <v>1.5629390449099894</v>
      </c>
      <c r="AK141" s="65">
        <f t="shared" si="62"/>
        <v>1.560222150058483</v>
      </c>
      <c r="AL141" s="65">
        <f t="shared" si="62"/>
        <v>1.560222150058483</v>
      </c>
    </row>
    <row r="142" spans="4:38">
      <c r="D142" s="7" t="s">
        <v>313</v>
      </c>
      <c r="E142" s="16" t="s">
        <v>106</v>
      </c>
      <c r="K142" s="140">
        <f>ROUND(K140-K141,0)</f>
        <v>2</v>
      </c>
      <c r="L142" s="140">
        <f t="shared" ref="L142:AL142" si="63">ROUND(L140-L141,0)</f>
        <v>2</v>
      </c>
      <c r="M142" s="140">
        <f t="shared" si="63"/>
        <v>2</v>
      </c>
      <c r="N142" s="140">
        <f t="shared" si="63"/>
        <v>2</v>
      </c>
      <c r="O142" s="140">
        <f t="shared" si="63"/>
        <v>2</v>
      </c>
      <c r="P142" s="140">
        <f t="shared" si="63"/>
        <v>2</v>
      </c>
      <c r="Q142" s="140">
        <f t="shared" si="63"/>
        <v>2</v>
      </c>
      <c r="R142" s="140">
        <f t="shared" si="63"/>
        <v>2</v>
      </c>
      <c r="S142" s="140">
        <f t="shared" si="63"/>
        <v>2</v>
      </c>
      <c r="T142" s="140">
        <f t="shared" si="63"/>
        <v>2</v>
      </c>
      <c r="U142" s="140">
        <f t="shared" si="63"/>
        <v>2</v>
      </c>
      <c r="V142" s="140">
        <f t="shared" si="63"/>
        <v>2</v>
      </c>
      <c r="W142" s="140">
        <f t="shared" si="63"/>
        <v>2</v>
      </c>
      <c r="X142" s="140">
        <f t="shared" si="63"/>
        <v>2</v>
      </c>
      <c r="Y142" s="140">
        <f t="shared" si="63"/>
        <v>2</v>
      </c>
      <c r="Z142" s="140">
        <f t="shared" si="63"/>
        <v>2</v>
      </c>
      <c r="AA142" s="140">
        <f t="shared" si="63"/>
        <v>2</v>
      </c>
      <c r="AB142" s="140">
        <f t="shared" si="63"/>
        <v>2</v>
      </c>
      <c r="AC142" s="140">
        <f t="shared" si="63"/>
        <v>2</v>
      </c>
      <c r="AD142" s="140">
        <f t="shared" si="63"/>
        <v>2</v>
      </c>
      <c r="AE142" s="140">
        <f t="shared" si="63"/>
        <v>2</v>
      </c>
      <c r="AF142" s="140">
        <f t="shared" si="63"/>
        <v>2</v>
      </c>
      <c r="AG142" s="140">
        <f t="shared" si="63"/>
        <v>2</v>
      </c>
      <c r="AH142" s="140">
        <f t="shared" si="63"/>
        <v>2</v>
      </c>
      <c r="AI142" s="140">
        <f t="shared" si="63"/>
        <v>2</v>
      </c>
      <c r="AJ142" s="140">
        <f t="shared" si="63"/>
        <v>2</v>
      </c>
      <c r="AK142" s="140">
        <f t="shared" si="63"/>
        <v>2</v>
      </c>
      <c r="AL142" s="140">
        <f t="shared" si="63"/>
        <v>2</v>
      </c>
    </row>
    <row r="143" spans="4:38">
      <c r="D143" s="7" t="s">
        <v>314</v>
      </c>
      <c r="E143" s="16" t="s">
        <v>145</v>
      </c>
      <c r="K143" s="90">
        <f>K142*K34</f>
        <v>740.27397260273972</v>
      </c>
      <c r="L143" s="90">
        <f t="shared" ref="L143:AL143" si="64">L142*L34</f>
        <v>697.10044699453556</v>
      </c>
      <c r="M143" s="90">
        <f t="shared" si="64"/>
        <v>728.79951338082208</v>
      </c>
      <c r="N143" s="90">
        <f t="shared" si="64"/>
        <v>1302.8995515967122</v>
      </c>
      <c r="O143" s="90">
        <f t="shared" si="64"/>
        <v>0</v>
      </c>
      <c r="P143" s="90">
        <f t="shared" si="64"/>
        <v>0</v>
      </c>
      <c r="Q143" s="90">
        <f t="shared" si="64"/>
        <v>0</v>
      </c>
      <c r="R143" s="90">
        <f t="shared" si="64"/>
        <v>0</v>
      </c>
      <c r="S143" s="90">
        <f t="shared" si="64"/>
        <v>0</v>
      </c>
      <c r="T143" s="90">
        <f t="shared" si="64"/>
        <v>0</v>
      </c>
      <c r="U143" s="90">
        <f t="shared" si="64"/>
        <v>0</v>
      </c>
      <c r="V143" s="90">
        <f t="shared" si="64"/>
        <v>0</v>
      </c>
      <c r="W143" s="90">
        <f t="shared" si="64"/>
        <v>0</v>
      </c>
      <c r="X143" s="90">
        <f t="shared" si="64"/>
        <v>0</v>
      </c>
      <c r="Y143" s="90">
        <f t="shared" si="64"/>
        <v>0</v>
      </c>
      <c r="Z143" s="90">
        <f t="shared" si="64"/>
        <v>0</v>
      </c>
      <c r="AA143" s="90">
        <f t="shared" si="64"/>
        <v>0</v>
      </c>
      <c r="AB143" s="90">
        <f t="shared" si="64"/>
        <v>0</v>
      </c>
      <c r="AC143" s="90">
        <f t="shared" si="64"/>
        <v>1566.2522687475573</v>
      </c>
      <c r="AD143" s="90">
        <f t="shared" si="64"/>
        <v>1566.2522687475573</v>
      </c>
      <c r="AE143" s="90">
        <f t="shared" si="64"/>
        <v>1566.2522687475573</v>
      </c>
      <c r="AF143" s="90">
        <f t="shared" si="64"/>
        <v>1561.9728909640942</v>
      </c>
      <c r="AG143" s="90">
        <f t="shared" si="64"/>
        <v>1566.2522687475573</v>
      </c>
      <c r="AH143" s="90">
        <f t="shared" si="64"/>
        <v>1566.2522687475573</v>
      </c>
      <c r="AI143" s="90">
        <f t="shared" si="64"/>
        <v>1566.2522687475573</v>
      </c>
      <c r="AJ143" s="90">
        <f t="shared" si="64"/>
        <v>1561.9728909640942</v>
      </c>
      <c r="AK143" s="90">
        <f t="shared" si="64"/>
        <v>1566.2522687475573</v>
      </c>
      <c r="AL143" s="90">
        <f t="shared" si="64"/>
        <v>1566.2522687475573</v>
      </c>
    </row>
    <row r="144" spans="4:38">
      <c r="D144" s="7"/>
    </row>
    <row r="145" spans="4:38">
      <c r="D145" s="3" t="s">
        <v>315</v>
      </c>
      <c r="E145" s="16" t="s">
        <v>145</v>
      </c>
      <c r="K145" s="65">
        <f>K143*INDEX('Availability Model'!$C$60:$T$64, MATCH($K$138,'Availability Model'!$B$60:$B$64, 0), MATCH($K$10, 'Availability Model'!$C$1:$T$1, 0))</f>
        <v>222.08219178082192</v>
      </c>
      <c r="L145" s="65">
        <f>L143*INDEX('Availability Model'!$C$60:$T$64, MATCH($K$138,'Availability Model'!$B$60:$B$64, 0), MATCH($K$10, 'Availability Model'!$C$1:$T$1, 0))</f>
        <v>209.13013409836066</v>
      </c>
      <c r="M145" s="65">
        <f>M143*INDEX('Availability Model'!$C$60:$T$64, MATCH($K$138,'Availability Model'!$B$60:$B$64, 0), MATCH($K$10, 'Availability Model'!$C$1:$T$1, 0))</f>
        <v>218.63985401424662</v>
      </c>
      <c r="N145" s="65">
        <f>N143*INDEX('Availability Model'!$C$60:$T$64, MATCH($N$138,'Availability Model'!$B$60:$B$64, 0), MATCH($K$10, 'Availability Model'!$C$1:$T$1, 0))</f>
        <v>390.86986547901364</v>
      </c>
      <c r="O145" s="65">
        <f>O143*INDEX('Availability Model'!$C$60:$T$64, MATCH($K$138,'Availability Model'!$B$60:$B$64, 0), MATCH($K$10, 'Availability Model'!$C$1:$T$1, 0))</f>
        <v>0</v>
      </c>
      <c r="P145" s="65">
        <f>P143*INDEX('Availability Model'!$C$60:$T$64, MATCH($K$138,'Availability Model'!$B$60:$B$64, 0), MATCH($K$10, 'Availability Model'!$C$1:$T$1, 0))</f>
        <v>0</v>
      </c>
      <c r="Q145" s="65">
        <f>Q143*INDEX('Availability Model'!$C$60:$T$64, MATCH($K$138,'Availability Model'!$B$60:$B$64, 0), MATCH($K$10, 'Availability Model'!$C$1:$T$1, 0))</f>
        <v>0</v>
      </c>
      <c r="R145" s="65">
        <f>R143*INDEX('Availability Model'!$C$60:$T$64, MATCH($K$138,'Availability Model'!$B$60:$B$64, 0), MATCH($K$10, 'Availability Model'!$C$1:$T$1, 0))</f>
        <v>0</v>
      </c>
      <c r="S145" s="65">
        <f>S143*INDEX('Availability Model'!$C$60:$T$64, MATCH($K$138,'Availability Model'!$B$60:$B$64, 0), MATCH($K$10, 'Availability Model'!$C$1:$T$1, 0))</f>
        <v>0</v>
      </c>
      <c r="T145" s="65">
        <f>T143*INDEX('Availability Model'!$C$60:$T$64, MATCH($K$138,'Availability Model'!$B$60:$B$64, 0), MATCH($K$10, 'Availability Model'!$C$1:$T$1, 0))</f>
        <v>0</v>
      </c>
      <c r="U145" s="65">
        <f>U143*INDEX('Availability Model'!$C$60:$T$64, MATCH($K$138,'Availability Model'!$B$60:$B$64, 0), MATCH($K$10, 'Availability Model'!$C$1:$T$1, 0))</f>
        <v>0</v>
      </c>
      <c r="V145" s="65">
        <f>V143*INDEX('Availability Model'!$C$60:$T$64, MATCH($K$138,'Availability Model'!$B$60:$B$64, 0), MATCH($K$10, 'Availability Model'!$C$1:$T$1, 0))</f>
        <v>0</v>
      </c>
      <c r="W145" s="65">
        <f>W143*INDEX('Availability Model'!$C$60:$T$64, MATCH($K$138,'Availability Model'!$B$60:$B$64, 0), MATCH($K$10, 'Availability Model'!$C$1:$T$1, 0))</f>
        <v>0</v>
      </c>
      <c r="X145" s="65">
        <f>X143*INDEX('Availability Model'!$C$60:$T$64, MATCH($K$138,'Availability Model'!$B$60:$B$64, 0), MATCH($K$10, 'Availability Model'!$C$1:$T$1, 0))</f>
        <v>0</v>
      </c>
      <c r="Y145" s="65">
        <f>Y143*INDEX('Availability Model'!$C$60:$T$64, MATCH($K$138,'Availability Model'!$B$60:$B$64, 0), MATCH($K$10, 'Availability Model'!$C$1:$T$1, 0))</f>
        <v>0</v>
      </c>
      <c r="Z145" s="65">
        <f>Z143*INDEX('Availability Model'!$C$60:$T$64, MATCH($K$138,'Availability Model'!$B$60:$B$64, 0), MATCH($K$10, 'Availability Model'!$C$1:$T$1, 0))</f>
        <v>0</v>
      </c>
      <c r="AA145" s="65">
        <f>AA143*INDEX('Availability Model'!$C$60:$T$64, MATCH($K$138,'Availability Model'!$B$60:$B$64, 0), MATCH($K$10, 'Availability Model'!$C$1:$T$1, 0))</f>
        <v>0</v>
      </c>
      <c r="AB145" s="65">
        <f>AB143*INDEX('Availability Model'!$C$60:$T$64, MATCH($K$138,'Availability Model'!$B$60:$B$64, 0), MATCH($K$10, 'Availability Model'!$C$1:$T$1, 0))</f>
        <v>0</v>
      </c>
      <c r="AC145" s="65">
        <f>AC143*INDEX('Availability Model'!$C$60:$T$64, MATCH($K$138,'Availability Model'!$B$60:$B$64, 0), MATCH($K$10, 'Availability Model'!$C$1:$T$1, 0))</f>
        <v>469.87568062426715</v>
      </c>
      <c r="AD145" s="65">
        <f>AD143*INDEX('Availability Model'!$C$60:$T$64, MATCH($K$138,'Availability Model'!$B$60:$B$64, 0), MATCH($K$10, 'Availability Model'!$C$1:$T$1, 0))</f>
        <v>469.87568062426715</v>
      </c>
      <c r="AE145" s="65">
        <f>AE143*INDEX('Availability Model'!$C$60:$T$64, MATCH($K$138,'Availability Model'!$B$60:$B$64, 0), MATCH($K$10, 'Availability Model'!$C$1:$T$1, 0))</f>
        <v>469.87568062426715</v>
      </c>
      <c r="AF145" s="65">
        <f>AF143*INDEX('Availability Model'!$C$60:$T$64, MATCH($K$138,'Availability Model'!$B$60:$B$64, 0), MATCH($K$10, 'Availability Model'!$C$1:$T$1, 0))</f>
        <v>468.59186728922822</v>
      </c>
      <c r="AG145" s="65">
        <f>AG143*INDEX('Availability Model'!$C$60:$T$64, MATCH($K$138,'Availability Model'!$B$60:$B$64, 0), MATCH($K$10, 'Availability Model'!$C$1:$T$1, 0))</f>
        <v>469.87568062426715</v>
      </c>
      <c r="AH145" s="65">
        <f>AH143*INDEX('Availability Model'!$C$60:$T$64, MATCH($K$138,'Availability Model'!$B$60:$B$64, 0), MATCH($K$10, 'Availability Model'!$C$1:$T$1, 0))</f>
        <v>469.87568062426715</v>
      </c>
      <c r="AI145" s="65">
        <f>AI143*INDEX('Availability Model'!$C$60:$T$64, MATCH($K$138,'Availability Model'!$B$60:$B$64, 0), MATCH($K$10, 'Availability Model'!$C$1:$T$1, 0))</f>
        <v>469.87568062426715</v>
      </c>
      <c r="AJ145" s="65">
        <f>AJ143*INDEX('Availability Model'!$C$60:$T$64, MATCH($K$138,'Availability Model'!$B$60:$B$64, 0), MATCH($K$10, 'Availability Model'!$C$1:$T$1, 0))</f>
        <v>468.59186728922822</v>
      </c>
      <c r="AK145" s="65">
        <f>AK143*INDEX('Availability Model'!$C$60:$T$64, MATCH($K$138,'Availability Model'!$B$60:$B$64, 0), MATCH($K$10, 'Availability Model'!$C$1:$T$1, 0))</f>
        <v>469.87568062426715</v>
      </c>
      <c r="AL145" s="65">
        <f>AL143*INDEX('Availability Model'!$C$60:$T$64, MATCH($K$138,'Availability Model'!$B$60:$B$64, 0), MATCH($K$10, 'Availability Model'!$C$1:$T$1, 0))</f>
        <v>469.87568062426715</v>
      </c>
    </row>
    <row r="146" spans="4:38">
      <c r="D146" t="s">
        <v>317</v>
      </c>
      <c r="E146" s="16" t="s">
        <v>211</v>
      </c>
      <c r="K146" s="65">
        <f>K145*K71</f>
        <v>6158.3391780821921</v>
      </c>
      <c r="L146" s="65">
        <f t="shared" ref="L146:AL146" si="65">L145*L71</f>
        <v>6169.3389559016396</v>
      </c>
      <c r="M146" s="65">
        <f t="shared" si="65"/>
        <v>6611.6691853908178</v>
      </c>
      <c r="N146" s="65">
        <f t="shared" si="65"/>
        <v>12531.287887257178</v>
      </c>
      <c r="O146" s="65">
        <f t="shared" si="65"/>
        <v>0</v>
      </c>
      <c r="P146" s="65">
        <f t="shared" si="65"/>
        <v>0</v>
      </c>
      <c r="Q146" s="65">
        <f t="shared" si="65"/>
        <v>0</v>
      </c>
      <c r="R146" s="65">
        <f t="shared" si="65"/>
        <v>0</v>
      </c>
      <c r="S146" s="65">
        <f t="shared" si="65"/>
        <v>0</v>
      </c>
      <c r="T146" s="65">
        <f t="shared" si="65"/>
        <v>0</v>
      </c>
      <c r="U146" s="65">
        <f t="shared" si="65"/>
        <v>0</v>
      </c>
      <c r="V146" s="65">
        <f t="shared" si="65"/>
        <v>0</v>
      </c>
      <c r="W146" s="65">
        <f t="shared" si="65"/>
        <v>0</v>
      </c>
      <c r="X146" s="65">
        <f t="shared" si="65"/>
        <v>0</v>
      </c>
      <c r="Y146" s="65">
        <f t="shared" si="65"/>
        <v>0</v>
      </c>
      <c r="Z146" s="65">
        <f t="shared" si="65"/>
        <v>0</v>
      </c>
      <c r="AA146" s="65">
        <f t="shared" si="65"/>
        <v>0</v>
      </c>
      <c r="AB146" s="65">
        <f t="shared" si="65"/>
        <v>0</v>
      </c>
      <c r="AC146" s="65">
        <f t="shared" si="65"/>
        <v>36102.266253156507</v>
      </c>
      <c r="AD146" s="65">
        <f t="shared" si="65"/>
        <v>38268.402228345898</v>
      </c>
      <c r="AE146" s="65">
        <f t="shared" si="65"/>
        <v>40564.506362046654</v>
      </c>
      <c r="AF146" s="65">
        <f t="shared" si="65"/>
        <v>42880.894840097957</v>
      </c>
      <c r="AG146" s="65">
        <f t="shared" si="65"/>
        <v>45578.279348395627</v>
      </c>
      <c r="AH146" s="65">
        <f t="shared" si="65"/>
        <v>48312.976109299365</v>
      </c>
      <c r="AI146" s="65">
        <f t="shared" si="65"/>
        <v>51211.75467585733</v>
      </c>
      <c r="AJ146" s="65">
        <f t="shared" si="65"/>
        <v>54136.141759806575</v>
      </c>
      <c r="AK146" s="65">
        <f t="shared" si="65"/>
        <v>57541.527553793305</v>
      </c>
      <c r="AL146" s="65">
        <f t="shared" si="65"/>
        <v>60994.019207020916</v>
      </c>
    </row>
    <row r="147" spans="4:38">
      <c r="D147" t="s">
        <v>318</v>
      </c>
      <c r="E147" s="16" t="s">
        <v>211</v>
      </c>
      <c r="K147" s="65">
        <f>(Inputs!$E$117*Inputs!$E$118*'Initiative 1 Model'!K145*K75)+(Inputs!$E$114*0.25*'Initiative 1 Model'!K145*K77)</f>
        <v>995.4834246575341</v>
      </c>
      <c r="L147" s="65">
        <f>(Inputs!$E$117*Inputs!$E$118*'Initiative 1 Model'!L145*L75)+(Inputs!$E$114*0.25*'Initiative 1 Model'!L145*L77)</f>
        <v>1025.1688834184779</v>
      </c>
      <c r="M147" s="65">
        <f>(Inputs!$E$117*Inputs!$E$118*'Initiative 1 Model'!M145*M75)+(Inputs!$E$114*0.25*'Initiative 1 Model'!M145*M77)</f>
        <v>1172.1053008853519</v>
      </c>
      <c r="N147" s="65">
        <f>(Inputs!$E$117*Inputs!$E$118*'Initiative 1 Model'!N145*N75)+(Inputs!$E$114*0.25*'Initiative 1 Model'!N145*N77)</f>
        <v>2291.5429008467036</v>
      </c>
      <c r="O147" s="65">
        <f>(Inputs!$E$117*Inputs!$E$118*'Initiative 1 Model'!O145*O75)+(Inputs!$E$114*0.25*'Initiative 1 Model'!O145*O77)</f>
        <v>0</v>
      </c>
      <c r="P147" s="65">
        <f>(Inputs!$E$117*Inputs!$E$118*'Initiative 1 Model'!P145*P75)+(Inputs!$E$114*0.25*'Initiative 1 Model'!P145*P77)</f>
        <v>0</v>
      </c>
      <c r="Q147" s="65">
        <f>(Inputs!$E$117*Inputs!$E$118*'Initiative 1 Model'!Q145*Q75)+(Inputs!$E$114*0.25*'Initiative 1 Model'!Q145*Q77)</f>
        <v>0</v>
      </c>
      <c r="R147" s="65">
        <f>(Inputs!$E$117*Inputs!$E$118*'Initiative 1 Model'!R145*R75)+(Inputs!$E$114*0.25*'Initiative 1 Model'!R145*R77)</f>
        <v>0</v>
      </c>
      <c r="S147" s="65">
        <f>(Inputs!$E$117*Inputs!$E$118*'Initiative 1 Model'!S145*S75)+(Inputs!$E$114*0.25*'Initiative 1 Model'!S145*S77)</f>
        <v>0</v>
      </c>
      <c r="T147" s="65">
        <f>(Inputs!$E$117*Inputs!$E$118*'Initiative 1 Model'!T145*T75)+(Inputs!$E$114*0.25*'Initiative 1 Model'!T145*T77)</f>
        <v>0</v>
      </c>
      <c r="U147" s="65">
        <f>(Inputs!$E$117*Inputs!$E$118*'Initiative 1 Model'!U145*U75)+(Inputs!$E$114*0.25*'Initiative 1 Model'!U145*U77)</f>
        <v>0</v>
      </c>
      <c r="V147" s="65">
        <f>(Inputs!$E$117*Inputs!$E$118*'Initiative 1 Model'!V145*V75)+(Inputs!$E$114*0.25*'Initiative 1 Model'!V145*V77)</f>
        <v>0</v>
      </c>
      <c r="W147" s="65">
        <f>(Inputs!$E$117*Inputs!$E$118*'Initiative 1 Model'!W145*W75)+(Inputs!$E$114*0.25*'Initiative 1 Model'!W145*W77)</f>
        <v>0</v>
      </c>
      <c r="X147" s="65">
        <f>(Inputs!$E$117*Inputs!$E$118*'Initiative 1 Model'!X145*X75)+(Inputs!$E$114*0.25*'Initiative 1 Model'!X145*X77)</f>
        <v>0</v>
      </c>
      <c r="Y147" s="65">
        <f>(Inputs!$E$117*Inputs!$E$118*'Initiative 1 Model'!Y145*Y75)+(Inputs!$E$114*0.25*'Initiative 1 Model'!Y145*Y77)</f>
        <v>0</v>
      </c>
      <c r="Z147" s="65">
        <f>(Inputs!$E$117*Inputs!$E$118*'Initiative 1 Model'!Z145*Z75)+(Inputs!$E$114*0.25*'Initiative 1 Model'!Z145*Z77)</f>
        <v>0</v>
      </c>
      <c r="AA147" s="65">
        <f>(Inputs!$E$117*Inputs!$E$118*'Initiative 1 Model'!AA145*AA75)+(Inputs!$E$114*0.25*'Initiative 1 Model'!AA145*AA77)</f>
        <v>0</v>
      </c>
      <c r="AB147" s="65">
        <f>(Inputs!$E$117*Inputs!$E$118*'Initiative 1 Model'!AB145*AB75)+(Inputs!$E$114*0.25*'Initiative 1 Model'!AB145*AB77)</f>
        <v>0</v>
      </c>
      <c r="AC147" s="65">
        <f>(Inputs!$E$117*Inputs!$E$118*'Initiative 1 Model'!AC145*AC75)+(Inputs!$E$114*0.25*'Initiative 1 Model'!AC145*AC77)</f>
        <v>10542.807919068144</v>
      </c>
      <c r="AD147" s="65">
        <f>(Inputs!$E$117*Inputs!$E$118*'Initiative 1 Model'!AD145*AD75)+(Inputs!$E$114*0.25*'Initiative 1 Model'!AD145*AD77)</f>
        <v>11529.614740292922</v>
      </c>
      <c r="AE147" s="65">
        <f>(Inputs!$E$117*Inputs!$E$118*'Initiative 1 Model'!AE145*AE75)+(Inputs!$E$114*0.25*'Initiative 1 Model'!AE145*AE77)</f>
        <v>12608.786679984336</v>
      </c>
      <c r="AF147" s="65">
        <f>(Inputs!$E$117*Inputs!$E$118*'Initiative 1 Model'!AF145*AF75)+(Inputs!$E$114*0.25*'Initiative 1 Model'!AF145*AF77)</f>
        <v>13751.294334232975</v>
      </c>
      <c r="AG147" s="65">
        <f>(Inputs!$E$117*Inputs!$E$118*'Initiative 1 Model'!AG145*AG75)+(Inputs!$E$114*0.25*'Initiative 1 Model'!AG145*AG77)</f>
        <v>15079.61662222928</v>
      </c>
      <c r="AH147" s="65">
        <f>(Inputs!$E$117*Inputs!$E$118*'Initiative 1 Model'!AH145*AH75)+(Inputs!$E$114*0.25*'Initiative 1 Model'!AH145*AH77)</f>
        <v>16491.068738069938</v>
      </c>
      <c r="AI147" s="65">
        <f>(Inputs!$E$117*Inputs!$E$118*'Initiative 1 Model'!AI145*AI75)+(Inputs!$E$114*0.25*'Initiative 1 Model'!AI145*AI77)</f>
        <v>18034.632771953282</v>
      </c>
      <c r="AJ147" s="65">
        <f>(Inputs!$E$117*Inputs!$E$118*'Initiative 1 Model'!AJ145*AJ75)+(Inputs!$E$114*0.25*'Initiative 1 Model'!AJ145*AJ77)</f>
        <v>19668.787310885142</v>
      </c>
      <c r="AK147" s="65">
        <f>(Inputs!$E$117*Inputs!$E$118*'Initiative 1 Model'!AK145*AK75)+(Inputs!$E$114*0.25*'Initiative 1 Model'!AK145*AK77)</f>
        <v>21568.716723192705</v>
      </c>
      <c r="AL147" s="65">
        <f>(Inputs!$E$117*Inputs!$E$118*'Initiative 1 Model'!AL145*AL75)+(Inputs!$E$114*0.25*'Initiative 1 Model'!AL145*AL77)</f>
        <v>23587.548608483543</v>
      </c>
    </row>
    <row r="148" spans="4:38">
      <c r="D148" s="3" t="s">
        <v>319</v>
      </c>
      <c r="E148" s="16" t="s">
        <v>211</v>
      </c>
      <c r="K148" s="65">
        <f>IF(K27&gt;0,K146+K147,0)</f>
        <v>7153.8226027397259</v>
      </c>
      <c r="L148" s="65">
        <f t="shared" ref="L148:P148" si="66">IF(L27&gt;0,L146+L147,0)</f>
        <v>7194.5078393201175</v>
      </c>
      <c r="M148" s="65">
        <f t="shared" si="66"/>
        <v>7783.7744862761701</v>
      </c>
      <c r="N148" s="65">
        <f t="shared" si="66"/>
        <v>14822.830788103882</v>
      </c>
      <c r="O148" s="65">
        <f t="shared" si="66"/>
        <v>0</v>
      </c>
      <c r="P148" s="65">
        <f t="shared" si="66"/>
        <v>0</v>
      </c>
      <c r="Q148" s="65">
        <f t="shared" ref="Q148:AL148" si="67">IF(Q27&gt;0,Q146+Q147,0)</f>
        <v>0</v>
      </c>
      <c r="R148" s="65">
        <f t="shared" si="67"/>
        <v>0</v>
      </c>
      <c r="S148" s="65">
        <f t="shared" si="67"/>
        <v>0</v>
      </c>
      <c r="T148" s="65">
        <f t="shared" si="67"/>
        <v>0</v>
      </c>
      <c r="U148" s="65">
        <f t="shared" si="67"/>
        <v>0</v>
      </c>
      <c r="V148" s="65">
        <f t="shared" si="67"/>
        <v>0</v>
      </c>
      <c r="W148" s="65">
        <f t="shared" si="67"/>
        <v>0</v>
      </c>
      <c r="X148" s="65">
        <f t="shared" si="67"/>
        <v>0</v>
      </c>
      <c r="Y148" s="65">
        <f t="shared" si="67"/>
        <v>0</v>
      </c>
      <c r="Z148" s="65">
        <f t="shared" si="67"/>
        <v>0</v>
      </c>
      <c r="AA148" s="65">
        <f t="shared" si="67"/>
        <v>0</v>
      </c>
      <c r="AB148" s="65">
        <f t="shared" si="67"/>
        <v>0</v>
      </c>
      <c r="AC148" s="65">
        <f t="shared" si="67"/>
        <v>46645.074172224653</v>
      </c>
      <c r="AD148" s="65">
        <f t="shared" si="67"/>
        <v>49798.016968638818</v>
      </c>
      <c r="AE148" s="65">
        <f t="shared" si="67"/>
        <v>53173.293042030986</v>
      </c>
      <c r="AF148" s="65">
        <f t="shared" si="67"/>
        <v>56632.189174330932</v>
      </c>
      <c r="AG148" s="65">
        <f t="shared" si="67"/>
        <v>60657.895970624908</v>
      </c>
      <c r="AH148" s="65">
        <f t="shared" si="67"/>
        <v>64804.044847369303</v>
      </c>
      <c r="AI148" s="65">
        <f t="shared" si="67"/>
        <v>69246.387447810615</v>
      </c>
      <c r="AJ148" s="65">
        <f t="shared" si="67"/>
        <v>73804.929070691724</v>
      </c>
      <c r="AK148" s="65">
        <f t="shared" si="67"/>
        <v>79110.244276986006</v>
      </c>
      <c r="AL148" s="65">
        <f t="shared" si="67"/>
        <v>84581.567815504459</v>
      </c>
    </row>
    <row r="149" spans="4:38">
      <c r="D149" s="3"/>
      <c r="E149" s="16"/>
      <c r="K149" s="65"/>
      <c r="L149" s="65"/>
      <c r="M149" s="65"/>
      <c r="N149" s="65"/>
      <c r="O149" s="65"/>
      <c r="P149" s="65"/>
    </row>
    <row r="150" spans="4:38">
      <c r="D150" s="3" t="s">
        <v>323</v>
      </c>
      <c r="E150" s="16" t="s">
        <v>211</v>
      </c>
      <c r="K150" s="65">
        <f>K93*INDEX('Availability Model'!$C$67:$T$71, MATCH($K$138,'Availability Model'!$B$67:$B$71, 0), MATCH($K$10, 'Availability Model'!$C$1:$T$1, 0))</f>
        <v>190339.01249999998</v>
      </c>
      <c r="L150" s="65">
        <f>L93*INDEX('Availability Model'!$C$67:$T$71, MATCH($K$138,'Availability Model'!$B$67:$B$71, 0), MATCH($K$10, 'Availability Model'!$C$1:$T$1, 0))</f>
        <v>196551.97646000827</v>
      </c>
      <c r="M150" s="65">
        <f>M93*INDEX('Availability Model'!$C$67:$T$71, MATCH($K$138,'Availability Model'!$B$67:$B$71, 0), MATCH($K$10, 'Availability Model'!$C$1:$T$1, 0))</f>
        <v>224109.57328926207</v>
      </c>
      <c r="N150" s="65">
        <f>N93*INDEX('Availability Model'!$C$67:$T$71, MATCH($K$138,'Availability Model'!$B$67:$B$71, 0), MATCH($K$10, 'Availability Model'!$C$1:$T$1, 0))</f>
        <v>613408.52380142547</v>
      </c>
      <c r="O150" s="65">
        <f>O93*INDEX('Availability Model'!$C$67:$T$71, MATCH($K$138,'Availability Model'!$B$67:$B$71, 0), MATCH($K$10, 'Availability Model'!$C$1:$T$1, 0))</f>
        <v>669188.73661110678</v>
      </c>
      <c r="P150" s="65">
        <f>P93*INDEX('Availability Model'!$C$67:$T$71, MATCH($K$138,'Availability Model'!$B$67:$B$71, 0), MATCH($K$10, 'Availability Model'!$C$1:$T$1, 0))</f>
        <v>731824.80235790636</v>
      </c>
      <c r="Q150" s="65">
        <f>Q93*INDEX('Availability Model'!$C$67:$T$71, MATCH($K$138,'Availability Model'!$B$67:$B$71, 0), MATCH($K$10, 'Availability Model'!$C$1:$T$1, 0))</f>
        <v>940249.84160129016</v>
      </c>
      <c r="R150" s="65">
        <f>R93*INDEX('Availability Model'!$C$67:$T$71, MATCH($K$138,'Availability Model'!$B$67:$B$71, 0), MATCH($K$10, 'Availability Model'!$C$1:$T$1, 0))</f>
        <v>1028257.2267751709</v>
      </c>
      <c r="S150" s="65">
        <f>S93*INDEX('Availability Model'!$C$67:$T$71, MATCH($K$138,'Availability Model'!$B$67:$B$71, 0), MATCH($K$10, 'Availability Model'!$C$1:$T$1, 0))</f>
        <v>1336713.0549337587</v>
      </c>
      <c r="T150" s="65">
        <f>T93*INDEX('Availability Model'!$C$67:$T$71, MATCH($K$138,'Availability Model'!$B$67:$B$71, 0), MATCH($K$10, 'Availability Model'!$C$1:$T$1, 0))</f>
        <v>1461829.3968755584</v>
      </c>
      <c r="U150" s="65">
        <f>U93*INDEX('Availability Model'!$C$67:$T$71, MATCH($K$138,'Availability Model'!$B$67:$B$71, 0), MATCH($K$10, 'Availability Model'!$C$1:$T$1, 0))</f>
        <v>1598656.6284231106</v>
      </c>
      <c r="V150" s="65">
        <f>V93*INDEX('Availability Model'!$C$67:$T$71, MATCH($K$138,'Availability Model'!$B$67:$B$71, 0), MATCH($K$10, 'Availability Model'!$C$1:$T$1, 0))</f>
        <v>1748290.8888435136</v>
      </c>
      <c r="W150" s="65">
        <f>W93*INDEX('Availability Model'!$C$67:$T$71, MATCH($K$138,'Availability Model'!$B$67:$B$71, 0), MATCH($K$10, 'Availability Model'!$C$1:$T$1, 0))</f>
        <v>1911930.9160392662</v>
      </c>
      <c r="X150" s="65">
        <f>X93*INDEX('Availability Model'!$C$67:$T$71, MATCH($K$138,'Availability Model'!$B$67:$B$71, 0), MATCH($K$10, 'Availability Model'!$C$1:$T$1, 0))</f>
        <v>2090887.6497805412</v>
      </c>
      <c r="Y150" s="65">
        <f>Y93*INDEX('Availability Model'!$C$67:$T$71, MATCH($K$138,'Availability Model'!$B$67:$B$71, 0), MATCH($K$10, 'Availability Model'!$C$1:$T$1, 0))</f>
        <v>2286594.7337999996</v>
      </c>
      <c r="Z150" s="65">
        <f>Z93*INDEX('Availability Model'!$C$67:$T$71, MATCH($K$138,'Availability Model'!$B$67:$B$71, 0), MATCH($K$10, 'Availability Model'!$C$1:$T$1, 0))</f>
        <v>2500620.0008836789</v>
      </c>
      <c r="AA150" s="65">
        <f>AA93*INDEX('Availability Model'!$C$67:$T$71, MATCH($K$138,'Availability Model'!$B$67:$B$71, 0), MATCH($K$10, 'Availability Model'!$C$1:$T$1, 0))</f>
        <v>2734678.0329663912</v>
      </c>
      <c r="AB150" s="65">
        <f>AB93*INDEX('Availability Model'!$C$67:$T$71, MATCH($K$138,'Availability Model'!$B$67:$B$71, 0), MATCH($K$10, 'Availability Model'!$C$1:$T$1, 0))</f>
        <v>2990643.8968520453</v>
      </c>
      <c r="AC150" s="65">
        <f>AC93*INDEX('Availability Model'!$C$67:$T$71, MATCH($K$138,'Availability Model'!$B$67:$B$71, 0), MATCH($K$10, 'Availability Model'!$C$1:$T$1, 0))</f>
        <v>3270568.165597396</v>
      </c>
      <c r="AD150" s="65">
        <f>AD93*INDEX('Availability Model'!$C$67:$T$71, MATCH($K$138,'Availability Model'!$B$67:$B$71, 0), MATCH($K$10, 'Availability Model'!$C$1:$T$1, 0))</f>
        <v>3576693.3458973123</v>
      </c>
      <c r="AE150" s="65">
        <f>AE93*INDEX('Availability Model'!$C$67:$T$71, MATCH($K$138,'Availability Model'!$B$67:$B$71, 0), MATCH($K$10, 'Availability Model'!$C$1:$T$1, 0))</f>
        <v>3911471.8430733001</v>
      </c>
      <c r="AF150" s="65">
        <f>AF93*INDEX('Availability Model'!$C$67:$T$71, MATCH($K$138,'Availability Model'!$B$67:$B$71, 0), MATCH($K$10, 'Availability Model'!$C$1:$T$1, 0))</f>
        <v>4277585.6075849608</v>
      </c>
      <c r="AG150" s="65">
        <f>AG93*INDEX('Availability Model'!$C$67:$T$71, MATCH($K$138,'Availability Model'!$B$67:$B$71, 0), MATCH($K$10, 'Availability Model'!$C$1:$T$1, 0))</f>
        <v>4677967.620454913</v>
      </c>
      <c r="AH150" s="65">
        <f>AH93*INDEX('Availability Model'!$C$67:$T$71, MATCH($K$138,'Availability Model'!$B$67:$B$71, 0), MATCH($K$10, 'Availability Model'!$C$1:$T$1, 0))</f>
        <v>5115825.3897294924</v>
      </c>
      <c r="AI150" s="65">
        <f>AI93*INDEX('Availability Model'!$C$67:$T$71, MATCH($K$138,'Availability Model'!$B$67:$B$71, 0), MATCH($K$10, 'Availability Model'!$C$1:$T$1, 0))</f>
        <v>5594666.6462081717</v>
      </c>
      <c r="AJ150" s="65">
        <f>AJ93*INDEX('Availability Model'!$C$67:$T$71, MATCH($K$138,'Availability Model'!$B$67:$B$71, 0), MATCH($K$10, 'Availability Model'!$C$1:$T$1, 0))</f>
        <v>6118327.4442932568</v>
      </c>
      <c r="AK150" s="65">
        <f>AK93*INDEX('Availability Model'!$C$67:$T$71, MATCH($K$138,'Availability Model'!$B$67:$B$71, 0), MATCH($K$10, 'Availability Model'!$C$1:$T$1, 0))</f>
        <v>6691002.8930791048</v>
      </c>
      <c r="AL150" s="65">
        <f>AL93*INDEX('Availability Model'!$C$67:$T$71, MATCH($K$138,'Availability Model'!$B$67:$B$71, 0), MATCH($K$10, 'Availability Model'!$C$1:$T$1, 0))</f>
        <v>7317280.7638713084</v>
      </c>
    </row>
    <row r="151" spans="4:38">
      <c r="D151" s="3" t="s">
        <v>324</v>
      </c>
      <c r="E151" s="16" t="s">
        <v>211</v>
      </c>
      <c r="K151" s="65">
        <f>K95*INDEX('Availability Model'!$C$67:$T$71, MATCH($K$138,'Availability Model'!$B$67:$B$71, 0), MATCH($K$10, 'Availability Model'!$C$1:$T$1, 0))</f>
        <v>14243.399999999998</v>
      </c>
      <c r="L151" s="65">
        <f>L95*INDEX('Availability Model'!$C$67:$T$71, MATCH($K$138,'Availability Model'!$B$67:$B$71, 0), MATCH($K$10, 'Availability Model'!$C$1:$T$1, 0))</f>
        <v>14708.32692016032</v>
      </c>
      <c r="M151" s="65">
        <f>M95*INDEX('Availability Model'!$C$67:$T$71, MATCH($K$138,'Availability Model'!$B$67:$B$71, 0), MATCH($K$10, 'Availability Model'!$C$1:$T$1, 0))</f>
        <v>16770.509914189428</v>
      </c>
      <c r="N151" s="65">
        <f>N95*INDEX('Availability Model'!$C$67:$T$71, MATCH($K$138,'Availability Model'!$B$67:$B$71, 0), MATCH($K$10, 'Availability Model'!$C$1:$T$1, 0))</f>
        <v>45902.428793536092</v>
      </c>
      <c r="O151" s="65">
        <f>O95*INDEX('Availability Model'!$C$67:$T$71, MATCH($K$138,'Availability Model'!$B$67:$B$71, 0), MATCH($K$10, 'Availability Model'!$C$1:$T$1, 0))</f>
        <v>50076.559323573456</v>
      </c>
      <c r="P151" s="65">
        <f>P95*INDEX('Availability Model'!$C$67:$T$71, MATCH($K$138,'Availability Model'!$B$67:$B$71, 0), MATCH($K$10, 'Availability Model'!$C$1:$T$1, 0))</f>
        <v>54763.725276259931</v>
      </c>
      <c r="Q151" s="65">
        <f>Q95*INDEX('Availability Model'!$C$67:$T$71, MATCH($K$138,'Availability Model'!$B$67:$B$71, 0), MATCH($K$10, 'Availability Model'!$C$1:$T$1, 0))</f>
        <v>59889.609962117851</v>
      </c>
      <c r="R151" s="65">
        <f>R95*INDEX('Availability Model'!$C$67:$T$71, MATCH($K$138,'Availability Model'!$B$67:$B$71, 0), MATCH($K$10, 'Availability Model'!$C$1:$T$1, 0))</f>
        <v>65495.277454572075</v>
      </c>
      <c r="S151" s="65">
        <f>S95*INDEX('Availability Model'!$C$67:$T$71, MATCH($K$138,'Availability Model'!$B$67:$B$71, 0), MATCH($K$10, 'Availability Model'!$C$1:$T$1, 0))</f>
        <v>71625.635424320019</v>
      </c>
      <c r="T151" s="65">
        <f>T95*INDEX('Availability Model'!$C$67:$T$71, MATCH($K$138,'Availability Model'!$B$67:$B$71, 0), MATCH($K$10, 'Availability Model'!$C$1:$T$1, 0))</f>
        <v>78329.794900036373</v>
      </c>
      <c r="U151" s="65">
        <f>U95*INDEX('Availability Model'!$C$67:$T$71, MATCH($K$138,'Availability Model'!$B$67:$B$71, 0), MATCH($K$10, 'Availability Model'!$C$1:$T$1, 0))</f>
        <v>85661.463702679772</v>
      </c>
      <c r="V151" s="65">
        <f>V95*INDEX('Availability Model'!$C$67:$T$71, MATCH($K$138,'Availability Model'!$B$67:$B$71, 0), MATCH($K$10, 'Availability Model'!$C$1:$T$1, 0))</f>
        <v>93679.376705250586</v>
      </c>
      <c r="W151" s="65">
        <f>W95*INDEX('Availability Model'!$C$67:$T$71, MATCH($K$138,'Availability Model'!$B$67:$B$71, 0), MATCH($K$10, 'Availability Model'!$C$1:$T$1, 0))</f>
        <v>102447.76636486202</v>
      </c>
      <c r="X151" s="65">
        <f>X95*INDEX('Availability Model'!$C$67:$T$71, MATCH($K$138,'Availability Model'!$B$67:$B$71, 0), MATCH($K$10, 'Availability Model'!$C$1:$T$1, 0))</f>
        <v>112036.87729661312</v>
      </c>
      <c r="Y151" s="65">
        <f>Y95*INDEX('Availability Model'!$C$67:$T$71, MATCH($K$138,'Availability Model'!$B$67:$B$71, 0), MATCH($K$10, 'Availability Model'!$C$1:$T$1, 0))</f>
        <v>122523.52901157609</v>
      </c>
      <c r="Z151" s="65">
        <f>Z95*INDEX('Availability Model'!$C$67:$T$71, MATCH($K$138,'Availability Model'!$B$67:$B$71, 0), MATCH($K$10, 'Availability Model'!$C$1:$T$1, 0))</f>
        <v>133991.73132705959</v>
      </c>
      <c r="AA151" s="65">
        <f>AA95*INDEX('Availability Model'!$C$67:$T$71, MATCH($K$138,'Availability Model'!$B$67:$B$71, 0), MATCH($K$10, 'Availability Model'!$C$1:$T$1, 0))</f>
        <v>146533.35737927235</v>
      </c>
      <c r="AB151" s="65">
        <f>AB95*INDEX('Availability Model'!$C$67:$T$71, MATCH($K$138,'Availability Model'!$B$67:$B$71, 0), MATCH($K$10, 'Availability Model'!$C$1:$T$1, 0))</f>
        <v>160248.87962997225</v>
      </c>
      <c r="AC151" s="65">
        <f>AC95*INDEX('Availability Model'!$C$67:$T$71, MATCH($K$138,'Availability Model'!$B$67:$B$71, 0), MATCH($K$10, 'Availability Model'!$C$1:$T$1, 0))</f>
        <v>175248.17476333768</v>
      </c>
      <c r="AD151" s="65">
        <f>AD95*INDEX('Availability Model'!$C$67:$T$71, MATCH($K$138,'Availability Model'!$B$67:$B$71, 0), MATCH($K$10, 'Availability Model'!$C$1:$T$1, 0))</f>
        <v>191651.40392118602</v>
      </c>
      <c r="AE151" s="65">
        <f>AE95*INDEX('Availability Model'!$C$67:$T$71, MATCH($K$138,'Availability Model'!$B$67:$B$71, 0), MATCH($K$10, 'Availability Model'!$C$1:$T$1, 0))</f>
        <v>209589.97532820905</v>
      </c>
      <c r="AF151" s="65">
        <f>AF95*INDEX('Availability Model'!$C$67:$T$71, MATCH($K$138,'Availability Model'!$B$67:$B$71, 0), MATCH($K$10, 'Availability Model'!$C$1:$T$1, 0))</f>
        <v>229207.5970189294</v>
      </c>
      <c r="AG151" s="65">
        <f>AG95*INDEX('Availability Model'!$C$67:$T$71, MATCH($K$138,'Availability Model'!$B$67:$B$71, 0), MATCH($K$10, 'Availability Model'!$C$1:$T$1, 0))</f>
        <v>250661.42809990118</v>
      </c>
      <c r="AH151" s="65">
        <f>AH95*INDEX('Availability Model'!$C$67:$T$71, MATCH($K$138,'Availability Model'!$B$67:$B$71, 0), MATCH($K$10, 'Availability Model'!$C$1:$T$1, 0))</f>
        <v>274123.3377700519</v>
      </c>
      <c r="AI151" s="65">
        <f>AI95*INDEX('Availability Model'!$C$67:$T$71, MATCH($K$138,'Availability Model'!$B$67:$B$71, 0), MATCH($K$10, 'Availability Model'!$C$1:$T$1, 0))</f>
        <v>299781.28218532878</v>
      </c>
      <c r="AJ151" s="65">
        <f>AJ95*INDEX('Availability Model'!$C$67:$T$71, MATCH($K$138,'Availability Model'!$B$67:$B$71, 0), MATCH($K$10, 'Availability Model'!$C$1:$T$1, 0))</f>
        <v>327840.81019787549</v>
      </c>
      <c r="AK151" s="65">
        <f>AK95*INDEX('Availability Model'!$C$67:$T$71, MATCH($K$138,'Availability Model'!$B$67:$B$71, 0), MATCH($K$10, 'Availability Model'!$C$1:$T$1, 0))</f>
        <v>358526.71003239666</v>
      </c>
      <c r="AL151" s="65">
        <f>AL95*INDEX('Availability Model'!$C$67:$T$71, MATCH($K$138,'Availability Model'!$B$67:$B$71, 0), MATCH($K$10, 'Availability Model'!$C$1:$T$1, 0))</f>
        <v>392084.81009142887</v>
      </c>
    </row>
    <row r="152" spans="4:38">
      <c r="D152" s="3" t="s">
        <v>321</v>
      </c>
      <c r="E152" s="3" t="s">
        <v>211</v>
      </c>
      <c r="K152" s="65">
        <f>IF(K27&gt;0,K150+K151,0)</f>
        <v>204582.41249999998</v>
      </c>
      <c r="L152" s="65">
        <f t="shared" ref="L152:AL152" si="68">IF(L27&gt;0,L150+L151,0)</f>
        <v>211260.3033801686</v>
      </c>
      <c r="M152" s="65">
        <f t="shared" si="68"/>
        <v>240880.0832034515</v>
      </c>
      <c r="N152" s="65">
        <f t="shared" si="68"/>
        <v>659310.95259496151</v>
      </c>
      <c r="O152" s="65">
        <f t="shared" si="68"/>
        <v>0</v>
      </c>
      <c r="P152" s="65">
        <f t="shared" si="68"/>
        <v>0</v>
      </c>
      <c r="Q152" s="65">
        <f t="shared" si="68"/>
        <v>0</v>
      </c>
      <c r="R152" s="65">
        <f t="shared" si="68"/>
        <v>0</v>
      </c>
      <c r="S152" s="65">
        <f t="shared" si="68"/>
        <v>0</v>
      </c>
      <c r="T152" s="65">
        <f t="shared" si="68"/>
        <v>0</v>
      </c>
      <c r="U152" s="65">
        <f t="shared" si="68"/>
        <v>0</v>
      </c>
      <c r="V152" s="65">
        <f t="shared" si="68"/>
        <v>0</v>
      </c>
      <c r="W152" s="65">
        <f t="shared" si="68"/>
        <v>0</v>
      </c>
      <c r="X152" s="65">
        <f t="shared" si="68"/>
        <v>0</v>
      </c>
      <c r="Y152" s="65">
        <f t="shared" si="68"/>
        <v>0</v>
      </c>
      <c r="Z152" s="65">
        <f t="shared" si="68"/>
        <v>0</v>
      </c>
      <c r="AA152" s="65">
        <f t="shared" si="68"/>
        <v>0</v>
      </c>
      <c r="AB152" s="65">
        <f t="shared" si="68"/>
        <v>0</v>
      </c>
      <c r="AC152" s="65">
        <f t="shared" si="68"/>
        <v>3445816.3403607337</v>
      </c>
      <c r="AD152" s="65">
        <f t="shared" si="68"/>
        <v>3768344.7498184983</v>
      </c>
      <c r="AE152" s="65">
        <f t="shared" si="68"/>
        <v>4121061.818401509</v>
      </c>
      <c r="AF152" s="65">
        <f t="shared" si="68"/>
        <v>4506793.20460389</v>
      </c>
      <c r="AG152" s="65">
        <f t="shared" si="68"/>
        <v>4928629.0485548144</v>
      </c>
      <c r="AH152" s="65">
        <f t="shared" si="68"/>
        <v>5389948.7274995446</v>
      </c>
      <c r="AI152" s="65">
        <f t="shared" si="68"/>
        <v>5894447.9283935009</v>
      </c>
      <c r="AJ152" s="65">
        <f t="shared" si="68"/>
        <v>6446168.2544911327</v>
      </c>
      <c r="AK152" s="65">
        <f t="shared" si="68"/>
        <v>7049529.6031115018</v>
      </c>
      <c r="AL152" s="65">
        <f t="shared" si="68"/>
        <v>7709365.5739627369</v>
      </c>
    </row>
    <row r="153" spans="4:38">
      <c r="D153" s="7"/>
      <c r="E153" s="16"/>
    </row>
    <row r="154" spans="4:38" ht="18">
      <c r="D154" s="15" t="s">
        <v>249</v>
      </c>
    </row>
    <row r="155" spans="4:38" ht="15">
      <c r="D155" s="100" t="s">
        <v>250</v>
      </c>
      <c r="E155" s="101"/>
      <c r="F155" s="101"/>
      <c r="G155" s="101"/>
      <c r="H155" s="101"/>
      <c r="I155" s="101"/>
      <c r="J155" s="101"/>
      <c r="K155" s="101"/>
    </row>
    <row r="156" spans="4:38">
      <c r="D156" s="102" t="s">
        <v>299</v>
      </c>
      <c r="E156" s="103" t="s">
        <v>169</v>
      </c>
      <c r="F156" s="101"/>
      <c r="G156" s="101"/>
      <c r="H156" s="101"/>
      <c r="I156" s="101"/>
      <c r="J156" s="101"/>
      <c r="K156" s="101" t="str">
        <f>Inputs!E69</f>
        <v>Low</v>
      </c>
      <c r="M156" s="7"/>
    </row>
    <row r="157" spans="4:38">
      <c r="D157" s="102" t="s">
        <v>329</v>
      </c>
      <c r="E157" s="103" t="s">
        <v>303</v>
      </c>
      <c r="F157" s="101"/>
      <c r="G157" s="101"/>
      <c r="H157" s="101"/>
      <c r="I157" s="101"/>
      <c r="J157" s="101"/>
      <c r="K157" s="101">
        <f>INDEX('Availability Model'!$C$4:$T$8, MATCH($K$129,'Availability Model'!$B$4:$B$8, 0), MATCH($K$10, 'Availability Model'!$C$1:$T$1, 0))</f>
        <v>2</v>
      </c>
      <c r="M157" s="7"/>
    </row>
    <row r="158" spans="4:38">
      <c r="D158" s="102" t="s">
        <v>301</v>
      </c>
      <c r="E158" s="103" t="s">
        <v>106</v>
      </c>
      <c r="F158" s="101"/>
      <c r="G158" s="101"/>
      <c r="H158" s="101"/>
      <c r="I158" s="101"/>
      <c r="J158" s="101"/>
      <c r="K158" s="101"/>
      <c r="M158" s="7"/>
    </row>
    <row r="159" spans="4:38">
      <c r="D159" s="102" t="s">
        <v>302</v>
      </c>
      <c r="E159" s="103" t="s">
        <v>106</v>
      </c>
      <c r="F159" s="101"/>
      <c r="G159" s="101"/>
      <c r="H159" s="101"/>
      <c r="I159" s="101"/>
      <c r="J159" s="101"/>
      <c r="K159" s="101">
        <f>Inputs!E132</f>
        <v>376680</v>
      </c>
      <c r="M159" s="7"/>
    </row>
    <row r="160" spans="4:38">
      <c r="D160" s="102" t="s">
        <v>326</v>
      </c>
      <c r="E160" s="103" t="s">
        <v>106</v>
      </c>
      <c r="F160" s="101"/>
      <c r="G160" s="101"/>
      <c r="H160" s="101"/>
      <c r="I160" s="101"/>
      <c r="J160" s="101"/>
      <c r="K160" s="101">
        <f>K158-K159</f>
        <v>-376680</v>
      </c>
      <c r="M160" s="7"/>
    </row>
    <row r="161" spans="4:38">
      <c r="D161" s="7"/>
    </row>
    <row r="163" spans="4:38" ht="15">
      <c r="D163" s="4" t="s">
        <v>137</v>
      </c>
    </row>
    <row r="164" spans="4:38">
      <c r="D164" s="7" t="s">
        <v>299</v>
      </c>
      <c r="E164" s="16" t="s">
        <v>169</v>
      </c>
      <c r="K164" t="str">
        <f>Inputs!E70</f>
        <v>Good</v>
      </c>
      <c r="L164" t="str">
        <f>Inputs!F70</f>
        <v>Good</v>
      </c>
      <c r="M164" t="str">
        <f>Inputs!G70</f>
        <v>Good</v>
      </c>
      <c r="N164" t="str">
        <f>Inputs!H70</f>
        <v>Good</v>
      </c>
      <c r="O164" t="str">
        <f>Inputs!I70</f>
        <v>Good</v>
      </c>
      <c r="P164" t="str">
        <f>Inputs!J70</f>
        <v>Good</v>
      </c>
      <c r="Q164" t="str">
        <f>P164</f>
        <v>Good</v>
      </c>
      <c r="R164" t="str">
        <f t="shared" ref="R164:AL164" si="69">Q164</f>
        <v>Good</v>
      </c>
      <c r="S164" t="str">
        <f t="shared" si="69"/>
        <v>Good</v>
      </c>
      <c r="T164" t="str">
        <f t="shared" si="69"/>
        <v>Good</v>
      </c>
      <c r="U164" t="str">
        <f t="shared" si="69"/>
        <v>Good</v>
      </c>
      <c r="V164" t="str">
        <f t="shared" si="69"/>
        <v>Good</v>
      </c>
      <c r="W164" t="str">
        <f t="shared" si="69"/>
        <v>Good</v>
      </c>
      <c r="X164" t="str">
        <f t="shared" si="69"/>
        <v>Good</v>
      </c>
      <c r="Y164" t="str">
        <f t="shared" si="69"/>
        <v>Good</v>
      </c>
      <c r="Z164" t="str">
        <f t="shared" si="69"/>
        <v>Good</v>
      </c>
      <c r="AA164" t="str">
        <f t="shared" si="69"/>
        <v>Good</v>
      </c>
      <c r="AB164" t="str">
        <f t="shared" si="69"/>
        <v>Good</v>
      </c>
      <c r="AC164" t="str">
        <f t="shared" si="69"/>
        <v>Good</v>
      </c>
      <c r="AD164" t="str">
        <f t="shared" si="69"/>
        <v>Good</v>
      </c>
      <c r="AE164" t="str">
        <f t="shared" si="69"/>
        <v>Good</v>
      </c>
      <c r="AF164" t="str">
        <f t="shared" si="69"/>
        <v>Good</v>
      </c>
      <c r="AG164" t="str">
        <f t="shared" si="69"/>
        <v>Good</v>
      </c>
      <c r="AH164" t="str">
        <f t="shared" si="69"/>
        <v>Good</v>
      </c>
      <c r="AI164" t="str">
        <f t="shared" si="69"/>
        <v>Good</v>
      </c>
      <c r="AJ164" t="str">
        <f t="shared" si="69"/>
        <v>Good</v>
      </c>
      <c r="AK164" t="str">
        <f t="shared" si="69"/>
        <v>Good</v>
      </c>
      <c r="AL164" t="str">
        <f t="shared" si="69"/>
        <v>Good</v>
      </c>
    </row>
    <row r="165" spans="4:38">
      <c r="D165" s="7" t="s">
        <v>300</v>
      </c>
      <c r="E165" s="16" t="s">
        <v>303</v>
      </c>
      <c r="K165">
        <f>INDEX('Availability Model'!$C$81:$T$84, MATCH($K$164,'Availability Model'!$B$81:$B$84, 0), MATCH($K$10, 'Availability Model'!$C$1:$T$1, 0))</f>
        <v>0</v>
      </c>
      <c r="L165">
        <f>INDEX('Availability Model'!$C$81:$T$84, MATCH($K$164,'Availability Model'!$B$81:$B$84, 0), MATCH($K$10, 'Availability Model'!$C$1:$T$1, 0))</f>
        <v>0</v>
      </c>
      <c r="M165">
        <f>INDEX('Availability Model'!$C$81:$T$84, MATCH($K$164,'Availability Model'!$B$81:$B$84, 0), MATCH($K$10, 'Availability Model'!$C$1:$T$1, 0))</f>
        <v>0</v>
      </c>
      <c r="N165">
        <f>INDEX('Availability Model'!$C$81:$T$84, MATCH($K$164,'Availability Model'!$B$81:$B$84, 0), MATCH($K$10, 'Availability Model'!$C$1:$T$1, 0))</f>
        <v>0</v>
      </c>
      <c r="O165">
        <f>INDEX('Availability Model'!$C$81:$T$84, MATCH($K$164,'Availability Model'!$B$81:$B$84, 0), MATCH($K$10, 'Availability Model'!$C$1:$T$1, 0))</f>
        <v>0</v>
      </c>
      <c r="P165">
        <f>INDEX('Availability Model'!$C$81:$T$84, MATCH($K$164,'Availability Model'!$B$81:$B$84, 0), MATCH($K$10, 'Availability Model'!$C$1:$T$1, 0))</f>
        <v>0</v>
      </c>
      <c r="Q165">
        <f>INDEX('Availability Model'!$C$81:$T$84, MATCH($K$164,'Availability Model'!$B$81:$B$84, 0), MATCH($K$10, 'Availability Model'!$C$1:$T$1, 0))</f>
        <v>0</v>
      </c>
      <c r="R165">
        <f>INDEX('Availability Model'!$C$81:$T$84, MATCH($K$164,'Availability Model'!$B$81:$B$84, 0), MATCH($K$10, 'Availability Model'!$C$1:$T$1, 0))</f>
        <v>0</v>
      </c>
      <c r="S165">
        <f>INDEX('Availability Model'!$C$81:$T$84, MATCH($K$164,'Availability Model'!$B$81:$B$84, 0), MATCH($K$10, 'Availability Model'!$C$1:$T$1, 0))</f>
        <v>0</v>
      </c>
      <c r="T165">
        <f>INDEX('Availability Model'!$C$81:$T$84, MATCH($K$164,'Availability Model'!$B$81:$B$84, 0), MATCH($K$10, 'Availability Model'!$C$1:$T$1, 0))</f>
        <v>0</v>
      </c>
      <c r="U165">
        <f>INDEX('Availability Model'!$C$81:$T$84, MATCH($K$164,'Availability Model'!$B$81:$B$84, 0), MATCH($K$10, 'Availability Model'!$C$1:$T$1, 0))</f>
        <v>0</v>
      </c>
      <c r="V165">
        <f>INDEX('Availability Model'!$C$81:$T$84, MATCH($K$164,'Availability Model'!$B$81:$B$84, 0), MATCH($K$10, 'Availability Model'!$C$1:$T$1, 0))</f>
        <v>0</v>
      </c>
      <c r="W165">
        <f>INDEX('Availability Model'!$C$81:$T$84, MATCH($K$164,'Availability Model'!$B$81:$B$84, 0), MATCH($K$10, 'Availability Model'!$C$1:$T$1, 0))</f>
        <v>0</v>
      </c>
      <c r="X165">
        <f>INDEX('Availability Model'!$C$81:$T$84, MATCH($K$164,'Availability Model'!$B$81:$B$84, 0), MATCH($K$10, 'Availability Model'!$C$1:$T$1, 0))</f>
        <v>0</v>
      </c>
      <c r="Y165">
        <f>INDEX('Availability Model'!$C$81:$T$84, MATCH($K$164,'Availability Model'!$B$81:$B$84, 0), MATCH($K$10, 'Availability Model'!$C$1:$T$1, 0))</f>
        <v>0</v>
      </c>
      <c r="Z165">
        <f>INDEX('Availability Model'!$C$81:$T$84, MATCH($K$164,'Availability Model'!$B$81:$B$84, 0), MATCH($K$10, 'Availability Model'!$C$1:$T$1, 0))</f>
        <v>0</v>
      </c>
      <c r="AA165">
        <f>INDEX('Availability Model'!$C$81:$T$84, MATCH($K$164,'Availability Model'!$B$81:$B$84, 0), MATCH($K$10, 'Availability Model'!$C$1:$T$1, 0))</f>
        <v>0</v>
      </c>
      <c r="AB165">
        <f>INDEX('Availability Model'!$C$81:$T$84, MATCH($K$164,'Availability Model'!$B$81:$B$84, 0), MATCH($K$10, 'Availability Model'!$C$1:$T$1, 0))</f>
        <v>0</v>
      </c>
      <c r="AC165">
        <f>INDEX('Availability Model'!$C$81:$T$84, MATCH($K$164,'Availability Model'!$B$81:$B$84, 0), MATCH($K$10, 'Availability Model'!$C$1:$T$1, 0))</f>
        <v>0</v>
      </c>
      <c r="AD165">
        <f>INDEX('Availability Model'!$C$81:$T$84, MATCH($K$164,'Availability Model'!$B$81:$B$84, 0), MATCH($K$10, 'Availability Model'!$C$1:$T$1, 0))</f>
        <v>0</v>
      </c>
      <c r="AE165">
        <f>INDEX('Availability Model'!$C$81:$T$84, MATCH($K$164,'Availability Model'!$B$81:$B$84, 0), MATCH($K$10, 'Availability Model'!$C$1:$T$1, 0))</f>
        <v>0</v>
      </c>
      <c r="AF165">
        <f>INDEX('Availability Model'!$C$81:$T$84, MATCH($K$164,'Availability Model'!$B$81:$B$84, 0), MATCH($K$10, 'Availability Model'!$C$1:$T$1, 0))</f>
        <v>0</v>
      </c>
      <c r="AG165">
        <f>INDEX('Availability Model'!$C$81:$T$84, MATCH($K$164,'Availability Model'!$B$81:$B$84, 0), MATCH($K$10, 'Availability Model'!$C$1:$T$1, 0))</f>
        <v>0</v>
      </c>
      <c r="AH165">
        <f>INDEX('Availability Model'!$C$81:$T$84, MATCH($K$164,'Availability Model'!$B$81:$B$84, 0), MATCH($K$10, 'Availability Model'!$C$1:$T$1, 0))</f>
        <v>0</v>
      </c>
      <c r="AI165">
        <f>INDEX('Availability Model'!$C$81:$T$84, MATCH($K$164,'Availability Model'!$B$81:$B$84, 0), MATCH($K$10, 'Availability Model'!$C$1:$T$1, 0))</f>
        <v>0</v>
      </c>
      <c r="AJ165">
        <f>INDEX('Availability Model'!$C$81:$T$84, MATCH($K$164,'Availability Model'!$B$81:$B$84, 0), MATCH($K$10, 'Availability Model'!$C$1:$T$1, 0))</f>
        <v>0</v>
      </c>
      <c r="AK165">
        <f>INDEX('Availability Model'!$C$81:$T$84, MATCH($K$164,'Availability Model'!$B$81:$B$84, 0), MATCH($K$10, 'Availability Model'!$C$1:$T$1, 0))</f>
        <v>0</v>
      </c>
      <c r="AL165">
        <f>INDEX('Availability Model'!$C$81:$T$84, MATCH($K$164,'Availability Model'!$B$81:$B$84, 0), MATCH($K$10, 'Availability Model'!$C$1:$T$1, 0))</f>
        <v>0</v>
      </c>
    </row>
    <row r="166" spans="4:38">
      <c r="D166" s="7" t="s">
        <v>312</v>
      </c>
      <c r="E166" s="16" t="s">
        <v>106</v>
      </c>
      <c r="K166">
        <f>K165*INDEX('Availability Model'!$C$81:$T$84, MATCH($K$164,'Availability Model'!$B$81:$B$84, 0), MATCH($K$10, 'Availability Model'!$C$1:$T$1, 0))</f>
        <v>0</v>
      </c>
      <c r="L166">
        <f>L165*INDEX('Availability Model'!$C$81:$T$84, MATCH($K$164,'Availability Model'!$B$81:$B$84, 0), MATCH($K$10, 'Availability Model'!$C$1:$T$1, 0))</f>
        <v>0</v>
      </c>
      <c r="M166">
        <f>M165*INDEX('Availability Model'!$C$81:$T$84, MATCH($K$164,'Availability Model'!$B$81:$B$84, 0), MATCH($K$10, 'Availability Model'!$C$1:$T$1, 0))</f>
        <v>0</v>
      </c>
      <c r="N166">
        <f>N165*INDEX('Availability Model'!$C$81:$T$84, MATCH($K$164,'Availability Model'!$B$81:$B$84, 0), MATCH($K$10, 'Availability Model'!$C$1:$T$1, 0))</f>
        <v>0</v>
      </c>
      <c r="O166">
        <f>O165*INDEX('Availability Model'!$C$81:$T$84, MATCH($K$164,'Availability Model'!$B$81:$B$84, 0), MATCH($K$10, 'Availability Model'!$C$1:$T$1, 0))</f>
        <v>0</v>
      </c>
      <c r="P166">
        <f>P165*INDEX('Availability Model'!$C$81:$T$84, MATCH($K$164,'Availability Model'!$B$81:$B$84, 0), MATCH($K$10, 'Availability Model'!$C$1:$T$1, 0))</f>
        <v>0</v>
      </c>
      <c r="Q166">
        <f>Q165*INDEX('Availability Model'!$C$81:$T$84, MATCH($K$164,'Availability Model'!$B$81:$B$84, 0), MATCH($K$10, 'Availability Model'!$C$1:$T$1, 0))</f>
        <v>0</v>
      </c>
      <c r="R166">
        <f>R165*INDEX('Availability Model'!$C$81:$T$84, MATCH($K$164,'Availability Model'!$B$81:$B$84, 0), MATCH($K$10, 'Availability Model'!$C$1:$T$1, 0))</f>
        <v>0</v>
      </c>
      <c r="S166">
        <f>S165*INDEX('Availability Model'!$C$81:$T$84, MATCH($K$164,'Availability Model'!$B$81:$B$84, 0), MATCH($K$10, 'Availability Model'!$C$1:$T$1, 0))</f>
        <v>0</v>
      </c>
      <c r="T166">
        <f>T165*INDEX('Availability Model'!$C$81:$T$84, MATCH($K$164,'Availability Model'!$B$81:$B$84, 0), MATCH($K$10, 'Availability Model'!$C$1:$T$1, 0))</f>
        <v>0</v>
      </c>
      <c r="U166">
        <f>U165*INDEX('Availability Model'!$C$81:$T$84, MATCH($K$164,'Availability Model'!$B$81:$B$84, 0), MATCH($K$10, 'Availability Model'!$C$1:$T$1, 0))</f>
        <v>0</v>
      </c>
      <c r="V166">
        <f>V165*INDEX('Availability Model'!$C$81:$T$84, MATCH($K$164,'Availability Model'!$B$81:$B$84, 0), MATCH($K$10, 'Availability Model'!$C$1:$T$1, 0))</f>
        <v>0</v>
      </c>
      <c r="W166">
        <f>W165*INDEX('Availability Model'!$C$81:$T$84, MATCH($K$164,'Availability Model'!$B$81:$B$84, 0), MATCH($K$10, 'Availability Model'!$C$1:$T$1, 0))</f>
        <v>0</v>
      </c>
      <c r="X166">
        <f>X165*INDEX('Availability Model'!$C$81:$T$84, MATCH($K$164,'Availability Model'!$B$81:$B$84, 0), MATCH($K$10, 'Availability Model'!$C$1:$T$1, 0))</f>
        <v>0</v>
      </c>
      <c r="Y166">
        <f>Y165*INDEX('Availability Model'!$C$81:$T$84, MATCH($K$164,'Availability Model'!$B$81:$B$84, 0), MATCH($K$10, 'Availability Model'!$C$1:$T$1, 0))</f>
        <v>0</v>
      </c>
      <c r="Z166">
        <f>Z165*INDEX('Availability Model'!$C$81:$T$84, MATCH($K$164,'Availability Model'!$B$81:$B$84, 0), MATCH($K$10, 'Availability Model'!$C$1:$T$1, 0))</f>
        <v>0</v>
      </c>
      <c r="AA166">
        <f>AA165*INDEX('Availability Model'!$C$81:$T$84, MATCH($K$164,'Availability Model'!$B$81:$B$84, 0), MATCH($K$10, 'Availability Model'!$C$1:$T$1, 0))</f>
        <v>0</v>
      </c>
      <c r="AB166">
        <f>AB165*INDEX('Availability Model'!$C$81:$T$84, MATCH($K$164,'Availability Model'!$B$81:$B$84, 0), MATCH($K$10, 'Availability Model'!$C$1:$T$1, 0))</f>
        <v>0</v>
      </c>
      <c r="AC166">
        <f>AC165*INDEX('Availability Model'!$C$81:$T$84, MATCH($K$164,'Availability Model'!$B$81:$B$84, 0), MATCH($K$10, 'Availability Model'!$C$1:$T$1, 0))</f>
        <v>0</v>
      </c>
      <c r="AD166">
        <f>AD165*INDEX('Availability Model'!$C$81:$T$84, MATCH($K$164,'Availability Model'!$B$81:$B$84, 0), MATCH($K$10, 'Availability Model'!$C$1:$T$1, 0))</f>
        <v>0</v>
      </c>
      <c r="AE166">
        <f>AE165*INDEX('Availability Model'!$C$81:$T$84, MATCH($K$164,'Availability Model'!$B$81:$B$84, 0), MATCH($K$10, 'Availability Model'!$C$1:$T$1, 0))</f>
        <v>0</v>
      </c>
      <c r="AF166">
        <f>AF165*INDEX('Availability Model'!$C$81:$T$84, MATCH($K$164,'Availability Model'!$B$81:$B$84, 0), MATCH($K$10, 'Availability Model'!$C$1:$T$1, 0))</f>
        <v>0</v>
      </c>
      <c r="AG166">
        <f>AG165*INDEX('Availability Model'!$C$81:$T$84, MATCH($K$164,'Availability Model'!$B$81:$B$84, 0), MATCH($K$10, 'Availability Model'!$C$1:$T$1, 0))</f>
        <v>0</v>
      </c>
      <c r="AH166">
        <f>AH165*INDEX('Availability Model'!$C$81:$T$84, MATCH($K$164,'Availability Model'!$B$81:$B$84, 0), MATCH($K$10, 'Availability Model'!$C$1:$T$1, 0))</f>
        <v>0</v>
      </c>
      <c r="AI166">
        <f>AI165*INDEX('Availability Model'!$C$81:$T$84, MATCH($K$164,'Availability Model'!$B$81:$B$84, 0), MATCH($K$10, 'Availability Model'!$C$1:$T$1, 0))</f>
        <v>0</v>
      </c>
      <c r="AJ166">
        <f>AJ165*INDEX('Availability Model'!$C$81:$T$84, MATCH($K$164,'Availability Model'!$B$81:$B$84, 0), MATCH($K$10, 'Availability Model'!$C$1:$T$1, 0))</f>
        <v>0</v>
      </c>
      <c r="AK166">
        <f>AK165*INDEX('Availability Model'!$C$81:$T$84, MATCH($K$164,'Availability Model'!$B$81:$B$84, 0), MATCH($K$10, 'Availability Model'!$C$1:$T$1, 0))</f>
        <v>0</v>
      </c>
      <c r="AL166">
        <f>AL165*INDEX('Availability Model'!$C$81:$T$84, MATCH($K$164,'Availability Model'!$B$81:$B$84, 0), MATCH($K$10, 'Availability Model'!$C$1:$T$1, 0))</f>
        <v>0</v>
      </c>
    </row>
    <row r="167" spans="4:38">
      <c r="D167" s="7" t="s">
        <v>302</v>
      </c>
      <c r="E167" s="16" t="s">
        <v>106</v>
      </c>
      <c r="K167" s="65">
        <f>K141</f>
        <v>1.8129533678756478</v>
      </c>
      <c r="L167" s="65">
        <f t="shared" ref="L167:AL167" si="70">L141</f>
        <v>1.9066551166747128</v>
      </c>
      <c r="M167" s="65">
        <f t="shared" si="70"/>
        <v>1.8367738032705883</v>
      </c>
      <c r="N167" s="65">
        <f t="shared" si="70"/>
        <v>1.8815339776532183</v>
      </c>
      <c r="O167" s="65">
        <f t="shared" si="70"/>
        <v>2.3849090588321165</v>
      </c>
      <c r="P167" s="65">
        <f t="shared" si="70"/>
        <v>2.3887033302261771</v>
      </c>
      <c r="Q167" s="65">
        <f t="shared" si="70"/>
        <v>2.1788094609974449</v>
      </c>
      <c r="R167" s="65">
        <f t="shared" si="70"/>
        <v>2.1788094609974449</v>
      </c>
      <c r="S167" s="65">
        <f t="shared" si="70"/>
        <v>1.9916666207998832</v>
      </c>
      <c r="T167" s="65">
        <f t="shared" si="70"/>
        <v>1.9943835156513896</v>
      </c>
      <c r="U167" s="65">
        <f t="shared" si="70"/>
        <v>1.9916666207998832</v>
      </c>
      <c r="V167" s="65">
        <f t="shared" si="70"/>
        <v>1.9916666207998832</v>
      </c>
      <c r="W167" s="65">
        <f t="shared" si="70"/>
        <v>1.9916666207998832</v>
      </c>
      <c r="X167" s="65">
        <f t="shared" si="70"/>
        <v>1.9943835156513896</v>
      </c>
      <c r="Y167" s="65">
        <f t="shared" si="70"/>
        <v>1.9916666207998832</v>
      </c>
      <c r="Z167" s="65">
        <f t="shared" si="70"/>
        <v>1.9916666207998832</v>
      </c>
      <c r="AA167" s="65">
        <f t="shared" si="70"/>
        <v>1.9916666207998832</v>
      </c>
      <c r="AB167" s="65">
        <f t="shared" si="70"/>
        <v>1.9943835156513896</v>
      </c>
      <c r="AC167" s="65">
        <f t="shared" si="70"/>
        <v>1.560222150058483</v>
      </c>
      <c r="AD167" s="65">
        <f t="shared" si="70"/>
        <v>1.560222150058483</v>
      </c>
      <c r="AE167" s="65">
        <f t="shared" si="70"/>
        <v>1.560222150058483</v>
      </c>
      <c r="AF167" s="65">
        <f t="shared" si="70"/>
        <v>1.5629390449099894</v>
      </c>
      <c r="AG167" s="65">
        <f t="shared" si="70"/>
        <v>1.560222150058483</v>
      </c>
      <c r="AH167" s="65">
        <f t="shared" si="70"/>
        <v>1.560222150058483</v>
      </c>
      <c r="AI167" s="65">
        <f t="shared" si="70"/>
        <v>1.560222150058483</v>
      </c>
      <c r="AJ167" s="65">
        <f t="shared" si="70"/>
        <v>1.5629390449099894</v>
      </c>
      <c r="AK167" s="65">
        <f t="shared" si="70"/>
        <v>1.560222150058483</v>
      </c>
      <c r="AL167" s="65">
        <f t="shared" si="70"/>
        <v>1.560222150058483</v>
      </c>
    </row>
    <row r="168" spans="4:38">
      <c r="D168" s="7" t="s">
        <v>313</v>
      </c>
      <c r="E168" s="16" t="s">
        <v>106</v>
      </c>
      <c r="K168" s="89">
        <f>IF((K166-K167)&gt;0, K166-K167,0)</f>
        <v>0</v>
      </c>
      <c r="L168" s="89">
        <f t="shared" ref="L168:AL168" si="71">IF((L166-L167)&gt;0, L166-L167,0)</f>
        <v>0</v>
      </c>
      <c r="M168" s="89">
        <f t="shared" si="71"/>
        <v>0</v>
      </c>
      <c r="N168" s="89">
        <f t="shared" si="71"/>
        <v>0</v>
      </c>
      <c r="O168" s="89">
        <f t="shared" si="71"/>
        <v>0</v>
      </c>
      <c r="P168" s="89">
        <f t="shared" si="71"/>
        <v>0</v>
      </c>
      <c r="Q168" s="89">
        <f t="shared" si="71"/>
        <v>0</v>
      </c>
      <c r="R168" s="89">
        <f t="shared" si="71"/>
        <v>0</v>
      </c>
      <c r="S168" s="89">
        <f t="shared" si="71"/>
        <v>0</v>
      </c>
      <c r="T168" s="89">
        <f t="shared" si="71"/>
        <v>0</v>
      </c>
      <c r="U168" s="89">
        <f t="shared" si="71"/>
        <v>0</v>
      </c>
      <c r="V168" s="89">
        <f t="shared" si="71"/>
        <v>0</v>
      </c>
      <c r="W168" s="89">
        <f t="shared" si="71"/>
        <v>0</v>
      </c>
      <c r="X168" s="89">
        <f t="shared" si="71"/>
        <v>0</v>
      </c>
      <c r="Y168" s="89">
        <f t="shared" si="71"/>
        <v>0</v>
      </c>
      <c r="Z168" s="89">
        <f t="shared" si="71"/>
        <v>0</v>
      </c>
      <c r="AA168" s="89">
        <f t="shared" si="71"/>
        <v>0</v>
      </c>
      <c r="AB168" s="89">
        <f t="shared" si="71"/>
        <v>0</v>
      </c>
      <c r="AC168" s="89">
        <f t="shared" si="71"/>
        <v>0</v>
      </c>
      <c r="AD168" s="89">
        <f t="shared" si="71"/>
        <v>0</v>
      </c>
      <c r="AE168" s="89">
        <f t="shared" si="71"/>
        <v>0</v>
      </c>
      <c r="AF168" s="89">
        <f t="shared" si="71"/>
        <v>0</v>
      </c>
      <c r="AG168" s="89">
        <f t="shared" si="71"/>
        <v>0</v>
      </c>
      <c r="AH168" s="89">
        <f t="shared" si="71"/>
        <v>0</v>
      </c>
      <c r="AI168" s="89">
        <f t="shared" si="71"/>
        <v>0</v>
      </c>
      <c r="AJ168" s="89">
        <f t="shared" si="71"/>
        <v>0</v>
      </c>
      <c r="AK168" s="89">
        <f t="shared" si="71"/>
        <v>0</v>
      </c>
      <c r="AL168" s="89">
        <f t="shared" si="71"/>
        <v>0</v>
      </c>
    </row>
    <row r="169" spans="4:38">
      <c r="D169" s="7" t="s">
        <v>314</v>
      </c>
      <c r="E169" s="16" t="s">
        <v>306</v>
      </c>
      <c r="K169" s="90">
        <f t="shared" ref="K169:AL169" si="72">IF(K168&gt;0,K168*K35,0)</f>
        <v>0</v>
      </c>
      <c r="L169" s="90">
        <f t="shared" si="72"/>
        <v>0</v>
      </c>
      <c r="M169" s="90">
        <f t="shared" si="72"/>
        <v>0</v>
      </c>
      <c r="N169" s="90">
        <f t="shared" si="72"/>
        <v>0</v>
      </c>
      <c r="O169" s="90">
        <f t="shared" si="72"/>
        <v>0</v>
      </c>
      <c r="P169" s="90">
        <f t="shared" si="72"/>
        <v>0</v>
      </c>
      <c r="Q169" s="90">
        <f t="shared" si="72"/>
        <v>0</v>
      </c>
      <c r="R169" s="90">
        <f t="shared" si="72"/>
        <v>0</v>
      </c>
      <c r="S169" s="90">
        <f t="shared" si="72"/>
        <v>0</v>
      </c>
      <c r="T169" s="90">
        <f t="shared" si="72"/>
        <v>0</v>
      </c>
      <c r="U169" s="90">
        <f t="shared" si="72"/>
        <v>0</v>
      </c>
      <c r="V169" s="90">
        <f t="shared" si="72"/>
        <v>0</v>
      </c>
      <c r="W169" s="90">
        <f t="shared" si="72"/>
        <v>0</v>
      </c>
      <c r="X169" s="90">
        <f t="shared" si="72"/>
        <v>0</v>
      </c>
      <c r="Y169" s="90">
        <f t="shared" si="72"/>
        <v>0</v>
      </c>
      <c r="Z169" s="90">
        <f t="shared" si="72"/>
        <v>0</v>
      </c>
      <c r="AA169" s="90">
        <f t="shared" si="72"/>
        <v>0</v>
      </c>
      <c r="AB169" s="90">
        <f t="shared" si="72"/>
        <v>0</v>
      </c>
      <c r="AC169" s="90">
        <f t="shared" si="72"/>
        <v>0</v>
      </c>
      <c r="AD169" s="90">
        <f t="shared" si="72"/>
        <v>0</v>
      </c>
      <c r="AE169" s="90">
        <f t="shared" si="72"/>
        <v>0</v>
      </c>
      <c r="AF169" s="90">
        <f t="shared" si="72"/>
        <v>0</v>
      </c>
      <c r="AG169" s="90">
        <f t="shared" si="72"/>
        <v>0</v>
      </c>
      <c r="AH169" s="90">
        <f t="shared" si="72"/>
        <v>0</v>
      </c>
      <c r="AI169" s="90">
        <f t="shared" si="72"/>
        <v>0</v>
      </c>
      <c r="AJ169" s="90">
        <f t="shared" si="72"/>
        <v>0</v>
      </c>
      <c r="AK169" s="90">
        <f t="shared" si="72"/>
        <v>0</v>
      </c>
      <c r="AL169" s="90">
        <f t="shared" si="72"/>
        <v>0</v>
      </c>
    </row>
    <row r="170" spans="4:38">
      <c r="D170" s="7"/>
    </row>
    <row r="171" spans="4:38">
      <c r="D171" s="3" t="s">
        <v>315</v>
      </c>
      <c r="E171" s="16" t="s">
        <v>306</v>
      </c>
      <c r="K171" s="65">
        <f>K169*INDEX('Availability Model'!$C$60:$T$64, MATCH($K$138,'Availability Model'!$B$60:$B$64, 0), MATCH($K$10, 'Availability Model'!$C$1:$T$1, 0))</f>
        <v>0</v>
      </c>
      <c r="L171" s="65">
        <f>L169*INDEX('Availability Model'!$C$60:$T$64, MATCH($K$138,'Availability Model'!$B$60:$B$64, 0), MATCH($K$10, 'Availability Model'!$C$1:$T$1, 0))</f>
        <v>0</v>
      </c>
      <c r="M171" s="65">
        <f>M169*INDEX('Availability Model'!$C$60:$T$64, MATCH($K$138,'Availability Model'!$B$60:$B$64, 0), MATCH($K$10, 'Availability Model'!$C$1:$T$1, 0))</f>
        <v>0</v>
      </c>
      <c r="N171" s="65">
        <f>N169*INDEX('Availability Model'!$C$60:$T$64, MATCH($K$138,'Availability Model'!$B$60:$B$64, 0), MATCH($K$10, 'Availability Model'!$C$1:$T$1, 0))</f>
        <v>0</v>
      </c>
      <c r="O171" s="65">
        <f>O169*INDEX('Availability Model'!$C$60:$T$64, MATCH($K$138,'Availability Model'!$B$60:$B$64, 0), MATCH($K$10, 'Availability Model'!$C$1:$T$1, 0))</f>
        <v>0</v>
      </c>
      <c r="P171" s="65">
        <f>P169*INDEX('Availability Model'!$C$60:$T$64, MATCH($K$138,'Availability Model'!$B$60:$B$64, 0), MATCH($K$10, 'Availability Model'!$C$1:$T$1, 0))</f>
        <v>0</v>
      </c>
    </row>
    <row r="172" spans="4:38">
      <c r="D172" s="3" t="s">
        <v>333</v>
      </c>
      <c r="E172" s="16" t="s">
        <v>246</v>
      </c>
      <c r="K172" s="65">
        <f>K171*Inputs!E52</f>
        <v>0</v>
      </c>
      <c r="L172" s="65">
        <f>L171*Inputs!F52</f>
        <v>0</v>
      </c>
      <c r="M172" s="65">
        <f>M171*Inputs!G52</f>
        <v>0</v>
      </c>
      <c r="N172" s="65">
        <f>N171*Inputs!H52</f>
        <v>0</v>
      </c>
      <c r="O172" s="65">
        <f>O171*Inputs!I52</f>
        <v>0</v>
      </c>
      <c r="P172" s="65">
        <f>P171*Inputs!J52</f>
        <v>0</v>
      </c>
    </row>
    <row r="173" spans="4:38">
      <c r="D173" s="89" t="s">
        <v>318</v>
      </c>
      <c r="E173" s="16" t="s">
        <v>211</v>
      </c>
      <c r="K173" s="65">
        <f>(K28*K74)*INDEX('Availability Model'!$C$93:$T$96, MATCH($K$164,'Availability Model'!$B$93:$B$96, 0), MATCH($K$10, 'Availability Model'!$C$1:$T$1, 0))</f>
        <v>104654.25</v>
      </c>
      <c r="L173" s="65">
        <f>(L28*L74)*INDEX('Availability Model'!$C$93:$T$96, MATCH($K$164,'Availability Model'!$B$93:$B$96, 0), MATCH($K$10, 'Availability Model'!$C$1:$T$1, 0))</f>
        <v>108070.32889508041</v>
      </c>
      <c r="M173" s="65">
        <f>(M28*M74)*INDEX('Availability Model'!$C$93:$T$96, MATCH($K$164,'Availability Model'!$B$93:$B$96, 0), MATCH($K$10, 'Availability Model'!$C$1:$T$1, 0))</f>
        <v>123222.34418657479</v>
      </c>
      <c r="N173" s="65">
        <f>(N28*N74)*INDEX('Availability Model'!$C$93:$T$96, MATCH($K$164,'Availability Model'!$B$93:$B$96, 0), MATCH($K$10, 'Availability Model'!$C$1:$T$1, 0))</f>
        <v>875621.78677276801</v>
      </c>
      <c r="O173" s="65">
        <f>(O28*O74)*INDEX('Availability Model'!$C$93:$T$96, MATCH($K$164,'Availability Model'!$B$93:$B$96, 0), MATCH($K$10, 'Availability Model'!$C$1:$T$1, 0))</f>
        <v>1910492.6472437351</v>
      </c>
      <c r="P173" s="65">
        <f>(P28*P74)*INDEX('Availability Model'!$C$93:$T$96, MATCH($K$164,'Availability Model'!$B$93:$B$96, 0), MATCH($K$10, 'Availability Model'!$C$1:$T$1, 0))</f>
        <v>2089314.7590257488</v>
      </c>
      <c r="Q173" s="65">
        <f>(Q28*Q74)*INDEX('Availability Model'!$C$93:$T$96, MATCH($K$164,'Availability Model'!$B$93:$B$96, 0), MATCH($K$10, 'Availability Model'!$C$1:$T$1, 0))</f>
        <v>2684355.4152575037</v>
      </c>
      <c r="R173" s="65">
        <f>(R28*R74)*INDEX('Availability Model'!$C$93:$T$96, MATCH($K$164,'Availability Model'!$B$93:$B$96, 0), MATCH($K$10, 'Availability Model'!$C$1:$T$1, 0))</f>
        <v>2935611.0821256055</v>
      </c>
      <c r="S173" s="65">
        <f>(S28*S74)*INDEX('Availability Model'!$C$93:$T$96, MATCH($K$164,'Availability Model'!$B$93:$B$96, 0), MATCH($K$10, 'Availability Model'!$C$1:$T$1, 0))</f>
        <v>3816233.4827368204</v>
      </c>
      <c r="T173" s="65">
        <f>(T28*T74)*INDEX('Availability Model'!$C$93:$T$96, MATCH($K$164,'Availability Model'!$B$93:$B$96, 0), MATCH($K$10, 'Availability Model'!$C$1:$T$1, 0))</f>
        <v>4173432.9367209869</v>
      </c>
      <c r="U173" s="65">
        <f>(U28*U74)*INDEX('Availability Model'!$C$93:$T$96, MATCH($K$164,'Availability Model'!$B$93:$B$96, 0), MATCH($K$10, 'Availability Model'!$C$1:$T$1, 0))</f>
        <v>4564066.2595980708</v>
      </c>
      <c r="V173" s="65">
        <f>(V28*V74)*INDEX('Availability Model'!$C$93:$T$96, MATCH($K$164,'Availability Model'!$B$93:$B$96, 0), MATCH($K$10, 'Availability Model'!$C$1:$T$1, 0))</f>
        <v>4991262.8614964494</v>
      </c>
      <c r="W173" s="65">
        <f>(W28*W74)*INDEX('Availability Model'!$C$93:$T$96, MATCH($K$164,'Availability Model'!$B$93:$B$96, 0), MATCH($K$10, 'Availability Model'!$C$1:$T$1, 0))</f>
        <v>5458445.0653325161</v>
      </c>
      <c r="X173" s="65">
        <f>(X28*X74)*INDEX('Availability Model'!$C$93:$T$96, MATCH($K$164,'Availability Model'!$B$93:$B$96, 0), MATCH($K$10, 'Availability Model'!$C$1:$T$1, 0))</f>
        <v>5969355.5234476393</v>
      </c>
      <c r="Y173" s="65">
        <f>(Y28*Y74)*INDEX('Availability Model'!$C$93:$T$96, MATCH($K$164,'Availability Model'!$B$93:$B$96, 0), MATCH($K$10, 'Availability Model'!$C$1:$T$1, 0))</f>
        <v>6528087.2004423374</v>
      </c>
      <c r="Z173" s="65">
        <f>(Z28*Z74)*INDEX('Availability Model'!$C$93:$T$96, MATCH($K$164,'Availability Model'!$B$93:$B$96, 0), MATCH($K$10, 'Availability Model'!$C$1:$T$1, 0))</f>
        <v>7139116.16240374</v>
      </c>
      <c r="AA173" s="65">
        <f>(AA28*AA74)*INDEX('Availability Model'!$C$93:$T$96, MATCH($K$164,'Availability Model'!$B$93:$B$96, 0), MATCH($K$10, 'Availability Model'!$C$1:$T$1, 0))</f>
        <v>7807337.4352047285</v>
      </c>
      <c r="AB173" s="65">
        <f>(AB28*AB74)*INDEX('Availability Model'!$C$93:$T$96, MATCH($K$164,'Availability Model'!$B$93:$B$96, 0), MATCH($K$10, 'Availability Model'!$C$1:$T$1, 0))</f>
        <v>8538104.2191398907</v>
      </c>
      <c r="AC173" s="65">
        <f>(AC28*AC74)*INDEX('Availability Model'!$C$93:$T$96, MATCH($K$164,'Availability Model'!$B$93:$B$96, 0), MATCH($K$10, 'Availability Model'!$C$1:$T$1, 0))</f>
        <v>5308756.9267716398</v>
      </c>
      <c r="AD173" s="65">
        <f>(AD28*AD74)*INDEX('Availability Model'!$C$93:$T$96, MATCH($K$164,'Availability Model'!$B$93:$B$96, 0), MATCH($K$10, 'Availability Model'!$C$1:$T$1, 0))</f>
        <v>5805656.5751174651</v>
      </c>
      <c r="AE173" s="65">
        <f>(AE28*AE74)*INDEX('Availability Model'!$C$93:$T$96, MATCH($K$164,'Availability Model'!$B$93:$B$96, 0), MATCH($K$10, 'Availability Model'!$C$1:$T$1, 0))</f>
        <v>6349066.0305484599</v>
      </c>
      <c r="AF173" s="65">
        <f>(AF28*AF74)*INDEX('Availability Model'!$C$93:$T$96, MATCH($K$164,'Availability Model'!$B$93:$B$96, 0), MATCH($K$10, 'Availability Model'!$C$1:$T$1, 0))</f>
        <v>6943338.6110077947</v>
      </c>
      <c r="AG173" s="65">
        <f>(AG28*AG74)*INDEX('Availability Model'!$C$93:$T$96, MATCH($K$164,'Availability Model'!$B$93:$B$96, 0), MATCH($K$10, 'Availability Model'!$C$1:$T$1, 0))</f>
        <v>7593235.1049981248</v>
      </c>
      <c r="AH173" s="65">
        <f>(AH28*AH74)*INDEX('Availability Model'!$C$93:$T$96, MATCH($K$164,'Availability Model'!$B$93:$B$96, 0), MATCH($K$10, 'Availability Model'!$C$1:$T$1, 0))</f>
        <v>8303961.9108259482</v>
      </c>
      <c r="AI173" s="65">
        <f>(AI28*AI74)*INDEX('Availability Model'!$C$93:$T$96, MATCH($K$164,'Availability Model'!$B$93:$B$96, 0), MATCH($K$10, 'Availability Model'!$C$1:$T$1, 0))</f>
        <v>9081212.7456792556</v>
      </c>
      <c r="AJ173" s="65">
        <f>(AJ28*AJ74)*INDEX('Availability Model'!$C$93:$T$96, MATCH($K$164,'Availability Model'!$B$93:$B$96, 0), MATCH($K$10, 'Availability Model'!$C$1:$T$1, 0))</f>
        <v>9931214.2586748339</v>
      </c>
      <c r="AK173" s="65">
        <f>(AK28*AK74)*INDEX('Availability Model'!$C$93:$T$96, MATCH($K$164,'Availability Model'!$B$93:$B$96, 0), MATCH($K$10, 'Availability Model'!$C$1:$T$1, 0))</f>
        <v>10860775.913286798</v>
      </c>
      <c r="AL173" s="65">
        <f>(AL28*AL74)*INDEX('Availability Model'!$C$93:$T$96, MATCH($K$164,'Availability Model'!$B$93:$B$96, 0), MATCH($K$10, 'Availability Model'!$C$1:$T$1, 0))</f>
        <v>11877344.538770441</v>
      </c>
    </row>
    <row r="174" spans="4:38">
      <c r="E174" s="16"/>
      <c r="K174" s="65"/>
    </row>
    <row r="175" spans="4:38">
      <c r="D175" s="3" t="s">
        <v>474</v>
      </c>
      <c r="E175" s="16" t="s">
        <v>211</v>
      </c>
      <c r="K175" s="65">
        <f>K172+K173</f>
        <v>104654.25</v>
      </c>
      <c r="L175" s="65">
        <f t="shared" ref="L175:AK175" si="73">L172+L173</f>
        <v>108070.32889508041</v>
      </c>
      <c r="M175" s="65">
        <f t="shared" si="73"/>
        <v>123222.34418657479</v>
      </c>
      <c r="N175" s="65">
        <f t="shared" si="73"/>
        <v>875621.78677276801</v>
      </c>
      <c r="O175" s="65">
        <f t="shared" si="73"/>
        <v>1910492.6472437351</v>
      </c>
      <c r="P175" s="65">
        <f t="shared" si="73"/>
        <v>2089314.7590257488</v>
      </c>
      <c r="Q175" s="65">
        <f t="shared" si="73"/>
        <v>2684355.4152575037</v>
      </c>
      <c r="R175" s="65">
        <f t="shared" si="73"/>
        <v>2935611.0821256055</v>
      </c>
      <c r="S175" s="65">
        <f t="shared" si="73"/>
        <v>3816233.4827368204</v>
      </c>
      <c r="T175" s="65">
        <f t="shared" si="73"/>
        <v>4173432.9367209869</v>
      </c>
      <c r="U175" s="65">
        <f t="shared" si="73"/>
        <v>4564066.2595980708</v>
      </c>
      <c r="V175" s="65">
        <f t="shared" si="73"/>
        <v>4991262.8614964494</v>
      </c>
      <c r="W175" s="65">
        <f t="shared" si="73"/>
        <v>5458445.0653325161</v>
      </c>
      <c r="X175" s="65">
        <f t="shared" si="73"/>
        <v>5969355.5234476393</v>
      </c>
      <c r="Y175" s="65">
        <f t="shared" si="73"/>
        <v>6528087.2004423374</v>
      </c>
      <c r="Z175" s="65">
        <f t="shared" si="73"/>
        <v>7139116.16240374</v>
      </c>
      <c r="AA175" s="65">
        <f t="shared" si="73"/>
        <v>7807337.4352047285</v>
      </c>
      <c r="AB175" s="65">
        <f t="shared" si="73"/>
        <v>8538104.2191398907</v>
      </c>
      <c r="AC175" s="65">
        <f t="shared" si="73"/>
        <v>5308756.9267716398</v>
      </c>
      <c r="AD175" s="65">
        <f t="shared" si="73"/>
        <v>5805656.5751174651</v>
      </c>
      <c r="AE175" s="65">
        <f t="shared" si="73"/>
        <v>6349066.0305484599</v>
      </c>
      <c r="AF175" s="65">
        <f t="shared" si="73"/>
        <v>6943338.6110077947</v>
      </c>
      <c r="AG175" s="65">
        <f t="shared" si="73"/>
        <v>7593235.1049981248</v>
      </c>
      <c r="AH175" s="65">
        <f t="shared" si="73"/>
        <v>8303961.9108259482</v>
      </c>
      <c r="AI175" s="65">
        <f t="shared" si="73"/>
        <v>9081212.7456792556</v>
      </c>
      <c r="AJ175" s="65">
        <f t="shared" si="73"/>
        <v>9931214.2586748339</v>
      </c>
      <c r="AK175" s="65">
        <f t="shared" si="73"/>
        <v>10860775.913286798</v>
      </c>
      <c r="AL175" s="65">
        <f>AL172+AL173</f>
        <v>11877344.538770441</v>
      </c>
    </row>
    <row r="176" spans="4:38">
      <c r="D176" s="7"/>
    </row>
    <row r="177" spans="4:39" ht="18">
      <c r="D177" s="15" t="s">
        <v>261</v>
      </c>
    </row>
    <row r="186" spans="4:39" ht="18">
      <c r="D186" s="71" t="s">
        <v>251</v>
      </c>
    </row>
    <row r="188" spans="4:39">
      <c r="D188" s="7" t="s">
        <v>242</v>
      </c>
      <c r="E188" s="7" t="s">
        <v>243</v>
      </c>
      <c r="K188" s="9">
        <f>Inputs!F34/'Initiative 1 Model'!K11</f>
        <v>8261.9863013698632</v>
      </c>
      <c r="L188" s="9">
        <f>Inputs!G34/'Initiative 1 Model'!L11</f>
        <v>8584.9808743169397</v>
      </c>
      <c r="M188" s="9">
        <f>Inputs!H34/'Initiative 1 Model'!M11</f>
        <v>7544.5084200913252</v>
      </c>
      <c r="N188" s="65">
        <f t="shared" ref="N188:AL188" si="74">N65/N11</f>
        <v>8778.396247123288</v>
      </c>
      <c r="O188" s="65">
        <f t="shared" si="74"/>
        <v>8778.396247123288</v>
      </c>
      <c r="P188" s="65">
        <f t="shared" si="74"/>
        <v>8754.4115579234967</v>
      </c>
      <c r="Q188" s="65">
        <f t="shared" si="74"/>
        <v>8778.396247123288</v>
      </c>
      <c r="R188" s="65">
        <f t="shared" si="74"/>
        <v>8778.396247123288</v>
      </c>
      <c r="S188" s="65">
        <f t="shared" si="74"/>
        <v>8778.396247123288</v>
      </c>
      <c r="T188" s="65">
        <f t="shared" si="74"/>
        <v>8754.4115579234967</v>
      </c>
      <c r="U188" s="65">
        <f t="shared" si="74"/>
        <v>8778.396247123288</v>
      </c>
      <c r="V188" s="65">
        <f t="shared" si="74"/>
        <v>8778.396247123288</v>
      </c>
      <c r="W188" s="65">
        <f t="shared" si="74"/>
        <v>8778.396247123288</v>
      </c>
      <c r="X188" s="65">
        <f t="shared" si="74"/>
        <v>8754.4115579234967</v>
      </c>
      <c r="Y188" s="65">
        <f t="shared" si="74"/>
        <v>8778.396247123288</v>
      </c>
      <c r="Z188" s="65">
        <f t="shared" si="74"/>
        <v>8778.396247123288</v>
      </c>
      <c r="AA188" s="65">
        <f t="shared" si="74"/>
        <v>16929.018867425919</v>
      </c>
      <c r="AB188" s="65">
        <f t="shared" si="74"/>
        <v>16882.764717514918</v>
      </c>
      <c r="AC188" s="65">
        <f t="shared" si="74"/>
        <v>16929.018867425919</v>
      </c>
      <c r="AD188" s="65">
        <f t="shared" si="74"/>
        <v>16929.018867425919</v>
      </c>
      <c r="AE188" s="65">
        <f t="shared" si="74"/>
        <v>16929.018867425919</v>
      </c>
      <c r="AF188" s="65">
        <f t="shared" si="74"/>
        <v>16882.764717514918</v>
      </c>
      <c r="AG188" s="65">
        <f t="shared" si="74"/>
        <v>16929.018867425919</v>
      </c>
      <c r="AH188" s="65">
        <f t="shared" si="74"/>
        <v>16929.018867425919</v>
      </c>
      <c r="AI188" s="65">
        <f t="shared" si="74"/>
        <v>16929.018867425919</v>
      </c>
      <c r="AJ188" s="65">
        <f t="shared" si="74"/>
        <v>16882.764717514918</v>
      </c>
      <c r="AK188" s="65">
        <f t="shared" si="74"/>
        <v>16929.018867425919</v>
      </c>
      <c r="AL188" s="65">
        <f t="shared" si="74"/>
        <v>16929.018867425919</v>
      </c>
    </row>
    <row r="189" spans="4:39">
      <c r="D189" s="7" t="s">
        <v>244</v>
      </c>
      <c r="E189" s="7" t="s">
        <v>106</v>
      </c>
      <c r="K189" s="9">
        <f>K135</f>
        <v>11</v>
      </c>
      <c r="L189" s="9">
        <f t="shared" ref="L189:AL189" si="75">L135</f>
        <v>11</v>
      </c>
      <c r="M189" s="9">
        <f t="shared" si="75"/>
        <v>11</v>
      </c>
      <c r="N189" s="9">
        <f t="shared" si="75"/>
        <v>11</v>
      </c>
      <c r="O189" s="9">
        <f t="shared" si="75"/>
        <v>11</v>
      </c>
      <c r="P189" s="9">
        <f t="shared" si="75"/>
        <v>11</v>
      </c>
      <c r="Q189" s="9">
        <f t="shared" si="75"/>
        <v>11</v>
      </c>
      <c r="R189" s="9">
        <f t="shared" si="75"/>
        <v>11</v>
      </c>
      <c r="S189" s="9">
        <f t="shared" si="75"/>
        <v>11</v>
      </c>
      <c r="T189" s="9">
        <f t="shared" si="75"/>
        <v>11</v>
      </c>
      <c r="U189" s="9">
        <f t="shared" si="75"/>
        <v>11</v>
      </c>
      <c r="V189" s="9">
        <f t="shared" si="75"/>
        <v>11</v>
      </c>
      <c r="W189" s="9">
        <f t="shared" si="75"/>
        <v>11</v>
      </c>
      <c r="X189" s="9">
        <f t="shared" si="75"/>
        <v>11</v>
      </c>
      <c r="Y189" s="9">
        <f t="shared" si="75"/>
        <v>11</v>
      </c>
      <c r="Z189" s="9">
        <f t="shared" si="75"/>
        <v>11</v>
      </c>
      <c r="AA189" s="9">
        <f t="shared" si="75"/>
        <v>11</v>
      </c>
      <c r="AB189" s="9">
        <f t="shared" si="75"/>
        <v>11</v>
      </c>
      <c r="AC189" s="9">
        <f t="shared" si="75"/>
        <v>11</v>
      </c>
      <c r="AD189" s="9">
        <f t="shared" si="75"/>
        <v>11</v>
      </c>
      <c r="AE189" s="9">
        <f t="shared" si="75"/>
        <v>11</v>
      </c>
      <c r="AF189" s="9">
        <f t="shared" si="75"/>
        <v>11</v>
      </c>
      <c r="AG189" s="9">
        <f t="shared" si="75"/>
        <v>11</v>
      </c>
      <c r="AH189" s="9">
        <f t="shared" si="75"/>
        <v>11</v>
      </c>
      <c r="AI189" s="9">
        <f t="shared" si="75"/>
        <v>11</v>
      </c>
      <c r="AJ189" s="9">
        <f t="shared" si="75"/>
        <v>11</v>
      </c>
      <c r="AK189" s="9">
        <f t="shared" si="75"/>
        <v>11</v>
      </c>
      <c r="AL189" s="9">
        <f t="shared" si="75"/>
        <v>11</v>
      </c>
    </row>
    <row r="190" spans="4:39">
      <c r="D190" s="7" t="s">
        <v>244</v>
      </c>
      <c r="E190" s="7" t="s">
        <v>113</v>
      </c>
      <c r="K190" s="9">
        <f>IF(K27&gt;0,K189*K188,0)</f>
        <v>90881.849315068495</v>
      </c>
      <c r="L190" s="9">
        <f t="shared" ref="L190:AL190" si="76">IF(L27&gt;0,L189*L188,0)</f>
        <v>94434.789617486342</v>
      </c>
      <c r="M190" s="9">
        <f t="shared" si="76"/>
        <v>82989.592621004573</v>
      </c>
      <c r="N190" s="9">
        <f t="shared" si="76"/>
        <v>96562.358718356176</v>
      </c>
      <c r="O190" s="9">
        <f t="shared" si="76"/>
        <v>0</v>
      </c>
      <c r="P190" s="9">
        <f t="shared" si="76"/>
        <v>0</v>
      </c>
      <c r="Q190" s="9">
        <f t="shared" si="76"/>
        <v>0</v>
      </c>
      <c r="R190" s="9">
        <f t="shared" si="76"/>
        <v>0</v>
      </c>
      <c r="S190" s="9">
        <f t="shared" si="76"/>
        <v>0</v>
      </c>
      <c r="T190" s="9">
        <f t="shared" si="76"/>
        <v>0</v>
      </c>
      <c r="U190" s="9">
        <f t="shared" si="76"/>
        <v>0</v>
      </c>
      <c r="V190" s="9">
        <f t="shared" si="76"/>
        <v>0</v>
      </c>
      <c r="W190" s="9">
        <f t="shared" si="76"/>
        <v>0</v>
      </c>
      <c r="X190" s="9">
        <f t="shared" si="76"/>
        <v>0</v>
      </c>
      <c r="Y190" s="9">
        <f t="shared" si="76"/>
        <v>0</v>
      </c>
      <c r="Z190" s="9">
        <f t="shared" si="76"/>
        <v>0</v>
      </c>
      <c r="AA190" s="9">
        <f t="shared" si="76"/>
        <v>0</v>
      </c>
      <c r="AB190" s="9">
        <f t="shared" si="76"/>
        <v>0</v>
      </c>
      <c r="AC190" s="9">
        <f t="shared" si="76"/>
        <v>186219.20754168511</v>
      </c>
      <c r="AD190" s="9">
        <f t="shared" si="76"/>
        <v>186219.20754168511</v>
      </c>
      <c r="AE190" s="9">
        <f t="shared" si="76"/>
        <v>186219.20754168511</v>
      </c>
      <c r="AF190" s="9">
        <f t="shared" si="76"/>
        <v>185710.41189266409</v>
      </c>
      <c r="AG190" s="9">
        <f t="shared" si="76"/>
        <v>186219.20754168511</v>
      </c>
      <c r="AH190" s="9">
        <f t="shared" si="76"/>
        <v>186219.20754168511</v>
      </c>
      <c r="AI190" s="9">
        <f t="shared" si="76"/>
        <v>186219.20754168511</v>
      </c>
      <c r="AJ190" s="9">
        <f t="shared" si="76"/>
        <v>185710.41189266409</v>
      </c>
      <c r="AK190" s="9">
        <f t="shared" si="76"/>
        <v>186219.20754168511</v>
      </c>
      <c r="AL190" s="9">
        <f t="shared" si="76"/>
        <v>186219.20754168511</v>
      </c>
      <c r="AM190" s="133">
        <f>SUM(M190:AL190)</f>
        <v>2040726.4354581698</v>
      </c>
    </row>
    <row r="191" spans="4:39">
      <c r="D191" s="109" t="s">
        <v>374</v>
      </c>
      <c r="E191" s="109"/>
      <c r="F191" s="110"/>
      <c r="G191" s="110"/>
      <c r="H191" s="110"/>
      <c r="I191" s="110"/>
      <c r="J191" s="110"/>
      <c r="K191" s="111">
        <f t="shared" ref="K191:AL191" si="77">K190/K65</f>
        <v>2.8364106720300351E-2</v>
      </c>
      <c r="L191" s="111">
        <f t="shared" si="77"/>
        <v>2.9472974757957317E-2</v>
      </c>
      <c r="M191" s="111">
        <f t="shared" si="77"/>
        <v>2.5900943692462208E-2</v>
      </c>
      <c r="N191" s="111">
        <f t="shared" si="77"/>
        <v>3.0136986301369868E-2</v>
      </c>
      <c r="O191" s="111">
        <f t="shared" si="77"/>
        <v>0</v>
      </c>
      <c r="P191" s="111">
        <f t="shared" si="77"/>
        <v>0</v>
      </c>
      <c r="Q191" s="111">
        <f t="shared" si="77"/>
        <v>0</v>
      </c>
      <c r="R191" s="111">
        <f t="shared" si="77"/>
        <v>0</v>
      </c>
      <c r="S191" s="111">
        <f t="shared" si="77"/>
        <v>0</v>
      </c>
      <c r="T191" s="111">
        <f t="shared" si="77"/>
        <v>0</v>
      </c>
      <c r="U191" s="111">
        <f t="shared" si="77"/>
        <v>0</v>
      </c>
      <c r="V191" s="111">
        <f t="shared" si="77"/>
        <v>0</v>
      </c>
      <c r="W191" s="111">
        <f t="shared" si="77"/>
        <v>0</v>
      </c>
      <c r="X191" s="111">
        <f t="shared" si="77"/>
        <v>0</v>
      </c>
      <c r="Y191" s="111">
        <f t="shared" si="77"/>
        <v>0</v>
      </c>
      <c r="Z191" s="111">
        <f t="shared" si="77"/>
        <v>0</v>
      </c>
      <c r="AA191" s="111">
        <f t="shared" si="77"/>
        <v>0</v>
      </c>
      <c r="AB191" s="111">
        <f t="shared" si="77"/>
        <v>0</v>
      </c>
      <c r="AC191" s="111">
        <f t="shared" si="77"/>
        <v>3.0136986301369864E-2</v>
      </c>
      <c r="AD191" s="111">
        <f t="shared" si="77"/>
        <v>3.0136986301369864E-2</v>
      </c>
      <c r="AE191" s="111">
        <f t="shared" si="77"/>
        <v>3.0136986301369864E-2</v>
      </c>
      <c r="AF191" s="111">
        <f t="shared" si="77"/>
        <v>3.0054644808743168E-2</v>
      </c>
      <c r="AG191" s="111">
        <f t="shared" si="77"/>
        <v>3.0136986301369864E-2</v>
      </c>
      <c r="AH191" s="111">
        <f t="shared" si="77"/>
        <v>3.0136986301369864E-2</v>
      </c>
      <c r="AI191" s="111">
        <f t="shared" si="77"/>
        <v>3.0136986301369864E-2</v>
      </c>
      <c r="AJ191" s="111">
        <f t="shared" si="77"/>
        <v>3.0054644808743168E-2</v>
      </c>
      <c r="AK191" s="111">
        <f t="shared" si="77"/>
        <v>3.0136986301369864E-2</v>
      </c>
      <c r="AL191" s="111">
        <f t="shared" si="77"/>
        <v>3.0136986301369864E-2</v>
      </c>
    </row>
    <row r="192" spans="4:39">
      <c r="K192" s="9"/>
    </row>
    <row r="193" spans="4:40">
      <c r="D193" t="s">
        <v>399</v>
      </c>
      <c r="E193" t="s">
        <v>108</v>
      </c>
      <c r="K193" s="9">
        <f>K81/Inputs!E34</f>
        <v>551.54081671843676</v>
      </c>
      <c r="L193" s="9">
        <f>L81/Inputs!F34</f>
        <v>623.41968911917104</v>
      </c>
      <c r="M193" s="9">
        <f>M81/Inputs!G34</f>
        <v>636.51637136020042</v>
      </c>
      <c r="N193" s="65">
        <f t="shared" ref="N193:AL193" si="78">N81/N65</f>
        <v>661.64923689626869</v>
      </c>
      <c r="O193" s="65">
        <f t="shared" si="78"/>
        <v>701.34819111004481</v>
      </c>
      <c r="P193" s="65">
        <f t="shared" si="78"/>
        <v>743.42908257664749</v>
      </c>
      <c r="Q193" s="65">
        <f t="shared" si="78"/>
        <v>788.03482753124626</v>
      </c>
      <c r="R193" s="65">
        <f t="shared" si="78"/>
        <v>835.31691718312118</v>
      </c>
      <c r="S193" s="65">
        <f t="shared" si="78"/>
        <v>885.43593221410856</v>
      </c>
      <c r="T193" s="65">
        <f t="shared" si="78"/>
        <v>938.56208814695515</v>
      </c>
      <c r="U193" s="65">
        <f t="shared" si="78"/>
        <v>994.87581343577244</v>
      </c>
      <c r="V193" s="65">
        <f t="shared" si="78"/>
        <v>1054.5683622419187</v>
      </c>
      <c r="W193" s="65">
        <f t="shared" si="78"/>
        <v>1117.8424639764339</v>
      </c>
      <c r="X193" s="65">
        <f t="shared" si="78"/>
        <v>1184.9130118150201</v>
      </c>
      <c r="Y193" s="65">
        <f t="shared" si="78"/>
        <v>1256.0077925239214</v>
      </c>
      <c r="Z193" s="65">
        <f t="shared" si="78"/>
        <v>1331.3682600753566</v>
      </c>
      <c r="AA193" s="65">
        <f t="shared" si="78"/>
        <v>731.79166040679934</v>
      </c>
      <c r="AB193" s="65">
        <f t="shared" si="78"/>
        <v>775.69916003120738</v>
      </c>
      <c r="AC193" s="65">
        <f t="shared" si="78"/>
        <v>822.24110963307999</v>
      </c>
      <c r="AD193" s="65">
        <f t="shared" si="78"/>
        <v>871.5755762110648</v>
      </c>
      <c r="AE193" s="65">
        <f t="shared" si="78"/>
        <v>923.87011078372871</v>
      </c>
      <c r="AF193" s="65">
        <f t="shared" si="78"/>
        <v>979.30231743075251</v>
      </c>
      <c r="AG193" s="65">
        <f t="shared" si="78"/>
        <v>1038.0604564765977</v>
      </c>
      <c r="AH193" s="65">
        <f t="shared" si="78"/>
        <v>1100.3440838651934</v>
      </c>
      <c r="AI193" s="65">
        <f t="shared" si="78"/>
        <v>1166.3647288971051</v>
      </c>
      <c r="AJ193" s="65">
        <f t="shared" si="78"/>
        <v>1236.3466126309315</v>
      </c>
      <c r="AK193" s="65">
        <f t="shared" si="78"/>
        <v>1310.5274093887874</v>
      </c>
      <c r="AL193" s="65">
        <f t="shared" si="78"/>
        <v>1389.1590539521146</v>
      </c>
    </row>
    <row r="194" spans="4:40">
      <c r="D194" s="7" t="s">
        <v>245</v>
      </c>
      <c r="E194" s="7" t="s">
        <v>211</v>
      </c>
      <c r="K194" s="9">
        <f t="shared" ref="K194:AL194" si="79">K190*K193</f>
        <v>50125049.396114781</v>
      </c>
      <c r="L194" s="9">
        <f t="shared" si="79"/>
        <v>58872507.185367659</v>
      </c>
      <c r="M194" s="9">
        <f t="shared" si="79"/>
        <v>52824234.355783097</v>
      </c>
      <c r="N194" s="9">
        <f t="shared" si="79"/>
        <v>63890410.958904125</v>
      </c>
      <c r="O194" s="9">
        <f t="shared" si="79"/>
        <v>0</v>
      </c>
      <c r="P194" s="9">
        <f t="shared" si="79"/>
        <v>0</v>
      </c>
      <c r="Q194" s="9">
        <f t="shared" si="79"/>
        <v>0</v>
      </c>
      <c r="R194" s="9">
        <f t="shared" si="79"/>
        <v>0</v>
      </c>
      <c r="S194" s="9">
        <f t="shared" si="79"/>
        <v>0</v>
      </c>
      <c r="T194" s="9">
        <f t="shared" si="79"/>
        <v>0</v>
      </c>
      <c r="U194" s="9">
        <f t="shared" si="79"/>
        <v>0</v>
      </c>
      <c r="V194" s="9">
        <f t="shared" si="79"/>
        <v>0</v>
      </c>
      <c r="W194" s="9">
        <f t="shared" si="79"/>
        <v>0</v>
      </c>
      <c r="X194" s="9">
        <f t="shared" si="79"/>
        <v>0</v>
      </c>
      <c r="Y194" s="9">
        <f t="shared" si="79"/>
        <v>0</v>
      </c>
      <c r="Z194" s="9">
        <f t="shared" si="79"/>
        <v>0</v>
      </c>
      <c r="AA194" s="9">
        <f t="shared" si="79"/>
        <v>0</v>
      </c>
      <c r="AB194" s="9">
        <f t="shared" si="79"/>
        <v>0</v>
      </c>
      <c r="AC194" s="9">
        <f t="shared" si="79"/>
        <v>153117087.84406799</v>
      </c>
      <c r="AD194" s="9">
        <f t="shared" si="79"/>
        <v>162304113.11471206</v>
      </c>
      <c r="AE194" s="9">
        <f t="shared" si="79"/>
        <v>172042359.90159479</v>
      </c>
      <c r="AF194" s="9">
        <f t="shared" si="79"/>
        <v>181866636.73750553</v>
      </c>
      <c r="AG194" s="9">
        <f t="shared" si="79"/>
        <v>193306795.58543193</v>
      </c>
      <c r="AH194" s="9">
        <f t="shared" si="79"/>
        <v>204905203.32055783</v>
      </c>
      <c r="AI194" s="9">
        <f t="shared" si="79"/>
        <v>217199515.51979131</v>
      </c>
      <c r="AJ194" s="9">
        <f t="shared" si="79"/>
        <v>229602438.67379031</v>
      </c>
      <c r="AK194" s="9">
        <f t="shared" si="79"/>
        <v>244045375.63803753</v>
      </c>
      <c r="AL194" s="9">
        <f t="shared" si="79"/>
        <v>258688098.17631978</v>
      </c>
    </row>
    <row r="195" spans="4:40">
      <c r="D195" t="s">
        <v>316</v>
      </c>
      <c r="E195" s="7" t="s">
        <v>211</v>
      </c>
      <c r="K195" s="65">
        <f>K152+K175+K148</f>
        <v>316390.48510273971</v>
      </c>
      <c r="L195" s="65">
        <f t="shared" ref="L195:AL195" si="80">L152+L175+L148</f>
        <v>326525.14011456911</v>
      </c>
      <c r="M195" s="65">
        <f t="shared" si="80"/>
        <v>371886.20187630242</v>
      </c>
      <c r="N195" s="65">
        <f t="shared" si="80"/>
        <v>1549755.5701558334</v>
      </c>
      <c r="O195" s="65">
        <f t="shared" si="80"/>
        <v>1910492.6472437351</v>
      </c>
      <c r="P195" s="65">
        <f t="shared" si="80"/>
        <v>2089314.7590257488</v>
      </c>
      <c r="Q195" s="65">
        <f t="shared" si="80"/>
        <v>2684355.4152575037</v>
      </c>
      <c r="R195" s="65">
        <f t="shared" si="80"/>
        <v>2935611.0821256055</v>
      </c>
      <c r="S195" s="65">
        <f t="shared" si="80"/>
        <v>3816233.4827368204</v>
      </c>
      <c r="T195" s="65">
        <f t="shared" si="80"/>
        <v>4173432.9367209869</v>
      </c>
      <c r="U195" s="65">
        <f t="shared" si="80"/>
        <v>4564066.2595980708</v>
      </c>
      <c r="V195" s="65">
        <f t="shared" si="80"/>
        <v>4991262.8614964494</v>
      </c>
      <c r="W195" s="65">
        <f t="shared" si="80"/>
        <v>5458445.0653325161</v>
      </c>
      <c r="X195" s="65">
        <f t="shared" si="80"/>
        <v>5969355.5234476393</v>
      </c>
      <c r="Y195" s="65">
        <f t="shared" si="80"/>
        <v>6528087.2004423374</v>
      </c>
      <c r="Z195" s="65">
        <f t="shared" si="80"/>
        <v>7139116.16240374</v>
      </c>
      <c r="AA195" s="65">
        <f t="shared" si="80"/>
        <v>7807337.4352047285</v>
      </c>
      <c r="AB195" s="65">
        <f t="shared" si="80"/>
        <v>8538104.2191398907</v>
      </c>
      <c r="AC195" s="65">
        <f t="shared" si="80"/>
        <v>8801218.3413045984</v>
      </c>
      <c r="AD195" s="65">
        <f t="shared" si="80"/>
        <v>9623799.3419046029</v>
      </c>
      <c r="AE195" s="65">
        <f t="shared" si="80"/>
        <v>10523301.141991999</v>
      </c>
      <c r="AF195" s="65">
        <f t="shared" si="80"/>
        <v>11506764.004786016</v>
      </c>
      <c r="AG195" s="65">
        <f t="shared" si="80"/>
        <v>12582522.049523564</v>
      </c>
      <c r="AH195" s="65">
        <f t="shared" si="80"/>
        <v>13758714.683172863</v>
      </c>
      <c r="AI195" s="65">
        <f t="shared" si="80"/>
        <v>15044907.061520567</v>
      </c>
      <c r="AJ195" s="65">
        <f t="shared" si="80"/>
        <v>16451187.442236658</v>
      </c>
      <c r="AK195" s="65">
        <f t="shared" si="80"/>
        <v>17989415.760675285</v>
      </c>
      <c r="AL195" s="65">
        <f t="shared" si="80"/>
        <v>19671291.680548683</v>
      </c>
    </row>
    <row r="196" spans="4:40">
      <c r="D196" s="110" t="s">
        <v>335</v>
      </c>
      <c r="E196" s="109" t="s">
        <v>211</v>
      </c>
      <c r="F196" s="110"/>
      <c r="G196" s="110"/>
      <c r="H196" s="110"/>
      <c r="I196" s="110"/>
      <c r="J196" s="110"/>
      <c r="K196" s="122">
        <f>K194+K195</f>
        <v>50441439.881217524</v>
      </c>
      <c r="L196" s="122">
        <f t="shared" ref="L196:AL196" si="81">L194+L195</f>
        <v>59199032.325482227</v>
      </c>
      <c r="M196" s="122">
        <f>M194+M195</f>
        <v>53196120.557659402</v>
      </c>
      <c r="N196" s="122">
        <f t="shared" si="81"/>
        <v>65440166.529059961</v>
      </c>
      <c r="O196" s="122">
        <f t="shared" si="81"/>
        <v>1910492.6472437351</v>
      </c>
      <c r="P196" s="122">
        <f t="shared" si="81"/>
        <v>2089314.7590257488</v>
      </c>
      <c r="Q196" s="122">
        <f t="shared" si="81"/>
        <v>2684355.4152575037</v>
      </c>
      <c r="R196" s="122">
        <f t="shared" si="81"/>
        <v>2935611.0821256055</v>
      </c>
      <c r="S196" s="122">
        <f t="shared" si="81"/>
        <v>3816233.4827368204</v>
      </c>
      <c r="T196" s="122">
        <f t="shared" si="81"/>
        <v>4173432.9367209869</v>
      </c>
      <c r="U196" s="122">
        <f t="shared" si="81"/>
        <v>4564066.2595980708</v>
      </c>
      <c r="V196" s="122">
        <f t="shared" si="81"/>
        <v>4991262.8614964494</v>
      </c>
      <c r="W196" s="122">
        <f t="shared" si="81"/>
        <v>5458445.0653325161</v>
      </c>
      <c r="X196" s="122">
        <f t="shared" si="81"/>
        <v>5969355.5234476393</v>
      </c>
      <c r="Y196" s="122">
        <f t="shared" si="81"/>
        <v>6528087.2004423374</v>
      </c>
      <c r="Z196" s="122">
        <f t="shared" si="81"/>
        <v>7139116.16240374</v>
      </c>
      <c r="AA196" s="122">
        <f t="shared" si="81"/>
        <v>7807337.4352047285</v>
      </c>
      <c r="AB196" s="122">
        <f t="shared" si="81"/>
        <v>8538104.2191398907</v>
      </c>
      <c r="AC196" s="122">
        <f t="shared" si="81"/>
        <v>161918306.18537259</v>
      </c>
      <c r="AD196" s="122">
        <f t="shared" si="81"/>
        <v>171927912.45661667</v>
      </c>
      <c r="AE196" s="122">
        <f t="shared" si="81"/>
        <v>182565661.04358679</v>
      </c>
      <c r="AF196" s="122">
        <f t="shared" si="81"/>
        <v>193373400.74229154</v>
      </c>
      <c r="AG196" s="122">
        <f t="shared" si="81"/>
        <v>205889317.6349555</v>
      </c>
      <c r="AH196" s="122">
        <f t="shared" si="81"/>
        <v>218663918.00373068</v>
      </c>
      <c r="AI196" s="122">
        <f t="shared" si="81"/>
        <v>232244422.58131188</v>
      </c>
      <c r="AJ196" s="122">
        <f t="shared" si="81"/>
        <v>246053626.11602697</v>
      </c>
      <c r="AK196" s="122">
        <f t="shared" si="81"/>
        <v>262034791.39871281</v>
      </c>
      <c r="AL196" s="122">
        <f t="shared" si="81"/>
        <v>278359389.85686845</v>
      </c>
    </row>
    <row r="197" spans="4:40">
      <c r="E197" s="7"/>
      <c r="K197" s="65">
        <f>K196/K26</f>
        <v>261.35461078351051</v>
      </c>
      <c r="L197" s="65">
        <f t="shared" ref="L197:N197" si="82">L196/L26</f>
        <v>324.83752796423408</v>
      </c>
      <c r="M197" s="65">
        <f t="shared" si="82"/>
        <v>279.96713872820197</v>
      </c>
      <c r="N197" s="65">
        <f t="shared" si="82"/>
        <v>137.60702216618142</v>
      </c>
      <c r="O197" s="65">
        <f>O175/O26</f>
        <v>4.0271819999999998</v>
      </c>
      <c r="P197" s="65">
        <f t="shared" ref="P197:AL197" si="83">P175/P26</f>
        <v>4.4041262351999997</v>
      </c>
      <c r="Q197" s="65">
        <f t="shared" si="83"/>
        <v>4.8163524508147191</v>
      </c>
      <c r="R197" s="65">
        <f t="shared" si="83"/>
        <v>5.2671630402109759</v>
      </c>
      <c r="S197" s="65">
        <f t="shared" si="83"/>
        <v>5.7601695007747225</v>
      </c>
      <c r="T197" s="65">
        <f t="shared" si="83"/>
        <v>6.299321366047236</v>
      </c>
      <c r="U197" s="65">
        <f t="shared" si="83"/>
        <v>6.8889378459092567</v>
      </c>
      <c r="V197" s="65">
        <f t="shared" si="83"/>
        <v>7.5337424282863621</v>
      </c>
      <c r="W197" s="65">
        <f t="shared" si="83"/>
        <v>8.2389007195739641</v>
      </c>
      <c r="X197" s="65">
        <f t="shared" si="83"/>
        <v>9.010061826926087</v>
      </c>
      <c r="Y197" s="65">
        <f t="shared" si="83"/>
        <v>9.8534036139263677</v>
      </c>
      <c r="Z197" s="65">
        <f t="shared" si="83"/>
        <v>10.775682192189874</v>
      </c>
      <c r="AA197" s="65">
        <f t="shared" si="83"/>
        <v>11.784286045378845</v>
      </c>
      <c r="AB197" s="65">
        <f t="shared" si="83"/>
        <v>12.887295219226305</v>
      </c>
      <c r="AC197" s="65">
        <f t="shared" si="83"/>
        <v>8.0129635345808303</v>
      </c>
      <c r="AD197" s="65">
        <f t="shared" si="83"/>
        <v>8.7629769214175965</v>
      </c>
      <c r="AE197" s="65">
        <f t="shared" si="83"/>
        <v>9.5831915612622822</v>
      </c>
      <c r="AF197" s="65">
        <f t="shared" si="83"/>
        <v>10.480178291396431</v>
      </c>
      <c r="AG197" s="65">
        <f t="shared" si="83"/>
        <v>11.461122979471138</v>
      </c>
      <c r="AH197" s="65">
        <f t="shared" si="83"/>
        <v>12.533884090349634</v>
      </c>
      <c r="AI197" s="65">
        <f t="shared" si="83"/>
        <v>13.707055641206358</v>
      </c>
      <c r="AJ197" s="65">
        <f t="shared" si="83"/>
        <v>14.990036049223274</v>
      </c>
      <c r="AK197" s="65">
        <f t="shared" si="83"/>
        <v>16.393103423430571</v>
      </c>
      <c r="AL197" s="65">
        <f t="shared" si="83"/>
        <v>17.927497903863671</v>
      </c>
    </row>
    <row r="198" spans="4:40">
      <c r="D198" s="63" t="s">
        <v>247</v>
      </c>
      <c r="E198" s="7" t="s">
        <v>101</v>
      </c>
      <c r="K198" s="10">
        <f>K194/20000000000</f>
        <v>2.5062524698057391E-3</v>
      </c>
    </row>
    <row r="199" spans="4:40">
      <c r="D199" s="7"/>
      <c r="E199" s="7"/>
      <c r="K199" s="10"/>
    </row>
    <row r="200" spans="4:40">
      <c r="D200" s="7"/>
      <c r="E200" s="7"/>
      <c r="K200" s="10"/>
    </row>
    <row r="201" spans="4:40">
      <c r="D201" s="110" t="s">
        <v>348</v>
      </c>
      <c r="E201" s="110" t="s">
        <v>211</v>
      </c>
      <c r="F201" s="110"/>
      <c r="G201" s="110"/>
      <c r="H201" s="110"/>
      <c r="I201" s="110"/>
      <c r="J201" s="110"/>
      <c r="K201" s="122">
        <f t="shared" ref="K201:AL201" si="84">K85+K92+K97</f>
        <v>9446804.7750000004</v>
      </c>
      <c r="L201" s="122">
        <f t="shared" si="84"/>
        <v>9561710.1156316809</v>
      </c>
      <c r="M201" s="122">
        <f t="shared" si="84"/>
        <v>10573824.57784687</v>
      </c>
      <c r="N201" s="122">
        <f t="shared" si="84"/>
        <v>27832572.701335274</v>
      </c>
      <c r="O201" s="122">
        <f t="shared" si="84"/>
        <v>25667140.615942121</v>
      </c>
      <c r="P201" s="122">
        <f t="shared" si="84"/>
        <v>27877531.114617661</v>
      </c>
      <c r="Q201" s="122">
        <f t="shared" si="84"/>
        <v>36901827.181124449</v>
      </c>
      <c r="R201" s="122">
        <f t="shared" si="84"/>
        <v>39849802.020114139</v>
      </c>
      <c r="S201" s="122">
        <f t="shared" si="84"/>
        <v>52990128.02058959</v>
      </c>
      <c r="T201" s="122">
        <f t="shared" si="84"/>
        <v>57201482.655011334</v>
      </c>
      <c r="U201" s="122">
        <f t="shared" si="84"/>
        <v>61756833.658215746</v>
      </c>
      <c r="V201" s="122">
        <f t="shared" si="84"/>
        <v>66684951.168436959</v>
      </c>
      <c r="W201" s="122">
        <f t="shared" si="84"/>
        <v>72017059.611360461</v>
      </c>
      <c r="X201" s="122">
        <f t="shared" si="84"/>
        <v>77787050.504727498</v>
      </c>
      <c r="Y201" s="122">
        <f t="shared" si="84"/>
        <v>84031713.960981175</v>
      </c>
      <c r="Z201" s="122">
        <f t="shared" si="84"/>
        <v>90790990.548630714</v>
      </c>
      <c r="AA201" s="122">
        <f t="shared" si="84"/>
        <v>98108245.321800023</v>
      </c>
      <c r="AB201" s="122">
        <f t="shared" si="84"/>
        <v>106030565.98964238</v>
      </c>
      <c r="AC201" s="122">
        <f t="shared" si="84"/>
        <v>120457243.95571509</v>
      </c>
      <c r="AD201" s="122">
        <f t="shared" si="84"/>
        <v>129556958.21320389</v>
      </c>
      <c r="AE201" s="122">
        <f t="shared" si="84"/>
        <v>139366617.07020527</v>
      </c>
      <c r="AF201" s="122">
        <f t="shared" si="84"/>
        <v>149943272.61529216</v>
      </c>
      <c r="AG201" s="122">
        <f t="shared" si="84"/>
        <v>161348682.66784656</v>
      </c>
      <c r="AH201" s="122">
        <f t="shared" si="84"/>
        <v>173649707.61051381</v>
      </c>
      <c r="AI201" s="122">
        <f t="shared" si="84"/>
        <v>186918741.30823877</v>
      </c>
      <c r="AJ201" s="122">
        <f t="shared" si="84"/>
        <v>201234179.08625281</v>
      </c>
      <c r="AK201" s="122">
        <f t="shared" si="84"/>
        <v>216680926.00176036</v>
      </c>
      <c r="AL201" s="122">
        <f t="shared" si="84"/>
        <v>233350948.92985129</v>
      </c>
    </row>
    <row r="202" spans="4:40">
      <c r="D202" t="s">
        <v>336</v>
      </c>
      <c r="E202" t="s">
        <v>211</v>
      </c>
      <c r="K202" s="65">
        <f>K201+K196</f>
        <v>59888244.656217523</v>
      </c>
      <c r="L202" s="65">
        <f t="shared" ref="L202:AL202" si="85">L201+L196</f>
        <v>68760742.441113904</v>
      </c>
      <c r="M202" s="65">
        <f t="shared" si="85"/>
        <v>63769945.135506272</v>
      </c>
      <c r="N202" s="65">
        <f t="shared" si="85"/>
        <v>93272739.230395228</v>
      </c>
      <c r="O202" s="65">
        <f t="shared" si="85"/>
        <v>27577633.263185855</v>
      </c>
      <c r="P202" s="65">
        <f t="shared" si="85"/>
        <v>29966845.873643409</v>
      </c>
      <c r="Q202" s="65">
        <f t="shared" si="85"/>
        <v>39586182.596381955</v>
      </c>
      <c r="R202" s="65">
        <f t="shared" si="85"/>
        <v>42785413.102239743</v>
      </c>
      <c r="S202" s="65">
        <f t="shared" si="85"/>
        <v>56806361.503326409</v>
      </c>
      <c r="T202" s="65">
        <f t="shared" si="85"/>
        <v>61374915.591732323</v>
      </c>
      <c r="U202" s="65">
        <f t="shared" si="85"/>
        <v>66320899.917813815</v>
      </c>
      <c r="V202" s="65">
        <f t="shared" si="85"/>
        <v>71676214.029933408</v>
      </c>
      <c r="W202" s="65">
        <f t="shared" si="85"/>
        <v>77475504.676692978</v>
      </c>
      <c r="X202" s="65">
        <f t="shared" si="85"/>
        <v>83756406.02817513</v>
      </c>
      <c r="Y202" s="65">
        <f t="shared" si="85"/>
        <v>90559801.161423519</v>
      </c>
      <c r="Z202" s="65">
        <f t="shared" si="85"/>
        <v>97930106.711034447</v>
      </c>
      <c r="AA202" s="65">
        <f t="shared" si="85"/>
        <v>105915582.75700475</v>
      </c>
      <c r="AB202" s="65">
        <f t="shared" si="85"/>
        <v>114568670.20878227</v>
      </c>
      <c r="AC202" s="65">
        <f t="shared" si="85"/>
        <v>282375550.14108765</v>
      </c>
      <c r="AD202" s="65">
        <f t="shared" si="85"/>
        <v>301484870.66982055</v>
      </c>
      <c r="AE202" s="65">
        <f t="shared" si="85"/>
        <v>321932278.11379206</v>
      </c>
      <c r="AF202" s="65">
        <f t="shared" si="85"/>
        <v>343316673.3575837</v>
      </c>
      <c r="AG202" s="65">
        <f t="shared" si="85"/>
        <v>367238000.30280209</v>
      </c>
      <c r="AH202" s="65">
        <f t="shared" si="85"/>
        <v>392313625.61424446</v>
      </c>
      <c r="AI202" s="65">
        <f t="shared" si="85"/>
        <v>419163163.88955069</v>
      </c>
      <c r="AJ202" s="65">
        <f t="shared" si="85"/>
        <v>447287805.20227981</v>
      </c>
      <c r="AK202" s="65">
        <f t="shared" si="85"/>
        <v>478715717.40047318</v>
      </c>
      <c r="AL202" s="65">
        <f t="shared" si="85"/>
        <v>511710338.78671974</v>
      </c>
      <c r="AM202" s="65">
        <f>SUM(M202:AL202)/10^6</f>
        <v>4988.8812452656248</v>
      </c>
      <c r="AN202" s="65">
        <f>'BaU Model'!AM191-'Initiative 1 Model'!AM202</f>
        <v>1454.7999458429576</v>
      </c>
    </row>
    <row r="203" spans="4:40">
      <c r="D203" s="109" t="s">
        <v>336</v>
      </c>
      <c r="E203" s="110" t="s">
        <v>337</v>
      </c>
      <c r="F203" s="110"/>
      <c r="G203" s="110"/>
      <c r="H203" s="110"/>
      <c r="I203" s="110"/>
      <c r="J203" s="110">
        <f>K203/K105</f>
        <v>6.3395239006849824</v>
      </c>
      <c r="K203" s="113">
        <f t="shared" ref="K203:AL203" si="86">K202/K26</f>
        <v>310.30178578351047</v>
      </c>
      <c r="L203" s="113">
        <f t="shared" si="86"/>
        <v>377.30464026423408</v>
      </c>
      <c r="M203" s="113">
        <f t="shared" si="86"/>
        <v>335.61637369948198</v>
      </c>
      <c r="N203" s="113">
        <f t="shared" si="86"/>
        <v>196.13311786237333</v>
      </c>
      <c r="O203" s="113">
        <f t="shared" si="86"/>
        <v>58.131680559111096</v>
      </c>
      <c r="P203" s="113">
        <f t="shared" si="86"/>
        <v>63.167970038104393</v>
      </c>
      <c r="Q203" s="113">
        <f t="shared" si="86"/>
        <v>71.026737548534925</v>
      </c>
      <c r="R203" s="113">
        <f t="shared" si="86"/>
        <v>76.766894608225655</v>
      </c>
      <c r="S203" s="113">
        <f t="shared" si="86"/>
        <v>85.742728389559019</v>
      </c>
      <c r="T203" s="113">
        <f t="shared" si="86"/>
        <v>92.638440101569657</v>
      </c>
      <c r="U203" s="113">
        <f t="shared" si="86"/>
        <v>100.10383974110454</v>
      </c>
      <c r="V203" s="113">
        <f t="shared" si="86"/>
        <v>108.18707604078119</v>
      </c>
      <c r="W203" s="113">
        <f t="shared" si="86"/>
        <v>116.94044431887623</v>
      </c>
      <c r="X203" s="113">
        <f t="shared" si="86"/>
        <v>126.42074906591081</v>
      </c>
      <c r="Y203" s="113">
        <f t="shared" si="86"/>
        <v>136.68969862718146</v>
      </c>
      <c r="Z203" s="113">
        <f t="shared" si="86"/>
        <v>147.81433485038585</v>
      </c>
      <c r="AA203" s="113">
        <f t="shared" si="86"/>
        <v>159.86750082601111</v>
      </c>
      <c r="AB203" s="113">
        <f t="shared" si="86"/>
        <v>172.9283501301056</v>
      </c>
      <c r="AC203" s="113">
        <f t="shared" si="86"/>
        <v>426.21371020535832</v>
      </c>
      <c r="AD203" s="113">
        <f t="shared" si="86"/>
        <v>455.05705162774854</v>
      </c>
      <c r="AE203" s="113">
        <f t="shared" si="86"/>
        <v>485.92008274507214</v>
      </c>
      <c r="AF203" s="113">
        <f t="shared" si="86"/>
        <v>518.19739015642676</v>
      </c>
      <c r="AG203" s="113">
        <f t="shared" si="86"/>
        <v>554.30390683346468</v>
      </c>
      <c r="AH203" s="113">
        <f t="shared" si="86"/>
        <v>592.15270533733383</v>
      </c>
      <c r="AI203" s="113">
        <f t="shared" si="86"/>
        <v>632.67902328483774</v>
      </c>
      <c r="AJ203" s="113">
        <f t="shared" si="86"/>
        <v>675.12996394207198</v>
      </c>
      <c r="AK203" s="113">
        <f t="shared" si="86"/>
        <v>722.56681552255577</v>
      </c>
      <c r="AL203" s="113">
        <f t="shared" si="86"/>
        <v>772.36843606238938</v>
      </c>
    </row>
    <row r="204" spans="4:40">
      <c r="E204" t="s">
        <v>108</v>
      </c>
      <c r="J204">
        <f>K204/K106</f>
        <v>5.9665863957588288</v>
      </c>
      <c r="K204" s="65">
        <f>K202/Inputs!E34</f>
        <v>18.691043101812905</v>
      </c>
      <c r="L204" s="65">
        <f>L202/Inputs!F34</f>
        <v>22.801489721405648</v>
      </c>
      <c r="M204" s="65">
        <f>M202/Inputs!G34</f>
        <v>20.295307039745762</v>
      </c>
      <c r="N204" s="65">
        <f>N202/Inputs!H34</f>
        <v>33.871226206817333</v>
      </c>
      <c r="O204" s="65">
        <f t="shared" ref="O204:AL204" si="87">O202/O65</f>
        <v>8.6069433981094701</v>
      </c>
      <c r="P204" s="65">
        <f t="shared" si="87"/>
        <v>9.352613539851065</v>
      </c>
      <c r="Q204" s="65">
        <f t="shared" si="87"/>
        <v>12.354795993647391</v>
      </c>
      <c r="R204" s="65">
        <f t="shared" si="87"/>
        <v>13.353271664805915</v>
      </c>
      <c r="S204" s="65">
        <f t="shared" si="87"/>
        <v>17.729191386570513</v>
      </c>
      <c r="T204" s="65">
        <f t="shared" si="87"/>
        <v>19.155031163133298</v>
      </c>
      <c r="U204" s="65">
        <f t="shared" si="87"/>
        <v>20.69866642495062</v>
      </c>
      <c r="V204" s="65">
        <f t="shared" si="87"/>
        <v>22.370052979490126</v>
      </c>
      <c r="W204" s="65">
        <f t="shared" si="87"/>
        <v>24.180004031833587</v>
      </c>
      <c r="X204" s="65">
        <f t="shared" si="87"/>
        <v>26.140265157413261</v>
      </c>
      <c r="Y204" s="65">
        <f t="shared" si="87"/>
        <v>28.263595911289478</v>
      </c>
      <c r="Z204" s="65">
        <f t="shared" si="87"/>
        <v>30.56385866722929</v>
      </c>
      <c r="AA204" s="65">
        <f t="shared" si="87"/>
        <v>17.140962571945945</v>
      </c>
      <c r="AB204" s="65">
        <f t="shared" si="87"/>
        <v>18.541344312591036</v>
      </c>
      <c r="AC204" s="65">
        <f t="shared" si="87"/>
        <v>45.698551716469893</v>
      </c>
      <c r="AD204" s="65">
        <f t="shared" si="87"/>
        <v>48.79112921481412</v>
      </c>
      <c r="AE204" s="65">
        <f t="shared" si="87"/>
        <v>52.100257452294976</v>
      </c>
      <c r="AF204" s="65">
        <f t="shared" si="87"/>
        <v>55.561024120958649</v>
      </c>
      <c r="AG204" s="65">
        <f t="shared" si="87"/>
        <v>59.432357867759499</v>
      </c>
      <c r="AH204" s="65">
        <f t="shared" si="87"/>
        <v>63.490498735639939</v>
      </c>
      <c r="AI204" s="65">
        <f t="shared" si="87"/>
        <v>67.835722721301451</v>
      </c>
      <c r="AJ204" s="65">
        <f t="shared" si="87"/>
        <v>72.387304382301309</v>
      </c>
      <c r="AK204" s="65">
        <f t="shared" si="87"/>
        <v>77.473474449830945</v>
      </c>
      <c r="AL204" s="65">
        <f t="shared" si="87"/>
        <v>82.81319458860132</v>
      </c>
    </row>
  </sheetData>
  <conditionalFormatting sqref="K6:AL6">
    <cfRule type="cellIs" dxfId="9" priority="2" operator="equal">
      <formula>1</formula>
    </cfRule>
  </conditionalFormatting>
  <conditionalFormatting sqref="K7:AL7">
    <cfRule type="cellIs" dxfId="8" priority="1" operator="equal">
      <formula>1</formula>
    </cfRule>
  </conditionalFormatting>
  <pageMargins left="0.7" right="0.7" top="0.75" bottom="0.75" header="0.3" footer="0.3"/>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3471C8-0F2B-4E84-83BD-2CF5ACA765BA}">
  <sheetPr codeName="Sheet23">
    <tabColor theme="0" tint="-0.14999847407452621"/>
  </sheetPr>
  <dimension ref="A1:AO204"/>
  <sheetViews>
    <sheetView topLeftCell="W84" zoomScale="67" zoomScaleNormal="85" workbookViewId="0">
      <selection activeCell="AG108" sqref="AG108"/>
    </sheetView>
  </sheetViews>
  <sheetFormatPr defaultColWidth="9.140625" defaultRowHeight="12.75"/>
  <cols>
    <col min="1" max="3" width="2.140625" customWidth="1"/>
    <col min="4" max="4" width="39.7109375" bestFit="1" customWidth="1"/>
    <col min="5" max="5" width="13.5703125" customWidth="1"/>
    <col min="6" max="6" width="14" customWidth="1"/>
    <col min="7" max="7" width="15.28515625" customWidth="1"/>
    <col min="8" max="8" width="2.140625" customWidth="1"/>
    <col min="9" max="9" width="2.42578125" customWidth="1"/>
    <col min="10" max="10" width="16.140625" bestFit="1" customWidth="1"/>
    <col min="11" max="11" width="17.5703125" customWidth="1"/>
    <col min="12" max="22" width="15.28515625" customWidth="1"/>
    <col min="23" max="23" width="15.28515625" style="128" customWidth="1"/>
    <col min="24" max="26" width="15.28515625" customWidth="1"/>
    <col min="27" max="27" width="15.5703125" customWidth="1"/>
    <col min="28" max="28" width="14.5703125" style="128" customWidth="1"/>
    <col min="29" max="29" width="14.85546875" customWidth="1"/>
    <col min="30" max="30" width="14.28515625" customWidth="1"/>
    <col min="31" max="31" width="19.42578125" customWidth="1"/>
    <col min="32" max="32" width="14.85546875" customWidth="1"/>
    <col min="33" max="33" width="15.28515625" customWidth="1"/>
    <col min="34" max="34" width="14.140625" customWidth="1"/>
    <col min="35" max="35" width="14.42578125" customWidth="1"/>
    <col min="36" max="36" width="19.7109375" customWidth="1"/>
    <col min="37" max="37" width="15.42578125" customWidth="1"/>
    <col min="38" max="38" width="29.42578125" customWidth="1"/>
    <col min="39" max="39" width="19.42578125" customWidth="1"/>
    <col min="40" max="40" width="15.28515625" customWidth="1"/>
    <col min="41" max="41" width="13.140625" customWidth="1"/>
    <col min="56" max="56" width="1.28515625" customWidth="1"/>
    <col min="57" max="57" width="0.7109375" customWidth="1"/>
    <col min="58" max="58" width="1.28515625" customWidth="1"/>
    <col min="60" max="69" width="14" customWidth="1"/>
    <col min="70" max="70" width="16.28515625" customWidth="1"/>
  </cols>
  <sheetData>
    <row r="1" spans="1:38" ht="23.25">
      <c r="A1" s="30" t="s">
        <v>162</v>
      </c>
      <c r="B1" s="30"/>
      <c r="C1" s="30"/>
      <c r="D1" s="30"/>
      <c r="E1" s="30"/>
      <c r="F1" s="30"/>
      <c r="G1" s="30"/>
      <c r="H1" s="30"/>
      <c r="I1" s="30"/>
      <c r="J1" s="30"/>
      <c r="K1" s="30"/>
      <c r="L1" s="30"/>
      <c r="M1" s="30"/>
      <c r="N1" s="30"/>
      <c r="O1" s="30"/>
      <c r="P1" s="30"/>
      <c r="Q1" s="30"/>
      <c r="R1" s="30"/>
      <c r="S1" s="30"/>
      <c r="T1" s="30"/>
      <c r="U1" s="30"/>
      <c r="V1" s="30"/>
      <c r="W1" s="124"/>
      <c r="X1" s="30"/>
      <c r="Y1" s="30"/>
      <c r="Z1" s="30"/>
      <c r="AA1" s="30"/>
    </row>
    <row r="2" spans="1:38" ht="15.75">
      <c r="A2" s="17" t="str">
        <f>Name_Model</f>
        <v>Aspen PE</v>
      </c>
      <c r="B2" s="17"/>
      <c r="C2" s="17"/>
      <c r="D2" s="17"/>
      <c r="E2" s="17"/>
      <c r="F2" s="17"/>
      <c r="G2" s="17"/>
      <c r="H2" s="17"/>
      <c r="I2" s="17"/>
      <c r="J2" s="17"/>
      <c r="K2" s="17"/>
      <c r="L2" s="17"/>
      <c r="M2" s="17"/>
      <c r="N2" s="17"/>
      <c r="O2" s="17"/>
      <c r="P2" s="17"/>
      <c r="Q2" s="17"/>
      <c r="R2" s="17"/>
      <c r="S2" s="17"/>
      <c r="T2" s="17"/>
      <c r="U2" s="17"/>
      <c r="V2" s="17"/>
      <c r="W2" s="125"/>
      <c r="X2" s="17"/>
      <c r="Y2" s="17"/>
      <c r="Z2" s="17"/>
      <c r="AA2" s="17"/>
    </row>
    <row r="3" spans="1:38" ht="15.75">
      <c r="A3" s="64"/>
      <c r="B3" s="64"/>
      <c r="C3" s="64"/>
      <c r="D3" s="64"/>
      <c r="E3" s="64"/>
      <c r="F3" s="64"/>
      <c r="G3" s="64"/>
      <c r="H3" s="64"/>
      <c r="I3" s="64"/>
      <c r="J3" s="64"/>
      <c r="K3" s="64"/>
      <c r="L3" s="64"/>
      <c r="M3" s="64"/>
      <c r="N3" s="64"/>
      <c r="O3" s="64"/>
      <c r="P3" s="64"/>
      <c r="Q3" s="64"/>
      <c r="R3" s="64"/>
      <c r="S3" s="64"/>
      <c r="T3" s="64"/>
      <c r="U3" s="64"/>
      <c r="V3" s="64"/>
      <c r="W3" s="125"/>
      <c r="X3" s="64"/>
      <c r="Y3" s="64"/>
      <c r="Z3" s="64"/>
      <c r="AA3" s="64"/>
    </row>
    <row r="4" spans="1:38">
      <c r="D4" t="s">
        <v>70</v>
      </c>
      <c r="E4" s="16" t="s">
        <v>17</v>
      </c>
      <c r="K4" s="37">
        <f>J5+1</f>
        <v>44743</v>
      </c>
      <c r="L4" s="37">
        <f t="shared" ref="L4:AL4" si="0">K5+1</f>
        <v>45108</v>
      </c>
      <c r="M4" s="37">
        <f t="shared" si="0"/>
        <v>45474</v>
      </c>
      <c r="N4" s="37">
        <f t="shared" si="0"/>
        <v>45839</v>
      </c>
      <c r="O4" s="37">
        <f t="shared" si="0"/>
        <v>46204</v>
      </c>
      <c r="P4" s="37">
        <f t="shared" si="0"/>
        <v>46569</v>
      </c>
      <c r="Q4" s="37">
        <f t="shared" si="0"/>
        <v>46935</v>
      </c>
      <c r="R4" s="37">
        <f t="shared" si="0"/>
        <v>47300</v>
      </c>
      <c r="S4" s="37">
        <f t="shared" si="0"/>
        <v>47665</v>
      </c>
      <c r="T4" s="37">
        <f t="shared" si="0"/>
        <v>48030</v>
      </c>
      <c r="U4" s="37">
        <f t="shared" si="0"/>
        <v>48396</v>
      </c>
      <c r="V4" s="37">
        <f t="shared" si="0"/>
        <v>48761</v>
      </c>
      <c r="W4" s="126">
        <f t="shared" si="0"/>
        <v>49126</v>
      </c>
      <c r="X4" s="37">
        <f t="shared" si="0"/>
        <v>49491</v>
      </c>
      <c r="Y4" s="37">
        <f t="shared" si="0"/>
        <v>49857</v>
      </c>
      <c r="Z4" s="37">
        <f t="shared" si="0"/>
        <v>50222</v>
      </c>
      <c r="AA4" s="37">
        <f t="shared" si="0"/>
        <v>50587</v>
      </c>
      <c r="AB4" s="126">
        <f t="shared" si="0"/>
        <v>50952</v>
      </c>
      <c r="AC4" s="37">
        <f t="shared" si="0"/>
        <v>51318</v>
      </c>
      <c r="AD4" s="37">
        <f t="shared" si="0"/>
        <v>51683</v>
      </c>
      <c r="AE4" s="37">
        <f t="shared" si="0"/>
        <v>52048</v>
      </c>
      <c r="AF4" s="37">
        <f t="shared" si="0"/>
        <v>52413</v>
      </c>
      <c r="AG4" s="37">
        <f t="shared" si="0"/>
        <v>52779</v>
      </c>
      <c r="AH4" s="37">
        <f t="shared" si="0"/>
        <v>53144</v>
      </c>
      <c r="AI4" s="37">
        <f t="shared" si="0"/>
        <v>53509</v>
      </c>
      <c r="AJ4" s="37">
        <f t="shared" si="0"/>
        <v>53874</v>
      </c>
      <c r="AK4" s="37">
        <f t="shared" si="0"/>
        <v>54240</v>
      </c>
      <c r="AL4" s="37">
        <f t="shared" si="0"/>
        <v>54605</v>
      </c>
    </row>
    <row r="5" spans="1:38">
      <c r="D5" t="s">
        <v>71</v>
      </c>
      <c r="E5" s="16" t="s">
        <v>17</v>
      </c>
      <c r="F5" s="36" t="s">
        <v>16</v>
      </c>
      <c r="G5" s="36" t="s">
        <v>18</v>
      </c>
      <c r="J5" s="38">
        <f>Model_Start</f>
        <v>44742</v>
      </c>
      <c r="K5" s="37">
        <f>EOMONTH(K4,11)</f>
        <v>45107</v>
      </c>
      <c r="L5" s="37">
        <f t="shared" ref="L5:AL5" si="1">EOMONTH(L4,11)</f>
        <v>45473</v>
      </c>
      <c r="M5" s="37">
        <f t="shared" si="1"/>
        <v>45838</v>
      </c>
      <c r="N5" s="37">
        <f t="shared" si="1"/>
        <v>46203</v>
      </c>
      <c r="O5" s="37">
        <f t="shared" si="1"/>
        <v>46568</v>
      </c>
      <c r="P5" s="37">
        <f t="shared" si="1"/>
        <v>46934</v>
      </c>
      <c r="Q5" s="37">
        <f t="shared" si="1"/>
        <v>47299</v>
      </c>
      <c r="R5" s="37">
        <f t="shared" si="1"/>
        <v>47664</v>
      </c>
      <c r="S5" s="37">
        <f t="shared" si="1"/>
        <v>48029</v>
      </c>
      <c r="T5" s="37">
        <f t="shared" si="1"/>
        <v>48395</v>
      </c>
      <c r="U5" s="37">
        <f t="shared" si="1"/>
        <v>48760</v>
      </c>
      <c r="V5" s="37">
        <f t="shared" si="1"/>
        <v>49125</v>
      </c>
      <c r="W5" s="126">
        <f t="shared" si="1"/>
        <v>49490</v>
      </c>
      <c r="X5" s="37">
        <f t="shared" si="1"/>
        <v>49856</v>
      </c>
      <c r="Y5" s="37">
        <f t="shared" si="1"/>
        <v>50221</v>
      </c>
      <c r="Z5" s="37">
        <f t="shared" si="1"/>
        <v>50586</v>
      </c>
      <c r="AA5" s="37">
        <f t="shared" si="1"/>
        <v>50951</v>
      </c>
      <c r="AB5" s="126">
        <f t="shared" si="1"/>
        <v>51317</v>
      </c>
      <c r="AC5" s="37">
        <f t="shared" si="1"/>
        <v>51682</v>
      </c>
      <c r="AD5" s="37">
        <f t="shared" si="1"/>
        <v>52047</v>
      </c>
      <c r="AE5" s="37">
        <f t="shared" si="1"/>
        <v>52412</v>
      </c>
      <c r="AF5" s="37">
        <f t="shared" si="1"/>
        <v>52778</v>
      </c>
      <c r="AG5" s="37">
        <f t="shared" si="1"/>
        <v>53143</v>
      </c>
      <c r="AH5" s="37">
        <f t="shared" si="1"/>
        <v>53508</v>
      </c>
      <c r="AI5" s="37">
        <f t="shared" si="1"/>
        <v>53873</v>
      </c>
      <c r="AJ5" s="37">
        <f t="shared" si="1"/>
        <v>54239</v>
      </c>
      <c r="AK5" s="37">
        <f t="shared" si="1"/>
        <v>54604</v>
      </c>
      <c r="AL5" s="37">
        <f t="shared" si="1"/>
        <v>54969</v>
      </c>
    </row>
    <row r="6" spans="1:38">
      <c r="D6" s="7" t="s">
        <v>95</v>
      </c>
      <c r="E6" s="16" t="s">
        <v>72</v>
      </c>
      <c r="F6" s="38">
        <f>Inputs!E9</f>
        <v>44743</v>
      </c>
      <c r="G6" s="38">
        <f>Inputs!E11</f>
        <v>45473</v>
      </c>
      <c r="K6" s="8">
        <f t="shared" ref="K6:Z7" si="2">IF(AND(K$4&gt;=$F6,K$5&lt;=$G6),1,0)</f>
        <v>1</v>
      </c>
      <c r="L6" s="8">
        <f t="shared" si="2"/>
        <v>1</v>
      </c>
      <c r="M6" s="8">
        <f t="shared" si="2"/>
        <v>0</v>
      </c>
      <c r="N6" s="8">
        <f t="shared" si="2"/>
        <v>0</v>
      </c>
      <c r="O6" s="8">
        <f t="shared" si="2"/>
        <v>0</v>
      </c>
      <c r="P6" s="8">
        <f t="shared" si="2"/>
        <v>0</v>
      </c>
      <c r="Q6" s="8">
        <f t="shared" si="2"/>
        <v>0</v>
      </c>
      <c r="R6" s="8">
        <f t="shared" si="2"/>
        <v>0</v>
      </c>
      <c r="S6" s="8">
        <f t="shared" si="2"/>
        <v>0</v>
      </c>
      <c r="T6" s="8">
        <f t="shared" si="2"/>
        <v>0</v>
      </c>
      <c r="U6" s="8">
        <f t="shared" si="2"/>
        <v>0</v>
      </c>
      <c r="V6" s="8">
        <f t="shared" si="2"/>
        <v>0</v>
      </c>
      <c r="W6" s="127">
        <f t="shared" si="2"/>
        <v>0</v>
      </c>
      <c r="X6" s="8">
        <f t="shared" si="2"/>
        <v>0</v>
      </c>
      <c r="Y6" s="8">
        <f t="shared" si="2"/>
        <v>0</v>
      </c>
      <c r="Z6" s="8">
        <f t="shared" si="2"/>
        <v>0</v>
      </c>
      <c r="AA6" s="8">
        <f t="shared" ref="AA6:AL7" si="3">IF(AND(AA$4&gt;=$F6,AA$5&lt;=$G6),1,0)</f>
        <v>0</v>
      </c>
      <c r="AB6" s="127">
        <f t="shared" si="3"/>
        <v>0</v>
      </c>
      <c r="AC6" s="8">
        <f t="shared" si="3"/>
        <v>0</v>
      </c>
      <c r="AD6" s="8">
        <f t="shared" si="3"/>
        <v>0</v>
      </c>
      <c r="AE6" s="8">
        <f t="shared" si="3"/>
        <v>0</v>
      </c>
      <c r="AF6" s="8">
        <f t="shared" si="3"/>
        <v>0</v>
      </c>
      <c r="AG6" s="8">
        <f t="shared" si="3"/>
        <v>0</v>
      </c>
      <c r="AH6" s="8">
        <f t="shared" si="3"/>
        <v>0</v>
      </c>
      <c r="AI6" s="8">
        <f t="shared" si="3"/>
        <v>0</v>
      </c>
      <c r="AJ6" s="8">
        <f t="shared" si="3"/>
        <v>0</v>
      </c>
      <c r="AK6" s="8">
        <f t="shared" si="3"/>
        <v>0</v>
      </c>
      <c r="AL6" s="8">
        <f t="shared" si="3"/>
        <v>0</v>
      </c>
    </row>
    <row r="7" spans="1:38">
      <c r="D7" s="7" t="s">
        <v>103</v>
      </c>
      <c r="E7" s="16" t="s">
        <v>72</v>
      </c>
      <c r="F7" s="38">
        <f>Inputs!E14</f>
        <v>45474</v>
      </c>
      <c r="G7" s="38">
        <f>Inputs!E16</f>
        <v>54604</v>
      </c>
      <c r="K7" s="8">
        <f t="shared" si="2"/>
        <v>0</v>
      </c>
      <c r="L7" s="8">
        <f t="shared" si="2"/>
        <v>0</v>
      </c>
      <c r="M7" s="8">
        <f t="shared" si="2"/>
        <v>1</v>
      </c>
      <c r="N7" s="8">
        <f t="shared" si="2"/>
        <v>1</v>
      </c>
      <c r="O7" s="8">
        <f t="shared" si="2"/>
        <v>1</v>
      </c>
      <c r="P7" s="8">
        <f t="shared" si="2"/>
        <v>1</v>
      </c>
      <c r="Q7" s="8">
        <f t="shared" si="2"/>
        <v>1</v>
      </c>
      <c r="R7" s="8">
        <f t="shared" si="2"/>
        <v>1</v>
      </c>
      <c r="S7" s="8">
        <f t="shared" si="2"/>
        <v>1</v>
      </c>
      <c r="T7" s="8">
        <f t="shared" si="2"/>
        <v>1</v>
      </c>
      <c r="U7" s="8">
        <f t="shared" si="2"/>
        <v>1</v>
      </c>
      <c r="V7" s="8">
        <f t="shared" si="2"/>
        <v>1</v>
      </c>
      <c r="W7" s="127">
        <f t="shared" si="2"/>
        <v>1</v>
      </c>
      <c r="X7" s="8">
        <f t="shared" si="2"/>
        <v>1</v>
      </c>
      <c r="Y7" s="8">
        <f t="shared" si="2"/>
        <v>1</v>
      </c>
      <c r="Z7" s="8">
        <f t="shared" si="2"/>
        <v>1</v>
      </c>
      <c r="AA7" s="8">
        <f t="shared" si="3"/>
        <v>1</v>
      </c>
      <c r="AB7" s="127">
        <f t="shared" si="3"/>
        <v>1</v>
      </c>
      <c r="AC7" s="8">
        <f t="shared" si="3"/>
        <v>1</v>
      </c>
      <c r="AD7" s="8">
        <f t="shared" si="3"/>
        <v>1</v>
      </c>
      <c r="AE7" s="8">
        <f t="shared" si="3"/>
        <v>1</v>
      </c>
      <c r="AF7" s="8">
        <f t="shared" si="3"/>
        <v>1</v>
      </c>
      <c r="AG7" s="8">
        <f t="shared" si="3"/>
        <v>1</v>
      </c>
      <c r="AH7" s="8">
        <f t="shared" si="3"/>
        <v>1</v>
      </c>
      <c r="AI7" s="8">
        <f t="shared" si="3"/>
        <v>1</v>
      </c>
      <c r="AJ7" s="8">
        <f t="shared" si="3"/>
        <v>1</v>
      </c>
      <c r="AK7" s="8">
        <f t="shared" si="3"/>
        <v>1</v>
      </c>
      <c r="AL7" s="8">
        <f t="shared" si="3"/>
        <v>0</v>
      </c>
    </row>
    <row r="9" spans="1:38" ht="18">
      <c r="D9" s="15" t="s">
        <v>74</v>
      </c>
    </row>
    <row r="10" spans="1:38">
      <c r="D10" s="7" t="s">
        <v>77</v>
      </c>
      <c r="E10" s="16" t="s">
        <v>21</v>
      </c>
      <c r="K10">
        <f t="shared" ref="K10:AL10" si="4">YEAR(K5)</f>
        <v>2023</v>
      </c>
      <c r="L10">
        <f t="shared" si="4"/>
        <v>2024</v>
      </c>
      <c r="M10">
        <f t="shared" si="4"/>
        <v>2025</v>
      </c>
      <c r="N10">
        <f t="shared" si="4"/>
        <v>2026</v>
      </c>
      <c r="O10">
        <f t="shared" si="4"/>
        <v>2027</v>
      </c>
      <c r="P10">
        <f t="shared" si="4"/>
        <v>2028</v>
      </c>
      <c r="Q10">
        <f t="shared" si="4"/>
        <v>2029</v>
      </c>
      <c r="R10">
        <f t="shared" si="4"/>
        <v>2030</v>
      </c>
      <c r="S10">
        <f t="shared" si="4"/>
        <v>2031</v>
      </c>
      <c r="T10">
        <f t="shared" si="4"/>
        <v>2032</v>
      </c>
      <c r="U10">
        <f t="shared" si="4"/>
        <v>2033</v>
      </c>
      <c r="V10">
        <f t="shared" si="4"/>
        <v>2034</v>
      </c>
      <c r="W10" s="128">
        <f t="shared" si="4"/>
        <v>2035</v>
      </c>
      <c r="X10">
        <f t="shared" si="4"/>
        <v>2036</v>
      </c>
      <c r="Y10">
        <f t="shared" si="4"/>
        <v>2037</v>
      </c>
      <c r="Z10">
        <f t="shared" si="4"/>
        <v>2038</v>
      </c>
      <c r="AA10">
        <f t="shared" si="4"/>
        <v>2039</v>
      </c>
      <c r="AB10" s="128">
        <f t="shared" si="4"/>
        <v>2040</v>
      </c>
      <c r="AC10">
        <f t="shared" si="4"/>
        <v>2041</v>
      </c>
      <c r="AD10">
        <f t="shared" si="4"/>
        <v>2042</v>
      </c>
      <c r="AE10">
        <f t="shared" si="4"/>
        <v>2043</v>
      </c>
      <c r="AF10">
        <f t="shared" si="4"/>
        <v>2044</v>
      </c>
      <c r="AG10">
        <f t="shared" si="4"/>
        <v>2045</v>
      </c>
      <c r="AH10">
        <f t="shared" si="4"/>
        <v>2046</v>
      </c>
      <c r="AI10">
        <f t="shared" si="4"/>
        <v>2047</v>
      </c>
      <c r="AJ10">
        <f t="shared" si="4"/>
        <v>2048</v>
      </c>
      <c r="AK10">
        <f t="shared" si="4"/>
        <v>2049</v>
      </c>
      <c r="AL10">
        <f t="shared" si="4"/>
        <v>2050</v>
      </c>
    </row>
    <row r="11" spans="1:38">
      <c r="D11" s="7" t="s">
        <v>78</v>
      </c>
      <c r="E11" s="16" t="s">
        <v>76</v>
      </c>
      <c r="K11">
        <f>K5-K4+1</f>
        <v>365</v>
      </c>
      <c r="L11">
        <f t="shared" ref="L11:AL11" si="5">L5-L4+1</f>
        <v>366</v>
      </c>
      <c r="M11">
        <f t="shared" si="5"/>
        <v>365</v>
      </c>
      <c r="N11">
        <f t="shared" si="5"/>
        <v>365</v>
      </c>
      <c r="O11">
        <f t="shared" si="5"/>
        <v>365</v>
      </c>
      <c r="P11">
        <f t="shared" si="5"/>
        <v>366</v>
      </c>
      <c r="Q11">
        <f t="shared" si="5"/>
        <v>365</v>
      </c>
      <c r="R11">
        <f t="shared" si="5"/>
        <v>365</v>
      </c>
      <c r="S11">
        <f t="shared" si="5"/>
        <v>365</v>
      </c>
      <c r="T11">
        <f t="shared" si="5"/>
        <v>366</v>
      </c>
      <c r="U11">
        <f t="shared" si="5"/>
        <v>365</v>
      </c>
      <c r="V11">
        <f t="shared" si="5"/>
        <v>365</v>
      </c>
      <c r="W11" s="128">
        <f t="shared" si="5"/>
        <v>365</v>
      </c>
      <c r="X11">
        <f t="shared" si="5"/>
        <v>366</v>
      </c>
      <c r="Y11">
        <f t="shared" si="5"/>
        <v>365</v>
      </c>
      <c r="Z11">
        <f t="shared" si="5"/>
        <v>365</v>
      </c>
      <c r="AA11">
        <f t="shared" si="5"/>
        <v>365</v>
      </c>
      <c r="AB11" s="128">
        <f t="shared" si="5"/>
        <v>366</v>
      </c>
      <c r="AC11">
        <f t="shared" si="5"/>
        <v>365</v>
      </c>
      <c r="AD11">
        <f t="shared" si="5"/>
        <v>365</v>
      </c>
      <c r="AE11">
        <f t="shared" si="5"/>
        <v>365</v>
      </c>
      <c r="AF11">
        <f t="shared" si="5"/>
        <v>366</v>
      </c>
      <c r="AG11">
        <f t="shared" si="5"/>
        <v>365</v>
      </c>
      <c r="AH11">
        <f t="shared" si="5"/>
        <v>365</v>
      </c>
      <c r="AI11">
        <f t="shared" si="5"/>
        <v>365</v>
      </c>
      <c r="AJ11">
        <f t="shared" si="5"/>
        <v>366</v>
      </c>
      <c r="AK11">
        <f t="shared" si="5"/>
        <v>365</v>
      </c>
      <c r="AL11">
        <f t="shared" si="5"/>
        <v>365</v>
      </c>
    </row>
    <row r="12" spans="1:38" ht="15.75">
      <c r="A12" s="64"/>
      <c r="B12" s="64"/>
      <c r="C12" s="64"/>
      <c r="D12" s="64"/>
      <c r="E12" s="64"/>
      <c r="F12" s="64"/>
      <c r="G12" s="64"/>
      <c r="H12" s="64"/>
      <c r="I12" s="64"/>
      <c r="J12" s="64"/>
      <c r="K12" s="64"/>
      <c r="L12" s="64"/>
      <c r="M12" s="64"/>
      <c r="N12" s="64"/>
      <c r="O12" s="64"/>
      <c r="P12" s="64"/>
      <c r="Q12" s="64"/>
      <c r="R12" s="64"/>
      <c r="S12" s="64"/>
      <c r="T12" s="64"/>
      <c r="U12" s="64"/>
      <c r="V12" s="64"/>
      <c r="W12" s="125"/>
      <c r="X12" s="64"/>
      <c r="Y12" s="64"/>
      <c r="Z12" s="64"/>
      <c r="AA12" s="64"/>
    </row>
    <row r="13" spans="1:38" ht="24" thickBot="1">
      <c r="D13" s="57" t="s">
        <v>188</v>
      </c>
      <c r="AD13">
        <f>12*60*60*24*365/1000</f>
        <v>378432</v>
      </c>
    </row>
    <row r="14" spans="1:38" ht="18">
      <c r="D14" s="15" t="s">
        <v>331</v>
      </c>
    </row>
    <row r="15" spans="1:38" ht="15">
      <c r="D15" s="4" t="s">
        <v>410</v>
      </c>
      <c r="AC15">
        <f>ABS(AC17)/AC26</f>
        <v>0.45332211559455365</v>
      </c>
    </row>
    <row r="16" spans="1:38">
      <c r="D16" s="7" t="s">
        <v>332</v>
      </c>
      <c r="K16">
        <f>Inputs!E86</f>
        <v>376680</v>
      </c>
      <c r="L16">
        <f>Inputs!F86</f>
        <v>376680</v>
      </c>
      <c r="M16">
        <f>Inputs!G86</f>
        <v>376680</v>
      </c>
      <c r="N16">
        <f>Inputs!H86</f>
        <v>753360</v>
      </c>
      <c r="O16">
        <f>Inputs!I86</f>
        <v>753360</v>
      </c>
      <c r="P16">
        <f>Inputs!J86+Inputs!$E$174</f>
        <v>770360</v>
      </c>
      <c r="Q16">
        <f>P16</f>
        <v>770360</v>
      </c>
      <c r="R16">
        <f t="shared" ref="R16:T16" si="6">Q16</f>
        <v>770360</v>
      </c>
      <c r="S16">
        <f t="shared" si="6"/>
        <v>770360</v>
      </c>
      <c r="T16">
        <f t="shared" si="6"/>
        <v>770360</v>
      </c>
      <c r="U16">
        <f t="shared" ref="U16" si="7">T16</f>
        <v>770360</v>
      </c>
      <c r="V16">
        <f t="shared" ref="V16" si="8">U16</f>
        <v>770360</v>
      </c>
      <c r="W16">
        <f t="shared" ref="W16" si="9">V16</f>
        <v>770360</v>
      </c>
      <c r="X16">
        <f t="shared" ref="X16" si="10">W16</f>
        <v>770360</v>
      </c>
      <c r="Y16">
        <f t="shared" ref="Y16" si="11">X16</f>
        <v>770360</v>
      </c>
      <c r="Z16">
        <f t="shared" ref="Z16" si="12">Y16</f>
        <v>770360</v>
      </c>
      <c r="AA16">
        <f t="shared" ref="AA16" si="13">Z16</f>
        <v>770360</v>
      </c>
      <c r="AB16">
        <f t="shared" ref="AB16" si="14">AA16</f>
        <v>770360</v>
      </c>
      <c r="AC16">
        <f>AB16-Inputs!$E$86</f>
        <v>393680</v>
      </c>
      <c r="AD16">
        <f>AC16</f>
        <v>393680</v>
      </c>
      <c r="AE16">
        <f t="shared" ref="AE16:AL16" si="15">AD16</f>
        <v>393680</v>
      </c>
      <c r="AF16">
        <f t="shared" si="15"/>
        <v>393680</v>
      </c>
      <c r="AG16">
        <f t="shared" si="15"/>
        <v>393680</v>
      </c>
      <c r="AH16">
        <f t="shared" si="15"/>
        <v>393680</v>
      </c>
      <c r="AI16">
        <f t="shared" si="15"/>
        <v>393680</v>
      </c>
      <c r="AJ16">
        <f t="shared" si="15"/>
        <v>393680</v>
      </c>
      <c r="AK16">
        <f t="shared" si="15"/>
        <v>393680</v>
      </c>
      <c r="AL16">
        <f t="shared" si="15"/>
        <v>393680</v>
      </c>
    </row>
    <row r="17" spans="4:39">
      <c r="D17" s="7" t="s">
        <v>402</v>
      </c>
      <c r="K17" s="65">
        <f t="shared" ref="K17:AL17" si="16">K16-K26</f>
        <v>183680</v>
      </c>
      <c r="L17" s="65">
        <f t="shared" si="16"/>
        <v>194438.02599999998</v>
      </c>
      <c r="M17" s="65">
        <f t="shared" si="16"/>
        <v>186671.55543999997</v>
      </c>
      <c r="N17" s="65">
        <f t="shared" si="16"/>
        <v>277801.66366720002</v>
      </c>
      <c r="O17" s="65">
        <f t="shared" si="16"/>
        <v>237708.49911023793</v>
      </c>
      <c r="P17" s="65">
        <f t="shared" si="16"/>
        <v>254708.49911023793</v>
      </c>
      <c r="Q17" s="65">
        <f t="shared" si="16"/>
        <v>164553.49911023793</v>
      </c>
      <c r="R17" s="65">
        <f t="shared" si="16"/>
        <v>164553.49911023793</v>
      </c>
      <c r="S17" s="65">
        <f t="shared" si="16"/>
        <v>50228.435819098726</v>
      </c>
      <c r="T17" s="65">
        <f t="shared" si="16"/>
        <v>50228.435819098726</v>
      </c>
      <c r="U17" s="65">
        <f t="shared" si="16"/>
        <v>50228.435819098726</v>
      </c>
      <c r="V17" s="65">
        <f t="shared" si="16"/>
        <v>50228.435819098726</v>
      </c>
      <c r="W17" s="65">
        <f t="shared" si="16"/>
        <v>50228.435819098726</v>
      </c>
      <c r="X17" s="65">
        <f t="shared" si="16"/>
        <v>50228.435819098726</v>
      </c>
      <c r="Y17" s="65">
        <f t="shared" si="16"/>
        <v>50228.435819098726</v>
      </c>
      <c r="Z17" s="65">
        <f t="shared" si="16"/>
        <v>50228.435819098726</v>
      </c>
      <c r="AA17" s="65">
        <f t="shared" si="16"/>
        <v>50228.435819098726</v>
      </c>
      <c r="AB17" s="65">
        <f t="shared" si="16"/>
        <v>50228.435819098726</v>
      </c>
      <c r="AC17" s="65">
        <f t="shared" si="16"/>
        <v>-326451.56418090127</v>
      </c>
      <c r="AD17" s="65">
        <f t="shared" si="16"/>
        <v>-326451.56418090127</v>
      </c>
      <c r="AE17" s="65">
        <f t="shared" si="16"/>
        <v>-326451.56418090127</v>
      </c>
      <c r="AF17" s="65">
        <f t="shared" si="16"/>
        <v>-326451.56418090127</v>
      </c>
      <c r="AG17" s="65">
        <f t="shared" si="16"/>
        <v>-326451.56418090127</v>
      </c>
      <c r="AH17" s="65">
        <f t="shared" si="16"/>
        <v>-326451.56418090127</v>
      </c>
      <c r="AI17" s="65">
        <f t="shared" si="16"/>
        <v>-326451.56418090127</v>
      </c>
      <c r="AJ17" s="65">
        <f t="shared" si="16"/>
        <v>-326451.56418090127</v>
      </c>
      <c r="AK17" s="65">
        <f t="shared" si="16"/>
        <v>-326451.56418090127</v>
      </c>
      <c r="AL17" s="65">
        <f t="shared" si="16"/>
        <v>-326451.56418090127</v>
      </c>
      <c r="AM17" s="145" t="s">
        <v>492</v>
      </c>
    </row>
    <row r="18" spans="4:39" ht="15">
      <c r="D18" s="4" t="s">
        <v>411</v>
      </c>
    </row>
    <row r="19" spans="4:39">
      <c r="D19" s="7" t="s">
        <v>332</v>
      </c>
      <c r="K19">
        <f>Inputs!E86</f>
        <v>376680</v>
      </c>
      <c r="L19">
        <f>Inputs!F86</f>
        <v>376680</v>
      </c>
      <c r="M19">
        <f>Inputs!G86</f>
        <v>376680</v>
      </c>
      <c r="N19">
        <f>Inputs!H86</f>
        <v>753360</v>
      </c>
      <c r="O19">
        <f>Inputs!I86</f>
        <v>753360</v>
      </c>
      <c r="P19">
        <f>Inputs!J86</f>
        <v>753360</v>
      </c>
      <c r="Q19">
        <f>P19</f>
        <v>753360</v>
      </c>
      <c r="R19">
        <f t="shared" ref="R19:AB19" si="17">Q19</f>
        <v>753360</v>
      </c>
      <c r="S19">
        <f t="shared" si="17"/>
        <v>753360</v>
      </c>
      <c r="T19">
        <f t="shared" si="17"/>
        <v>753360</v>
      </c>
      <c r="U19">
        <f t="shared" si="17"/>
        <v>753360</v>
      </c>
      <c r="V19">
        <f t="shared" si="17"/>
        <v>753360</v>
      </c>
      <c r="W19" s="128">
        <f t="shared" si="17"/>
        <v>753360</v>
      </c>
      <c r="X19">
        <f t="shared" si="17"/>
        <v>753360</v>
      </c>
      <c r="Y19">
        <f t="shared" si="17"/>
        <v>753360</v>
      </c>
      <c r="Z19">
        <f t="shared" si="17"/>
        <v>753360</v>
      </c>
      <c r="AA19">
        <f t="shared" si="17"/>
        <v>753360</v>
      </c>
      <c r="AB19" s="128">
        <f t="shared" si="17"/>
        <v>753360</v>
      </c>
      <c r="AC19">
        <f>AB19/2</f>
        <v>376680</v>
      </c>
      <c r="AD19">
        <f>AC19</f>
        <v>376680</v>
      </c>
      <c r="AE19">
        <f t="shared" ref="AE19:AK19" si="18">AD19</f>
        <v>376680</v>
      </c>
      <c r="AF19">
        <f t="shared" si="18"/>
        <v>376680</v>
      </c>
      <c r="AG19">
        <f t="shared" si="18"/>
        <v>376680</v>
      </c>
      <c r="AH19">
        <f t="shared" si="18"/>
        <v>376680</v>
      </c>
      <c r="AI19">
        <f t="shared" si="18"/>
        <v>376680</v>
      </c>
      <c r="AJ19">
        <f t="shared" si="18"/>
        <v>376680</v>
      </c>
      <c r="AK19">
        <f t="shared" si="18"/>
        <v>376680</v>
      </c>
      <c r="AL19">
        <f>AK19</f>
        <v>376680</v>
      </c>
    </row>
    <row r="20" spans="4:39">
      <c r="D20" s="7" t="s">
        <v>402</v>
      </c>
      <c r="K20" s="65">
        <f>K19-K26</f>
        <v>183680</v>
      </c>
      <c r="L20" s="65">
        <f t="shared" ref="L20:AL20" si="19">L19-L26</f>
        <v>194438.02599999998</v>
      </c>
      <c r="M20" s="65">
        <f t="shared" si="19"/>
        <v>186671.55543999997</v>
      </c>
      <c r="N20" s="65">
        <f t="shared" si="19"/>
        <v>277801.66366720002</v>
      </c>
      <c r="O20" s="65">
        <f t="shared" si="19"/>
        <v>237708.49911023793</v>
      </c>
      <c r="P20" s="65">
        <f t="shared" si="19"/>
        <v>237708.49911023793</v>
      </c>
      <c r="Q20" s="65">
        <f t="shared" si="19"/>
        <v>147553.49911023793</v>
      </c>
      <c r="R20" s="65">
        <f t="shared" si="19"/>
        <v>147553.49911023793</v>
      </c>
      <c r="S20" s="65">
        <f t="shared" si="19"/>
        <v>33228.435819098726</v>
      </c>
      <c r="T20" s="65">
        <f t="shared" si="19"/>
        <v>33228.435819098726</v>
      </c>
      <c r="U20" s="65">
        <f t="shared" si="19"/>
        <v>33228.435819098726</v>
      </c>
      <c r="V20" s="65">
        <f t="shared" si="19"/>
        <v>33228.435819098726</v>
      </c>
      <c r="W20" s="65">
        <f t="shared" si="19"/>
        <v>33228.435819098726</v>
      </c>
      <c r="X20" s="65">
        <f t="shared" si="19"/>
        <v>33228.435819098726</v>
      </c>
      <c r="Y20" s="65">
        <f t="shared" si="19"/>
        <v>33228.435819098726</v>
      </c>
      <c r="Z20" s="65">
        <f t="shared" si="19"/>
        <v>33228.435819098726</v>
      </c>
      <c r="AA20" s="65">
        <f t="shared" si="19"/>
        <v>33228.435819098726</v>
      </c>
      <c r="AB20" s="65">
        <f t="shared" si="19"/>
        <v>33228.435819098726</v>
      </c>
      <c r="AC20" s="65">
        <f t="shared" si="19"/>
        <v>-343451.56418090127</v>
      </c>
      <c r="AD20" s="65">
        <f t="shared" si="19"/>
        <v>-343451.56418090127</v>
      </c>
      <c r="AE20" s="65">
        <f t="shared" si="19"/>
        <v>-343451.56418090127</v>
      </c>
      <c r="AF20" s="65">
        <f t="shared" si="19"/>
        <v>-343451.56418090127</v>
      </c>
      <c r="AG20" s="65">
        <f t="shared" si="19"/>
        <v>-343451.56418090127</v>
      </c>
      <c r="AH20" s="65">
        <f t="shared" si="19"/>
        <v>-343451.56418090127</v>
      </c>
      <c r="AI20" s="65">
        <f t="shared" si="19"/>
        <v>-343451.56418090127</v>
      </c>
      <c r="AJ20" s="65">
        <f t="shared" si="19"/>
        <v>-343451.56418090127</v>
      </c>
      <c r="AK20" s="65">
        <f t="shared" si="19"/>
        <v>-343451.56418090127</v>
      </c>
      <c r="AL20" s="65">
        <f t="shared" si="19"/>
        <v>-343451.56418090127</v>
      </c>
    </row>
    <row r="21" spans="4:39" ht="15">
      <c r="D21" s="4" t="s">
        <v>180</v>
      </c>
      <c r="E21" s="16" t="s">
        <v>306</v>
      </c>
      <c r="K21" s="65">
        <f>'BaU Model'!K18</f>
        <v>800</v>
      </c>
      <c r="L21" s="65">
        <f>'BaU Model'!L18</f>
        <v>800</v>
      </c>
      <c r="M21" s="65">
        <f>'BaU Model'!M18</f>
        <v>800</v>
      </c>
      <c r="N21" s="65">
        <f>'BaU Model'!N18</f>
        <v>1800</v>
      </c>
      <c r="O21" s="65">
        <f>'BaU Model'!O18</f>
        <v>1800</v>
      </c>
      <c r="P21" s="65">
        <f>'BaU Model'!P18</f>
        <v>1800</v>
      </c>
      <c r="Q21" s="65">
        <f>'BaU Model'!Q18</f>
        <v>1800</v>
      </c>
      <c r="R21" s="65">
        <f>'BaU Model'!R18</f>
        <v>1800</v>
      </c>
      <c r="S21" s="65">
        <f>'BaU Model'!S18</f>
        <v>1800</v>
      </c>
      <c r="T21" s="65">
        <f>'BaU Model'!T18</f>
        <v>1800</v>
      </c>
      <c r="U21" s="65">
        <f>'BaU Model'!U18</f>
        <v>1800</v>
      </c>
      <c r="V21" s="65">
        <f>'BaU Model'!V18</f>
        <v>1800</v>
      </c>
      <c r="W21" s="65">
        <f>'BaU Model'!W18</f>
        <v>1800</v>
      </c>
      <c r="X21" s="65">
        <f>'BaU Model'!X18</f>
        <v>1800</v>
      </c>
      <c r="Y21" s="65">
        <f>'BaU Model'!Y18</f>
        <v>1800</v>
      </c>
      <c r="Z21" s="65">
        <f>'BaU Model'!Z18</f>
        <v>1800</v>
      </c>
      <c r="AA21" s="65">
        <f>'BaU Model'!AA18</f>
        <v>1800</v>
      </c>
      <c r="AB21" s="65">
        <f>'BaU Model'!AB18</f>
        <v>1800</v>
      </c>
      <c r="AC21" s="65">
        <f>'BaU Model'!AC18</f>
        <v>1800</v>
      </c>
      <c r="AD21" s="65">
        <f>'BaU Model'!AD18</f>
        <v>1800</v>
      </c>
      <c r="AE21" s="65">
        <f>'BaU Model'!AE18</f>
        <v>1800</v>
      </c>
      <c r="AF21" s="65">
        <f>'BaU Model'!AF18</f>
        <v>1800</v>
      </c>
      <c r="AG21" s="65">
        <f>'BaU Model'!AG18</f>
        <v>1800</v>
      </c>
      <c r="AH21" s="65">
        <f>'BaU Model'!AH18</f>
        <v>1800</v>
      </c>
      <c r="AI21" s="65">
        <f>'BaU Model'!AI18</f>
        <v>1800</v>
      </c>
      <c r="AJ21" s="65">
        <f>'BaU Model'!AJ18</f>
        <v>1800</v>
      </c>
      <c r="AK21" s="65">
        <f>'BaU Model'!AK18</f>
        <v>1800</v>
      </c>
      <c r="AL21" s="65">
        <f>'BaU Model'!AL18</f>
        <v>1800</v>
      </c>
    </row>
    <row r="22" spans="4:39" ht="15">
      <c r="D22" s="4" t="s">
        <v>427</v>
      </c>
      <c r="E22" s="16" t="s">
        <v>106</v>
      </c>
      <c r="K22" s="65">
        <f>(K21+SUM(K35:K38))/K33</f>
        <v>1.8129533678756478</v>
      </c>
      <c r="L22" s="65">
        <f t="shared" ref="L22:O22" si="20">(L21+SUM(L35:L38))/L33</f>
        <v>1.9066551166747128</v>
      </c>
      <c r="M22" s="65">
        <f t="shared" si="20"/>
        <v>1.8367738032705883</v>
      </c>
      <c r="N22" s="65">
        <f t="shared" si="20"/>
        <v>1.8815339776532183</v>
      </c>
      <c r="O22" s="65">
        <f t="shared" si="20"/>
        <v>2.274116334125547</v>
      </c>
      <c r="P22" s="65">
        <f t="shared" ref="P22:AL22" si="21">(P21+SUM(P35:P38))/P33</f>
        <v>2.277607063808083</v>
      </c>
      <c r="Q22" s="65">
        <f t="shared" si="21"/>
        <v>2.0845047041176494</v>
      </c>
      <c r="R22" s="65">
        <f t="shared" si="21"/>
        <v>2.0845047041176494</v>
      </c>
      <c r="S22" s="65">
        <f t="shared" si="21"/>
        <v>1.9123332911358926</v>
      </c>
      <c r="T22" s="65">
        <f t="shared" si="21"/>
        <v>1.9148328343992786</v>
      </c>
      <c r="U22" s="65">
        <f t="shared" si="21"/>
        <v>1.9123332911358926</v>
      </c>
      <c r="V22" s="65">
        <f t="shared" si="21"/>
        <v>1.9123332911358926</v>
      </c>
      <c r="W22" s="65">
        <f t="shared" si="21"/>
        <v>1.9123332911358926</v>
      </c>
      <c r="X22" s="65">
        <f t="shared" si="21"/>
        <v>1.9148328343992786</v>
      </c>
      <c r="Y22" s="65">
        <f t="shared" si="21"/>
        <v>1.9123332911358926</v>
      </c>
      <c r="Z22" s="65">
        <f t="shared" si="21"/>
        <v>1.9123332911358926</v>
      </c>
      <c r="AA22" s="65">
        <f t="shared" si="21"/>
        <v>1.9123332911358926</v>
      </c>
      <c r="AB22" s="65">
        <f t="shared" si="21"/>
        <v>1.9148328343992786</v>
      </c>
      <c r="AC22" s="65">
        <f t="shared" si="21"/>
        <v>1.4590111755413389</v>
      </c>
      <c r="AD22" s="65">
        <f t="shared" si="21"/>
        <v>1.4590111755413389</v>
      </c>
      <c r="AE22" s="65">
        <f t="shared" si="21"/>
        <v>1.4590111755413389</v>
      </c>
      <c r="AF22" s="65">
        <f t="shared" si="21"/>
        <v>1.4615107188047249</v>
      </c>
      <c r="AG22" s="65">
        <f t="shared" si="21"/>
        <v>1.4590111755413389</v>
      </c>
      <c r="AH22" s="65">
        <f t="shared" si="21"/>
        <v>1.4590111755413389</v>
      </c>
      <c r="AI22" s="65">
        <f t="shared" si="21"/>
        <v>1.4590111755413389</v>
      </c>
      <c r="AJ22" s="65">
        <f t="shared" si="21"/>
        <v>1.4615107188047249</v>
      </c>
      <c r="AK22" s="65">
        <f t="shared" si="21"/>
        <v>1.4590111755413389</v>
      </c>
      <c r="AL22" s="65">
        <f t="shared" si="21"/>
        <v>1.4590111755413389</v>
      </c>
    </row>
    <row r="23" spans="4:39" ht="24" thickBot="1">
      <c r="D23" s="57"/>
    </row>
    <row r="24" spans="4:39" ht="18">
      <c r="D24" s="15" t="s">
        <v>225</v>
      </c>
      <c r="K24">
        <f>K29/K26</f>
        <v>0</v>
      </c>
      <c r="L24">
        <f t="shared" ref="L24:AL24" si="22">L29/L26</f>
        <v>0</v>
      </c>
      <c r="M24">
        <f t="shared" si="22"/>
        <v>0</v>
      </c>
      <c r="N24">
        <f t="shared" si="22"/>
        <v>0</v>
      </c>
      <c r="O24">
        <f t="shared" si="22"/>
        <v>0</v>
      </c>
      <c r="P24">
        <f t="shared" si="22"/>
        <v>3.2968002557282043E-2</v>
      </c>
      <c r="Q24">
        <f t="shared" si="22"/>
        <v>2.8061765555555618E-2</v>
      </c>
      <c r="R24">
        <f t="shared" si="22"/>
        <v>2.8061765555555618E-2</v>
      </c>
      <c r="S24">
        <f t="shared" si="22"/>
        <v>2.3606797487534515E-2</v>
      </c>
      <c r="T24">
        <f t="shared" si="22"/>
        <v>2.3606797487534515E-2</v>
      </c>
      <c r="U24">
        <f t="shared" si="22"/>
        <v>2.3606797487534515E-2</v>
      </c>
      <c r="V24">
        <f t="shared" si="22"/>
        <v>2.3606797487534515E-2</v>
      </c>
      <c r="W24">
        <f t="shared" si="22"/>
        <v>2.3606797487534515E-2</v>
      </c>
      <c r="X24">
        <f t="shared" si="22"/>
        <v>2.3606797487534515E-2</v>
      </c>
      <c r="Y24">
        <f t="shared" si="22"/>
        <v>2.3606797487534515E-2</v>
      </c>
      <c r="Z24">
        <f t="shared" si="22"/>
        <v>2.3606797487534515E-2</v>
      </c>
      <c r="AA24">
        <f t="shared" si="22"/>
        <v>2.3606797487534515E-2</v>
      </c>
      <c r="AB24">
        <f t="shared" si="22"/>
        <v>2.3606797487534515E-2</v>
      </c>
      <c r="AC24">
        <f t="shared" si="22"/>
        <v>2.3606797487534515E-2</v>
      </c>
      <c r="AD24">
        <f t="shared" si="22"/>
        <v>2.3606797487534515E-2</v>
      </c>
      <c r="AE24">
        <f t="shared" si="22"/>
        <v>2.3606797487534515E-2</v>
      </c>
      <c r="AF24">
        <f t="shared" si="22"/>
        <v>2.3606797487534515E-2</v>
      </c>
      <c r="AG24">
        <f t="shared" si="22"/>
        <v>2.3606797487534515E-2</v>
      </c>
      <c r="AH24">
        <f t="shared" si="22"/>
        <v>2.3606797487534515E-2</v>
      </c>
      <c r="AI24">
        <f t="shared" si="22"/>
        <v>2.3606797487534515E-2</v>
      </c>
      <c r="AJ24">
        <f t="shared" si="22"/>
        <v>2.3606797487534515E-2</v>
      </c>
      <c r="AK24">
        <f t="shared" si="22"/>
        <v>2.3606797487534515E-2</v>
      </c>
      <c r="AL24">
        <f t="shared" si="22"/>
        <v>2.3606797487534515E-2</v>
      </c>
    </row>
    <row r="25" spans="4:39" ht="15">
      <c r="D25" s="4" t="s">
        <v>310</v>
      </c>
      <c r="K25" s="65">
        <f>K26-SUM(K27:K31)</f>
        <v>0</v>
      </c>
      <c r="L25" s="65">
        <f t="shared" ref="L25:AL25" si="23">L26-SUM(L27:L31)</f>
        <v>0</v>
      </c>
      <c r="M25" s="65">
        <f t="shared" si="23"/>
        <v>0</v>
      </c>
      <c r="N25" s="65">
        <f t="shared" si="23"/>
        <v>0</v>
      </c>
      <c r="O25" s="65">
        <f t="shared" si="23"/>
        <v>0</v>
      </c>
      <c r="P25" s="65">
        <f t="shared" si="23"/>
        <v>0</v>
      </c>
      <c r="Q25" s="65">
        <f t="shared" si="23"/>
        <v>0</v>
      </c>
      <c r="R25" s="65">
        <f t="shared" si="23"/>
        <v>0</v>
      </c>
      <c r="S25" s="65">
        <f t="shared" si="23"/>
        <v>0</v>
      </c>
      <c r="T25" s="65">
        <f t="shared" si="23"/>
        <v>0</v>
      </c>
      <c r="U25" s="65">
        <f t="shared" si="23"/>
        <v>0</v>
      </c>
      <c r="V25" s="65">
        <f t="shared" si="23"/>
        <v>0</v>
      </c>
      <c r="W25" s="65">
        <f t="shared" si="23"/>
        <v>0</v>
      </c>
      <c r="X25" s="65">
        <f t="shared" si="23"/>
        <v>0</v>
      </c>
      <c r="Y25" s="65">
        <f t="shared" si="23"/>
        <v>0</v>
      </c>
      <c r="Z25" s="65">
        <f t="shared" si="23"/>
        <v>0</v>
      </c>
      <c r="AA25" s="65">
        <f t="shared" si="23"/>
        <v>0</v>
      </c>
      <c r="AB25" s="65">
        <f t="shared" si="23"/>
        <v>0</v>
      </c>
      <c r="AC25" s="65">
        <f t="shared" si="23"/>
        <v>0</v>
      </c>
      <c r="AD25" s="65">
        <f t="shared" si="23"/>
        <v>0</v>
      </c>
      <c r="AE25" s="65">
        <f t="shared" si="23"/>
        <v>0</v>
      </c>
      <c r="AF25" s="65">
        <f t="shared" si="23"/>
        <v>0</v>
      </c>
      <c r="AG25" s="65">
        <f t="shared" si="23"/>
        <v>0</v>
      </c>
      <c r="AH25" s="65">
        <f t="shared" si="23"/>
        <v>0</v>
      </c>
      <c r="AI25" s="65">
        <f t="shared" si="23"/>
        <v>0</v>
      </c>
      <c r="AJ25" s="65">
        <f t="shared" si="23"/>
        <v>0</v>
      </c>
      <c r="AK25" s="65">
        <f t="shared" si="23"/>
        <v>0</v>
      </c>
      <c r="AL25" s="65">
        <f t="shared" si="23"/>
        <v>0</v>
      </c>
    </row>
    <row r="26" spans="4:39">
      <c r="D26" t="s">
        <v>190</v>
      </c>
      <c r="E26" s="16" t="s">
        <v>145</v>
      </c>
      <c r="K26" s="59">
        <f>'BaU Model'!K23</f>
        <v>193000</v>
      </c>
      <c r="L26" s="59">
        <f>'BaU Model'!L23</f>
        <v>182241.97400000002</v>
      </c>
      <c r="M26" s="59">
        <f>'BaU Model'!M23</f>
        <v>190008.44456000003</v>
      </c>
      <c r="N26" s="59">
        <f>'BaU Model'!N23</f>
        <v>475558.33633279998</v>
      </c>
      <c r="O26" s="59">
        <f>'BaU Model'!O23</f>
        <v>515651.50088976207</v>
      </c>
      <c r="P26" s="59">
        <f>'BaU Model'!P23</f>
        <v>515651.50088976207</v>
      </c>
      <c r="Q26" s="59">
        <f>'BaU Model'!Q23</f>
        <v>605806.50088976207</v>
      </c>
      <c r="R26" s="59">
        <f>'BaU Model'!R23</f>
        <v>605806.50088976207</v>
      </c>
      <c r="S26" s="59">
        <f>'BaU Model'!S23</f>
        <v>720131.56418090127</v>
      </c>
      <c r="T26" s="59">
        <f>'BaU Model'!T23</f>
        <v>720131.56418090127</v>
      </c>
      <c r="U26" s="59">
        <f>'BaU Model'!U23</f>
        <v>720131.56418090127</v>
      </c>
      <c r="V26" s="59">
        <f>'BaU Model'!V23</f>
        <v>720131.56418090127</v>
      </c>
      <c r="W26" s="59">
        <f>'BaU Model'!W23</f>
        <v>720131.56418090127</v>
      </c>
      <c r="X26" s="59">
        <f>'BaU Model'!X23</f>
        <v>720131.56418090127</v>
      </c>
      <c r="Y26" s="59">
        <f>'BaU Model'!Y23</f>
        <v>720131.56418090127</v>
      </c>
      <c r="Z26" s="59">
        <f>'BaU Model'!Z23</f>
        <v>720131.56418090127</v>
      </c>
      <c r="AA26" s="59">
        <f>'BaU Model'!AA23</f>
        <v>720131.56418090127</v>
      </c>
      <c r="AB26" s="59">
        <f>'BaU Model'!AB23</f>
        <v>720131.56418090127</v>
      </c>
      <c r="AC26" s="59">
        <f>'BaU Model'!AC23</f>
        <v>720131.56418090127</v>
      </c>
      <c r="AD26" s="59">
        <f>'BaU Model'!AD23</f>
        <v>720131.56418090127</v>
      </c>
      <c r="AE26" s="59">
        <f>'BaU Model'!AE23</f>
        <v>720131.56418090127</v>
      </c>
      <c r="AF26" s="59">
        <f>'BaU Model'!AF23</f>
        <v>720131.56418090127</v>
      </c>
      <c r="AG26" s="59">
        <f>'BaU Model'!AG23</f>
        <v>720131.56418090127</v>
      </c>
      <c r="AH26" s="59">
        <f>'BaU Model'!AH23</f>
        <v>720131.56418090127</v>
      </c>
      <c r="AI26" s="59">
        <f>'BaU Model'!AI23</f>
        <v>720131.56418090127</v>
      </c>
      <c r="AJ26" s="59">
        <f>'BaU Model'!AJ23</f>
        <v>720131.56418090127</v>
      </c>
      <c r="AK26" s="59">
        <f>'BaU Model'!AK23</f>
        <v>720131.56418090127</v>
      </c>
      <c r="AL26" s="59">
        <f>'BaU Model'!AL23</f>
        <v>720131.56418090127</v>
      </c>
    </row>
    <row r="27" spans="4:39">
      <c r="D27" t="s">
        <v>189</v>
      </c>
      <c r="E27" s="16" t="s">
        <v>145</v>
      </c>
      <c r="K27" s="59">
        <f>Inputs!E93/100*'Initiative 2 Model'!K26</f>
        <v>135100</v>
      </c>
      <c r="L27" s="59">
        <f>Inputs!F93/100*'Initiative 2 Model'!L26</f>
        <v>127569.3818</v>
      </c>
      <c r="M27" s="59">
        <f>Inputs!G93/100*'Initiative 2 Model'!M26</f>
        <v>133005.91119200003</v>
      </c>
      <c r="N27" s="59">
        <f>Inputs!H93/100*'Initiative 2 Model'!N26</f>
        <v>237779.16816639999</v>
      </c>
      <c r="O27" s="59">
        <f>O26-O28-O29</f>
        <v>0</v>
      </c>
      <c r="P27" s="59">
        <f t="shared" ref="P27:AL27" si="24">P26-P28-P29</f>
        <v>0</v>
      </c>
      <c r="Q27" s="59">
        <f t="shared" si="24"/>
        <v>0</v>
      </c>
      <c r="R27" s="59">
        <f t="shared" si="24"/>
        <v>0</v>
      </c>
      <c r="S27" s="59">
        <f t="shared" si="24"/>
        <v>0</v>
      </c>
      <c r="T27" s="59">
        <f t="shared" si="24"/>
        <v>0</v>
      </c>
      <c r="U27" s="59">
        <f t="shared" si="24"/>
        <v>0</v>
      </c>
      <c r="V27" s="59">
        <f t="shared" si="24"/>
        <v>0</v>
      </c>
      <c r="W27" s="59">
        <f t="shared" si="24"/>
        <v>0</v>
      </c>
      <c r="X27" s="59">
        <f t="shared" si="24"/>
        <v>0</v>
      </c>
      <c r="Y27" s="59">
        <f t="shared" si="24"/>
        <v>0</v>
      </c>
      <c r="Z27" s="59">
        <f t="shared" si="24"/>
        <v>0</v>
      </c>
      <c r="AA27" s="59">
        <f t="shared" si="24"/>
        <v>0</v>
      </c>
      <c r="AB27" s="59">
        <f t="shared" si="24"/>
        <v>0</v>
      </c>
      <c r="AC27" s="59">
        <f t="shared" si="24"/>
        <v>326451.56418090127</v>
      </c>
      <c r="AD27" s="59">
        <f t="shared" si="24"/>
        <v>326451.56418090127</v>
      </c>
      <c r="AE27" s="59">
        <f t="shared" si="24"/>
        <v>326451.56418090127</v>
      </c>
      <c r="AF27" s="59">
        <f t="shared" si="24"/>
        <v>326451.56418090127</v>
      </c>
      <c r="AG27" s="59">
        <f t="shared" si="24"/>
        <v>326451.56418090127</v>
      </c>
      <c r="AH27" s="59">
        <f t="shared" si="24"/>
        <v>326451.56418090127</v>
      </c>
      <c r="AI27" s="59">
        <f t="shared" si="24"/>
        <v>326451.56418090127</v>
      </c>
      <c r="AJ27" s="59">
        <f t="shared" si="24"/>
        <v>326451.56418090127</v>
      </c>
      <c r="AK27" s="59">
        <f t="shared" si="24"/>
        <v>326451.56418090127</v>
      </c>
      <c r="AL27" s="59">
        <f t="shared" si="24"/>
        <v>326451.56418090127</v>
      </c>
      <c r="AM27" s="65">
        <f>SUM(M27:AL27)/1000</f>
        <v>3635.3007211674126</v>
      </c>
    </row>
    <row r="28" spans="4:39">
      <c r="D28" t="s">
        <v>144</v>
      </c>
      <c r="E28" s="16" t="s">
        <v>145</v>
      </c>
      <c r="K28" s="59">
        <f>Inputs!E89/100*'Initiative 2 Model'!K26</f>
        <v>57900</v>
      </c>
      <c r="L28" s="59">
        <f>Inputs!F89/100*'Initiative 2 Model'!L26</f>
        <v>54672.592200000006</v>
      </c>
      <c r="M28" s="59">
        <f>Inputs!G89/100*'Initiative 2 Model'!M26</f>
        <v>57002.533368000011</v>
      </c>
      <c r="N28" s="59">
        <f>Inputs!H89/100*'Initiative 2 Model'!N26</f>
        <v>237779.16816639999</v>
      </c>
      <c r="O28" s="59">
        <f>IF(O26&lt;O19,Inputs!I89/100*'Initiative 2 Model'!O26,O19)</f>
        <v>515651.50088976207</v>
      </c>
      <c r="P28" s="59">
        <f>IF((P26-P29)&lt;P19,P26-P29,P19)</f>
        <v>498651.50088976207</v>
      </c>
      <c r="Q28" s="59">
        <f t="shared" ref="Q28:AL28" si="25">IF((Q26-Q29)&lt;Q19,Q26-Q29,Q19)</f>
        <v>588806.50088976207</v>
      </c>
      <c r="R28" s="59">
        <f t="shared" si="25"/>
        <v>588806.50088976207</v>
      </c>
      <c r="S28" s="59">
        <f t="shared" si="25"/>
        <v>703131.56418090127</v>
      </c>
      <c r="T28" s="59">
        <f t="shared" si="25"/>
        <v>703131.56418090127</v>
      </c>
      <c r="U28" s="59">
        <f t="shared" si="25"/>
        <v>703131.56418090127</v>
      </c>
      <c r="V28" s="59">
        <f t="shared" si="25"/>
        <v>703131.56418090127</v>
      </c>
      <c r="W28" s="59">
        <f t="shared" si="25"/>
        <v>703131.56418090127</v>
      </c>
      <c r="X28" s="59">
        <f t="shared" si="25"/>
        <v>703131.56418090127</v>
      </c>
      <c r="Y28" s="59">
        <f t="shared" si="25"/>
        <v>703131.56418090127</v>
      </c>
      <c r="Z28" s="59">
        <f t="shared" si="25"/>
        <v>703131.56418090127</v>
      </c>
      <c r="AA28" s="59">
        <f t="shared" si="25"/>
        <v>703131.56418090127</v>
      </c>
      <c r="AB28" s="59">
        <f t="shared" si="25"/>
        <v>703131.56418090127</v>
      </c>
      <c r="AC28" s="59">
        <f t="shared" si="25"/>
        <v>376680</v>
      </c>
      <c r="AD28" s="59">
        <f t="shared" si="25"/>
        <v>376680</v>
      </c>
      <c r="AE28" s="59">
        <f t="shared" si="25"/>
        <v>376680</v>
      </c>
      <c r="AF28" s="59">
        <f t="shared" si="25"/>
        <v>376680</v>
      </c>
      <c r="AG28" s="59">
        <f t="shared" si="25"/>
        <v>376680</v>
      </c>
      <c r="AH28" s="59">
        <f t="shared" si="25"/>
        <v>376680</v>
      </c>
      <c r="AI28" s="59">
        <f t="shared" si="25"/>
        <v>376680</v>
      </c>
      <c r="AJ28" s="59">
        <f t="shared" si="25"/>
        <v>376680</v>
      </c>
      <c r="AK28" s="59">
        <f t="shared" si="25"/>
        <v>376680</v>
      </c>
      <c r="AL28" s="59">
        <f t="shared" si="25"/>
        <v>376680</v>
      </c>
    </row>
    <row r="29" spans="4:39">
      <c r="D29" t="s">
        <v>125</v>
      </c>
      <c r="E29" s="16" t="s">
        <v>145</v>
      </c>
      <c r="K29" s="59">
        <f>Inputs!E99/100*'Initiative 2 Model'!K26</f>
        <v>0</v>
      </c>
      <c r="L29" s="59">
        <f>Inputs!F99/100*'Initiative 2 Model'!L26</f>
        <v>0</v>
      </c>
      <c r="M29" s="59">
        <f>Inputs!G99/100*'Initiative 2 Model'!M26</f>
        <v>0</v>
      </c>
      <c r="N29" s="59">
        <f>Inputs!H99/100*'Initiative 2 Model'!N26</f>
        <v>0</v>
      </c>
      <c r="O29" s="59">
        <f>Inputs!I99/100*'Initiative 2 Model'!O26</f>
        <v>0</v>
      </c>
      <c r="P29" s="59">
        <f>Inputs!$E$174</f>
        <v>17000</v>
      </c>
      <c r="Q29" s="59">
        <f>Inputs!$E$174</f>
        <v>17000</v>
      </c>
      <c r="R29" s="59">
        <f>Inputs!$E$174</f>
        <v>17000</v>
      </c>
      <c r="S29" s="59">
        <f>Inputs!$E$174</f>
        <v>17000</v>
      </c>
      <c r="T29" s="59">
        <f>Inputs!$E$174</f>
        <v>17000</v>
      </c>
      <c r="U29" s="59">
        <f>Inputs!$E$174</f>
        <v>17000</v>
      </c>
      <c r="V29" s="59">
        <f>Inputs!$E$174</f>
        <v>17000</v>
      </c>
      <c r="W29" s="59">
        <f>Inputs!$E$174</f>
        <v>17000</v>
      </c>
      <c r="X29" s="59">
        <f>Inputs!$E$174</f>
        <v>17000</v>
      </c>
      <c r="Y29" s="59">
        <f>Inputs!$E$174</f>
        <v>17000</v>
      </c>
      <c r="Z29" s="59">
        <f>Inputs!$E$174</f>
        <v>17000</v>
      </c>
      <c r="AA29" s="59">
        <f>Inputs!$E$174</f>
        <v>17000</v>
      </c>
      <c r="AB29" s="59">
        <f>Inputs!$E$174</f>
        <v>17000</v>
      </c>
      <c r="AC29" s="59">
        <f>Inputs!$E$174</f>
        <v>17000</v>
      </c>
      <c r="AD29" s="59">
        <f>Inputs!$E$174</f>
        <v>17000</v>
      </c>
      <c r="AE29" s="59">
        <f>Inputs!$E$174</f>
        <v>17000</v>
      </c>
      <c r="AF29" s="59">
        <f>Inputs!$E$174</f>
        <v>17000</v>
      </c>
      <c r="AG29" s="59">
        <f>Inputs!$E$174</f>
        <v>17000</v>
      </c>
      <c r="AH29" s="59">
        <f>Inputs!$E$174</f>
        <v>17000</v>
      </c>
      <c r="AI29" s="59">
        <f>Inputs!$E$174</f>
        <v>17000</v>
      </c>
      <c r="AJ29" s="59">
        <f>Inputs!$E$174</f>
        <v>17000</v>
      </c>
      <c r="AK29" s="59">
        <f>Inputs!$E$174</f>
        <v>17000</v>
      </c>
      <c r="AL29" s="59">
        <f>Inputs!$E$174</f>
        <v>17000</v>
      </c>
    </row>
    <row r="30" spans="4:39">
      <c r="D30" t="s">
        <v>191</v>
      </c>
      <c r="E30" s="16" t="s">
        <v>145</v>
      </c>
      <c r="K30" s="59">
        <f>Inputs!E104/100*'Initiative 2 Model'!K26</f>
        <v>0</v>
      </c>
      <c r="L30" s="59">
        <f>Inputs!F104/100*'Initiative 2 Model'!L26</f>
        <v>0</v>
      </c>
      <c r="M30" s="59">
        <f>Inputs!G104/100*'Initiative 2 Model'!M26</f>
        <v>0</v>
      </c>
      <c r="N30" s="59">
        <f>Inputs!H104/100*'Initiative 2 Model'!N26</f>
        <v>0</v>
      </c>
      <c r="O30" s="59">
        <f>Inputs!I104/100*'Initiative 2 Model'!O26</f>
        <v>0</v>
      </c>
      <c r="P30" s="59">
        <f>Inputs!J104/100*'Initiative 2 Model'!P26</f>
        <v>0</v>
      </c>
      <c r="Q30" s="59">
        <f>Inputs!K104/100*'Initiative 2 Model'!Q26</f>
        <v>0</v>
      </c>
      <c r="R30" s="59">
        <f>Inputs!L104/100*'Initiative 2 Model'!R26</f>
        <v>0</v>
      </c>
      <c r="S30" s="59">
        <f>Inputs!M104/100*'Initiative 2 Model'!S26</f>
        <v>0</v>
      </c>
      <c r="T30" s="59">
        <f>Inputs!N104/100*'Initiative 2 Model'!T26</f>
        <v>0</v>
      </c>
      <c r="U30" s="59">
        <v>0</v>
      </c>
      <c r="V30" s="59">
        <v>0</v>
      </c>
      <c r="W30" s="59">
        <v>0</v>
      </c>
      <c r="X30" s="59">
        <v>0</v>
      </c>
      <c r="Y30" s="59">
        <v>0</v>
      </c>
      <c r="Z30" s="59">
        <v>0</v>
      </c>
      <c r="AA30" s="59">
        <v>0</v>
      </c>
      <c r="AB30" s="59">
        <v>0</v>
      </c>
      <c r="AC30" s="59">
        <v>0</v>
      </c>
      <c r="AD30" s="59">
        <v>0</v>
      </c>
      <c r="AE30" s="59">
        <v>0</v>
      </c>
      <c r="AF30" s="59">
        <v>0</v>
      </c>
      <c r="AG30" s="59">
        <v>0</v>
      </c>
      <c r="AH30" s="59">
        <v>0</v>
      </c>
      <c r="AI30" s="59">
        <v>0</v>
      </c>
      <c r="AJ30" s="59">
        <v>0</v>
      </c>
      <c r="AK30" s="59">
        <v>0</v>
      </c>
      <c r="AL30" s="59">
        <v>0</v>
      </c>
    </row>
    <row r="31" spans="4:39">
      <c r="D31" t="s">
        <v>424</v>
      </c>
      <c r="E31" s="16" t="s">
        <v>145</v>
      </c>
      <c r="K31" s="59">
        <f>Inputs!E105/100*'Initiative 2 Model'!K27</f>
        <v>0</v>
      </c>
      <c r="L31" s="59">
        <f>Inputs!F105/100*'Initiative 2 Model'!L27</f>
        <v>0</v>
      </c>
      <c r="M31" s="59">
        <f>Inputs!G105/100*'Initiative 2 Model'!M27</f>
        <v>0</v>
      </c>
      <c r="N31" s="59">
        <f>Inputs!H105/100*'Initiative 2 Model'!N27</f>
        <v>0</v>
      </c>
      <c r="O31" s="59">
        <f>Inputs!I105/100*'Initiative 2 Model'!O27</f>
        <v>0</v>
      </c>
      <c r="P31" s="59">
        <f>Inputs!J105/100*'Initiative 2 Model'!P27</f>
        <v>0</v>
      </c>
      <c r="Q31" s="59">
        <f>Inputs!K105/100*'Initiative 2 Model'!Q27</f>
        <v>0</v>
      </c>
      <c r="R31" s="59">
        <f>Inputs!L105/100*'Initiative 2 Model'!R27</f>
        <v>0</v>
      </c>
      <c r="S31" s="59">
        <f>Inputs!M105/100*'Initiative 2 Model'!S27</f>
        <v>0</v>
      </c>
      <c r="T31" s="59">
        <f>Inputs!N105/100*'Initiative 2 Model'!T27</f>
        <v>0</v>
      </c>
      <c r="U31" s="59">
        <v>0</v>
      </c>
      <c r="V31" s="59">
        <v>0</v>
      </c>
      <c r="W31" s="59">
        <v>0</v>
      </c>
      <c r="X31" s="59">
        <v>0</v>
      </c>
      <c r="Y31" s="59">
        <v>0</v>
      </c>
      <c r="Z31" s="59">
        <v>0</v>
      </c>
      <c r="AA31" s="59">
        <v>0</v>
      </c>
      <c r="AB31" s="59">
        <v>0</v>
      </c>
      <c r="AC31" s="59">
        <v>0</v>
      </c>
      <c r="AD31" s="59">
        <v>0</v>
      </c>
      <c r="AE31" s="59">
        <v>0</v>
      </c>
      <c r="AF31" s="59">
        <v>0</v>
      </c>
      <c r="AG31" s="59">
        <v>0</v>
      </c>
      <c r="AH31" s="59">
        <v>0</v>
      </c>
      <c r="AI31" s="59">
        <v>0</v>
      </c>
      <c r="AJ31" s="59">
        <v>0</v>
      </c>
      <c r="AK31" s="59">
        <v>0</v>
      </c>
      <c r="AL31" s="59">
        <v>0</v>
      </c>
    </row>
    <row r="32" spans="4:39" ht="15">
      <c r="D32" s="4" t="s">
        <v>311</v>
      </c>
    </row>
    <row r="33" spans="4:38">
      <c r="D33" t="s">
        <v>190</v>
      </c>
      <c r="E33" s="16" t="s">
        <v>156</v>
      </c>
      <c r="K33" s="59">
        <f>K26/K11</f>
        <v>528.76712328767121</v>
      </c>
      <c r="L33" s="59">
        <f t="shared" ref="L33:AL33" si="26">L26/L11</f>
        <v>497.92889071038257</v>
      </c>
      <c r="M33" s="59">
        <f t="shared" si="26"/>
        <v>520.57108098630147</v>
      </c>
      <c r="N33" s="59">
        <f t="shared" si="26"/>
        <v>1302.8995515967122</v>
      </c>
      <c r="O33" s="59">
        <f t="shared" si="26"/>
        <v>1412.7438380541428</v>
      </c>
      <c r="P33" s="59">
        <f t="shared" si="26"/>
        <v>1408.8838822124646</v>
      </c>
      <c r="Q33" s="59">
        <f t="shared" si="26"/>
        <v>1659.7438380541428</v>
      </c>
      <c r="R33" s="59">
        <f t="shared" si="26"/>
        <v>1659.7438380541428</v>
      </c>
      <c r="S33" s="59">
        <f t="shared" si="26"/>
        <v>1972.9631895367158</v>
      </c>
      <c r="T33" s="59">
        <f t="shared" si="26"/>
        <v>1967.5725797292384</v>
      </c>
      <c r="U33" s="59">
        <f t="shared" si="26"/>
        <v>1972.9631895367158</v>
      </c>
      <c r="V33" s="59">
        <f t="shared" si="26"/>
        <v>1972.9631895367158</v>
      </c>
      <c r="W33" s="59">
        <f t="shared" si="26"/>
        <v>1972.9631895367158</v>
      </c>
      <c r="X33" s="59">
        <f t="shared" si="26"/>
        <v>1967.5725797292384</v>
      </c>
      <c r="Y33" s="59">
        <f t="shared" si="26"/>
        <v>1972.9631895367158</v>
      </c>
      <c r="Z33" s="59">
        <f t="shared" si="26"/>
        <v>1972.9631895367158</v>
      </c>
      <c r="AA33" s="59">
        <f t="shared" si="26"/>
        <v>1972.9631895367158</v>
      </c>
      <c r="AB33" s="59">
        <f t="shared" si="26"/>
        <v>1967.5725797292384</v>
      </c>
      <c r="AC33" s="59">
        <f t="shared" si="26"/>
        <v>1972.9631895367158</v>
      </c>
      <c r="AD33" s="59">
        <f t="shared" si="26"/>
        <v>1972.9631895367158</v>
      </c>
      <c r="AE33" s="59">
        <f t="shared" si="26"/>
        <v>1972.9631895367158</v>
      </c>
      <c r="AF33" s="59">
        <f t="shared" si="26"/>
        <v>1967.5725797292384</v>
      </c>
      <c r="AG33" s="59">
        <f t="shared" si="26"/>
        <v>1972.9631895367158</v>
      </c>
      <c r="AH33" s="59">
        <f t="shared" si="26"/>
        <v>1972.9631895367158</v>
      </c>
      <c r="AI33" s="59">
        <f t="shared" si="26"/>
        <v>1972.9631895367158</v>
      </c>
      <c r="AJ33" s="59">
        <f t="shared" si="26"/>
        <v>1967.5725797292384</v>
      </c>
      <c r="AK33" s="59">
        <f t="shared" si="26"/>
        <v>1972.9631895367158</v>
      </c>
      <c r="AL33" s="59">
        <f t="shared" si="26"/>
        <v>1972.9631895367158</v>
      </c>
    </row>
    <row r="34" spans="4:38">
      <c r="D34" t="s">
        <v>189</v>
      </c>
      <c r="E34" s="16" t="s">
        <v>156</v>
      </c>
      <c r="K34" s="59">
        <f>K27/K11</f>
        <v>370.13698630136986</v>
      </c>
      <c r="L34" s="59">
        <f t="shared" ref="L34:AL34" si="27">L27/L11</f>
        <v>348.55022349726778</v>
      </c>
      <c r="M34" s="59">
        <f t="shared" si="27"/>
        <v>364.39975669041104</v>
      </c>
      <c r="N34" s="59">
        <f t="shared" si="27"/>
        <v>651.44977579835609</v>
      </c>
      <c r="O34" s="59">
        <f t="shared" si="27"/>
        <v>0</v>
      </c>
      <c r="P34" s="59">
        <f t="shared" si="27"/>
        <v>0</v>
      </c>
      <c r="Q34" s="59">
        <f t="shared" si="27"/>
        <v>0</v>
      </c>
      <c r="R34" s="59">
        <f t="shared" si="27"/>
        <v>0</v>
      </c>
      <c r="S34" s="59">
        <f t="shared" si="27"/>
        <v>0</v>
      </c>
      <c r="T34" s="59">
        <f t="shared" si="27"/>
        <v>0</v>
      </c>
      <c r="U34" s="59">
        <f t="shared" si="27"/>
        <v>0</v>
      </c>
      <c r="V34" s="59">
        <f t="shared" si="27"/>
        <v>0</v>
      </c>
      <c r="W34" s="59">
        <f t="shared" si="27"/>
        <v>0</v>
      </c>
      <c r="X34" s="59">
        <f t="shared" si="27"/>
        <v>0</v>
      </c>
      <c r="Y34" s="59">
        <f t="shared" si="27"/>
        <v>0</v>
      </c>
      <c r="Z34" s="59">
        <f t="shared" si="27"/>
        <v>0</v>
      </c>
      <c r="AA34" s="59">
        <f t="shared" si="27"/>
        <v>0</v>
      </c>
      <c r="AB34" s="59">
        <f t="shared" si="27"/>
        <v>0</v>
      </c>
      <c r="AC34" s="59">
        <f t="shared" si="27"/>
        <v>894.38784707096238</v>
      </c>
      <c r="AD34" s="59">
        <f t="shared" si="27"/>
        <v>894.38784707096238</v>
      </c>
      <c r="AE34" s="59">
        <f t="shared" si="27"/>
        <v>894.38784707096238</v>
      </c>
      <c r="AF34" s="59">
        <f t="shared" si="27"/>
        <v>891.94416442869203</v>
      </c>
      <c r="AG34" s="59">
        <f t="shared" si="27"/>
        <v>894.38784707096238</v>
      </c>
      <c r="AH34" s="59">
        <f t="shared" si="27"/>
        <v>894.38784707096238</v>
      </c>
      <c r="AI34" s="59">
        <f t="shared" si="27"/>
        <v>894.38784707096238</v>
      </c>
      <c r="AJ34" s="59">
        <f t="shared" si="27"/>
        <v>891.94416442869203</v>
      </c>
      <c r="AK34" s="59">
        <f t="shared" si="27"/>
        <v>894.38784707096238</v>
      </c>
      <c r="AL34" s="59">
        <f t="shared" si="27"/>
        <v>894.38784707096238</v>
      </c>
    </row>
    <row r="35" spans="4:38">
      <c r="D35" t="s">
        <v>144</v>
      </c>
      <c r="E35" s="16" t="s">
        <v>156</v>
      </c>
      <c r="K35" s="59">
        <f>K28/K11</f>
        <v>158.63013698630138</v>
      </c>
      <c r="L35" s="59">
        <f t="shared" ref="L35:AL35" si="28">L28/L11</f>
        <v>149.37866721311477</v>
      </c>
      <c r="M35" s="59">
        <f t="shared" si="28"/>
        <v>156.17132429589043</v>
      </c>
      <c r="N35" s="59">
        <f t="shared" si="28"/>
        <v>651.44977579835609</v>
      </c>
      <c r="O35" s="59">
        <f t="shared" si="28"/>
        <v>1412.7438380541428</v>
      </c>
      <c r="P35" s="59">
        <f t="shared" si="28"/>
        <v>1362.4357947807707</v>
      </c>
      <c r="Q35" s="59">
        <f t="shared" si="28"/>
        <v>1613.1684955883893</v>
      </c>
      <c r="R35" s="59">
        <f t="shared" si="28"/>
        <v>1613.1684955883893</v>
      </c>
      <c r="S35" s="59">
        <f t="shared" si="28"/>
        <v>1926.3878470709624</v>
      </c>
      <c r="T35" s="59">
        <f t="shared" si="28"/>
        <v>1921.1244922975445</v>
      </c>
      <c r="U35" s="59">
        <f t="shared" si="28"/>
        <v>1926.3878470709624</v>
      </c>
      <c r="V35" s="59">
        <f t="shared" si="28"/>
        <v>1926.3878470709624</v>
      </c>
      <c r="W35" s="59">
        <f t="shared" si="28"/>
        <v>1926.3878470709624</v>
      </c>
      <c r="X35" s="59">
        <f t="shared" si="28"/>
        <v>1921.1244922975445</v>
      </c>
      <c r="Y35" s="59">
        <f t="shared" si="28"/>
        <v>1926.3878470709624</v>
      </c>
      <c r="Z35" s="59">
        <f t="shared" si="28"/>
        <v>1926.3878470709624</v>
      </c>
      <c r="AA35" s="59">
        <f t="shared" si="28"/>
        <v>1926.3878470709624</v>
      </c>
      <c r="AB35" s="59">
        <f t="shared" si="28"/>
        <v>1921.1244922975445</v>
      </c>
      <c r="AC35" s="59">
        <f t="shared" si="28"/>
        <v>1032</v>
      </c>
      <c r="AD35" s="59">
        <f t="shared" si="28"/>
        <v>1032</v>
      </c>
      <c r="AE35" s="59">
        <f t="shared" si="28"/>
        <v>1032</v>
      </c>
      <c r="AF35" s="59">
        <f t="shared" si="28"/>
        <v>1029.1803278688524</v>
      </c>
      <c r="AG35" s="59">
        <f t="shared" si="28"/>
        <v>1032</v>
      </c>
      <c r="AH35" s="59">
        <f t="shared" si="28"/>
        <v>1032</v>
      </c>
      <c r="AI35" s="59">
        <f t="shared" si="28"/>
        <v>1032</v>
      </c>
      <c r="AJ35" s="59">
        <f t="shared" si="28"/>
        <v>1029.1803278688524</v>
      </c>
      <c r="AK35" s="59">
        <f t="shared" si="28"/>
        <v>1032</v>
      </c>
      <c r="AL35" s="59">
        <f t="shared" si="28"/>
        <v>1032</v>
      </c>
    </row>
    <row r="36" spans="4:38">
      <c r="D36" t="s">
        <v>125</v>
      </c>
      <c r="E36" s="16" t="s">
        <v>156</v>
      </c>
      <c r="K36" s="59">
        <f>K29/K11</f>
        <v>0</v>
      </c>
      <c r="L36" s="59">
        <f t="shared" ref="L36:AL36" si="29">L29/L11</f>
        <v>0</v>
      </c>
      <c r="M36" s="59">
        <f t="shared" si="29"/>
        <v>0</v>
      </c>
      <c r="N36" s="59">
        <f t="shared" si="29"/>
        <v>0</v>
      </c>
      <c r="O36" s="59">
        <f t="shared" si="29"/>
        <v>0</v>
      </c>
      <c r="P36" s="59">
        <f t="shared" si="29"/>
        <v>46.448087431693992</v>
      </c>
      <c r="Q36" s="59">
        <f t="shared" si="29"/>
        <v>46.575342465753423</v>
      </c>
      <c r="R36" s="59">
        <f t="shared" si="29"/>
        <v>46.575342465753423</v>
      </c>
      <c r="S36" s="59">
        <f t="shared" si="29"/>
        <v>46.575342465753423</v>
      </c>
      <c r="T36" s="59">
        <f t="shared" si="29"/>
        <v>46.448087431693992</v>
      </c>
      <c r="U36" s="59">
        <f t="shared" si="29"/>
        <v>46.575342465753423</v>
      </c>
      <c r="V36" s="59">
        <f t="shared" si="29"/>
        <v>46.575342465753423</v>
      </c>
      <c r="W36" s="59">
        <f t="shared" si="29"/>
        <v>46.575342465753423</v>
      </c>
      <c r="X36" s="59">
        <f t="shared" si="29"/>
        <v>46.448087431693992</v>
      </c>
      <c r="Y36" s="59">
        <f t="shared" si="29"/>
        <v>46.575342465753423</v>
      </c>
      <c r="Z36" s="59">
        <f t="shared" si="29"/>
        <v>46.575342465753423</v>
      </c>
      <c r="AA36" s="59">
        <f t="shared" si="29"/>
        <v>46.575342465753423</v>
      </c>
      <c r="AB36" s="59">
        <f t="shared" si="29"/>
        <v>46.448087431693992</v>
      </c>
      <c r="AC36" s="59">
        <f t="shared" si="29"/>
        <v>46.575342465753423</v>
      </c>
      <c r="AD36" s="59">
        <f t="shared" si="29"/>
        <v>46.575342465753423</v>
      </c>
      <c r="AE36" s="59">
        <f t="shared" si="29"/>
        <v>46.575342465753423</v>
      </c>
      <c r="AF36" s="59">
        <f t="shared" si="29"/>
        <v>46.448087431693992</v>
      </c>
      <c r="AG36" s="59">
        <f t="shared" si="29"/>
        <v>46.575342465753423</v>
      </c>
      <c r="AH36" s="59">
        <f t="shared" si="29"/>
        <v>46.575342465753423</v>
      </c>
      <c r="AI36" s="59">
        <f t="shared" si="29"/>
        <v>46.575342465753423</v>
      </c>
      <c r="AJ36" s="59">
        <f t="shared" si="29"/>
        <v>46.448087431693992</v>
      </c>
      <c r="AK36" s="59">
        <f t="shared" si="29"/>
        <v>46.575342465753423</v>
      </c>
      <c r="AL36" s="59">
        <f t="shared" si="29"/>
        <v>46.575342465753423</v>
      </c>
    </row>
    <row r="37" spans="4:38">
      <c r="D37" t="s">
        <v>191</v>
      </c>
      <c r="E37" s="16" t="s">
        <v>156</v>
      </c>
      <c r="K37" s="59">
        <f>K30/K11</f>
        <v>0</v>
      </c>
      <c r="L37" s="59">
        <f t="shared" ref="L37:AL37" si="30">L30/L11</f>
        <v>0</v>
      </c>
      <c r="M37" s="59">
        <f t="shared" si="30"/>
        <v>0</v>
      </c>
      <c r="N37" s="59">
        <f t="shared" si="30"/>
        <v>0</v>
      </c>
      <c r="O37" s="59">
        <f t="shared" si="30"/>
        <v>0</v>
      </c>
      <c r="P37" s="59">
        <f t="shared" si="30"/>
        <v>0</v>
      </c>
      <c r="Q37" s="59">
        <f t="shared" si="30"/>
        <v>0</v>
      </c>
      <c r="R37" s="59">
        <f t="shared" si="30"/>
        <v>0</v>
      </c>
      <c r="S37" s="59">
        <f t="shared" si="30"/>
        <v>0</v>
      </c>
      <c r="T37" s="59">
        <f t="shared" si="30"/>
        <v>0</v>
      </c>
      <c r="U37" s="59">
        <f t="shared" si="30"/>
        <v>0</v>
      </c>
      <c r="V37" s="59">
        <f t="shared" si="30"/>
        <v>0</v>
      </c>
      <c r="W37" s="59">
        <f t="shared" si="30"/>
        <v>0</v>
      </c>
      <c r="X37" s="59">
        <f t="shared" si="30"/>
        <v>0</v>
      </c>
      <c r="Y37" s="59">
        <f t="shared" si="30"/>
        <v>0</v>
      </c>
      <c r="Z37" s="59">
        <f t="shared" si="30"/>
        <v>0</v>
      </c>
      <c r="AA37" s="59">
        <f t="shared" si="30"/>
        <v>0</v>
      </c>
      <c r="AB37" s="59">
        <f t="shared" si="30"/>
        <v>0</v>
      </c>
      <c r="AC37" s="59">
        <f t="shared" si="30"/>
        <v>0</v>
      </c>
      <c r="AD37" s="59">
        <f t="shared" si="30"/>
        <v>0</v>
      </c>
      <c r="AE37" s="59">
        <f t="shared" si="30"/>
        <v>0</v>
      </c>
      <c r="AF37" s="59">
        <f t="shared" si="30"/>
        <v>0</v>
      </c>
      <c r="AG37" s="59">
        <f t="shared" si="30"/>
        <v>0</v>
      </c>
      <c r="AH37" s="59">
        <f t="shared" si="30"/>
        <v>0</v>
      </c>
      <c r="AI37" s="59">
        <f t="shared" si="30"/>
        <v>0</v>
      </c>
      <c r="AJ37" s="59">
        <f t="shared" si="30"/>
        <v>0</v>
      </c>
      <c r="AK37" s="59">
        <f t="shared" si="30"/>
        <v>0</v>
      </c>
      <c r="AL37" s="59">
        <f t="shared" si="30"/>
        <v>0</v>
      </c>
    </row>
    <row r="38" spans="4:38">
      <c r="D38" t="s">
        <v>424</v>
      </c>
      <c r="E38" s="16" t="s">
        <v>156</v>
      </c>
      <c r="K38" s="59">
        <f>K31/K11</f>
        <v>0</v>
      </c>
      <c r="L38" s="59">
        <f t="shared" ref="L38:AL38" si="31">L31/L11</f>
        <v>0</v>
      </c>
      <c r="M38" s="59">
        <f t="shared" si="31"/>
        <v>0</v>
      </c>
      <c r="N38" s="59">
        <f t="shared" si="31"/>
        <v>0</v>
      </c>
      <c r="O38" s="59">
        <f t="shared" si="31"/>
        <v>0</v>
      </c>
      <c r="P38" s="59">
        <f t="shared" si="31"/>
        <v>0</v>
      </c>
      <c r="Q38" s="59">
        <f t="shared" si="31"/>
        <v>0</v>
      </c>
      <c r="R38" s="59">
        <f t="shared" si="31"/>
        <v>0</v>
      </c>
      <c r="S38" s="59">
        <f t="shared" si="31"/>
        <v>0</v>
      </c>
      <c r="T38" s="59">
        <f t="shared" si="31"/>
        <v>0</v>
      </c>
      <c r="U38" s="59">
        <f t="shared" si="31"/>
        <v>0</v>
      </c>
      <c r="V38" s="59">
        <f t="shared" si="31"/>
        <v>0</v>
      </c>
      <c r="W38" s="59">
        <f t="shared" si="31"/>
        <v>0</v>
      </c>
      <c r="X38" s="59">
        <f t="shared" si="31"/>
        <v>0</v>
      </c>
      <c r="Y38" s="59">
        <f t="shared" si="31"/>
        <v>0</v>
      </c>
      <c r="Z38" s="59">
        <f t="shared" si="31"/>
        <v>0</v>
      </c>
      <c r="AA38" s="59">
        <f t="shared" si="31"/>
        <v>0</v>
      </c>
      <c r="AB38" s="59">
        <f t="shared" si="31"/>
        <v>0</v>
      </c>
      <c r="AC38" s="59">
        <f t="shared" si="31"/>
        <v>0</v>
      </c>
      <c r="AD38" s="59">
        <f t="shared" si="31"/>
        <v>0</v>
      </c>
      <c r="AE38" s="59">
        <f t="shared" si="31"/>
        <v>0</v>
      </c>
      <c r="AF38" s="59">
        <f t="shared" si="31"/>
        <v>0</v>
      </c>
      <c r="AG38" s="59">
        <f t="shared" si="31"/>
        <v>0</v>
      </c>
      <c r="AH38" s="59">
        <f t="shared" si="31"/>
        <v>0</v>
      </c>
      <c r="AI38" s="59">
        <f t="shared" si="31"/>
        <v>0</v>
      </c>
      <c r="AJ38" s="59">
        <f t="shared" si="31"/>
        <v>0</v>
      </c>
      <c r="AK38" s="59">
        <f t="shared" si="31"/>
        <v>0</v>
      </c>
      <c r="AL38" s="59">
        <f t="shared" si="31"/>
        <v>0</v>
      </c>
    </row>
    <row r="39" spans="4:38" ht="15">
      <c r="D39" s="4" t="s">
        <v>194</v>
      </c>
    </row>
    <row r="40" spans="4:38">
      <c r="D40" t="s">
        <v>189</v>
      </c>
      <c r="E40" s="16" t="s">
        <v>195</v>
      </c>
      <c r="K40" s="60">
        <f>K27/Inputs!F34</f>
        <v>4.48E-2</v>
      </c>
    </row>
    <row r="41" spans="4:38">
      <c r="D41" t="s">
        <v>144</v>
      </c>
      <c r="E41" s="16" t="s">
        <v>195</v>
      </c>
      <c r="K41" s="61">
        <f>K28/Inputs!F34</f>
        <v>1.9199999999999998E-2</v>
      </c>
    </row>
    <row r="42" spans="4:38">
      <c r="D42" t="s">
        <v>125</v>
      </c>
      <c r="E42" s="16" t="s">
        <v>195</v>
      </c>
      <c r="K42" s="62"/>
    </row>
    <row r="43" spans="4:38">
      <c r="D43" t="s">
        <v>191</v>
      </c>
      <c r="E43" s="16" t="s">
        <v>195</v>
      </c>
      <c r="K43" s="62"/>
    </row>
    <row r="44" spans="4:38">
      <c r="E44" s="16"/>
      <c r="K44" s="66"/>
    </row>
    <row r="45" spans="4:38" ht="18">
      <c r="D45" s="15" t="s">
        <v>226</v>
      </c>
    </row>
    <row r="46" spans="4:38" ht="15">
      <c r="D46" s="4" t="s">
        <v>212</v>
      </c>
      <c r="E46" s="16" t="s">
        <v>145</v>
      </c>
      <c r="K46" s="116">
        <f>K26*Inputs!E117</f>
        <v>67550</v>
      </c>
      <c r="L46" s="116">
        <f>L26*Inputs!F117</f>
        <v>63784.690900000001</v>
      </c>
      <c r="M46" s="116">
        <f>M26*Inputs!G117</f>
        <v>66502.955596000014</v>
      </c>
      <c r="N46" s="116">
        <f>N26*Inputs!H117</f>
        <v>166445.41771647998</v>
      </c>
      <c r="O46" s="116">
        <f>O26*Inputs!I117</f>
        <v>180478.02531141671</v>
      </c>
      <c r="P46" s="116">
        <f>P26*Inputs!$J$117</f>
        <v>180478.02531141671</v>
      </c>
      <c r="Q46" s="116">
        <f>Q26*Inputs!$J$117</f>
        <v>212032.27531141671</v>
      </c>
      <c r="R46" s="116">
        <f>R26*Inputs!$J$117</f>
        <v>212032.27531141671</v>
      </c>
      <c r="S46" s="116">
        <f>S26*Inputs!$J$117</f>
        <v>252046.04746331542</v>
      </c>
      <c r="T46" s="116">
        <f>T26*Inputs!$J$117</f>
        <v>252046.04746331542</v>
      </c>
      <c r="U46" s="116">
        <f>U26*Inputs!$J$117</f>
        <v>252046.04746331542</v>
      </c>
      <c r="V46" s="116">
        <f>V26*Inputs!$J$117</f>
        <v>252046.04746331542</v>
      </c>
      <c r="W46" s="116">
        <f>W26*Inputs!$J$117</f>
        <v>252046.04746331542</v>
      </c>
      <c r="X46" s="116">
        <f>X26*Inputs!$J$117</f>
        <v>252046.04746331542</v>
      </c>
      <c r="Y46" s="116">
        <f>Y26*Inputs!$J$117</f>
        <v>252046.04746331542</v>
      </c>
      <c r="Z46" s="116">
        <f>Z26*Inputs!$J$117</f>
        <v>252046.04746331542</v>
      </c>
      <c r="AA46" s="116">
        <f>AA26*Inputs!$J$117</f>
        <v>252046.04746331542</v>
      </c>
      <c r="AB46" s="116">
        <f>AB26*Inputs!$J$117</f>
        <v>252046.04746331542</v>
      </c>
      <c r="AC46" s="116">
        <f>AC26*Inputs!$J$117</f>
        <v>252046.04746331542</v>
      </c>
      <c r="AD46" s="116">
        <f>AD26*Inputs!$J$117</f>
        <v>252046.04746331542</v>
      </c>
      <c r="AE46" s="116">
        <f>AE26*Inputs!$J$117</f>
        <v>252046.04746331542</v>
      </c>
      <c r="AF46" s="116">
        <f>AF26*Inputs!$J$117</f>
        <v>252046.04746331542</v>
      </c>
      <c r="AG46" s="116">
        <f>AG26*Inputs!$J$117</f>
        <v>252046.04746331542</v>
      </c>
      <c r="AH46" s="116">
        <f>AH26*Inputs!$J$117</f>
        <v>252046.04746331542</v>
      </c>
      <c r="AI46" s="116">
        <f>AI26*Inputs!$J$117</f>
        <v>252046.04746331542</v>
      </c>
      <c r="AJ46" s="116">
        <f>AJ26*Inputs!$J$117</f>
        <v>252046.04746331542</v>
      </c>
      <c r="AK46" s="116">
        <f>AK26*Inputs!$J$117</f>
        <v>252046.04746331542</v>
      </c>
      <c r="AL46" s="116">
        <f>AL26*Inputs!$J$117</f>
        <v>252046.04746331542</v>
      </c>
    </row>
    <row r="47" spans="4:38">
      <c r="D47" s="7" t="s">
        <v>122</v>
      </c>
      <c r="E47" s="16" t="s">
        <v>145</v>
      </c>
      <c r="K47" s="116">
        <f>(K46*Inputs!E118)*Inputs!E120</f>
        <v>48804.875</v>
      </c>
      <c r="L47" s="116">
        <f>(L46*Inputs!F118)*Inputs!F120</f>
        <v>46084.439175250001</v>
      </c>
      <c r="M47" s="116">
        <f>(M46*Inputs!G118)*Inputs!G120</f>
        <v>48048.385418110011</v>
      </c>
      <c r="N47" s="116">
        <f>(N46*Inputs!H118)*Inputs!H120</f>
        <v>120256.81430015677</v>
      </c>
      <c r="O47" s="116">
        <f>(O46*Inputs!I118)*Inputs!I120</f>
        <v>130395.37328749857</v>
      </c>
      <c r="P47" s="116">
        <f>(P46*Inputs!$J$118)*Inputs!$J$120</f>
        <v>130395.37328749857</v>
      </c>
      <c r="Q47" s="116">
        <f>(Q46*Inputs!$J$118)*Inputs!$J$120</f>
        <v>153193.31891249857</v>
      </c>
      <c r="R47" s="116">
        <f>(R46*Inputs!$J$118)*Inputs!$J$120</f>
        <v>153193.31891249857</v>
      </c>
      <c r="S47" s="116">
        <f>(S46*Inputs!$J$118)*Inputs!$J$120</f>
        <v>182103.26929224539</v>
      </c>
      <c r="T47" s="116">
        <f>(T46*Inputs!$J$118)*Inputs!$J$120</f>
        <v>182103.26929224539</v>
      </c>
      <c r="U47" s="116">
        <f>(U46*Inputs!$J$118)*Inputs!$J$120</f>
        <v>182103.26929224539</v>
      </c>
      <c r="V47" s="116">
        <f>(V46*Inputs!$J$118)*Inputs!$J$120</f>
        <v>182103.26929224539</v>
      </c>
      <c r="W47" s="116">
        <f>(W46*Inputs!$J$118)*Inputs!$J$120</f>
        <v>182103.26929224539</v>
      </c>
      <c r="X47" s="116">
        <f>(X46*Inputs!$J$118)*Inputs!$J$120</f>
        <v>182103.26929224539</v>
      </c>
      <c r="Y47" s="116">
        <f>(Y46*Inputs!$J$118)*Inputs!$J$120</f>
        <v>182103.26929224539</v>
      </c>
      <c r="Z47" s="116">
        <f>(Z46*Inputs!$J$118)*Inputs!$J$120</f>
        <v>182103.26929224539</v>
      </c>
      <c r="AA47" s="116">
        <f>(AA46*Inputs!$J$118)*Inputs!$J$120</f>
        <v>182103.26929224539</v>
      </c>
      <c r="AB47" s="116">
        <f>(AB46*Inputs!$J$118)*Inputs!$J$120</f>
        <v>182103.26929224539</v>
      </c>
      <c r="AC47" s="116">
        <f>(AC46*Inputs!$J$118)*Inputs!$J$120</f>
        <v>182103.26929224539</v>
      </c>
      <c r="AD47" s="116">
        <f>(AD46*Inputs!$J$118)*Inputs!$J$120</f>
        <v>182103.26929224539</v>
      </c>
      <c r="AE47" s="116">
        <f>(AE46*Inputs!$J$118)*Inputs!$J$120</f>
        <v>182103.26929224539</v>
      </c>
      <c r="AF47" s="116">
        <f>(AF46*Inputs!$J$118)*Inputs!$J$120</f>
        <v>182103.26929224539</v>
      </c>
      <c r="AG47" s="116">
        <f>(AG46*Inputs!$J$118)*Inputs!$J$120</f>
        <v>182103.26929224539</v>
      </c>
      <c r="AH47" s="116">
        <f>(AH46*Inputs!$J$118)*Inputs!$J$120</f>
        <v>182103.26929224539</v>
      </c>
      <c r="AI47" s="116">
        <f>(AI46*Inputs!$J$118)*Inputs!$J$120</f>
        <v>182103.26929224539</v>
      </c>
      <c r="AJ47" s="116">
        <f>(AJ46*Inputs!$J$118)*Inputs!$J$120</f>
        <v>182103.26929224539</v>
      </c>
      <c r="AK47" s="116">
        <f>(AK46*Inputs!$J$118)*Inputs!$J$120</f>
        <v>182103.26929224539</v>
      </c>
      <c r="AL47" s="116">
        <f>(AL46*Inputs!$J$118)*Inputs!$J$120</f>
        <v>182103.26929224539</v>
      </c>
    </row>
    <row r="48" spans="4:38">
      <c r="D48" s="7" t="s">
        <v>219</v>
      </c>
      <c r="E48" s="16" t="s">
        <v>145</v>
      </c>
      <c r="K48" s="116">
        <f>K46*Inputs!E119</f>
        <v>10132.5</v>
      </c>
      <c r="L48" s="116">
        <f>L46*Inputs!F119</f>
        <v>9567.7036349999998</v>
      </c>
      <c r="M48" s="116">
        <f>M46*Inputs!G119</f>
        <v>9975.4433394000025</v>
      </c>
      <c r="N48" s="116">
        <f>N46*Inputs!H119</f>
        <v>24966.812657471997</v>
      </c>
      <c r="O48" s="116">
        <f>O46*Inputs!I119</f>
        <v>27071.703796712507</v>
      </c>
      <c r="P48" s="116">
        <f>P46*Inputs!$J$119</f>
        <v>27071.703796712507</v>
      </c>
      <c r="Q48" s="116">
        <f>Q46*Inputs!$J$119</f>
        <v>31804.841296712504</v>
      </c>
      <c r="R48" s="116">
        <f>R46*Inputs!$J$119</f>
        <v>31804.841296712504</v>
      </c>
      <c r="S48" s="116">
        <f>S46*Inputs!$J$119</f>
        <v>37806.907119497315</v>
      </c>
      <c r="T48" s="116">
        <f>T46*Inputs!$J$119</f>
        <v>37806.907119497315</v>
      </c>
      <c r="U48" s="116">
        <f>U46*Inputs!$J$119</f>
        <v>37806.907119497315</v>
      </c>
      <c r="V48" s="116">
        <f>V46*Inputs!$J$119</f>
        <v>37806.907119497315</v>
      </c>
      <c r="W48" s="116">
        <f>W46*Inputs!$J$119</f>
        <v>37806.907119497315</v>
      </c>
      <c r="X48" s="116">
        <f>X46*Inputs!$J$119</f>
        <v>37806.907119497315</v>
      </c>
      <c r="Y48" s="116">
        <f>Y46*Inputs!$J$119</f>
        <v>37806.907119497315</v>
      </c>
      <c r="Z48" s="116">
        <f>Z46*Inputs!$J$119</f>
        <v>37806.907119497315</v>
      </c>
      <c r="AA48" s="116">
        <f>AA46*Inputs!$J$119</f>
        <v>37806.907119497315</v>
      </c>
      <c r="AB48" s="116">
        <f>AB46*Inputs!$J$119</f>
        <v>37806.907119497315</v>
      </c>
      <c r="AC48" s="116">
        <f>AC46*Inputs!$J$119</f>
        <v>37806.907119497315</v>
      </c>
      <c r="AD48" s="116">
        <f>AD46*Inputs!$J$119</f>
        <v>37806.907119497315</v>
      </c>
      <c r="AE48" s="116">
        <f>AE46*Inputs!$J$119</f>
        <v>37806.907119497315</v>
      </c>
      <c r="AF48" s="116">
        <f>AF46*Inputs!$J$119</f>
        <v>37806.907119497315</v>
      </c>
      <c r="AG48" s="116">
        <f>AG46*Inputs!$J$119</f>
        <v>37806.907119497315</v>
      </c>
      <c r="AH48" s="116">
        <f>AH46*Inputs!$J$119</f>
        <v>37806.907119497315</v>
      </c>
      <c r="AI48" s="116">
        <f>AI46*Inputs!$J$119</f>
        <v>37806.907119497315</v>
      </c>
      <c r="AJ48" s="116">
        <f>AJ46*Inputs!$J$119</f>
        <v>37806.907119497315</v>
      </c>
      <c r="AK48" s="116">
        <f>AK46*Inputs!$J$119</f>
        <v>37806.907119497315</v>
      </c>
      <c r="AL48" s="116">
        <f>AL46*Inputs!$J$119</f>
        <v>37806.907119497315</v>
      </c>
    </row>
    <row r="49" spans="4:39" ht="15">
      <c r="D49" s="131" t="s">
        <v>227</v>
      </c>
      <c r="E49" s="16" t="s">
        <v>145</v>
      </c>
      <c r="K49" s="116">
        <f>K26*Inputs!E114</f>
        <v>115800</v>
      </c>
      <c r="L49" s="116">
        <f>L26*Inputs!F114</f>
        <v>109345.18440000001</v>
      </c>
      <c r="M49" s="116">
        <f>M26*Inputs!G114</f>
        <v>114005.06673600002</v>
      </c>
      <c r="N49" s="116">
        <f>N26*Inputs!H114</f>
        <v>285335.00179968</v>
      </c>
      <c r="O49" s="116">
        <f>O26*Inputs!I114</f>
        <v>309390.90053385723</v>
      </c>
      <c r="P49" s="116">
        <f>P26*Inputs!$J$114</f>
        <v>309390.90053385723</v>
      </c>
      <c r="Q49" s="116">
        <f>Q26*Inputs!$J$114</f>
        <v>363483.90053385723</v>
      </c>
      <c r="R49" s="116">
        <f>R26*Inputs!$J$114</f>
        <v>363483.90053385723</v>
      </c>
      <c r="S49" s="116">
        <f>S26*Inputs!$J$114</f>
        <v>432078.93850854074</v>
      </c>
      <c r="T49" s="116">
        <f>T26*Inputs!$J$114</f>
        <v>432078.93850854074</v>
      </c>
      <c r="U49" s="116">
        <f>U26*Inputs!$J$114</f>
        <v>432078.93850854074</v>
      </c>
      <c r="V49" s="116">
        <f>V26*Inputs!$J$114</f>
        <v>432078.93850854074</v>
      </c>
      <c r="W49" s="116">
        <f>W26*Inputs!$J$114</f>
        <v>432078.93850854074</v>
      </c>
      <c r="X49" s="116">
        <f>X26*Inputs!$J$114</f>
        <v>432078.93850854074</v>
      </c>
      <c r="Y49" s="116">
        <f>Y26*Inputs!$J$114</f>
        <v>432078.93850854074</v>
      </c>
      <c r="Z49" s="116">
        <f>Z26*Inputs!$J$114</f>
        <v>432078.93850854074</v>
      </c>
      <c r="AA49" s="116">
        <f>AA26*Inputs!$J$114</f>
        <v>432078.93850854074</v>
      </c>
      <c r="AB49" s="116">
        <f>AB26*Inputs!$J$114</f>
        <v>432078.93850854074</v>
      </c>
      <c r="AC49" s="116">
        <f>AC26*Inputs!$J$114</f>
        <v>432078.93850854074</v>
      </c>
      <c r="AD49" s="116">
        <f>AD26*Inputs!$J$114</f>
        <v>432078.93850854074</v>
      </c>
      <c r="AE49" s="116">
        <f>AE26*Inputs!$J$114</f>
        <v>432078.93850854074</v>
      </c>
      <c r="AF49" s="116">
        <f>AF26*Inputs!$J$114</f>
        <v>432078.93850854074</v>
      </c>
      <c r="AG49" s="116">
        <f>AG26*Inputs!$J$114</f>
        <v>432078.93850854074</v>
      </c>
      <c r="AH49" s="116">
        <f>AH26*Inputs!$J$114</f>
        <v>432078.93850854074</v>
      </c>
      <c r="AI49" s="116">
        <f>AI26*Inputs!$J$114</f>
        <v>432078.93850854074</v>
      </c>
      <c r="AJ49" s="116">
        <f>AJ26*Inputs!$J$114</f>
        <v>432078.93850854074</v>
      </c>
      <c r="AK49" s="116">
        <f>AK26*Inputs!$J$114</f>
        <v>432078.93850854074</v>
      </c>
      <c r="AL49" s="116">
        <f>AL26*Inputs!$J$114</f>
        <v>432078.93850854074</v>
      </c>
    </row>
    <row r="50" spans="4:39">
      <c r="D50" s="63" t="s">
        <v>394</v>
      </c>
      <c r="E50" s="16" t="s">
        <v>145</v>
      </c>
      <c r="J50" s="65"/>
      <c r="K50" s="116">
        <f>K49*Inputs!E115</f>
        <v>11580</v>
      </c>
      <c r="L50" s="116">
        <f>L49*Inputs!F115</f>
        <v>10934.518440000002</v>
      </c>
      <c r="M50" s="116">
        <f>M49*Inputs!G115</f>
        <v>11400.506673600003</v>
      </c>
      <c r="N50" s="116">
        <f>N49*Inputs!H115</f>
        <v>28533.500179968003</v>
      </c>
      <c r="O50" s="116">
        <f>O49*Inputs!I115</f>
        <v>30939.090053385724</v>
      </c>
      <c r="P50" s="116">
        <f>P49*Inputs!J115</f>
        <v>30939.090053385724</v>
      </c>
      <c r="Q50" s="116">
        <f>P50</f>
        <v>30939.090053385724</v>
      </c>
      <c r="R50" s="116">
        <f t="shared" ref="R50:AL50" si="32">Q50</f>
        <v>30939.090053385724</v>
      </c>
      <c r="S50" s="116">
        <f t="shared" si="32"/>
        <v>30939.090053385724</v>
      </c>
      <c r="T50" s="116">
        <f t="shared" si="32"/>
        <v>30939.090053385724</v>
      </c>
      <c r="U50" s="116">
        <f t="shared" si="32"/>
        <v>30939.090053385724</v>
      </c>
      <c r="V50" s="116">
        <f t="shared" si="32"/>
        <v>30939.090053385724</v>
      </c>
      <c r="W50" s="116">
        <f t="shared" si="32"/>
        <v>30939.090053385724</v>
      </c>
      <c r="X50" s="116">
        <f t="shared" si="32"/>
        <v>30939.090053385724</v>
      </c>
      <c r="Y50" s="116">
        <f t="shared" si="32"/>
        <v>30939.090053385724</v>
      </c>
      <c r="Z50" s="116">
        <f t="shared" si="32"/>
        <v>30939.090053385724</v>
      </c>
      <c r="AA50" s="116">
        <f t="shared" si="32"/>
        <v>30939.090053385724</v>
      </c>
      <c r="AB50" s="116">
        <f t="shared" si="32"/>
        <v>30939.090053385724</v>
      </c>
      <c r="AC50" s="116">
        <f t="shared" si="32"/>
        <v>30939.090053385724</v>
      </c>
      <c r="AD50" s="116">
        <f t="shared" si="32"/>
        <v>30939.090053385724</v>
      </c>
      <c r="AE50" s="116">
        <f t="shared" si="32"/>
        <v>30939.090053385724</v>
      </c>
      <c r="AF50" s="116">
        <f t="shared" si="32"/>
        <v>30939.090053385724</v>
      </c>
      <c r="AG50" s="116">
        <f t="shared" si="32"/>
        <v>30939.090053385724</v>
      </c>
      <c r="AH50" s="116">
        <f t="shared" si="32"/>
        <v>30939.090053385724</v>
      </c>
      <c r="AI50" s="116">
        <f t="shared" si="32"/>
        <v>30939.090053385724</v>
      </c>
      <c r="AJ50" s="116">
        <f t="shared" si="32"/>
        <v>30939.090053385724</v>
      </c>
      <c r="AK50" s="116">
        <f t="shared" si="32"/>
        <v>30939.090053385724</v>
      </c>
      <c r="AL50" s="116">
        <f t="shared" si="32"/>
        <v>30939.090053385724</v>
      </c>
    </row>
    <row r="51" spans="4:39">
      <c r="D51" s="63" t="s">
        <v>395</v>
      </c>
      <c r="E51" s="16" t="s">
        <v>145</v>
      </c>
      <c r="J51" s="65"/>
      <c r="K51" s="116">
        <f>Inputs!E116*K49</f>
        <v>104220</v>
      </c>
      <c r="L51" s="116">
        <f>Inputs!F116*L49</f>
        <v>98410.665960000013</v>
      </c>
      <c r="M51" s="116">
        <f>Inputs!G116*M49</f>
        <v>102604.56006240002</v>
      </c>
      <c r="N51" s="116">
        <f>Inputs!H116*N49</f>
        <v>256801.50161971201</v>
      </c>
      <c r="O51" s="116">
        <f>Inputs!I116*O49</f>
        <v>278451.81048047153</v>
      </c>
      <c r="P51" s="116">
        <f>Inputs!J116*P49</f>
        <v>278451.81048047153</v>
      </c>
      <c r="Q51" s="116">
        <f t="shared" ref="Q51:AL51" si="33">P51</f>
        <v>278451.81048047153</v>
      </c>
      <c r="R51" s="116">
        <f t="shared" si="33"/>
        <v>278451.81048047153</v>
      </c>
      <c r="S51" s="116">
        <f t="shared" si="33"/>
        <v>278451.81048047153</v>
      </c>
      <c r="T51" s="116">
        <f t="shared" si="33"/>
        <v>278451.81048047153</v>
      </c>
      <c r="U51" s="116">
        <f t="shared" si="33"/>
        <v>278451.81048047153</v>
      </c>
      <c r="V51" s="116">
        <f t="shared" si="33"/>
        <v>278451.81048047153</v>
      </c>
      <c r="W51" s="116">
        <f t="shared" si="33"/>
        <v>278451.81048047153</v>
      </c>
      <c r="X51" s="116">
        <f t="shared" si="33"/>
        <v>278451.81048047153</v>
      </c>
      <c r="Y51" s="116">
        <f t="shared" si="33"/>
        <v>278451.81048047153</v>
      </c>
      <c r="Z51" s="116">
        <f t="shared" si="33"/>
        <v>278451.81048047153</v>
      </c>
      <c r="AA51" s="116">
        <f t="shared" si="33"/>
        <v>278451.81048047153</v>
      </c>
      <c r="AB51" s="116">
        <f t="shared" si="33"/>
        <v>278451.81048047153</v>
      </c>
      <c r="AC51" s="116">
        <f t="shared" si="33"/>
        <v>278451.81048047153</v>
      </c>
      <c r="AD51" s="116">
        <f t="shared" si="33"/>
        <v>278451.81048047153</v>
      </c>
      <c r="AE51" s="116">
        <f t="shared" si="33"/>
        <v>278451.81048047153</v>
      </c>
      <c r="AF51" s="116">
        <f t="shared" si="33"/>
        <v>278451.81048047153</v>
      </c>
      <c r="AG51" s="116">
        <f t="shared" si="33"/>
        <v>278451.81048047153</v>
      </c>
      <c r="AH51" s="116">
        <f t="shared" si="33"/>
        <v>278451.81048047153</v>
      </c>
      <c r="AI51" s="116">
        <f t="shared" si="33"/>
        <v>278451.81048047153</v>
      </c>
      <c r="AJ51" s="116">
        <f t="shared" si="33"/>
        <v>278451.81048047153</v>
      </c>
      <c r="AK51" s="116">
        <f t="shared" si="33"/>
        <v>278451.81048047153</v>
      </c>
      <c r="AL51" s="116">
        <f t="shared" si="33"/>
        <v>278451.81048047153</v>
      </c>
    </row>
    <row r="52" spans="4:39" ht="15">
      <c r="D52" s="4" t="s">
        <v>228</v>
      </c>
      <c r="E52" s="16" t="s">
        <v>145</v>
      </c>
      <c r="K52" s="116">
        <f>K26*Inputs!E113</f>
        <v>9650</v>
      </c>
      <c r="L52" s="116">
        <f>L26*Inputs!F113</f>
        <v>9112.0987000000005</v>
      </c>
      <c r="M52" s="116">
        <f>M26*Inputs!G113</f>
        <v>9500.4222280000013</v>
      </c>
      <c r="N52" s="116">
        <f>N26*Inputs!H113</f>
        <v>23777.916816640001</v>
      </c>
      <c r="O52" s="116">
        <f>O26*Inputs!I113</f>
        <v>25782.575044488105</v>
      </c>
      <c r="P52" s="116">
        <f>P26*Inputs!$J$113</f>
        <v>25782.575044488105</v>
      </c>
      <c r="Q52" s="116">
        <f>Q26*Inputs!$J$113</f>
        <v>30290.325044488105</v>
      </c>
      <c r="R52" s="116">
        <f>R26*Inputs!$J$113</f>
        <v>30290.325044488105</v>
      </c>
      <c r="S52" s="116">
        <f>S26*Inputs!$J$113</f>
        <v>36006.578209045067</v>
      </c>
      <c r="T52" s="116">
        <f>T26*Inputs!$J$113</f>
        <v>36006.578209045067</v>
      </c>
      <c r="U52" s="116">
        <f>U26*Inputs!$J$113</f>
        <v>36006.578209045067</v>
      </c>
      <c r="V52" s="116">
        <f>V26*Inputs!$J$113</f>
        <v>36006.578209045067</v>
      </c>
      <c r="W52" s="116">
        <f>W26*Inputs!$J$113</f>
        <v>36006.578209045067</v>
      </c>
      <c r="X52" s="116">
        <f>X26*Inputs!$J$113</f>
        <v>36006.578209045067</v>
      </c>
      <c r="Y52" s="116">
        <f>Y26*Inputs!$J$113</f>
        <v>36006.578209045067</v>
      </c>
      <c r="Z52" s="116">
        <f>Z26*Inputs!$J$113</f>
        <v>36006.578209045067</v>
      </c>
      <c r="AA52" s="116">
        <f>AA26*Inputs!$J$113</f>
        <v>36006.578209045067</v>
      </c>
      <c r="AB52" s="116">
        <f>AB26*Inputs!$J$113</f>
        <v>36006.578209045067</v>
      </c>
      <c r="AC52" s="116">
        <f>AC26*Inputs!$J$113</f>
        <v>36006.578209045067</v>
      </c>
      <c r="AD52" s="116">
        <f>AD26*Inputs!$J$113</f>
        <v>36006.578209045067</v>
      </c>
      <c r="AE52" s="116">
        <f>AE26*Inputs!$J$113</f>
        <v>36006.578209045067</v>
      </c>
      <c r="AF52" s="116">
        <f>AF26*Inputs!$J$113</f>
        <v>36006.578209045067</v>
      </c>
      <c r="AG52" s="116">
        <f>AG26*Inputs!$J$113</f>
        <v>36006.578209045067</v>
      </c>
      <c r="AH52" s="116">
        <f>AH26*Inputs!$J$113</f>
        <v>36006.578209045067</v>
      </c>
      <c r="AI52" s="116">
        <f>AI26*Inputs!$J$113</f>
        <v>36006.578209045067</v>
      </c>
      <c r="AJ52" s="116">
        <f>AJ26*Inputs!$J$113</f>
        <v>36006.578209045067</v>
      </c>
      <c r="AK52" s="116">
        <f>AK26*Inputs!$J$113</f>
        <v>36006.578209045067</v>
      </c>
      <c r="AL52" s="116">
        <f>AL26*Inputs!$J$113</f>
        <v>36006.578209045067</v>
      </c>
    </row>
    <row r="53" spans="4:39">
      <c r="N53" s="65"/>
    </row>
    <row r="54" spans="4:39" ht="24" thickBot="1">
      <c r="D54" s="57" t="s">
        <v>230</v>
      </c>
    </row>
    <row r="55" spans="4:39" ht="15">
      <c r="D55" s="4" t="s">
        <v>236</v>
      </c>
      <c r="E55" s="16" t="s">
        <v>145</v>
      </c>
      <c r="K55" s="117">
        <f>Inputs!E124*'Initiative 2 Model'!K26</f>
        <v>183350</v>
      </c>
      <c r="L55" s="117">
        <f>Inputs!F124*'Initiative 2 Model'!L26</f>
        <v>173129.87530000001</v>
      </c>
      <c r="M55" s="117">
        <f>Inputs!G124*'Initiative 2 Model'!M26</f>
        <v>180508.02233200002</v>
      </c>
      <c r="N55" s="117">
        <f>Inputs!H124*'Initiative 2 Model'!N26</f>
        <v>451780.41951615998</v>
      </c>
      <c r="O55" s="117">
        <f>Inputs!I124*'Initiative 2 Model'!O26</f>
        <v>489868.92584527395</v>
      </c>
      <c r="P55" s="117">
        <f>Inputs!$J$124*'Initiative 2 Model'!P26</f>
        <v>489868.92584527395</v>
      </c>
      <c r="Q55" s="117">
        <f>Inputs!$J$124*'Initiative 2 Model'!Q26</f>
        <v>575516.17584527389</v>
      </c>
      <c r="R55" s="117">
        <f>Inputs!$J$124*'Initiative 2 Model'!R26</f>
        <v>575516.17584527389</v>
      </c>
      <c r="S55" s="117">
        <f>Inputs!$J$124*'Initiative 2 Model'!S26</f>
        <v>684124.98597185616</v>
      </c>
      <c r="T55" s="117">
        <f>Inputs!$J$124*'Initiative 2 Model'!T26</f>
        <v>684124.98597185616</v>
      </c>
      <c r="U55" s="117">
        <f>Inputs!$J$124*'Initiative 2 Model'!U26</f>
        <v>684124.98597185616</v>
      </c>
      <c r="V55" s="117">
        <f>Inputs!$J$124*'Initiative 2 Model'!V26</f>
        <v>684124.98597185616</v>
      </c>
      <c r="W55" s="117">
        <f>Inputs!$J$124*'Initiative 2 Model'!W26</f>
        <v>684124.98597185616</v>
      </c>
      <c r="X55" s="117">
        <f>Inputs!$J$124*'Initiative 2 Model'!X26</f>
        <v>684124.98597185616</v>
      </c>
      <c r="Y55" s="117">
        <f>Inputs!$J$124*'Initiative 2 Model'!Y26</f>
        <v>684124.98597185616</v>
      </c>
      <c r="Z55" s="117">
        <f>Inputs!$J$124*'Initiative 2 Model'!Z26</f>
        <v>684124.98597185616</v>
      </c>
      <c r="AA55" s="117">
        <f>Inputs!$J$124*'Initiative 2 Model'!AA26</f>
        <v>684124.98597185616</v>
      </c>
      <c r="AB55" s="117">
        <f>Inputs!$J$124*'Initiative 2 Model'!AB26</f>
        <v>684124.98597185616</v>
      </c>
      <c r="AC55" s="117">
        <f>Inputs!$J$124*'Initiative 2 Model'!AC26</f>
        <v>684124.98597185616</v>
      </c>
      <c r="AD55" s="117">
        <f>Inputs!$J$124*'Initiative 2 Model'!AD26</f>
        <v>684124.98597185616</v>
      </c>
      <c r="AE55" s="117">
        <f>Inputs!$J$124*'Initiative 2 Model'!AE26</f>
        <v>684124.98597185616</v>
      </c>
      <c r="AF55" s="117">
        <f>Inputs!$J$124*'Initiative 2 Model'!AF26</f>
        <v>684124.98597185616</v>
      </c>
      <c r="AG55" s="117">
        <f>Inputs!$J$124*'Initiative 2 Model'!AG26</f>
        <v>684124.98597185616</v>
      </c>
      <c r="AH55" s="117">
        <f>Inputs!$J$124*'Initiative 2 Model'!AH26</f>
        <v>684124.98597185616</v>
      </c>
      <c r="AI55" s="117">
        <f>Inputs!$J$124*'Initiative 2 Model'!AI26</f>
        <v>684124.98597185616</v>
      </c>
      <c r="AJ55" s="117">
        <f>Inputs!$J$124*'Initiative 2 Model'!AJ26</f>
        <v>684124.98597185616</v>
      </c>
      <c r="AK55" s="117">
        <f>Inputs!$J$124*'Initiative 2 Model'!AK26</f>
        <v>684124.98597185616</v>
      </c>
      <c r="AL55" s="117">
        <f>Inputs!$J$124*'Initiative 2 Model'!AL26</f>
        <v>684124.98597185616</v>
      </c>
    </row>
    <row r="56" spans="4:39" ht="15">
      <c r="D56" s="4" t="s">
        <v>378</v>
      </c>
      <c r="E56" s="16" t="s">
        <v>145</v>
      </c>
      <c r="K56" s="65">
        <f>0.6*K55</f>
        <v>110010</v>
      </c>
      <c r="L56" s="65">
        <f t="shared" ref="L56:M56" si="34">0.6*L55</f>
        <v>103877.92518000001</v>
      </c>
      <c r="M56" s="65">
        <f t="shared" si="34"/>
        <v>108304.81339920001</v>
      </c>
      <c r="N56">
        <f>Inputs!H125</f>
        <v>260975</v>
      </c>
      <c r="O56">
        <f>Inputs!I125</f>
        <v>260975</v>
      </c>
      <c r="P56">
        <f>Inputs!J125</f>
        <v>260975</v>
      </c>
      <c r="Q56">
        <f>P56</f>
        <v>260975</v>
      </c>
      <c r="R56">
        <f t="shared" ref="R56:AL56" si="35">Q56</f>
        <v>260975</v>
      </c>
      <c r="S56">
        <f t="shared" si="35"/>
        <v>260975</v>
      </c>
      <c r="T56">
        <f t="shared" si="35"/>
        <v>260975</v>
      </c>
      <c r="U56">
        <f t="shared" si="35"/>
        <v>260975</v>
      </c>
      <c r="V56">
        <f t="shared" si="35"/>
        <v>260975</v>
      </c>
      <c r="W56">
        <f t="shared" si="35"/>
        <v>260975</v>
      </c>
      <c r="X56">
        <f t="shared" si="35"/>
        <v>260975</v>
      </c>
      <c r="Y56">
        <f t="shared" si="35"/>
        <v>260975</v>
      </c>
      <c r="Z56">
        <f t="shared" si="35"/>
        <v>260975</v>
      </c>
      <c r="AA56">
        <f t="shared" si="35"/>
        <v>260975</v>
      </c>
      <c r="AB56">
        <f t="shared" si="35"/>
        <v>260975</v>
      </c>
      <c r="AC56">
        <f t="shared" si="35"/>
        <v>260975</v>
      </c>
      <c r="AD56">
        <f t="shared" si="35"/>
        <v>260975</v>
      </c>
      <c r="AE56">
        <f t="shared" si="35"/>
        <v>260975</v>
      </c>
      <c r="AF56">
        <f t="shared" si="35"/>
        <v>260975</v>
      </c>
      <c r="AG56">
        <f t="shared" si="35"/>
        <v>260975</v>
      </c>
      <c r="AH56">
        <f t="shared" si="35"/>
        <v>260975</v>
      </c>
      <c r="AI56">
        <f t="shared" si="35"/>
        <v>260975</v>
      </c>
      <c r="AJ56">
        <f t="shared" si="35"/>
        <v>260975</v>
      </c>
      <c r="AK56">
        <f t="shared" si="35"/>
        <v>260975</v>
      </c>
      <c r="AL56">
        <f t="shared" si="35"/>
        <v>260975</v>
      </c>
    </row>
    <row r="57" spans="4:39" ht="15">
      <c r="D57" s="4" t="s">
        <v>154</v>
      </c>
      <c r="E57" s="16" t="s">
        <v>145</v>
      </c>
      <c r="K57" s="65"/>
      <c r="L57" s="65"/>
      <c r="M57" s="65"/>
      <c r="U57" s="139"/>
      <c r="V57" s="139"/>
      <c r="W57" s="139"/>
      <c r="X57" s="139"/>
      <c r="Y57" s="139"/>
      <c r="Z57" s="139"/>
      <c r="AA57" s="139"/>
      <c r="AB57" s="139"/>
      <c r="AC57" s="139"/>
      <c r="AD57" s="139"/>
      <c r="AE57" s="139"/>
      <c r="AF57" s="139"/>
      <c r="AG57" s="139"/>
      <c r="AH57" s="139"/>
      <c r="AI57" s="139"/>
      <c r="AJ57" s="139"/>
      <c r="AK57" s="139"/>
      <c r="AL57" s="139"/>
    </row>
    <row r="58" spans="4:39" ht="15">
      <c r="D58" s="4" t="s">
        <v>432</v>
      </c>
      <c r="E58" s="16" t="s">
        <v>145</v>
      </c>
      <c r="K58" s="65"/>
      <c r="L58" s="65"/>
      <c r="M58" s="65"/>
      <c r="U58" s="139"/>
      <c r="V58" s="139"/>
      <c r="W58" s="139"/>
      <c r="X58" s="139"/>
      <c r="Y58" s="139"/>
      <c r="Z58" s="139"/>
      <c r="AA58" s="139"/>
      <c r="AB58" s="139"/>
      <c r="AC58" s="139"/>
      <c r="AD58" s="139"/>
      <c r="AE58" s="139"/>
      <c r="AF58" s="139"/>
      <c r="AG58" s="139"/>
      <c r="AH58" s="139"/>
      <c r="AI58" s="139"/>
      <c r="AJ58" s="139"/>
      <c r="AK58" s="139"/>
      <c r="AL58" s="139"/>
    </row>
    <row r="59" spans="4:39" ht="15">
      <c r="D59" s="67" t="s">
        <v>379</v>
      </c>
      <c r="E59" s="16" t="s">
        <v>145</v>
      </c>
      <c r="K59" s="116">
        <f>K55-K56-K57</f>
        <v>73340</v>
      </c>
      <c r="L59" s="116">
        <f t="shared" ref="L59:AA59" si="36">L55-L56-L57</f>
        <v>69251.950120000009</v>
      </c>
      <c r="M59" s="116">
        <f t="shared" si="36"/>
        <v>72203.208932800015</v>
      </c>
      <c r="N59" s="116">
        <f t="shared" si="36"/>
        <v>190805.41951615998</v>
      </c>
      <c r="O59" s="116">
        <f t="shared" si="36"/>
        <v>228893.92584527395</v>
      </c>
      <c r="P59" s="116">
        <f t="shared" si="36"/>
        <v>228893.92584527395</v>
      </c>
      <c r="Q59" s="116">
        <f t="shared" si="36"/>
        <v>314541.17584527389</v>
      </c>
      <c r="R59" s="116">
        <f t="shared" si="36"/>
        <v>314541.17584527389</v>
      </c>
      <c r="S59" s="116">
        <f t="shared" si="36"/>
        <v>423149.98597185616</v>
      </c>
      <c r="T59" s="116">
        <f t="shared" si="36"/>
        <v>423149.98597185616</v>
      </c>
      <c r="U59" s="116">
        <f t="shared" si="36"/>
        <v>423149.98597185616</v>
      </c>
      <c r="V59" s="116">
        <f t="shared" si="36"/>
        <v>423149.98597185616</v>
      </c>
      <c r="W59" s="116">
        <f t="shared" si="36"/>
        <v>423149.98597185616</v>
      </c>
      <c r="X59" s="116">
        <f t="shared" si="36"/>
        <v>423149.98597185616</v>
      </c>
      <c r="Y59" s="116">
        <f t="shared" si="36"/>
        <v>423149.98597185616</v>
      </c>
      <c r="Z59" s="116">
        <f t="shared" si="36"/>
        <v>423149.98597185616</v>
      </c>
      <c r="AA59" s="116">
        <f t="shared" si="36"/>
        <v>423149.98597185616</v>
      </c>
      <c r="AB59" s="116">
        <f>AB55-AB56-AB57+AB58</f>
        <v>423149.98597185616</v>
      </c>
      <c r="AC59" s="116">
        <f t="shared" ref="AC59:AL59" si="37">AC55-AC56-AC57+AC58</f>
        <v>423149.98597185616</v>
      </c>
      <c r="AD59" s="116">
        <f t="shared" si="37"/>
        <v>423149.98597185616</v>
      </c>
      <c r="AE59" s="116">
        <f t="shared" si="37"/>
        <v>423149.98597185616</v>
      </c>
      <c r="AF59" s="116">
        <f t="shared" si="37"/>
        <v>423149.98597185616</v>
      </c>
      <c r="AG59" s="116">
        <f t="shared" si="37"/>
        <v>423149.98597185616</v>
      </c>
      <c r="AH59" s="116">
        <f t="shared" si="37"/>
        <v>423149.98597185616</v>
      </c>
      <c r="AI59" s="116">
        <f t="shared" si="37"/>
        <v>423149.98597185616</v>
      </c>
      <c r="AJ59" s="116">
        <f t="shared" si="37"/>
        <v>423149.98597185616</v>
      </c>
      <c r="AK59" s="116">
        <f t="shared" si="37"/>
        <v>423149.98597185616</v>
      </c>
      <c r="AL59" s="116">
        <f t="shared" si="37"/>
        <v>423149.98597185616</v>
      </c>
      <c r="AM59" s="65">
        <f>SUM(M59:AL59)/1000</f>
        <v>9812.8785512671784</v>
      </c>
    </row>
    <row r="60" spans="4:39" ht="15">
      <c r="D60" s="67"/>
      <c r="E60" s="16"/>
    </row>
    <row r="64" spans="4:39" ht="24" thickBot="1">
      <c r="D64" s="57" t="s">
        <v>109</v>
      </c>
    </row>
    <row r="65" spans="4:41">
      <c r="D65" t="s">
        <v>173</v>
      </c>
      <c r="E65" s="16" t="s">
        <v>213</v>
      </c>
      <c r="K65" s="116">
        <f>Inputs!E34*(1+(Inputs!E29/100))</f>
        <v>3204114.6302</v>
      </c>
      <c r="L65" s="116">
        <f>K65*(1+(Inputs!$E$29/100))</f>
        <v>3204114.6302</v>
      </c>
      <c r="M65" s="116">
        <f>L65*(1+(Inputs!$E$29/100))</f>
        <v>3204114.6302</v>
      </c>
      <c r="N65" s="116">
        <f>M65*(1+(Inputs!$E$29/100))</f>
        <v>3204114.6302</v>
      </c>
      <c r="O65" s="116">
        <f>N65*(1+(Inputs!$E$29/100))</f>
        <v>3204114.6302</v>
      </c>
      <c r="P65" s="116">
        <f>O65*(1+(Inputs!$E$29/100))</f>
        <v>3204114.6302</v>
      </c>
      <c r="Q65" s="116">
        <f>P65*(1+(Inputs!$E$29/100))</f>
        <v>3204114.6302</v>
      </c>
      <c r="R65" s="116">
        <f>Q65*(1+(Inputs!$E$29/100))</f>
        <v>3204114.6302</v>
      </c>
      <c r="S65" s="116">
        <f>R65*(1+(Inputs!$E$29/100))</f>
        <v>3204114.6302</v>
      </c>
      <c r="T65" s="116">
        <f>S65*(1+(Inputs!$E$29/100))</f>
        <v>3204114.6302</v>
      </c>
      <c r="U65" s="116">
        <f>T65*(1+(Inputs!$E$29/100))</f>
        <v>3204114.6302</v>
      </c>
      <c r="V65" s="116">
        <f>U65*(1+(Inputs!$E$29/100))</f>
        <v>3204114.6302</v>
      </c>
      <c r="W65" s="130">
        <f>V65*(1+(Inputs!$E$29/100))</f>
        <v>3204114.6302</v>
      </c>
      <c r="X65" s="116">
        <f>W65*(1+(Inputs!$E$29/100))</f>
        <v>3204114.6302</v>
      </c>
      <c r="Y65" s="116">
        <f>X65*(1+(Inputs!$E$29/100))</f>
        <v>3204114.6302</v>
      </c>
      <c r="Z65" s="116">
        <f>Y65*(1+(Inputs!$E$29/100))</f>
        <v>3204114.6302</v>
      </c>
      <c r="AA65" s="116">
        <v>6179091.8866104605</v>
      </c>
      <c r="AB65" s="130">
        <v>6179091.8866104605</v>
      </c>
      <c r="AC65" s="116">
        <v>6179091.8866104605</v>
      </c>
      <c r="AD65" s="116">
        <v>6179091.8866104605</v>
      </c>
      <c r="AE65" s="116">
        <v>6179091.8866104605</v>
      </c>
      <c r="AF65" s="116">
        <v>6179091.8866104605</v>
      </c>
      <c r="AG65" s="116">
        <v>6179091.8866104605</v>
      </c>
      <c r="AH65" s="116">
        <v>6179091.8866104605</v>
      </c>
      <c r="AI65" s="116">
        <v>6179091.8866104605</v>
      </c>
      <c r="AJ65" s="116">
        <v>6179091.8866104605</v>
      </c>
      <c r="AK65" s="116">
        <v>6179091.8866104605</v>
      </c>
      <c r="AL65" s="116">
        <v>6179091.8866104605</v>
      </c>
      <c r="AM65" s="116"/>
      <c r="AN65" s="116"/>
      <c r="AO65" s="116"/>
    </row>
    <row r="66" spans="4:41">
      <c r="D66" s="7" t="s">
        <v>375</v>
      </c>
      <c r="E66" s="16" t="s">
        <v>213</v>
      </c>
      <c r="K66" s="116">
        <f>K65-Inputs!F34</f>
        <v>188489.63020000001</v>
      </c>
      <c r="L66" s="116">
        <f>L65-Inputs!G34</f>
        <v>62011.630200000014</v>
      </c>
      <c r="M66" s="116">
        <f>M65-Inputs!H34</f>
        <v>450369.0568666663</v>
      </c>
      <c r="N66" s="116"/>
      <c r="O66" s="116"/>
      <c r="P66" s="116"/>
      <c r="Q66" s="116"/>
      <c r="R66" s="116"/>
      <c r="S66" s="116"/>
      <c r="T66" s="116"/>
      <c r="U66" s="116"/>
      <c r="V66" s="116"/>
      <c r="W66" s="116"/>
      <c r="X66" s="116"/>
      <c r="Y66" s="116"/>
      <c r="Z66" s="116"/>
      <c r="AA66" s="116"/>
    </row>
    <row r="67" spans="4:41">
      <c r="D67" s="23" t="s">
        <v>217</v>
      </c>
      <c r="E67" s="16" t="s">
        <v>213</v>
      </c>
      <c r="K67" s="117">
        <f>Inputs!F35*Inputs!F34</f>
        <v>2322031.25</v>
      </c>
      <c r="L67" s="117">
        <f>Inputs!G35*Inputs!G34</f>
        <v>2639366.52</v>
      </c>
      <c r="M67" s="117">
        <f>Inputs!H35*Inputs!H34</f>
        <v>2092846.6357333336</v>
      </c>
      <c r="N67" s="117">
        <f>Inputs!I35*N65</f>
        <v>2242880.2411400001</v>
      </c>
      <c r="O67" s="117">
        <f>Inputs!J35*O65</f>
        <v>1922468.7781199999</v>
      </c>
      <c r="P67" s="117">
        <f>Inputs!$K$35*P65</f>
        <v>1281645.8520800001</v>
      </c>
      <c r="Q67" s="117">
        <f>Inputs!$K$35*Q65</f>
        <v>1281645.8520800001</v>
      </c>
      <c r="R67" s="117">
        <f>Inputs!$K$35*R65</f>
        <v>1281645.8520800001</v>
      </c>
      <c r="S67" s="117">
        <f>Inputs!$K$35*S65</f>
        <v>1281645.8520800001</v>
      </c>
      <c r="T67" s="117">
        <f>Inputs!$K$35*T65</f>
        <v>1281645.8520800001</v>
      </c>
      <c r="U67" s="117">
        <f>Inputs!$K$35*U65</f>
        <v>1281645.8520800001</v>
      </c>
      <c r="V67" s="117">
        <f>Inputs!$K$35*V65</f>
        <v>1281645.8520800001</v>
      </c>
      <c r="W67" s="117">
        <f>Inputs!$K$35*W65</f>
        <v>1281645.8520800001</v>
      </c>
      <c r="X67" s="117">
        <f>Inputs!$K$35*X65</f>
        <v>1281645.8520800001</v>
      </c>
      <c r="Y67" s="117">
        <f>Inputs!$K$35*Y65</f>
        <v>1281645.8520800001</v>
      </c>
      <c r="Z67" s="117">
        <f>Inputs!$K$35*Z65</f>
        <v>1281645.8520800001</v>
      </c>
      <c r="AA67" s="117">
        <f>Inputs!$K$35*AA65</f>
        <v>2471636.7546441844</v>
      </c>
      <c r="AB67" s="117">
        <f>Inputs!$K$35*AB65</f>
        <v>2471636.7546441844</v>
      </c>
      <c r="AC67" s="117">
        <f>Inputs!$K$35*AC65</f>
        <v>2471636.7546441844</v>
      </c>
      <c r="AD67" s="117">
        <f>Inputs!$K$35*AD65</f>
        <v>2471636.7546441844</v>
      </c>
      <c r="AE67" s="117">
        <f>Inputs!$K$35*AE65</f>
        <v>2471636.7546441844</v>
      </c>
      <c r="AF67" s="117">
        <f>Inputs!$K$35*AF65</f>
        <v>2471636.7546441844</v>
      </c>
      <c r="AG67" s="117">
        <f>Inputs!$K$35*AG65</f>
        <v>2471636.7546441844</v>
      </c>
      <c r="AH67" s="117">
        <f>Inputs!$K$35*AH65</f>
        <v>2471636.7546441844</v>
      </c>
      <c r="AI67" s="117">
        <f>Inputs!$K$35*AI65</f>
        <v>2471636.7546441844</v>
      </c>
      <c r="AJ67" s="117">
        <f>Inputs!$K$35*AJ65</f>
        <v>2471636.7546441844</v>
      </c>
      <c r="AK67" s="117">
        <f>Inputs!$K$35*AK65</f>
        <v>2471636.7546441844</v>
      </c>
      <c r="AL67" s="117">
        <f>Inputs!$K$35*AL65</f>
        <v>2471636.7546441844</v>
      </c>
    </row>
    <row r="68" spans="4:41">
      <c r="D68" s="7" t="s">
        <v>218</v>
      </c>
      <c r="E68" s="16" t="s">
        <v>213</v>
      </c>
      <c r="K68" s="117">
        <f>Inputs!F36*Inputs!F34</f>
        <v>693593.75</v>
      </c>
      <c r="L68" s="117">
        <f>Inputs!G36*Inputs!G34</f>
        <v>502736.48</v>
      </c>
      <c r="M68" s="117">
        <f>Inputs!H36*Inputs!H34</f>
        <v>660898.93760000006</v>
      </c>
      <c r="N68" s="117">
        <f>Inputs!I36*N65</f>
        <v>961234.38905999996</v>
      </c>
      <c r="O68" s="117">
        <f>Inputs!J36*O65</f>
        <v>1281645.8520800001</v>
      </c>
      <c r="P68" s="117">
        <f>Inputs!$K$36*P65</f>
        <v>1922468.7781199999</v>
      </c>
      <c r="Q68" s="117">
        <f>Inputs!$K$36*Q65</f>
        <v>1922468.7781199999</v>
      </c>
      <c r="R68" s="117">
        <f>Inputs!$K$36*R65</f>
        <v>1922468.7781199999</v>
      </c>
      <c r="S68" s="117">
        <f>Inputs!$K$36*S65</f>
        <v>1922468.7781199999</v>
      </c>
      <c r="T68" s="117">
        <f>Inputs!$K$36*T65</f>
        <v>1922468.7781199999</v>
      </c>
      <c r="U68" s="117">
        <f>Inputs!$K$36*U65</f>
        <v>1922468.7781199999</v>
      </c>
      <c r="V68" s="117">
        <f>Inputs!$K$36*V65</f>
        <v>1922468.7781199999</v>
      </c>
      <c r="W68" s="117">
        <f>Inputs!$K$36*W65</f>
        <v>1922468.7781199999</v>
      </c>
      <c r="X68" s="117">
        <f>Inputs!$K$36*X65</f>
        <v>1922468.7781199999</v>
      </c>
      <c r="Y68" s="117">
        <f>Inputs!$K$36*Y65</f>
        <v>1922468.7781199999</v>
      </c>
      <c r="Z68" s="117">
        <f>Inputs!$K$36*Z65</f>
        <v>1922468.7781199999</v>
      </c>
      <c r="AA68" s="117">
        <f>Inputs!$K$36*AA65</f>
        <v>3707455.1319662761</v>
      </c>
      <c r="AB68" s="117">
        <f>Inputs!$K$36*AB65</f>
        <v>3707455.1319662761</v>
      </c>
      <c r="AC68" s="117">
        <f>Inputs!$K$36*AC65</f>
        <v>3707455.1319662761</v>
      </c>
      <c r="AD68" s="117">
        <f>Inputs!$K$36*AD65</f>
        <v>3707455.1319662761</v>
      </c>
      <c r="AE68" s="117">
        <f>Inputs!$K$36*AE65</f>
        <v>3707455.1319662761</v>
      </c>
      <c r="AF68" s="117">
        <f>Inputs!$K$36*AF65</f>
        <v>3707455.1319662761</v>
      </c>
      <c r="AG68" s="117">
        <f>Inputs!$K$36*AG65</f>
        <v>3707455.1319662761</v>
      </c>
      <c r="AH68" s="117">
        <f>Inputs!$K$36*AH65</f>
        <v>3707455.1319662761</v>
      </c>
      <c r="AI68" s="117">
        <f>Inputs!$K$36*AI65</f>
        <v>3707455.1319662761</v>
      </c>
      <c r="AJ68" s="117">
        <f>Inputs!$K$36*AJ65</f>
        <v>3707455.1319662761</v>
      </c>
      <c r="AK68" s="117">
        <f>Inputs!$K$36*AK65</f>
        <v>3707455.1319662761</v>
      </c>
      <c r="AL68" s="117">
        <f>Inputs!$K$36*AL65</f>
        <v>3707455.1319662761</v>
      </c>
    </row>
    <row r="70" spans="4:41" ht="24" thickBot="1">
      <c r="D70" s="57" t="s">
        <v>400</v>
      </c>
    </row>
    <row r="71" spans="4:41">
      <c r="D71" s="7" t="s">
        <v>116</v>
      </c>
      <c r="E71" s="16" t="s">
        <v>118</v>
      </c>
      <c r="K71" s="105">
        <f>Inputs!E42</f>
        <v>27.73</v>
      </c>
      <c r="L71" s="105">
        <f>Inputs!F42</f>
        <v>29.5</v>
      </c>
      <c r="M71" s="105">
        <f>Inputs!G42</f>
        <v>30.24</v>
      </c>
      <c r="N71" s="105">
        <f>Inputs!H42</f>
        <v>32.06</v>
      </c>
      <c r="O71" s="105">
        <f>(1+Inputs!I47)*'Initiative 2 Model'!N71</f>
        <v>33.983600000000003</v>
      </c>
      <c r="P71" s="105">
        <f>(1+Inputs!$J$47)*'Initiative 2 Model'!O71</f>
        <v>36.022616000000006</v>
      </c>
      <c r="Q71" s="105">
        <f>(1+Inputs!$J$47)*'Initiative 2 Model'!P71</f>
        <v>38.183972960000006</v>
      </c>
      <c r="R71" s="105">
        <f>(1+Inputs!$J$47)*'Initiative 2 Model'!Q71</f>
        <v>40.475011337600009</v>
      </c>
      <c r="S71" s="105">
        <f>(1+Inputs!$J$47)*'Initiative 2 Model'!R71</f>
        <v>42.903512017856009</v>
      </c>
      <c r="T71" s="105">
        <f>(1+Inputs!$J$47)*'Initiative 2 Model'!S71</f>
        <v>45.477722738927369</v>
      </c>
      <c r="U71" s="105">
        <f>(1+Inputs!$J$47)*'Initiative 2 Model'!T71</f>
        <v>48.206386103263014</v>
      </c>
      <c r="V71" s="105">
        <f>(1+Inputs!$J$47)*'Initiative 2 Model'!U71</f>
        <v>51.098769269458799</v>
      </c>
      <c r="W71" s="105">
        <f>(1+Inputs!$J$47)*'Initiative 2 Model'!V71</f>
        <v>54.164695425626327</v>
      </c>
      <c r="X71" s="105">
        <f>(1+Inputs!$J$47)*'Initiative 2 Model'!W71</f>
        <v>57.414577151163911</v>
      </c>
      <c r="Y71" s="105">
        <f>(1+Inputs!$J$47)*'Initiative 2 Model'!X71</f>
        <v>60.859451780233748</v>
      </c>
      <c r="Z71" s="105">
        <f>(1+Inputs!$J$47)*'Initiative 2 Model'!Y71</f>
        <v>64.511018887047783</v>
      </c>
      <c r="AA71" s="105">
        <f>(1+Inputs!$J$47)*'Initiative 2 Model'!Z71</f>
        <v>68.38168002027065</v>
      </c>
      <c r="AB71" s="105">
        <f>(1+Inputs!$J$47)*'Initiative 2 Model'!AA71</f>
        <v>72.484580821486887</v>
      </c>
      <c r="AC71" s="105">
        <f>(1+Inputs!$J$47)*'Initiative 2 Model'!AB71</f>
        <v>76.83365567077611</v>
      </c>
      <c r="AD71" s="105">
        <f>(1+Inputs!$J$47)*'Initiative 2 Model'!AC71</f>
        <v>81.443675011022677</v>
      </c>
      <c r="AE71" s="105">
        <f>(1+Inputs!$J$47)*'Initiative 2 Model'!AD71</f>
        <v>86.330295511684042</v>
      </c>
      <c r="AF71" s="105">
        <f>(1+Inputs!$J$47)*'Initiative 2 Model'!AE71</f>
        <v>91.510113242385088</v>
      </c>
      <c r="AG71" s="105">
        <f>(1+Inputs!$J$47)*'Initiative 2 Model'!AF71</f>
        <v>97.0007200369282</v>
      </c>
      <c r="AH71" s="105">
        <f>(1+Inputs!$J$47)*'Initiative 2 Model'!AG71</f>
        <v>102.8207632391439</v>
      </c>
      <c r="AI71" s="105">
        <f>(1+Inputs!$J$47)*'Initiative 2 Model'!AH71</f>
        <v>108.99000903349254</v>
      </c>
      <c r="AJ71" s="105">
        <f>(1+Inputs!$J$47)*'Initiative 2 Model'!AI71</f>
        <v>115.5294095755021</v>
      </c>
      <c r="AK71" s="105">
        <f>(1+Inputs!$J$47)*'Initiative 2 Model'!AJ71</f>
        <v>122.46117415003224</v>
      </c>
      <c r="AL71" s="105">
        <f>(1+Inputs!$J$47)*'Initiative 2 Model'!AK71</f>
        <v>129.80884459903419</v>
      </c>
    </row>
    <row r="72" spans="4:41">
      <c r="D72" s="7" t="s">
        <v>238</v>
      </c>
      <c r="E72" s="16" t="s">
        <v>118</v>
      </c>
      <c r="K72" s="105">
        <f>Inputs!E44</f>
        <v>20.47</v>
      </c>
      <c r="L72" s="105">
        <f>Inputs!F44</f>
        <v>21.78</v>
      </c>
      <c r="M72" s="105">
        <f>Inputs!G44</f>
        <v>23.09</v>
      </c>
      <c r="N72" s="105">
        <f>Inputs!H44</f>
        <v>24.475000000000001</v>
      </c>
      <c r="O72" s="105">
        <f>(1+Inputs!I47)*'Initiative 2 Model'!N72</f>
        <v>25.943500000000004</v>
      </c>
      <c r="P72" s="105">
        <f>(1+Inputs!$J$47)*'Initiative 2 Model'!O72</f>
        <v>27.500110000000006</v>
      </c>
      <c r="Q72" s="105">
        <f>(1+Inputs!$J$47)*'Initiative 2 Model'!P72</f>
        <v>29.150116600000008</v>
      </c>
      <c r="R72" s="105">
        <f>(1+Inputs!$J$47)*'Initiative 2 Model'!Q72</f>
        <v>30.89912359600001</v>
      </c>
      <c r="S72" s="105">
        <f>(1+Inputs!$J$47)*'Initiative 2 Model'!R72</f>
        <v>32.753071011760014</v>
      </c>
      <c r="T72" s="105">
        <f>(1+Inputs!$J$47)*'Initiative 2 Model'!S72</f>
        <v>34.718255272465619</v>
      </c>
      <c r="U72" s="105">
        <f>(1+Inputs!$J$47)*'Initiative 2 Model'!T72</f>
        <v>36.801350588813555</v>
      </c>
      <c r="V72" s="105">
        <f>(1+Inputs!$J$47)*'Initiative 2 Model'!U72</f>
        <v>39.009431624142373</v>
      </c>
      <c r="W72" s="105">
        <f>(1+Inputs!$J$47)*'Initiative 2 Model'!V72</f>
        <v>41.349997521590915</v>
      </c>
      <c r="X72" s="105">
        <f>(1+Inputs!$J$47)*'Initiative 2 Model'!W72</f>
        <v>43.830997372886372</v>
      </c>
      <c r="Y72" s="105">
        <f>(1+Inputs!$J$47)*'Initiative 2 Model'!X72</f>
        <v>46.460857215259558</v>
      </c>
      <c r="Z72" s="105">
        <f>(1+Inputs!$J$47)*'Initiative 2 Model'!Y72</f>
        <v>49.248508648175132</v>
      </c>
      <c r="AA72" s="105">
        <f>(1+Inputs!$J$47)*'Initiative 2 Model'!Z72</f>
        <v>52.20341916706564</v>
      </c>
      <c r="AB72" s="105">
        <f>(1+Inputs!$J$47)*'Initiative 2 Model'!AA72</f>
        <v>55.335624317089582</v>
      </c>
      <c r="AC72" s="105">
        <f>(1+Inputs!$J$47)*'Initiative 2 Model'!AB72</f>
        <v>58.655761776114957</v>
      </c>
      <c r="AD72" s="105">
        <f>(1+Inputs!$J$47)*'Initiative 2 Model'!AC72</f>
        <v>62.175107482681859</v>
      </c>
      <c r="AE72" s="105">
        <f>(1+Inputs!$J$47)*'Initiative 2 Model'!AD72</f>
        <v>65.905613931642776</v>
      </c>
      <c r="AF72" s="105">
        <f>(1+Inputs!$J$47)*'Initiative 2 Model'!AE72</f>
        <v>69.859950767541349</v>
      </c>
      <c r="AG72" s="105">
        <f>(1+Inputs!$J$47)*'Initiative 2 Model'!AF72</f>
        <v>74.051547813593828</v>
      </c>
      <c r="AH72" s="105">
        <f>(1+Inputs!$J$47)*'Initiative 2 Model'!AG72</f>
        <v>78.494640682409468</v>
      </c>
      <c r="AI72" s="105">
        <f>(1+Inputs!$J$47)*'Initiative 2 Model'!AH72</f>
        <v>83.20431912335404</v>
      </c>
      <c r="AJ72" s="105">
        <f>(1+Inputs!$J$47)*'Initiative 2 Model'!AI72</f>
        <v>88.196578270755282</v>
      </c>
      <c r="AK72" s="105">
        <f>(1+Inputs!$J$47)*'Initiative 2 Model'!AJ72</f>
        <v>93.488372967000601</v>
      </c>
      <c r="AL72" s="105">
        <f>(1+Inputs!$J$47)*'Initiative 2 Model'!AK72</f>
        <v>99.097675345020647</v>
      </c>
    </row>
    <row r="73" spans="4:41">
      <c r="D73" s="7" t="s">
        <v>239</v>
      </c>
      <c r="E73" s="16" t="s">
        <v>118</v>
      </c>
      <c r="K73" s="105">
        <f>Inputs!E45</f>
        <v>3.29</v>
      </c>
      <c r="L73" s="105">
        <f>Inputs!F45</f>
        <v>3.5</v>
      </c>
      <c r="M73" s="105">
        <f>Inputs!G45</f>
        <v>3.73</v>
      </c>
      <c r="N73" s="105">
        <f>Inputs!H45</f>
        <v>3.95</v>
      </c>
      <c r="O73" s="105">
        <f>(1+Inputs!I47)*'Initiative 2 Model'!N73</f>
        <v>4.1870000000000003</v>
      </c>
      <c r="P73" s="105">
        <f>(1+Inputs!$J$47)*'Initiative 2 Model'!O73</f>
        <v>4.4382200000000003</v>
      </c>
      <c r="Q73" s="105">
        <f>(1+Inputs!$J$47)*'Initiative 2 Model'!P73</f>
        <v>4.7045132000000009</v>
      </c>
      <c r="R73" s="105">
        <f>(1+Inputs!$J$47)*'Initiative 2 Model'!Q73</f>
        <v>4.9867839920000012</v>
      </c>
      <c r="S73" s="105">
        <f>(1+Inputs!$J$47)*'Initiative 2 Model'!R73</f>
        <v>5.2859910315200018</v>
      </c>
      <c r="T73" s="105">
        <f>(1+Inputs!$J$47)*'Initiative 2 Model'!S73</f>
        <v>5.603150493411202</v>
      </c>
      <c r="U73" s="105">
        <f>(1+Inputs!$J$47)*'Initiative 2 Model'!T73</f>
        <v>5.9393395230158745</v>
      </c>
      <c r="V73" s="105">
        <f>(1+Inputs!$J$47)*'Initiative 2 Model'!U73</f>
        <v>6.2956998943968276</v>
      </c>
      <c r="W73" s="105">
        <f>(1+Inputs!$J$47)*'Initiative 2 Model'!V73</f>
        <v>6.6734418880606379</v>
      </c>
      <c r="X73" s="105">
        <f>(1+Inputs!$J$47)*'Initiative 2 Model'!W73</f>
        <v>7.0738484013442768</v>
      </c>
      <c r="Y73" s="105">
        <f>(1+Inputs!$J$47)*'Initiative 2 Model'!X73</f>
        <v>7.4982793054249335</v>
      </c>
      <c r="Z73" s="105">
        <f>(1+Inputs!$J$47)*'Initiative 2 Model'!Y73</f>
        <v>7.94817606375043</v>
      </c>
      <c r="AA73" s="105">
        <f>(1+Inputs!$J$47)*'Initiative 2 Model'!Z73</f>
        <v>8.4250666275754558</v>
      </c>
      <c r="AB73" s="105">
        <f>(1+Inputs!$J$47)*'Initiative 2 Model'!AA73</f>
        <v>8.9305706252299828</v>
      </c>
      <c r="AC73" s="105">
        <f>(1+Inputs!$J$47)*'Initiative 2 Model'!AB73</f>
        <v>9.4664048627437829</v>
      </c>
      <c r="AD73" s="105">
        <f>(1+Inputs!$J$47)*'Initiative 2 Model'!AC73</f>
        <v>10.034389154508411</v>
      </c>
      <c r="AE73" s="105">
        <f>(1+Inputs!$J$47)*'Initiative 2 Model'!AD73</f>
        <v>10.636452503778916</v>
      </c>
      <c r="AF73" s="105">
        <f>(1+Inputs!$J$47)*'Initiative 2 Model'!AE73</f>
        <v>11.274639654005652</v>
      </c>
      <c r="AG73" s="105">
        <f>(1+Inputs!$J$47)*'Initiative 2 Model'!AF73</f>
        <v>11.951118033245992</v>
      </c>
      <c r="AH73" s="105">
        <f>(1+Inputs!$J$47)*'Initiative 2 Model'!AG73</f>
        <v>12.668185115240751</v>
      </c>
      <c r="AI73" s="105">
        <f>(1+Inputs!$J$47)*'Initiative 2 Model'!AH73</f>
        <v>13.428276222155198</v>
      </c>
      <c r="AJ73" s="105">
        <f>(1+Inputs!$J$47)*'Initiative 2 Model'!AI73</f>
        <v>14.23397279548451</v>
      </c>
      <c r="AK73" s="105">
        <f>(1+Inputs!$J$47)*'Initiative 2 Model'!AJ73</f>
        <v>15.088011163213581</v>
      </c>
      <c r="AL73" s="105">
        <f>(1+Inputs!$J$47)*'Initiative 2 Model'!AK73</f>
        <v>15.993291833006397</v>
      </c>
    </row>
    <row r="74" spans="4:41">
      <c r="D74" s="7" t="s">
        <v>120</v>
      </c>
      <c r="E74" s="16" t="s">
        <v>118</v>
      </c>
      <c r="K74" s="105">
        <f>Inputs!E52</f>
        <v>7.23</v>
      </c>
      <c r="L74" s="105">
        <f>Inputs!F52</f>
        <v>7.9067280000000002</v>
      </c>
      <c r="M74" s="105">
        <f>Inputs!G52</f>
        <v>8.6467977408000003</v>
      </c>
      <c r="N74" s="105">
        <f>Inputs!H52</f>
        <v>14.73</v>
      </c>
      <c r="O74" s="105">
        <f>Inputs!I52</f>
        <v>16.108727999999999</v>
      </c>
      <c r="P74" s="105">
        <f>Inputs!J52</f>
        <v>17.616504940799999</v>
      </c>
      <c r="Q74" s="105">
        <f>P74*(1+Inputs!$J$61)</f>
        <v>19.265409803258876</v>
      </c>
      <c r="R74" s="105">
        <f>Q74*(1+Inputs!$J$61)</f>
        <v>21.068652160843904</v>
      </c>
      <c r="S74" s="105">
        <f>R74*(1+Inputs!$J$61)</f>
        <v>23.04067800309889</v>
      </c>
      <c r="T74" s="105">
        <f>S74*(1+Inputs!$J$61)</f>
        <v>25.197285464188944</v>
      </c>
      <c r="U74" s="105">
        <f>T74*(1+Inputs!$J$61)</f>
        <v>27.555751383637027</v>
      </c>
      <c r="V74" s="105">
        <f>U74*(1+Inputs!$J$61)</f>
        <v>30.134969713145448</v>
      </c>
      <c r="W74" s="105">
        <f>V74*(1+Inputs!$J$61)</f>
        <v>32.955602878295856</v>
      </c>
      <c r="X74" s="105">
        <f>W74*(1+Inputs!$J$61)</f>
        <v>36.040247307704348</v>
      </c>
      <c r="Y74" s="105">
        <f>X74*(1+Inputs!$J$61)</f>
        <v>39.413614455705471</v>
      </c>
      <c r="Z74" s="105">
        <f>Y74*(1+Inputs!$J$61)</f>
        <v>43.102728768759498</v>
      </c>
      <c r="AA74" s="105">
        <f>Z74*(1+Inputs!$J$61)</f>
        <v>47.137144181515382</v>
      </c>
      <c r="AB74" s="105">
        <f>AA74*(1+Inputs!$J$61)</f>
        <v>51.549180876905218</v>
      </c>
      <c r="AC74" s="105">
        <f>AB74*(1+Inputs!$J$61)</f>
        <v>56.374184206983543</v>
      </c>
      <c r="AD74" s="105">
        <f>AC74*(1+Inputs!$J$61)</f>
        <v>61.650807848757196</v>
      </c>
      <c r="AE74" s="105">
        <f>AD74*(1+Inputs!$J$61)</f>
        <v>67.421323463400867</v>
      </c>
      <c r="AF74" s="105">
        <f>AE74*(1+Inputs!$J$61)</f>
        <v>73.731959339575184</v>
      </c>
      <c r="AG74" s="105">
        <f>AF74*(1+Inputs!$J$61)</f>
        <v>80.633270733759417</v>
      </c>
      <c r="AH74" s="105">
        <f>AG74*(1+Inputs!$J$61)</f>
        <v>88.180544874439292</v>
      </c>
      <c r="AI74" s="105">
        <f>AH74*(1+Inputs!$J$61)</f>
        <v>96.4342438746868</v>
      </c>
      <c r="AJ74" s="105">
        <f>AI74*(1+Inputs!$J$61)</f>
        <v>105.46048910135748</v>
      </c>
      <c r="AK74" s="105">
        <f>AJ74*(1+Inputs!$J$61)</f>
        <v>115.33159088124454</v>
      </c>
      <c r="AL74" s="105">
        <f>AK74*(1+Inputs!$J$61)</f>
        <v>126.12662778772902</v>
      </c>
    </row>
    <row r="75" spans="4:41">
      <c r="D75" s="7" t="s">
        <v>122</v>
      </c>
      <c r="E75" s="16" t="s">
        <v>118</v>
      </c>
      <c r="K75" s="105">
        <f>Inputs!E54</f>
        <v>13</v>
      </c>
      <c r="L75" s="105">
        <f>Inputs!F54</f>
        <v>14.216799999999999</v>
      </c>
      <c r="M75" s="105">
        <f>Inputs!G54</f>
        <v>15.547492479999997</v>
      </c>
      <c r="N75" s="105">
        <f>Inputs!H54</f>
        <v>17.002737776127997</v>
      </c>
      <c r="O75" s="105">
        <f>Inputs!I54</f>
        <v>18.594194031973576</v>
      </c>
      <c r="P75" s="105">
        <f>Inputs!J54</f>
        <v>20.3346105933663</v>
      </c>
      <c r="Q75" s="105">
        <f>P75*(1+Inputs!$J$61)</f>
        <v>22.237930144905384</v>
      </c>
      <c r="R75" s="105">
        <f>Q75*(1+Inputs!$J$61)</f>
        <v>24.319400406468525</v>
      </c>
      <c r="S75" s="105">
        <f>R75*(1+Inputs!$J$61)</f>
        <v>26.595696284513977</v>
      </c>
      <c r="T75" s="105">
        <f>S75*(1+Inputs!$J$61)</f>
        <v>29.085053456744483</v>
      </c>
      <c r="U75" s="105">
        <f>T75*(1+Inputs!$J$61)</f>
        <v>31.807414460295764</v>
      </c>
      <c r="V75" s="105">
        <f>U75*(1+Inputs!$J$61)</f>
        <v>34.784588453779442</v>
      </c>
      <c r="W75" s="105">
        <f>V75*(1+Inputs!$J$61)</f>
        <v>38.040425933053193</v>
      </c>
      <c r="X75" s="105">
        <f>W75*(1+Inputs!$J$61)</f>
        <v>41.601009800386969</v>
      </c>
      <c r="Y75" s="105">
        <f>X75*(1+Inputs!$J$61)</f>
        <v>45.494864317703183</v>
      </c>
      <c r="Z75" s="105">
        <f>Y75*(1+Inputs!$J$61)</f>
        <v>49.753183617840193</v>
      </c>
      <c r="AA75" s="105">
        <f>Z75*(1+Inputs!$J$61)</f>
        <v>54.41008160447003</v>
      </c>
      <c r="AB75" s="105">
        <f>AA75*(1+Inputs!$J$61)</f>
        <v>59.502865242648419</v>
      </c>
      <c r="AC75" s="105">
        <f>AB75*(1+Inputs!$J$61)</f>
        <v>65.072333429360299</v>
      </c>
      <c r="AD75" s="105">
        <f>AC75*(1+Inputs!$J$61)</f>
        <v>71.16310383834842</v>
      </c>
      <c r="AE75" s="105">
        <f>AD75*(1+Inputs!$J$61)</f>
        <v>77.823970357617824</v>
      </c>
      <c r="AF75" s="105">
        <f>AE75*(1+Inputs!$J$61)</f>
        <v>85.108293983090846</v>
      </c>
      <c r="AG75" s="105">
        <f>AF75*(1+Inputs!$J$61)</f>
        <v>93.074430299908144</v>
      </c>
      <c r="AH75" s="105">
        <f>AG75*(1+Inputs!$J$61)</f>
        <v>101.78619697597954</v>
      </c>
      <c r="AI75" s="105">
        <f>AH75*(1+Inputs!$J$61)</f>
        <v>111.31338501293121</v>
      </c>
      <c r="AJ75" s="105">
        <f>AI75*(1+Inputs!$J$61)</f>
        <v>121.73231785014156</v>
      </c>
      <c r="AK75" s="105">
        <f>AJ75*(1+Inputs!$J$61)</f>
        <v>133.12646280091479</v>
      </c>
      <c r="AL75" s="105">
        <f>AK75*(1+Inputs!$J$61)</f>
        <v>145.58709971908041</v>
      </c>
    </row>
    <row r="76" spans="4:41">
      <c r="D76" s="7" t="s">
        <v>123</v>
      </c>
      <c r="E76" s="16" t="s">
        <v>118</v>
      </c>
      <c r="K76" s="105">
        <f>Inputs!E55</f>
        <v>282</v>
      </c>
      <c r="L76" s="105">
        <f>Inputs!F55</f>
        <v>304.27799999999996</v>
      </c>
      <c r="M76" s="105">
        <f>Inputs!G55</f>
        <v>332.75842079999995</v>
      </c>
      <c r="N76" s="105">
        <f>Inputs!H55</f>
        <v>363.90460898687991</v>
      </c>
      <c r="O76" s="105">
        <f>Inputs!I55</f>
        <v>397.96608038805181</v>
      </c>
      <c r="P76" s="105">
        <f>Inputs!J55</f>
        <v>435.2157055123734</v>
      </c>
      <c r="Q76" s="105">
        <f>P76*(1+Inputs!$J$62)</f>
        <v>469.59774624785086</v>
      </c>
      <c r="R76" s="105">
        <f>Q76*(1+Inputs!$J$62)</f>
        <v>506.69596820143107</v>
      </c>
      <c r="S76" s="105">
        <f>R76*(1+Inputs!$J$62)</f>
        <v>546.72494968934416</v>
      </c>
      <c r="T76" s="105">
        <f>S76*(1+Inputs!$J$62)</f>
        <v>589.91622071480231</v>
      </c>
      <c r="U76" s="105">
        <f>T76*(1+Inputs!$J$62)</f>
        <v>636.51960215127167</v>
      </c>
      <c r="V76" s="105">
        <f>U76*(1+Inputs!$J$62)</f>
        <v>686.80465072122206</v>
      </c>
      <c r="W76" s="105">
        <f>V76*(1+Inputs!$J$62)</f>
        <v>741.06221812819854</v>
      </c>
      <c r="X76" s="105">
        <f>W76*(1+Inputs!$J$62)</f>
        <v>799.60613336032623</v>
      </c>
      <c r="Y76" s="105">
        <f>X76*(1+Inputs!$J$62)</f>
        <v>862.77501789579196</v>
      </c>
      <c r="Z76" s="105">
        <f>Y76*(1+Inputs!$J$62)</f>
        <v>930.93424430955952</v>
      </c>
      <c r="AA76" s="105">
        <f>Z76*(1+Inputs!$J$62)</f>
        <v>1004.4780496100146</v>
      </c>
      <c r="AB76" s="105">
        <f>AA76*(1+Inputs!$J$62)</f>
        <v>1083.8318155292056</v>
      </c>
      <c r="AC76" s="105">
        <f>AB76*(1+Inputs!$J$62)</f>
        <v>1169.4545289560128</v>
      </c>
      <c r="AD76" s="105">
        <f>AC76*(1+Inputs!$J$62)</f>
        <v>1261.8414367435378</v>
      </c>
      <c r="AE76" s="105">
        <f>AD76*(1+Inputs!$J$62)</f>
        <v>1361.5269102462771</v>
      </c>
      <c r="AF76" s="105">
        <f>AE76*(1+Inputs!$J$62)</f>
        <v>1469.087536155733</v>
      </c>
      <c r="AG76" s="105">
        <f>AF76*(1+Inputs!$J$62)</f>
        <v>1585.1454515120358</v>
      </c>
      <c r="AH76" s="105">
        <f>AG76*(1+Inputs!$J$62)</f>
        <v>1710.3719421814867</v>
      </c>
      <c r="AI76" s="105">
        <f>AH76*(1+Inputs!$J$62)</f>
        <v>1845.4913256138241</v>
      </c>
      <c r="AJ76" s="105">
        <f>AI76*(1+Inputs!$J$62)</f>
        <v>1991.2851403373161</v>
      </c>
      <c r="AK76" s="105">
        <f>AJ76*(1+Inputs!$J$62)</f>
        <v>2148.5966664239641</v>
      </c>
      <c r="AL76" s="105">
        <f>AK76*(1+Inputs!$J$62)</f>
        <v>2318.3358030714571</v>
      </c>
    </row>
    <row r="77" spans="4:41">
      <c r="D77" s="7" t="s">
        <v>124</v>
      </c>
      <c r="E77" s="16" t="s">
        <v>118</v>
      </c>
      <c r="K77" s="105">
        <f>Inputs!E56</f>
        <v>4.0999999999999996</v>
      </c>
      <c r="L77" s="105">
        <f>Inputs!F56</f>
        <v>4.4837599999999993</v>
      </c>
      <c r="M77" s="105">
        <f>Inputs!G56</f>
        <v>4.9034399359999989</v>
      </c>
      <c r="N77" s="105">
        <f>Inputs!H56</f>
        <v>5.362401914009598</v>
      </c>
      <c r="O77" s="105">
        <f>Inputs!I56</f>
        <v>5.864322733160896</v>
      </c>
      <c r="P77" s="105">
        <f>Inputs!J56</f>
        <v>6.4132233409847554</v>
      </c>
      <c r="Q77" s="105">
        <f>P77*(1+Inputs!$J$61)</f>
        <v>7.0135010457009281</v>
      </c>
      <c r="R77" s="105">
        <f>Q77*(1+Inputs!$J$61)</f>
        <v>7.6699647435785341</v>
      </c>
      <c r="S77" s="105">
        <f>R77*(1+Inputs!$J$61)</f>
        <v>8.3878734435774849</v>
      </c>
      <c r="T77" s="105">
        <f>S77*(1+Inputs!$J$61)</f>
        <v>9.1729783978963368</v>
      </c>
      <c r="U77" s="105">
        <f>T77*(1+Inputs!$J$61)</f>
        <v>10.031569175939433</v>
      </c>
      <c r="V77" s="105">
        <f>U77*(1+Inputs!$J$61)</f>
        <v>10.970524050807363</v>
      </c>
      <c r="W77" s="105">
        <f>V77*(1+Inputs!$J$61)</f>
        <v>11.997365101962931</v>
      </c>
      <c r="X77" s="105">
        <f>W77*(1+Inputs!$J$61)</f>
        <v>13.120318475506661</v>
      </c>
      <c r="Y77" s="105">
        <f>X77*(1+Inputs!$J$61)</f>
        <v>14.348380284814082</v>
      </c>
      <c r="Z77" s="105">
        <f>Y77*(1+Inputs!$J$61)</f>
        <v>15.691388679472679</v>
      </c>
      <c r="AA77" s="105">
        <f>Z77*(1+Inputs!$J$61)</f>
        <v>17.16010265987132</v>
      </c>
      <c r="AB77" s="105">
        <f>AA77*(1+Inputs!$J$61)</f>
        <v>18.766288268835275</v>
      </c>
      <c r="AC77" s="105">
        <f>AB77*(1+Inputs!$J$61)</f>
        <v>20.522812850798257</v>
      </c>
      <c r="AD77" s="105">
        <f>AC77*(1+Inputs!$J$61)</f>
        <v>22.443748133632972</v>
      </c>
      <c r="AE77" s="105">
        <f>AD77*(1+Inputs!$J$61)</f>
        <v>24.544482958941018</v>
      </c>
      <c r="AF77" s="105">
        <f>AE77*(1+Inputs!$J$61)</f>
        <v>26.841846563897896</v>
      </c>
      <c r="AG77" s="105">
        <f>AF77*(1+Inputs!$J$61)</f>
        <v>29.354243402278737</v>
      </c>
      <c r="AH77" s="105">
        <f>AG77*(1+Inputs!$J$61)</f>
        <v>32.101800584732025</v>
      </c>
      <c r="AI77" s="105">
        <f>AH77*(1+Inputs!$J$61)</f>
        <v>35.106529119462941</v>
      </c>
      <c r="AJ77" s="105">
        <f>AI77*(1+Inputs!$J$61)</f>
        <v>38.392500245044666</v>
      </c>
      <c r="AK77" s="105">
        <f>AJ77*(1+Inputs!$J$61)</f>
        <v>41.986038267980845</v>
      </c>
      <c r="AL77" s="105">
        <f>AK77*(1+Inputs!$J$61)</f>
        <v>45.915931449863848</v>
      </c>
    </row>
    <row r="78" spans="4:41">
      <c r="D78" s="7" t="s">
        <v>125</v>
      </c>
      <c r="E78" s="16" t="s">
        <v>118</v>
      </c>
      <c r="K78">
        <f>Inputs!E57</f>
        <v>0</v>
      </c>
      <c r="L78">
        <f>Inputs!F57</f>
        <v>0</v>
      </c>
      <c r="M78">
        <f>Inputs!G57</f>
        <v>10.1</v>
      </c>
      <c r="N78" s="105">
        <f>Inputs!H57</f>
        <v>11.045359999999999</v>
      </c>
      <c r="O78" s="105">
        <f>Inputs!I57</f>
        <v>12.079205695999997</v>
      </c>
      <c r="P78" s="105">
        <f>Inputs!J57</f>
        <v>13.209819349145596</v>
      </c>
      <c r="Q78" s="105">
        <f>P78*(1+Inputs!$J$61)</f>
        <v>14.446258440225622</v>
      </c>
      <c r="R78" s="105">
        <f>Q78*(1+Inputs!$J$61)</f>
        <v>15.798428230230739</v>
      </c>
      <c r="S78" s="105">
        <f>R78*(1+Inputs!$J$61)</f>
        <v>17.277161112580334</v>
      </c>
      <c r="T78" s="105">
        <f>S78*(1+Inputs!$J$61)</f>
        <v>18.894303392717852</v>
      </c>
      <c r="U78" s="105">
        <f>T78*(1+Inputs!$J$61)</f>
        <v>20.66281019027624</v>
      </c>
      <c r="V78" s="105">
        <f>U78*(1+Inputs!$J$61)</f>
        <v>22.596849224086093</v>
      </c>
      <c r="W78" s="105">
        <f>V78*(1+Inputs!$J$61)</f>
        <v>24.71191431146055</v>
      </c>
      <c r="X78" s="105">
        <f>W78*(1+Inputs!$J$61)</f>
        <v>27.024949491013256</v>
      </c>
      <c r="Y78" s="105">
        <f>X78*(1+Inputs!$J$61)</f>
        <v>29.554484763372095</v>
      </c>
      <c r="Z78" s="105">
        <f>Y78*(1+Inputs!$J$61)</f>
        <v>32.320784537223723</v>
      </c>
      <c r="AA78" s="105">
        <f>Z78*(1+Inputs!$J$61)</f>
        <v>35.346009969907861</v>
      </c>
      <c r="AB78" s="105">
        <f>AA78*(1+Inputs!$J$61)</f>
        <v>38.654396503091235</v>
      </c>
      <c r="AC78" s="105">
        <f>AB78*(1+Inputs!$J$61)</f>
        <v>42.272448015780569</v>
      </c>
      <c r="AD78" s="105">
        <f>AC78*(1+Inputs!$J$61)</f>
        <v>46.229149150057623</v>
      </c>
      <c r="AE78" s="105">
        <f>AD78*(1+Inputs!$J$61)</f>
        <v>50.556197510503011</v>
      </c>
      <c r="AF78" s="105">
        <f>AE78*(1+Inputs!$J$61)</f>
        <v>55.288257597486087</v>
      </c>
      <c r="AG78" s="105">
        <f>AF78*(1+Inputs!$J$61)</f>
        <v>60.463238508610779</v>
      </c>
      <c r="AH78" s="105">
        <f>AG78*(1+Inputs!$J$61)</f>
        <v>66.122597633016738</v>
      </c>
      <c r="AI78" s="105">
        <f>AH78*(1+Inputs!$J$61)</f>
        <v>72.311672771467101</v>
      </c>
      <c r="AJ78" s="105">
        <f>AI78*(1+Inputs!$J$61)</f>
        <v>79.080045342876417</v>
      </c>
      <c r="AK78" s="105">
        <f>AJ78*(1+Inputs!$J$61)</f>
        <v>86.481937586969636</v>
      </c>
      <c r="AL78" s="105">
        <f>AK78*(1+Inputs!$J$61)</f>
        <v>94.576646945109985</v>
      </c>
    </row>
    <row r="79" spans="4:41">
      <c r="D79" s="7" t="s">
        <v>154</v>
      </c>
      <c r="E79" s="16" t="s">
        <v>118</v>
      </c>
      <c r="K79">
        <f>Inputs!E58</f>
        <v>0</v>
      </c>
      <c r="L79">
        <f>Inputs!F58</f>
        <v>0</v>
      </c>
      <c r="M79">
        <f>Inputs!G58</f>
        <v>0</v>
      </c>
      <c r="N79">
        <f>Inputs!H58</f>
        <v>0</v>
      </c>
      <c r="O79">
        <f>Inputs!I58</f>
        <v>0</v>
      </c>
      <c r="P79">
        <f>Inputs!J58</f>
        <v>45</v>
      </c>
      <c r="Q79" s="105">
        <f>P79*(1+Inputs!$J$61)</f>
        <v>49.211999999999996</v>
      </c>
      <c r="R79" s="105">
        <f>Q79*(1+Inputs!$J$61)</f>
        <v>53.818243199999991</v>
      </c>
      <c r="S79" s="105">
        <f>R79*(1+Inputs!$J$61)</f>
        <v>58.855630763519983</v>
      </c>
      <c r="T79" s="105">
        <f>S79*(1+Inputs!$J$61)</f>
        <v>64.364517802985446</v>
      </c>
      <c r="U79" s="105">
        <f>T79*(1+Inputs!$J$61)</f>
        <v>70.389036669344875</v>
      </c>
      <c r="V79" s="105">
        <f>U79*(1+Inputs!$J$61)</f>
        <v>76.977450501595555</v>
      </c>
      <c r="W79" s="105">
        <f>V79*(1+Inputs!$J$61)</f>
        <v>84.182539868544893</v>
      </c>
      <c r="X79" s="105">
        <f>W79*(1+Inputs!$J$61)</f>
        <v>92.062025600240688</v>
      </c>
      <c r="Y79" s="105">
        <f>X79*(1+Inputs!$J$61)</f>
        <v>100.67903119642321</v>
      </c>
      <c r="Z79" s="105">
        <f>Y79*(1+Inputs!$J$61)</f>
        <v>110.10258851640842</v>
      </c>
      <c r="AA79" s="105">
        <f>Z79*(1+Inputs!$J$61)</f>
        <v>120.40819080154424</v>
      </c>
      <c r="AB79" s="105">
        <f>AA79*(1+Inputs!$J$61)</f>
        <v>131.67839746056876</v>
      </c>
      <c r="AC79" s="105">
        <f>AB79*(1+Inputs!$J$61)</f>
        <v>144.00349546287799</v>
      </c>
      <c r="AD79" s="105">
        <f>AC79*(1+Inputs!$J$61)</f>
        <v>157.48222263820335</v>
      </c>
      <c r="AE79" s="105">
        <f>AD79*(1+Inputs!$J$61)</f>
        <v>172.22255867713918</v>
      </c>
      <c r="AF79" s="105">
        <f>AE79*(1+Inputs!$J$61)</f>
        <v>188.34259016931938</v>
      </c>
      <c r="AG79" s="105">
        <f>AF79*(1+Inputs!$J$61)</f>
        <v>205.97145660916766</v>
      </c>
      <c r="AH79" s="105">
        <f>AG79*(1+Inputs!$J$61)</f>
        <v>225.25038494778573</v>
      </c>
      <c r="AI79" s="105">
        <f>AH79*(1+Inputs!$J$61)</f>
        <v>246.33382097889844</v>
      </c>
      <c r="AJ79" s="105">
        <f>AI79*(1+Inputs!$J$61)</f>
        <v>269.39066662252333</v>
      </c>
      <c r="AK79" s="105">
        <f>AJ79*(1+Inputs!$J$61)</f>
        <v>294.60563301839147</v>
      </c>
      <c r="AL79" s="105">
        <f>AK79*(1+Inputs!$J$61)</f>
        <v>322.18072026891286</v>
      </c>
    </row>
    <row r="80" spans="4:41">
      <c r="D80" s="7" t="s">
        <v>423</v>
      </c>
      <c r="E80" s="16" t="s">
        <v>118</v>
      </c>
      <c r="O80">
        <f>Inputs!I59</f>
        <v>0</v>
      </c>
      <c r="P80">
        <f>Inputs!J59</f>
        <v>0</v>
      </c>
      <c r="Q80" s="105">
        <f>P80*(1+Inputs!$J$61)</f>
        <v>0</v>
      </c>
      <c r="R80" s="105">
        <f>Q80*(1+Inputs!$J$61)</f>
        <v>0</v>
      </c>
      <c r="S80" s="105">
        <f>R80*(1+Inputs!$J$61)</f>
        <v>0</v>
      </c>
      <c r="T80" s="105">
        <f>S80*(1+Inputs!$J$61)</f>
        <v>0</v>
      </c>
      <c r="U80" s="105">
        <f>T80*(1+Inputs!$J$61)</f>
        <v>0</v>
      </c>
      <c r="V80" s="105">
        <f>U80*(1+Inputs!$J$61)</f>
        <v>0</v>
      </c>
      <c r="W80" s="105">
        <f>V80*(1+Inputs!$J$61)</f>
        <v>0</v>
      </c>
      <c r="X80" s="105">
        <f>W80*(1+Inputs!$J$61)</f>
        <v>0</v>
      </c>
      <c r="Y80" s="105">
        <f>X80*(1+Inputs!$J$61)</f>
        <v>0</v>
      </c>
      <c r="Z80" s="105">
        <f>Y80*(1+Inputs!$J$61)</f>
        <v>0</v>
      </c>
      <c r="AA80" s="105">
        <f>Z80*(1+Inputs!$J$61)</f>
        <v>0</v>
      </c>
      <c r="AB80" s="105">
        <f>Inputs!E190</f>
        <v>11.33</v>
      </c>
      <c r="AC80" s="105">
        <f>AB80*(1+Inputs!$J$61)</f>
        <v>12.390488</v>
      </c>
      <c r="AD80" s="105">
        <f>AC80*(1+Inputs!$J$61)</f>
        <v>13.550237676799998</v>
      </c>
      <c r="AE80" s="105">
        <f>AD80*(1+Inputs!$J$61)</f>
        <v>14.818539923348476</v>
      </c>
      <c r="AF80" s="105">
        <f>AE80*(1+Inputs!$J$61)</f>
        <v>16.205555260173892</v>
      </c>
      <c r="AG80" s="105">
        <f>AF80*(1+Inputs!$J$61)</f>
        <v>17.722395232526168</v>
      </c>
      <c r="AH80" s="105">
        <f>AG80*(1+Inputs!$J$61)</f>
        <v>19.381211426290616</v>
      </c>
      <c r="AI80" s="105">
        <f>AH80*(1+Inputs!$J$61)</f>
        <v>21.195292815791415</v>
      </c>
      <c r="AJ80" s="105">
        <f>AI80*(1+Inputs!$J$61)</f>
        <v>23.179172223349489</v>
      </c>
      <c r="AK80" s="105">
        <f>AJ80*(1+Inputs!$J$61)</f>
        <v>25.348742743454999</v>
      </c>
      <c r="AL80" s="105">
        <f>AK80*(1+Inputs!$J$61)</f>
        <v>27.721385064242384</v>
      </c>
    </row>
    <row r="81" spans="4:40">
      <c r="D81" s="7" t="s">
        <v>401</v>
      </c>
      <c r="E81" s="16" t="s">
        <v>246</v>
      </c>
      <c r="K81">
        <f>(1-Inputs!E24)*'Initiative 2 Model'!L81</f>
        <v>1767200000</v>
      </c>
      <c r="L81">
        <f>(1-Inputs!F24)*'Initiative 2 Model'!M81</f>
        <v>1880000000</v>
      </c>
      <c r="M81">
        <f>Inputs!G27</f>
        <v>2000000000</v>
      </c>
      <c r="N81">
        <f>M81*(1+Inputs!H24)</f>
        <v>2120000000</v>
      </c>
      <c r="O81">
        <f>N81*(1+Inputs!I24)</f>
        <v>2247200000</v>
      </c>
      <c r="P81">
        <f>O81*(1+Inputs!$J$24)</f>
        <v>2382032000</v>
      </c>
      <c r="Q81">
        <f>P81*(1+Inputs!$J$24)</f>
        <v>2524953920</v>
      </c>
      <c r="R81">
        <f>Q81*(1+Inputs!$J$24)</f>
        <v>2676451155.2000003</v>
      </c>
      <c r="S81">
        <f>R81*(1+Inputs!$J$24)</f>
        <v>2837038224.5120006</v>
      </c>
      <c r="T81">
        <f>S81*(1+Inputs!$J$24)</f>
        <v>3007260517.9827209</v>
      </c>
      <c r="U81">
        <f>T81*(1+Inputs!$J$24)</f>
        <v>3187696149.0616841</v>
      </c>
      <c r="V81">
        <f>U81*(1+Inputs!$J$24)</f>
        <v>3378957918.0053854</v>
      </c>
      <c r="W81">
        <f>V81*(1+Inputs!$J$24)</f>
        <v>3581695393.0857086</v>
      </c>
      <c r="X81">
        <f>W81*(1+Inputs!$J$24)</f>
        <v>3796597116.6708512</v>
      </c>
      <c r="Y81">
        <f>X81*(1+Inputs!$J$24)</f>
        <v>4024392943.6711025</v>
      </c>
      <c r="Z81">
        <f>Y81*(1+Inputs!$J$24)</f>
        <v>4265856520.291369</v>
      </c>
      <c r="AA81">
        <f>Z81*(1+Inputs!$J$24)</f>
        <v>4521807911.5088511</v>
      </c>
      <c r="AB81">
        <f>AA81*(1+Inputs!$J$24)</f>
        <v>4793116386.1993828</v>
      </c>
      <c r="AC81">
        <f>AB81*(1+Inputs!$J$24)</f>
        <v>5080703369.3713465</v>
      </c>
      <c r="AD81">
        <f>AC81*(1+Inputs!$J$24)</f>
        <v>5385545571.5336275</v>
      </c>
      <c r="AE81">
        <f>AD81*(1+Inputs!$J$24)</f>
        <v>5708678305.8256454</v>
      </c>
      <c r="AF81">
        <f>AE81*(1+Inputs!$J$24)</f>
        <v>6051199004.1751842</v>
      </c>
      <c r="AG81">
        <f>AF81*(1+Inputs!$J$24)</f>
        <v>6414270944.4256954</v>
      </c>
      <c r="AH81">
        <f>AG81*(1+Inputs!$J$24)</f>
        <v>6799127201.0912371</v>
      </c>
      <c r="AI81">
        <f>AH81*(1+Inputs!$J$24)</f>
        <v>7207074833.1567116</v>
      </c>
      <c r="AJ81">
        <f>AI81*(1+Inputs!$J$24)</f>
        <v>7639499323.1461143</v>
      </c>
      <c r="AK81">
        <f>AJ81*(1+Inputs!$J$24)</f>
        <v>8097869282.5348816</v>
      </c>
      <c r="AL81">
        <f>AK81*(1+Inputs!$J$24)</f>
        <v>8583741439.4869747</v>
      </c>
    </row>
    <row r="83" spans="4:40" ht="24" thickBot="1">
      <c r="D83" s="57" t="s">
        <v>197</v>
      </c>
    </row>
    <row r="84" spans="4:40" ht="18">
      <c r="D84" s="15" t="s">
        <v>143</v>
      </c>
    </row>
    <row r="85" spans="4:40">
      <c r="D85" t="s">
        <v>190</v>
      </c>
      <c r="E85" s="16" t="s">
        <v>211</v>
      </c>
      <c r="K85" s="69">
        <f>SUM(K86:K90)</f>
        <v>4164940</v>
      </c>
      <c r="L85" s="69">
        <f t="shared" ref="L85:AK85" si="38">SUM(L86:L90)</f>
        <v>4195578.0786803216</v>
      </c>
      <c r="M85" s="69">
        <f t="shared" si="38"/>
        <v>4514988.1311923796</v>
      </c>
      <c r="N85" s="69">
        <f t="shared" si="38"/>
        <v>11125687.278505856</v>
      </c>
      <c r="O85" s="69">
        <f t="shared" si="38"/>
        <v>8306489.7706249347</v>
      </c>
      <c r="P85" s="69">
        <f t="shared" si="38"/>
        <v>9009063.5580973048</v>
      </c>
      <c r="Q85" s="69">
        <f t="shared" si="38"/>
        <v>11589184.927948015</v>
      </c>
      <c r="R85" s="69">
        <f t="shared" si="38"/>
        <v>12673932.637203947</v>
      </c>
      <c r="S85" s="69">
        <f t="shared" si="38"/>
        <v>16494339.703021273</v>
      </c>
      <c r="T85" s="69">
        <f t="shared" si="38"/>
        <v>18038209.899224065</v>
      </c>
      <c r="U85" s="69">
        <f t="shared" si="38"/>
        <v>19726586.345791433</v>
      </c>
      <c r="V85" s="69">
        <f t="shared" si="38"/>
        <v>21572994.827757511</v>
      </c>
      <c r="W85" s="69">
        <f t="shared" si="38"/>
        <v>23592227.143635605</v>
      </c>
      <c r="X85" s="69">
        <f t="shared" si="38"/>
        <v>25800459.604279902</v>
      </c>
      <c r="Y85" s="69">
        <f t="shared" si="38"/>
        <v>28215382.623240493</v>
      </c>
      <c r="Z85" s="69">
        <f t="shared" si="38"/>
        <v>30856342.436775804</v>
      </c>
      <c r="AA85" s="69">
        <f t="shared" si="38"/>
        <v>33744496.088858008</v>
      </c>
      <c r="AB85" s="69">
        <f t="shared" si="38"/>
        <v>36902980.92277512</v>
      </c>
      <c r="AC85" s="69">
        <f t="shared" si="38"/>
        <v>47036126.398816466</v>
      </c>
      <c r="AD85" s="69">
        <f t="shared" si="38"/>
        <v>50595936.936010182</v>
      </c>
      <c r="AE85" s="69">
        <f t="shared" si="38"/>
        <v>54438379.485861078</v>
      </c>
      <c r="AF85" s="69">
        <f t="shared" si="38"/>
        <v>58586874.429536462</v>
      </c>
      <c r="AG85" s="69">
        <f t="shared" si="38"/>
        <v>63066852.257367782</v>
      </c>
      <c r="AH85" s="69">
        <f t="shared" si="38"/>
        <v>67905930.792757705</v>
      </c>
      <c r="AI85" s="69">
        <f t="shared" si="38"/>
        <v>73134108.348906159</v>
      </c>
      <c r="AJ85" s="69">
        <f t="shared" si="38"/>
        <v>78783974.270346895</v>
      </c>
      <c r="AK85" s="69">
        <f t="shared" si="38"/>
        <v>84890938.444833443</v>
      </c>
      <c r="AL85" s="69">
        <f>SUM(AL86:AL90)</f>
        <v>91493481.517018884</v>
      </c>
    </row>
    <row r="86" spans="4:40">
      <c r="D86" t="s">
        <v>189</v>
      </c>
      <c r="E86" s="16" t="s">
        <v>211</v>
      </c>
      <c r="K86" s="65">
        <f>K27*K71</f>
        <v>3746323</v>
      </c>
      <c r="L86" s="65">
        <f t="shared" ref="L86:AK86" si="39">L27*L71</f>
        <v>3763296.7631000001</v>
      </c>
      <c r="M86" s="65">
        <f t="shared" si="39"/>
        <v>4022098.7544460809</v>
      </c>
      <c r="N86" s="65">
        <f t="shared" si="39"/>
        <v>7623200.1314147841</v>
      </c>
      <c r="O86" s="65">
        <f t="shared" si="39"/>
        <v>0</v>
      </c>
      <c r="P86" s="65">
        <f t="shared" si="39"/>
        <v>0</v>
      </c>
      <c r="Q86" s="65">
        <f t="shared" si="39"/>
        <v>0</v>
      </c>
      <c r="R86" s="65">
        <f t="shared" si="39"/>
        <v>0</v>
      </c>
      <c r="S86" s="65">
        <f t="shared" si="39"/>
        <v>0</v>
      </c>
      <c r="T86" s="65">
        <f t="shared" si="39"/>
        <v>0</v>
      </c>
      <c r="U86" s="65">
        <f t="shared" si="39"/>
        <v>0</v>
      </c>
      <c r="V86" s="65">
        <f t="shared" si="39"/>
        <v>0</v>
      </c>
      <c r="W86" s="65">
        <f t="shared" si="39"/>
        <v>0</v>
      </c>
      <c r="X86" s="65">
        <f t="shared" si="39"/>
        <v>0</v>
      </c>
      <c r="Y86" s="65">
        <f t="shared" si="39"/>
        <v>0</v>
      </c>
      <c r="Z86" s="65">
        <f t="shared" si="39"/>
        <v>0</v>
      </c>
      <c r="AA86" s="65">
        <f t="shared" si="39"/>
        <v>0</v>
      </c>
      <c r="AB86" s="65">
        <f t="shared" si="39"/>
        <v>0</v>
      </c>
      <c r="AC86" s="65">
        <f t="shared" si="39"/>
        <v>25082467.075461637</v>
      </c>
      <c r="AD86" s="65">
        <f t="shared" si="39"/>
        <v>26587415.099989336</v>
      </c>
      <c r="AE86" s="65">
        <f t="shared" si="39"/>
        <v>28182660.005988695</v>
      </c>
      <c r="AF86" s="65">
        <f t="shared" si="39"/>
        <v>29873619.606348019</v>
      </c>
      <c r="AG86" s="65">
        <f t="shared" si="39"/>
        <v>31666036.782728903</v>
      </c>
      <c r="AH86" s="65">
        <f t="shared" si="39"/>
        <v>33565998.989692636</v>
      </c>
      <c r="AI86" s="65">
        <f t="shared" si="39"/>
        <v>35579958.929074198</v>
      </c>
      <c r="AJ86" s="65">
        <f t="shared" si="39"/>
        <v>37714756.464818656</v>
      </c>
      <c r="AK86" s="65">
        <f t="shared" si="39"/>
        <v>39977641.852707773</v>
      </c>
      <c r="AL86" s="65">
        <f>AL27*AL71</f>
        <v>42376300.363870248</v>
      </c>
    </row>
    <row r="87" spans="4:40">
      <c r="D87" t="s">
        <v>144</v>
      </c>
      <c r="E87" s="16" t="s">
        <v>211</v>
      </c>
      <c r="K87" s="65">
        <f>K28*K74</f>
        <v>418617</v>
      </c>
      <c r="L87" s="65">
        <f t="shared" ref="L87:AK87" si="40">L28*L74</f>
        <v>432281.31558032165</v>
      </c>
      <c r="M87" s="65">
        <f t="shared" si="40"/>
        <v>492889.37674629915</v>
      </c>
      <c r="N87" s="65">
        <f t="shared" si="40"/>
        <v>3502487.1470910721</v>
      </c>
      <c r="O87" s="65">
        <f t="shared" si="40"/>
        <v>8306489.7706249347</v>
      </c>
      <c r="P87" s="65">
        <f t="shared" si="40"/>
        <v>8784496.6291618291</v>
      </c>
      <c r="Q87" s="65">
        <f t="shared" si="40"/>
        <v>11343598.534464179</v>
      </c>
      <c r="R87" s="65">
        <f t="shared" si="40"/>
        <v>12405359.357290024</v>
      </c>
      <c r="S87" s="65">
        <f t="shared" si="40"/>
        <v>16200627.964107407</v>
      </c>
      <c r="T87" s="65">
        <f t="shared" si="40"/>
        <v>17717006.74154786</v>
      </c>
      <c r="U87" s="65">
        <f t="shared" si="40"/>
        <v>19375318.572556738</v>
      </c>
      <c r="V87" s="65">
        <f t="shared" si="40"/>
        <v>21188848.390948046</v>
      </c>
      <c r="W87" s="65">
        <f t="shared" si="40"/>
        <v>23172124.600340776</v>
      </c>
      <c r="X87" s="65">
        <f t="shared" si="40"/>
        <v>25341035.462932676</v>
      </c>
      <c r="Y87" s="65">
        <f t="shared" si="40"/>
        <v>27712956.382263169</v>
      </c>
      <c r="Z87" s="65">
        <f t="shared" si="40"/>
        <v>30306889.099642999</v>
      </c>
      <c r="AA87" s="65">
        <f t="shared" si="40"/>
        <v>33143613.919369578</v>
      </c>
      <c r="AB87" s="65">
        <f t="shared" si="40"/>
        <v>36245856.182222567</v>
      </c>
      <c r="AC87" s="65">
        <f t="shared" si="40"/>
        <v>21235027.707086559</v>
      </c>
      <c r="AD87" s="65">
        <f t="shared" si="40"/>
        <v>23222626.30046986</v>
      </c>
      <c r="AE87" s="65">
        <f t="shared" si="40"/>
        <v>25396264.122193839</v>
      </c>
      <c r="AF87" s="65">
        <f t="shared" si="40"/>
        <v>27773354.444031179</v>
      </c>
      <c r="AG87" s="65">
        <f t="shared" si="40"/>
        <v>30372940.419992499</v>
      </c>
      <c r="AH87" s="65">
        <f t="shared" si="40"/>
        <v>33215847.643303793</v>
      </c>
      <c r="AI87" s="65">
        <f t="shared" si="40"/>
        <v>36324850.982717022</v>
      </c>
      <c r="AJ87" s="65">
        <f t="shared" si="40"/>
        <v>39724857.034699336</v>
      </c>
      <c r="AK87" s="65">
        <f t="shared" si="40"/>
        <v>43443103.653147191</v>
      </c>
      <c r="AL87" s="65">
        <f>AL28*AL74</f>
        <v>47509378.155081764</v>
      </c>
      <c r="AM87" s="65">
        <f>SUM(M87:AL87)</f>
        <v>623457848.59403312</v>
      </c>
    </row>
    <row r="88" spans="4:40">
      <c r="D88" t="s">
        <v>125</v>
      </c>
      <c r="E88" s="16" t="s">
        <v>211</v>
      </c>
      <c r="K88" s="65">
        <f>K78*K29</f>
        <v>0</v>
      </c>
      <c r="L88" s="65">
        <f t="shared" ref="L88:AK88" si="41">L78*L29</f>
        <v>0</v>
      </c>
      <c r="M88" s="65">
        <f t="shared" si="41"/>
        <v>0</v>
      </c>
      <c r="N88" s="65">
        <f t="shared" si="41"/>
        <v>0</v>
      </c>
      <c r="O88" s="65">
        <f t="shared" si="41"/>
        <v>0</v>
      </c>
      <c r="P88" s="65">
        <f t="shared" si="41"/>
        <v>224566.92893547512</v>
      </c>
      <c r="Q88" s="65">
        <f t="shared" si="41"/>
        <v>245586.39348383556</v>
      </c>
      <c r="R88" s="65">
        <f t="shared" si="41"/>
        <v>268573.27991392254</v>
      </c>
      <c r="S88" s="65">
        <f t="shared" si="41"/>
        <v>293711.7389138657</v>
      </c>
      <c r="T88" s="65">
        <f t="shared" si="41"/>
        <v>321203.15767620347</v>
      </c>
      <c r="U88" s="65">
        <f t="shared" si="41"/>
        <v>351267.77323469607</v>
      </c>
      <c r="V88" s="65">
        <f t="shared" si="41"/>
        <v>384146.4368094636</v>
      </c>
      <c r="W88" s="65">
        <f t="shared" si="41"/>
        <v>420102.54329482937</v>
      </c>
      <c r="X88" s="65">
        <f t="shared" si="41"/>
        <v>459424.14134722535</v>
      </c>
      <c r="Y88" s="65">
        <f t="shared" si="41"/>
        <v>502426.24097732559</v>
      </c>
      <c r="Z88" s="65">
        <f t="shared" si="41"/>
        <v>549453.33713280328</v>
      </c>
      <c r="AA88" s="65">
        <f t="shared" si="41"/>
        <v>600882.16948843363</v>
      </c>
      <c r="AB88" s="65">
        <f t="shared" si="41"/>
        <v>657124.740552551</v>
      </c>
      <c r="AC88" s="65">
        <f t="shared" si="41"/>
        <v>718631.61626826972</v>
      </c>
      <c r="AD88" s="65">
        <f t="shared" si="41"/>
        <v>785895.53555097955</v>
      </c>
      <c r="AE88" s="65">
        <f t="shared" si="41"/>
        <v>859455.35767855123</v>
      </c>
      <c r="AF88" s="65">
        <f t="shared" si="41"/>
        <v>939900.37915726344</v>
      </c>
      <c r="AG88" s="65">
        <f t="shared" si="41"/>
        <v>1027875.0546463833</v>
      </c>
      <c r="AH88" s="65">
        <f t="shared" si="41"/>
        <v>1124084.1597612845</v>
      </c>
      <c r="AI88" s="65">
        <f t="shared" si="41"/>
        <v>1229298.4371149407</v>
      </c>
      <c r="AJ88" s="65">
        <f t="shared" si="41"/>
        <v>1344360.770828899</v>
      </c>
      <c r="AK88" s="65">
        <f t="shared" si="41"/>
        <v>1470192.9389784839</v>
      </c>
      <c r="AL88" s="65">
        <f>AL78*AL29</f>
        <v>1607802.9980668698</v>
      </c>
      <c r="AM88" s="65">
        <f t="shared" ref="AM88:AM90" si="42">SUM(M88:AL88)</f>
        <v>16385966.129812555</v>
      </c>
    </row>
    <row r="89" spans="4:40">
      <c r="D89" t="s">
        <v>154</v>
      </c>
      <c r="E89" s="16" t="s">
        <v>211</v>
      </c>
      <c r="K89" s="65">
        <f>K30*K79</f>
        <v>0</v>
      </c>
      <c r="L89" s="65">
        <f t="shared" ref="L89:AK89" si="43">L30*L79</f>
        <v>0</v>
      </c>
      <c r="M89" s="65">
        <f t="shared" si="43"/>
        <v>0</v>
      </c>
      <c r="N89" s="65">
        <f t="shared" si="43"/>
        <v>0</v>
      </c>
      <c r="O89" s="65">
        <f t="shared" si="43"/>
        <v>0</v>
      </c>
      <c r="P89" s="65">
        <f t="shared" si="43"/>
        <v>0</v>
      </c>
      <c r="Q89" s="65">
        <f t="shared" si="43"/>
        <v>0</v>
      </c>
      <c r="R89" s="65">
        <f t="shared" si="43"/>
        <v>0</v>
      </c>
      <c r="S89" s="65">
        <f t="shared" si="43"/>
        <v>0</v>
      </c>
      <c r="T89" s="65">
        <f t="shared" si="43"/>
        <v>0</v>
      </c>
      <c r="U89" s="65">
        <f t="shared" si="43"/>
        <v>0</v>
      </c>
      <c r="V89" s="65">
        <f t="shared" si="43"/>
        <v>0</v>
      </c>
      <c r="W89" s="65">
        <f t="shared" si="43"/>
        <v>0</v>
      </c>
      <c r="X89" s="65">
        <f t="shared" si="43"/>
        <v>0</v>
      </c>
      <c r="Y89" s="65">
        <f t="shared" si="43"/>
        <v>0</v>
      </c>
      <c r="Z89" s="65">
        <f t="shared" si="43"/>
        <v>0</v>
      </c>
      <c r="AA89" s="65">
        <f t="shared" si="43"/>
        <v>0</v>
      </c>
      <c r="AB89" s="65">
        <f t="shared" si="43"/>
        <v>0</v>
      </c>
      <c r="AC89" s="65">
        <f t="shared" si="43"/>
        <v>0</v>
      </c>
      <c r="AD89" s="65">
        <f t="shared" si="43"/>
        <v>0</v>
      </c>
      <c r="AE89" s="65">
        <f t="shared" si="43"/>
        <v>0</v>
      </c>
      <c r="AF89" s="65">
        <f t="shared" si="43"/>
        <v>0</v>
      </c>
      <c r="AG89" s="65">
        <f t="shared" si="43"/>
        <v>0</v>
      </c>
      <c r="AH89" s="65">
        <f t="shared" si="43"/>
        <v>0</v>
      </c>
      <c r="AI89" s="65">
        <f t="shared" si="43"/>
        <v>0</v>
      </c>
      <c r="AJ89" s="65">
        <f t="shared" si="43"/>
        <v>0</v>
      </c>
      <c r="AK89" s="65">
        <f t="shared" si="43"/>
        <v>0</v>
      </c>
      <c r="AL89" s="65">
        <f>AL30*AL79</f>
        <v>0</v>
      </c>
      <c r="AM89" s="65">
        <f t="shared" si="42"/>
        <v>0</v>
      </c>
    </row>
    <row r="90" spans="4:40">
      <c r="D90" t="s">
        <v>423</v>
      </c>
      <c r="E90" s="16" t="s">
        <v>211</v>
      </c>
      <c r="K90" s="65">
        <f>K80*K31</f>
        <v>0</v>
      </c>
      <c r="L90" s="65">
        <f t="shared" ref="L90:AK90" si="44">L80*L31</f>
        <v>0</v>
      </c>
      <c r="M90" s="65">
        <f t="shared" si="44"/>
        <v>0</v>
      </c>
      <c r="N90" s="65">
        <f t="shared" si="44"/>
        <v>0</v>
      </c>
      <c r="O90" s="65">
        <f t="shared" si="44"/>
        <v>0</v>
      </c>
      <c r="P90" s="65">
        <f t="shared" si="44"/>
        <v>0</v>
      </c>
      <c r="Q90" s="65">
        <f t="shared" si="44"/>
        <v>0</v>
      </c>
      <c r="R90" s="65">
        <f t="shared" si="44"/>
        <v>0</v>
      </c>
      <c r="S90" s="65">
        <f t="shared" si="44"/>
        <v>0</v>
      </c>
      <c r="T90" s="65">
        <f t="shared" si="44"/>
        <v>0</v>
      </c>
      <c r="U90" s="65">
        <f t="shared" si="44"/>
        <v>0</v>
      </c>
      <c r="V90" s="65">
        <f t="shared" si="44"/>
        <v>0</v>
      </c>
      <c r="W90" s="65">
        <f t="shared" si="44"/>
        <v>0</v>
      </c>
      <c r="X90" s="65">
        <f t="shared" si="44"/>
        <v>0</v>
      </c>
      <c r="Y90" s="65">
        <f t="shared" si="44"/>
        <v>0</v>
      </c>
      <c r="Z90" s="65">
        <f t="shared" si="44"/>
        <v>0</v>
      </c>
      <c r="AA90" s="65">
        <f t="shared" si="44"/>
        <v>0</v>
      </c>
      <c r="AB90" s="65">
        <f t="shared" si="44"/>
        <v>0</v>
      </c>
      <c r="AC90" s="65">
        <f t="shared" si="44"/>
        <v>0</v>
      </c>
      <c r="AD90" s="65">
        <f t="shared" si="44"/>
        <v>0</v>
      </c>
      <c r="AE90" s="65">
        <f t="shared" si="44"/>
        <v>0</v>
      </c>
      <c r="AF90" s="65">
        <f t="shared" si="44"/>
        <v>0</v>
      </c>
      <c r="AG90" s="65">
        <f t="shared" si="44"/>
        <v>0</v>
      </c>
      <c r="AH90" s="65">
        <f t="shared" si="44"/>
        <v>0</v>
      </c>
      <c r="AI90" s="65">
        <f t="shared" si="44"/>
        <v>0</v>
      </c>
      <c r="AJ90" s="65">
        <f t="shared" si="44"/>
        <v>0</v>
      </c>
      <c r="AK90" s="65">
        <f t="shared" si="44"/>
        <v>0</v>
      </c>
      <c r="AL90" s="65">
        <f>AL80*AL31</f>
        <v>0</v>
      </c>
      <c r="AM90" s="65">
        <f t="shared" si="42"/>
        <v>0</v>
      </c>
      <c r="AN90" s="65">
        <f>SUM(AM87:AM90)</f>
        <v>639843814.72384572</v>
      </c>
    </row>
    <row r="91" spans="4:40">
      <c r="D91" t="s">
        <v>528</v>
      </c>
      <c r="E91" s="16" t="s">
        <v>211</v>
      </c>
      <c r="K91" s="65">
        <f>SUM(K87:K90)</f>
        <v>418617</v>
      </c>
      <c r="L91" s="65">
        <f t="shared" ref="L91:AL91" si="45">SUM(L87:L90)</f>
        <v>432281.31558032165</v>
      </c>
      <c r="M91" s="65">
        <f t="shared" si="45"/>
        <v>492889.37674629915</v>
      </c>
      <c r="N91" s="65">
        <f t="shared" si="45"/>
        <v>3502487.1470910721</v>
      </c>
      <c r="O91" s="65">
        <f t="shared" si="45"/>
        <v>8306489.7706249347</v>
      </c>
      <c r="P91" s="65">
        <f t="shared" si="45"/>
        <v>9009063.5580973048</v>
      </c>
      <c r="Q91" s="65">
        <f t="shared" si="45"/>
        <v>11589184.927948015</v>
      </c>
      <c r="R91" s="65">
        <f t="shared" si="45"/>
        <v>12673932.637203947</v>
      </c>
      <c r="S91" s="65">
        <f t="shared" si="45"/>
        <v>16494339.703021273</v>
      </c>
      <c r="T91" s="65">
        <f t="shared" si="45"/>
        <v>18038209.899224065</v>
      </c>
      <c r="U91" s="65">
        <f t="shared" si="45"/>
        <v>19726586.345791433</v>
      </c>
      <c r="V91" s="65">
        <f t="shared" si="45"/>
        <v>21572994.827757511</v>
      </c>
      <c r="W91" s="65">
        <f t="shared" si="45"/>
        <v>23592227.143635605</v>
      </c>
      <c r="X91" s="65">
        <f t="shared" si="45"/>
        <v>25800459.604279902</v>
      </c>
      <c r="Y91" s="65">
        <f t="shared" si="45"/>
        <v>28215382.623240493</v>
      </c>
      <c r="Z91" s="65">
        <f t="shared" si="45"/>
        <v>30856342.436775804</v>
      </c>
      <c r="AA91" s="65">
        <f t="shared" si="45"/>
        <v>33744496.088858008</v>
      </c>
      <c r="AB91" s="65">
        <f t="shared" si="45"/>
        <v>36902980.92277512</v>
      </c>
      <c r="AC91" s="65">
        <f t="shared" si="45"/>
        <v>21953659.323354829</v>
      </c>
      <c r="AD91" s="65">
        <f t="shared" si="45"/>
        <v>24008521.836020838</v>
      </c>
      <c r="AE91" s="65">
        <f t="shared" si="45"/>
        <v>26255719.479872391</v>
      </c>
      <c r="AF91" s="65">
        <f t="shared" si="45"/>
        <v>28713254.823188443</v>
      </c>
      <c r="AG91" s="65">
        <f t="shared" si="45"/>
        <v>31400815.474638883</v>
      </c>
      <c r="AH91" s="65">
        <f t="shared" si="45"/>
        <v>34339931.803065076</v>
      </c>
      <c r="AI91" s="65">
        <f t="shared" si="45"/>
        <v>37554149.419831961</v>
      </c>
      <c r="AJ91" s="65">
        <f t="shared" si="45"/>
        <v>41069217.805528238</v>
      </c>
      <c r="AK91" s="65">
        <f t="shared" si="45"/>
        <v>44913296.592125677</v>
      </c>
      <c r="AL91" s="65">
        <f t="shared" si="45"/>
        <v>49117181.153148636</v>
      </c>
      <c r="AM91" s="65"/>
      <c r="AN91" s="65"/>
    </row>
    <row r="92" spans="4:40" ht="18">
      <c r="D92" s="15" t="s">
        <v>212</v>
      </c>
      <c r="E92" s="16"/>
      <c r="K92" s="70">
        <f>SUM(K93:K96)</f>
        <v>3539306.375</v>
      </c>
      <c r="L92" s="70">
        <f t="shared" ref="L92:AK92" si="46">SUM(L93:L96)</f>
        <v>3615442.7379177581</v>
      </c>
      <c r="M92" s="70">
        <f t="shared" si="46"/>
        <v>4122346.3830767944</v>
      </c>
      <c r="N92" s="70">
        <f t="shared" si="46"/>
        <v>11283241.373082571</v>
      </c>
      <c r="O92" s="70">
        <f t="shared" si="46"/>
        <v>13379653.530326771</v>
      </c>
      <c r="P92" s="70">
        <f t="shared" si="46"/>
        <v>14631989.100765355</v>
      </c>
      <c r="Q92" s="70">
        <f t="shared" si="46"/>
        <v>18559175.457791578</v>
      </c>
      <c r="R92" s="70">
        <f t="shared" si="46"/>
        <v>20078256.246467352</v>
      </c>
      <c r="S92" s="70">
        <f t="shared" si="46"/>
        <v>25772655.80715774</v>
      </c>
      <c r="T92" s="70">
        <f t="shared" si="46"/>
        <v>27883194.69157258</v>
      </c>
      <c r="U92" s="70">
        <f t="shared" si="46"/>
        <v>30167439.261336971</v>
      </c>
      <c r="V92" s="70">
        <f t="shared" si="46"/>
        <v>32639764.949015327</v>
      </c>
      <c r="W92" s="70">
        <f t="shared" si="46"/>
        <v>35315743.937512942</v>
      </c>
      <c r="X92" s="70">
        <f t="shared" si="46"/>
        <v>38212245.421486251</v>
      </c>
      <c r="Y92" s="70">
        <f t="shared" si="46"/>
        <v>41347544.324621797</v>
      </c>
      <c r="Z92" s="70">
        <f t="shared" si="46"/>
        <v>44741439.190893903</v>
      </c>
      <c r="AA92" s="70">
        <f t="shared" si="46"/>
        <v>48415380.029330589</v>
      </c>
      <c r="AB92" s="70">
        <f t="shared" si="46"/>
        <v>52392606.958528303</v>
      </c>
      <c r="AC92" s="70">
        <f t="shared" si="46"/>
        <v>56698300.569616668</v>
      </c>
      <c r="AD92" s="70">
        <f t="shared" si="46"/>
        <v>61359745.005084746</v>
      </c>
      <c r="AE92" s="70">
        <f t="shared" si="46"/>
        <v>66406504.836382627</v>
      </c>
      <c r="AF92" s="70">
        <f t="shared" si="46"/>
        <v>71870616.916096941</v>
      </c>
      <c r="AG92" s="70">
        <f t="shared" si="46"/>
        <v>77786798.481407776</v>
      </c>
      <c r="AH92" s="70">
        <f t="shared" si="46"/>
        <v>84192672.895166889</v>
      </c>
      <c r="AI92" s="70">
        <f t="shared" si="46"/>
        <v>91129014.53004989</v>
      </c>
      <c r="AJ92" s="70">
        <f t="shared" si="46"/>
        <v>98640014.4306577</v>
      </c>
      <c r="AK92" s="70">
        <f t="shared" si="46"/>
        <v>106773568.52906939</v>
      </c>
      <c r="AL92" s="70">
        <f>SUM(AL93:AL96)</f>
        <v>115581590.3421609</v>
      </c>
    </row>
    <row r="93" spans="4:40">
      <c r="D93" s="7" t="s">
        <v>122</v>
      </c>
      <c r="E93" s="16" t="s">
        <v>211</v>
      </c>
      <c r="K93" s="65">
        <f>K47*K75</f>
        <v>634463.375</v>
      </c>
      <c r="L93" s="65">
        <f t="shared" ref="L93:AL94" si="47">L47*L75</f>
        <v>655173.25486669422</v>
      </c>
      <c r="M93" s="65">
        <f t="shared" si="47"/>
        <v>747031.91096420691</v>
      </c>
      <c r="N93" s="65">
        <f t="shared" si="47"/>
        <v>2044695.0793380849</v>
      </c>
      <c r="O93" s="65">
        <f t="shared" si="47"/>
        <v>2424596.8717793724</v>
      </c>
      <c r="P93" s="65">
        <f t="shared" si="47"/>
        <v>2651539.1389779216</v>
      </c>
      <c r="Q93" s="65">
        <f t="shared" si="47"/>
        <v>3406702.324642356</v>
      </c>
      <c r="R93" s="65">
        <f t="shared" si="47"/>
        <v>3725569.66222888</v>
      </c>
      <c r="S93" s="65">
        <f t="shared" si="47"/>
        <v>4843163.2425136184</v>
      </c>
      <c r="T93" s="65">
        <f t="shared" si="47"/>
        <v>5296483.3220128929</v>
      </c>
      <c r="U93" s="65">
        <f t="shared" si="47"/>
        <v>5792234.1609532991</v>
      </c>
      <c r="V93" s="65">
        <f t="shared" si="47"/>
        <v>6334387.278418527</v>
      </c>
      <c r="W93" s="65">
        <f t="shared" si="47"/>
        <v>6927285.9276785003</v>
      </c>
      <c r="X93" s="65">
        <f t="shared" si="47"/>
        <v>7575679.8905092077</v>
      </c>
      <c r="Y93" s="65">
        <f t="shared" si="47"/>
        <v>8284763.528260868</v>
      </c>
      <c r="Z93" s="65">
        <f t="shared" si="47"/>
        <v>9060217.3945060838</v>
      </c>
      <c r="AA93" s="65">
        <f t="shared" si="47"/>
        <v>9908253.7426318526</v>
      </c>
      <c r="AB93" s="65">
        <f t="shared" si="47"/>
        <v>10835666.292942192</v>
      </c>
      <c r="AC93" s="65">
        <f t="shared" si="47"/>
        <v>11849884.657961581</v>
      </c>
      <c r="AD93" s="65">
        <f t="shared" si="47"/>
        <v>12959033.861946784</v>
      </c>
      <c r="AE93" s="65">
        <f t="shared" si="47"/>
        <v>14171999.431425001</v>
      </c>
      <c r="AF93" s="65">
        <f t="shared" si="47"/>
        <v>15498498.578206381</v>
      </c>
      <c r="AG93" s="65">
        <f t="shared" si="47"/>
        <v>16949158.045126498</v>
      </c>
      <c r="AH93" s="65">
        <f t="shared" si="47"/>
        <v>18535599.238150336</v>
      </c>
      <c r="AI93" s="65">
        <f t="shared" si="47"/>
        <v>20270531.326841202</v>
      </c>
      <c r="AJ93" s="65">
        <f t="shared" si="47"/>
        <v>22167853.059033539</v>
      </c>
      <c r="AK93" s="65">
        <f t="shared" si="47"/>
        <v>24242764.105359074</v>
      </c>
      <c r="AL93" s="65">
        <f t="shared" si="47"/>
        <v>26511886.825620685</v>
      </c>
    </row>
    <row r="94" spans="4:40">
      <c r="D94" s="7" t="s">
        <v>123</v>
      </c>
      <c r="E94" s="16" t="s">
        <v>211</v>
      </c>
      <c r="K94" s="65">
        <f>K48*K76</f>
        <v>2857365</v>
      </c>
      <c r="L94" s="65">
        <f t="shared" si="47"/>
        <v>2911241.7266505295</v>
      </c>
      <c r="M94" s="65">
        <f t="shared" si="47"/>
        <v>3319412.7723986227</v>
      </c>
      <c r="N94" s="65">
        <f t="shared" si="47"/>
        <v>9085538.1977660321</v>
      </c>
      <c r="O94" s="65">
        <f t="shared" si="47"/>
        <v>10773619.849404017</v>
      </c>
      <c r="P94" s="65">
        <f t="shared" si="47"/>
        <v>11782030.667308232</v>
      </c>
      <c r="Q94" s="65">
        <f t="shared" si="47"/>
        <v>14935481.792706767</v>
      </c>
      <c r="R94" s="65">
        <f t="shared" si="47"/>
        <v>16115384.854330601</v>
      </c>
      <c r="S94" s="65">
        <f t="shared" si="47"/>
        <v>20669979.392816875</v>
      </c>
      <c r="T94" s="65">
        <f t="shared" si="47"/>
        <v>22302907.764849409</v>
      </c>
      <c r="U94" s="65">
        <f t="shared" si="47"/>
        <v>24064837.478272513</v>
      </c>
      <c r="V94" s="65">
        <f t="shared" si="47"/>
        <v>25965959.639056038</v>
      </c>
      <c r="W94" s="65">
        <f t="shared" si="47"/>
        <v>28017270.450541463</v>
      </c>
      <c r="X94" s="65">
        <f t="shared" si="47"/>
        <v>30230634.816134237</v>
      </c>
      <c r="Y94" s="65">
        <f t="shared" si="47"/>
        <v>32618854.966608841</v>
      </c>
      <c r="Z94" s="65">
        <f t="shared" si="47"/>
        <v>35195744.508970939</v>
      </c>
      <c r="AA94" s="65">
        <f t="shared" si="47"/>
        <v>37976208.325179636</v>
      </c>
      <c r="AB94" s="65">
        <f t="shared" si="47"/>
        <v>40976328.782868825</v>
      </c>
      <c r="AC94" s="65">
        <f t="shared" si="47"/>
        <v>44213458.756715462</v>
      </c>
      <c r="AD94" s="65">
        <f t="shared" si="47"/>
        <v>47706321.998495981</v>
      </c>
      <c r="AE94" s="65">
        <f t="shared" si="47"/>
        <v>51475121.436377153</v>
      </c>
      <c r="AF94" s="65">
        <f t="shared" si="47"/>
        <v>55541656.029850952</v>
      </c>
      <c r="AG94" s="65">
        <f t="shared" si="47"/>
        <v>59929446.856209174</v>
      </c>
      <c r="AH94" s="65">
        <f t="shared" si="47"/>
        <v>64663873.157849699</v>
      </c>
      <c r="AI94" s="65">
        <f t="shared" si="47"/>
        <v>69772319.137319818</v>
      </c>
      <c r="AJ94" s="65">
        <f t="shared" si="47"/>
        <v>75284332.349168092</v>
      </c>
      <c r="AK94" s="65">
        <f t="shared" si="47"/>
        <v>81231794.604752362</v>
      </c>
      <c r="AL94" s="65">
        <f t="shared" si="47"/>
        <v>87649106.37852779</v>
      </c>
    </row>
    <row r="95" spans="4:40">
      <c r="D95" s="63" t="s">
        <v>124</v>
      </c>
      <c r="E95" s="16" t="s">
        <v>211</v>
      </c>
      <c r="K95" s="65">
        <f>K77*K50</f>
        <v>47477.999999999993</v>
      </c>
      <c r="L95" s="65">
        <f t="shared" ref="L95:AL95" si="48">L77*L50</f>
        <v>49027.756400534403</v>
      </c>
      <c r="M95" s="65">
        <f t="shared" si="48"/>
        <v>55901.699713964757</v>
      </c>
      <c r="N95" s="65">
        <f t="shared" si="48"/>
        <v>153008.09597845364</v>
      </c>
      <c r="O95" s="65">
        <f t="shared" si="48"/>
        <v>181436.80914338207</v>
      </c>
      <c r="P95" s="65">
        <f t="shared" si="48"/>
        <v>198419.2944792026</v>
      </c>
      <c r="Q95" s="65">
        <f t="shared" si="48"/>
        <v>216991.34044245596</v>
      </c>
      <c r="R95" s="65">
        <f t="shared" si="48"/>
        <v>237301.7299078698</v>
      </c>
      <c r="S95" s="65">
        <f t="shared" si="48"/>
        <v>259513.17182724643</v>
      </c>
      <c r="T95" s="65">
        <f t="shared" si="48"/>
        <v>283803.60471027665</v>
      </c>
      <c r="U95" s="65">
        <f t="shared" si="48"/>
        <v>310367.62211115856</v>
      </c>
      <c r="V95" s="65">
        <f t="shared" si="48"/>
        <v>339418.03154076292</v>
      </c>
      <c r="W95" s="65">
        <f t="shared" si="48"/>
        <v>371187.55929297832</v>
      </c>
      <c r="X95" s="65">
        <f t="shared" si="48"/>
        <v>405930.7148428011</v>
      </c>
      <c r="Y95" s="65">
        <f t="shared" si="48"/>
        <v>443925.82975208719</v>
      </c>
      <c r="Z95" s="65">
        <f t="shared" si="48"/>
        <v>485477.28741688252</v>
      </c>
      <c r="AA95" s="65">
        <f t="shared" si="48"/>
        <v>530917.96151910268</v>
      </c>
      <c r="AB95" s="65">
        <f t="shared" si="48"/>
        <v>580611.88271729066</v>
      </c>
      <c r="AC95" s="65">
        <f t="shared" si="48"/>
        <v>634957.15493962902</v>
      </c>
      <c r="AD95" s="65">
        <f t="shared" si="48"/>
        <v>694389.14464197832</v>
      </c>
      <c r="AE95" s="65">
        <f t="shared" si="48"/>
        <v>759383.96858046739</v>
      </c>
      <c r="AF95" s="65">
        <f t="shared" si="48"/>
        <v>830462.30803959921</v>
      </c>
      <c r="AG95" s="65">
        <f t="shared" si="48"/>
        <v>908193.58007210563</v>
      </c>
      <c r="AH95" s="65">
        <f t="shared" si="48"/>
        <v>993200.49916685466</v>
      </c>
      <c r="AI95" s="65">
        <f t="shared" si="48"/>
        <v>1086164.0658888721</v>
      </c>
      <c r="AJ95" s="65">
        <f t="shared" si="48"/>
        <v>1187829.0224560704</v>
      </c>
      <c r="AK95" s="65">
        <f t="shared" si="48"/>
        <v>1299009.8189579586</v>
      </c>
      <c r="AL95" s="65">
        <f t="shared" si="48"/>
        <v>1420597.1380124234</v>
      </c>
    </row>
    <row r="96" spans="4:40">
      <c r="D96" s="7" t="s">
        <v>233</v>
      </c>
      <c r="E96" s="16" t="s">
        <v>211</v>
      </c>
      <c r="W96"/>
      <c r="AB96"/>
    </row>
    <row r="97" spans="4:40" ht="18">
      <c r="D97" s="15" t="s">
        <v>234</v>
      </c>
      <c r="K97" s="69">
        <f>SUM(K98:K99)</f>
        <v>1742558.4</v>
      </c>
      <c r="L97" s="69">
        <f t="shared" ref="L97:AK97" si="49">SUM(L98:L99)</f>
        <v>1750689.2990336004</v>
      </c>
      <c r="M97" s="69">
        <f t="shared" si="49"/>
        <v>1936490.0635776964</v>
      </c>
      <c r="N97" s="69">
        <f t="shared" si="49"/>
        <v>5423644.0497468477</v>
      </c>
      <c r="O97" s="69">
        <f t="shared" si="49"/>
        <v>6896688.4326810278</v>
      </c>
      <c r="P97" s="69">
        <f t="shared" si="49"/>
        <v>7310489.7386418898</v>
      </c>
      <c r="Q97" s="69">
        <f t="shared" si="49"/>
        <v>10648675.065098453</v>
      </c>
      <c r="R97" s="69">
        <f t="shared" si="49"/>
        <v>11287595.569004361</v>
      </c>
      <c r="S97" s="69">
        <f t="shared" si="49"/>
        <v>16096228.569996506</v>
      </c>
      <c r="T97" s="69">
        <f t="shared" si="49"/>
        <v>17062002.284196295</v>
      </c>
      <c r="U97" s="69">
        <f t="shared" si="49"/>
        <v>18085722.421248075</v>
      </c>
      <c r="V97" s="69">
        <f t="shared" si="49"/>
        <v>19170865.766522963</v>
      </c>
      <c r="W97" s="69">
        <f t="shared" si="49"/>
        <v>20321117.712514341</v>
      </c>
      <c r="X97" s="69">
        <f t="shared" si="49"/>
        <v>21540384.775265198</v>
      </c>
      <c r="Y97" s="69">
        <f t="shared" si="49"/>
        <v>22832807.861781113</v>
      </c>
      <c r="Z97" s="69">
        <f t="shared" si="49"/>
        <v>24202776.33348798</v>
      </c>
      <c r="AA97" s="69">
        <f t="shared" si="49"/>
        <v>25654942.913497262</v>
      </c>
      <c r="AB97" s="69">
        <f t="shared" si="49"/>
        <v>27194239.4883071</v>
      </c>
      <c r="AC97" s="69">
        <f t="shared" si="49"/>
        <v>28825893.857605524</v>
      </c>
      <c r="AD97" s="69">
        <f t="shared" si="49"/>
        <v>30555447.489061855</v>
      </c>
      <c r="AE97" s="69">
        <f t="shared" si="49"/>
        <v>32388774.338405572</v>
      </c>
      <c r="AF97" s="69">
        <f t="shared" si="49"/>
        <v>34332100.798709907</v>
      </c>
      <c r="AG97" s="69">
        <f t="shared" si="49"/>
        <v>36392026.846632503</v>
      </c>
      <c r="AH97" s="69">
        <f t="shared" si="49"/>
        <v>38575548.45743046</v>
      </c>
      <c r="AI97" s="69">
        <f t="shared" si="49"/>
        <v>40890081.364876293</v>
      </c>
      <c r="AJ97" s="69">
        <f t="shared" si="49"/>
        <v>43343486.246768862</v>
      </c>
      <c r="AK97" s="69">
        <f t="shared" si="49"/>
        <v>45944095.421575002</v>
      </c>
      <c r="AL97" s="69">
        <f>SUM(AL98:AL99)</f>
        <v>48700741.146869503</v>
      </c>
    </row>
    <row r="98" spans="4:40">
      <c r="D98" s="7" t="s">
        <v>236</v>
      </c>
      <c r="E98" s="16" t="s">
        <v>211</v>
      </c>
      <c r="K98" s="65">
        <f t="shared" ref="K98:AK98" si="50">K59*K72</f>
        <v>1501269.7999999998</v>
      </c>
      <c r="L98" s="65">
        <f t="shared" si="50"/>
        <v>1508307.4736136002</v>
      </c>
      <c r="M98" s="65">
        <f t="shared" si="50"/>
        <v>1667172.0942583524</v>
      </c>
      <c r="N98" s="65">
        <f t="shared" si="50"/>
        <v>4669962.6426580157</v>
      </c>
      <c r="O98" s="65">
        <f t="shared" si="50"/>
        <v>5938309.5651668655</v>
      </c>
      <c r="P98" s="65">
        <f t="shared" si="50"/>
        <v>6294608.1390768783</v>
      </c>
      <c r="Q98" s="65">
        <f t="shared" si="50"/>
        <v>9168911.9513908401</v>
      </c>
      <c r="R98" s="65">
        <f t="shared" si="50"/>
        <v>9719046.6684742905</v>
      </c>
      <c r="S98" s="65">
        <f t="shared" si="50"/>
        <v>13859461.539161459</v>
      </c>
      <c r="T98" s="65">
        <f t="shared" si="50"/>
        <v>14691029.231511148</v>
      </c>
      <c r="U98" s="65">
        <f t="shared" si="50"/>
        <v>15572490.985401817</v>
      </c>
      <c r="V98" s="65">
        <f t="shared" si="50"/>
        <v>16506840.444525927</v>
      </c>
      <c r="W98" s="65">
        <f t="shared" si="50"/>
        <v>17497250.871197484</v>
      </c>
      <c r="X98" s="65">
        <f t="shared" si="50"/>
        <v>18547085.923469331</v>
      </c>
      <c r="Y98" s="65">
        <f t="shared" si="50"/>
        <v>19659911.078877494</v>
      </c>
      <c r="Z98" s="65">
        <f t="shared" si="50"/>
        <v>20839505.743610144</v>
      </c>
      <c r="AA98" s="65">
        <f t="shared" si="50"/>
        <v>22089876.088226754</v>
      </c>
      <c r="AB98" s="65">
        <f t="shared" si="50"/>
        <v>23415268.653520361</v>
      </c>
      <c r="AC98" s="65">
        <f t="shared" si="50"/>
        <v>24820184.77273158</v>
      </c>
      <c r="AD98" s="65">
        <f t="shared" si="50"/>
        <v>26309395.859095477</v>
      </c>
      <c r="AE98" s="65">
        <f t="shared" si="50"/>
        <v>27887959.610641208</v>
      </c>
      <c r="AF98" s="65">
        <f t="shared" si="50"/>
        <v>29561237.187279683</v>
      </c>
      <c r="AG98" s="65">
        <f t="shared" si="50"/>
        <v>31334911.418516465</v>
      </c>
      <c r="AH98" s="65">
        <f t="shared" si="50"/>
        <v>33215006.103627458</v>
      </c>
      <c r="AI98" s="65">
        <f t="shared" si="50"/>
        <v>35207906.469845109</v>
      </c>
      <c r="AJ98" s="65">
        <f t="shared" si="50"/>
        <v>37320380.85803581</v>
      </c>
      <c r="AK98" s="65">
        <f t="shared" si="50"/>
        <v>39559603.709517963</v>
      </c>
      <c r="AL98" s="65">
        <f>AL59*AL72</f>
        <v>41933179.932089046</v>
      </c>
    </row>
    <row r="99" spans="4:40">
      <c r="D99" s="7" t="s">
        <v>237</v>
      </c>
      <c r="E99" s="16" t="s">
        <v>211</v>
      </c>
      <c r="K99" s="106">
        <f t="shared" ref="K99:AL99" si="51">K59*K73</f>
        <v>241288.6</v>
      </c>
      <c r="L99" s="106">
        <f t="shared" si="51"/>
        <v>242381.82542000004</v>
      </c>
      <c r="M99" s="106">
        <f t="shared" si="51"/>
        <v>269317.96931934403</v>
      </c>
      <c r="N99" s="106">
        <f t="shared" si="51"/>
        <v>753681.407088832</v>
      </c>
      <c r="O99" s="106">
        <f t="shared" si="51"/>
        <v>958378.86751416209</v>
      </c>
      <c r="P99" s="106">
        <f t="shared" si="51"/>
        <v>1015881.5995650118</v>
      </c>
      <c r="Q99" s="106">
        <f t="shared" si="51"/>
        <v>1479763.1137076125</v>
      </c>
      <c r="R99" s="106">
        <f t="shared" si="51"/>
        <v>1568548.9005300694</v>
      </c>
      <c r="S99" s="106">
        <f t="shared" si="51"/>
        <v>2236767.0308350464</v>
      </c>
      <c r="T99" s="106">
        <f t="shared" si="51"/>
        <v>2370973.052685149</v>
      </c>
      <c r="U99" s="106">
        <f t="shared" si="51"/>
        <v>2513231.4358462584</v>
      </c>
      <c r="V99" s="106">
        <f t="shared" si="51"/>
        <v>2664025.3219970339</v>
      </c>
      <c r="W99" s="106">
        <f t="shared" si="51"/>
        <v>2823866.8413168564</v>
      </c>
      <c r="X99" s="106">
        <f t="shared" si="51"/>
        <v>2993298.851795868</v>
      </c>
      <c r="Y99" s="106">
        <f t="shared" si="51"/>
        <v>3172896.78290362</v>
      </c>
      <c r="Z99" s="106">
        <f t="shared" si="51"/>
        <v>3363270.5898778373</v>
      </c>
      <c r="AA99" s="106">
        <f t="shared" si="51"/>
        <v>3565066.8252705075</v>
      </c>
      <c r="AB99" s="106">
        <f t="shared" si="51"/>
        <v>3778970.8347867378</v>
      </c>
      <c r="AC99" s="106">
        <f t="shared" si="51"/>
        <v>4005709.0848739427</v>
      </c>
      <c r="AD99" s="106">
        <f t="shared" si="51"/>
        <v>4246051.6299663791</v>
      </c>
      <c r="AE99" s="106">
        <f t="shared" si="51"/>
        <v>4500814.7277643625</v>
      </c>
      <c r="AF99" s="106">
        <f t="shared" si="51"/>
        <v>4770863.611430225</v>
      </c>
      <c r="AG99" s="106">
        <f t="shared" si="51"/>
        <v>5057115.4281160384</v>
      </c>
      <c r="AH99" s="106">
        <f t="shared" si="51"/>
        <v>5360542.3538030013</v>
      </c>
      <c r="AI99" s="106">
        <f t="shared" si="51"/>
        <v>5682174.8950311812</v>
      </c>
      <c r="AJ99" s="106">
        <f t="shared" si="51"/>
        <v>6023105.3887330526</v>
      </c>
      <c r="AK99" s="106">
        <f t="shared" si="51"/>
        <v>6384491.7120570363</v>
      </c>
      <c r="AL99" s="106">
        <f t="shared" si="51"/>
        <v>6767561.2147804592</v>
      </c>
    </row>
    <row r="100" spans="4:40" ht="18">
      <c r="D100" s="15" t="s">
        <v>428</v>
      </c>
      <c r="K100" s="69">
        <f>SUM(K101)</f>
        <v>0</v>
      </c>
      <c r="L100" s="69">
        <f t="shared" ref="L100:AK100" si="52">SUM(L101)</f>
        <v>0</v>
      </c>
      <c r="M100" s="69">
        <f t="shared" si="52"/>
        <v>0</v>
      </c>
      <c r="N100" s="69">
        <f t="shared" si="52"/>
        <v>0</v>
      </c>
      <c r="O100" s="69">
        <f t="shared" si="52"/>
        <v>0</v>
      </c>
      <c r="P100" s="69">
        <f t="shared" si="52"/>
        <v>0</v>
      </c>
      <c r="Q100" s="69">
        <f t="shared" si="52"/>
        <v>50000</v>
      </c>
      <c r="R100" s="69">
        <f t="shared" si="52"/>
        <v>50000</v>
      </c>
      <c r="S100" s="69">
        <f t="shared" si="52"/>
        <v>50000</v>
      </c>
      <c r="T100" s="69">
        <f t="shared" si="52"/>
        <v>50000</v>
      </c>
      <c r="U100" s="69">
        <f t="shared" si="52"/>
        <v>50000</v>
      </c>
      <c r="V100" s="69">
        <f t="shared" si="52"/>
        <v>50000</v>
      </c>
      <c r="W100" s="69">
        <f t="shared" si="52"/>
        <v>50000</v>
      </c>
      <c r="X100" s="69">
        <f t="shared" si="52"/>
        <v>50000</v>
      </c>
      <c r="Y100" s="69">
        <f t="shared" si="52"/>
        <v>50000</v>
      </c>
      <c r="Z100" s="69">
        <f t="shared" si="52"/>
        <v>50000</v>
      </c>
      <c r="AA100" s="69">
        <f t="shared" si="52"/>
        <v>50000</v>
      </c>
      <c r="AB100" s="69">
        <f t="shared" si="52"/>
        <v>50000</v>
      </c>
      <c r="AC100" s="69">
        <f t="shared" si="52"/>
        <v>50000</v>
      </c>
      <c r="AD100" s="69">
        <f t="shared" si="52"/>
        <v>50000</v>
      </c>
      <c r="AE100" s="69">
        <f t="shared" si="52"/>
        <v>50000</v>
      </c>
      <c r="AF100" s="69">
        <f t="shared" si="52"/>
        <v>50000</v>
      </c>
      <c r="AG100" s="69">
        <f t="shared" si="52"/>
        <v>50000</v>
      </c>
      <c r="AH100" s="69">
        <f t="shared" si="52"/>
        <v>50000</v>
      </c>
      <c r="AI100" s="69">
        <f t="shared" si="52"/>
        <v>50000</v>
      </c>
      <c r="AJ100" s="69">
        <f t="shared" si="52"/>
        <v>50000</v>
      </c>
      <c r="AK100" s="69">
        <f t="shared" si="52"/>
        <v>50000</v>
      </c>
      <c r="AL100" s="69">
        <f>SUM(AL101)</f>
        <v>50000</v>
      </c>
    </row>
    <row r="101" spans="4:40">
      <c r="D101" s="7" t="s">
        <v>429</v>
      </c>
      <c r="E101" s="16" t="s">
        <v>211</v>
      </c>
      <c r="K101" s="65">
        <f>K61*K74</f>
        <v>0</v>
      </c>
      <c r="L101" s="65">
        <f t="shared" ref="L101:P101" si="53">L61*L74</f>
        <v>0</v>
      </c>
      <c r="M101" s="65">
        <f t="shared" si="53"/>
        <v>0</v>
      </c>
      <c r="N101" s="65">
        <f t="shared" si="53"/>
        <v>0</v>
      </c>
      <c r="O101" s="65">
        <f t="shared" si="53"/>
        <v>0</v>
      </c>
      <c r="P101" s="65">
        <f t="shared" si="53"/>
        <v>0</v>
      </c>
      <c r="Q101" s="65">
        <f>Inputs!$E$200</f>
        <v>50000</v>
      </c>
      <c r="R101" s="65">
        <f>Inputs!$E$200</f>
        <v>50000</v>
      </c>
      <c r="S101" s="65">
        <f>Inputs!$E$200</f>
        <v>50000</v>
      </c>
      <c r="T101" s="65">
        <f>Inputs!$E$200</f>
        <v>50000</v>
      </c>
      <c r="U101" s="65">
        <f>Inputs!$E$200</f>
        <v>50000</v>
      </c>
      <c r="V101" s="65">
        <f>Inputs!$E$200</f>
        <v>50000</v>
      </c>
      <c r="W101" s="65">
        <f>Inputs!$E$200</f>
        <v>50000</v>
      </c>
      <c r="X101" s="65">
        <f>Inputs!$E$200</f>
        <v>50000</v>
      </c>
      <c r="Y101" s="65">
        <f>Inputs!$E$200</f>
        <v>50000</v>
      </c>
      <c r="Z101" s="65">
        <f>Inputs!$E$200</f>
        <v>50000</v>
      </c>
      <c r="AA101" s="65">
        <f>Inputs!$E$200</f>
        <v>50000</v>
      </c>
      <c r="AB101" s="65">
        <f>Inputs!$E$200</f>
        <v>50000</v>
      </c>
      <c r="AC101" s="65">
        <f>Inputs!$E$200</f>
        <v>50000</v>
      </c>
      <c r="AD101" s="65">
        <f>Inputs!$E$200</f>
        <v>50000</v>
      </c>
      <c r="AE101" s="65">
        <f>Inputs!$E$200</f>
        <v>50000</v>
      </c>
      <c r="AF101" s="65">
        <f>Inputs!$E$200</f>
        <v>50000</v>
      </c>
      <c r="AG101" s="65">
        <f>Inputs!$E$200</f>
        <v>50000</v>
      </c>
      <c r="AH101" s="65">
        <f>Inputs!$E$200</f>
        <v>50000</v>
      </c>
      <c r="AI101" s="65">
        <f>Inputs!$E$200</f>
        <v>50000</v>
      </c>
      <c r="AJ101" s="65">
        <f>Inputs!$E$200</f>
        <v>50000</v>
      </c>
      <c r="AK101" s="65">
        <f>Inputs!$E$200</f>
        <v>50000</v>
      </c>
      <c r="AL101" s="65">
        <f>Inputs!$E$200</f>
        <v>50000</v>
      </c>
    </row>
    <row r="102" spans="4:40">
      <c r="D102" s="23" t="s">
        <v>338</v>
      </c>
      <c r="E102" s="16" t="s">
        <v>211</v>
      </c>
      <c r="K102" s="70">
        <f>K97+K100+K92+K85</f>
        <v>9446804.7750000004</v>
      </c>
      <c r="L102" s="70">
        <f t="shared" ref="L102:AK102" si="54">L97+L100+L92+L85</f>
        <v>9561710.1156316809</v>
      </c>
      <c r="M102" s="70">
        <f t="shared" si="54"/>
        <v>10573824.57784687</v>
      </c>
      <c r="N102" s="70">
        <f t="shared" si="54"/>
        <v>27832572.701335274</v>
      </c>
      <c r="O102" s="70">
        <f t="shared" si="54"/>
        <v>28582831.733632736</v>
      </c>
      <c r="P102" s="70">
        <f t="shared" si="54"/>
        <v>30951542.397504546</v>
      </c>
      <c r="Q102" s="70">
        <f t="shared" si="54"/>
        <v>40847035.450838044</v>
      </c>
      <c r="R102" s="70">
        <f t="shared" si="54"/>
        <v>44089784.452675655</v>
      </c>
      <c r="S102" s="70">
        <f t="shared" si="54"/>
        <v>58413224.080175519</v>
      </c>
      <c r="T102" s="70">
        <f t="shared" si="54"/>
        <v>63033406.874992944</v>
      </c>
      <c r="U102" s="70">
        <f t="shared" si="54"/>
        <v>68029748.028376475</v>
      </c>
      <c r="V102" s="70">
        <f t="shared" si="54"/>
        <v>73433625.543295801</v>
      </c>
      <c r="W102" s="70">
        <f t="shared" si="54"/>
        <v>79279088.793662891</v>
      </c>
      <c r="X102" s="70">
        <f t="shared" si="54"/>
        <v>85603089.801031351</v>
      </c>
      <c r="Y102" s="70">
        <f t="shared" si="54"/>
        <v>92445734.809643403</v>
      </c>
      <c r="Z102" s="70">
        <f t="shared" si="54"/>
        <v>99850557.96115768</v>
      </c>
      <c r="AA102" s="70">
        <f t="shared" si="54"/>
        <v>107864819.03168586</v>
      </c>
      <c r="AB102" s="70">
        <f t="shared" si="54"/>
        <v>116539827.36961052</v>
      </c>
      <c r="AC102" s="70">
        <f t="shared" si="54"/>
        <v>132610320.82603866</v>
      </c>
      <c r="AD102" s="70">
        <f t="shared" si="54"/>
        <v>142561129.43015677</v>
      </c>
      <c r="AE102" s="70">
        <f t="shared" si="54"/>
        <v>153283658.6606493</v>
      </c>
      <c r="AF102" s="70">
        <f t="shared" si="54"/>
        <v>164839592.14434332</v>
      </c>
      <c r="AG102" s="70">
        <f t="shared" si="54"/>
        <v>177295677.58540806</v>
      </c>
      <c r="AH102" s="70">
        <f t="shared" si="54"/>
        <v>190724152.14535505</v>
      </c>
      <c r="AI102" s="70">
        <f t="shared" si="54"/>
        <v>205203204.24383235</v>
      </c>
      <c r="AJ102" s="70">
        <f t="shared" si="54"/>
        <v>220817474.94777346</v>
      </c>
      <c r="AK102" s="70">
        <f t="shared" si="54"/>
        <v>237658602.39547783</v>
      </c>
      <c r="AL102" s="70">
        <f>AL97+AL100+AL92+AL85</f>
        <v>255825813.00604928</v>
      </c>
    </row>
    <row r="103" spans="4:40" s="110" customFormat="1">
      <c r="D103" s="143" t="s">
        <v>468</v>
      </c>
      <c r="E103" s="112" t="s">
        <v>211</v>
      </c>
      <c r="K103" s="144">
        <f>K85+K97</f>
        <v>5907498.4000000004</v>
      </c>
      <c r="L103" s="144">
        <f t="shared" ref="L103:AK103" si="55">L85+L97</f>
        <v>5946267.3777139224</v>
      </c>
      <c r="M103" s="144">
        <f t="shared" si="55"/>
        <v>6451478.1947700763</v>
      </c>
      <c r="N103" s="144">
        <f t="shared" si="55"/>
        <v>16549331.328252703</v>
      </c>
      <c r="O103" s="144">
        <f t="shared" si="55"/>
        <v>15203178.203305963</v>
      </c>
      <c r="P103" s="144">
        <f t="shared" si="55"/>
        <v>16319553.296739195</v>
      </c>
      <c r="Q103" s="144">
        <f t="shared" si="55"/>
        <v>22237859.99304647</v>
      </c>
      <c r="R103" s="144">
        <f t="shared" si="55"/>
        <v>23961528.206208307</v>
      </c>
      <c r="S103" s="144">
        <f t="shared" si="55"/>
        <v>32590568.273017779</v>
      </c>
      <c r="T103" s="144">
        <f t="shared" si="55"/>
        <v>35100212.18342036</v>
      </c>
      <c r="U103" s="144">
        <f t="shared" si="55"/>
        <v>37812308.767039508</v>
      </c>
      <c r="V103" s="144">
        <f t="shared" si="55"/>
        <v>40743860.594280474</v>
      </c>
      <c r="W103" s="144">
        <f t="shared" si="55"/>
        <v>43913344.856149942</v>
      </c>
      <c r="X103" s="144">
        <f t="shared" si="55"/>
        <v>47340844.3795451</v>
      </c>
      <c r="Y103" s="144">
        <f t="shared" si="55"/>
        <v>51048190.485021606</v>
      </c>
      <c r="Z103" s="144">
        <f t="shared" si="55"/>
        <v>55059118.770263784</v>
      </c>
      <c r="AA103" s="144">
        <f t="shared" si="55"/>
        <v>59399439.00235527</v>
      </c>
      <c r="AB103" s="144">
        <f t="shared" si="55"/>
        <v>64097220.411082223</v>
      </c>
      <c r="AC103" s="144">
        <f t="shared" si="55"/>
        <v>75862020.256421983</v>
      </c>
      <c r="AD103" s="144">
        <f t="shared" si="55"/>
        <v>81151384.425072044</v>
      </c>
      <c r="AE103" s="144">
        <f t="shared" si="55"/>
        <v>86827153.824266642</v>
      </c>
      <c r="AF103" s="144">
        <f t="shared" si="55"/>
        <v>92918975.228246361</v>
      </c>
      <c r="AG103" s="144">
        <f t="shared" si="55"/>
        <v>99458879.104000285</v>
      </c>
      <c r="AH103" s="144">
        <f t="shared" si="55"/>
        <v>106481479.25018817</v>
      </c>
      <c r="AI103" s="144">
        <f t="shared" si="55"/>
        <v>114024189.71378246</v>
      </c>
      <c r="AJ103" s="144">
        <f t="shared" si="55"/>
        <v>122127460.51711576</v>
      </c>
      <c r="AK103" s="144">
        <f t="shared" si="55"/>
        <v>130835033.86640844</v>
      </c>
      <c r="AL103" s="144">
        <f>AL85+AL97</f>
        <v>140194222.66388839</v>
      </c>
      <c r="AM103" s="122">
        <f>SUM(M103:AL103)/10^6</f>
        <v>1617.7088357938894</v>
      </c>
      <c r="AN103" s="122">
        <f>'BaU Model'!AM92-'Initiative 2 Model'!AM103</f>
        <v>-13.905590386156973</v>
      </c>
    </row>
    <row r="105" spans="4:40">
      <c r="D105" s="110" t="s">
        <v>241</v>
      </c>
      <c r="E105" s="112" t="s">
        <v>337</v>
      </c>
      <c r="F105" s="110"/>
      <c r="G105" s="110"/>
      <c r="H105" s="110"/>
      <c r="I105" s="110"/>
      <c r="J105" s="110"/>
      <c r="K105" s="113">
        <f t="shared" ref="K105:AL105" si="56">K102/K26</f>
        <v>48.947175000000001</v>
      </c>
      <c r="L105" s="113">
        <f t="shared" si="56"/>
        <v>52.467112299999997</v>
      </c>
      <c r="M105" s="113">
        <f t="shared" si="56"/>
        <v>55.649234971279995</v>
      </c>
      <c r="N105" s="113">
        <f t="shared" si="56"/>
        <v>58.526095696191916</v>
      </c>
      <c r="O105" s="113">
        <f t="shared" si="56"/>
        <v>55.430521746398021</v>
      </c>
      <c r="P105" s="113">
        <f t="shared" si="56"/>
        <v>60.024148759573734</v>
      </c>
      <c r="Q105" s="113">
        <f t="shared" si="56"/>
        <v>67.42587838005214</v>
      </c>
      <c r="R105" s="113">
        <f t="shared" si="56"/>
        <v>72.778658512115612</v>
      </c>
      <c r="S105" s="113">
        <f t="shared" si="56"/>
        <v>81.114655967922232</v>
      </c>
      <c r="T105" s="113">
        <f t="shared" si="56"/>
        <v>87.530404179254361</v>
      </c>
      <c r="U105" s="113">
        <f t="shared" si="56"/>
        <v>94.468499107875516</v>
      </c>
      <c r="V105" s="113">
        <f t="shared" si="56"/>
        <v>101.97251335153092</v>
      </c>
      <c r="W105" s="113">
        <f t="shared" si="56"/>
        <v>110.08972906754511</v>
      </c>
      <c r="X105" s="113">
        <f t="shared" si="56"/>
        <v>118.8714591317752</v>
      </c>
      <c r="Y105" s="113">
        <f t="shared" si="56"/>
        <v>128.37339648456305</v>
      </c>
      <c r="Z105" s="113">
        <f t="shared" si="56"/>
        <v>138.65599416508098</v>
      </c>
      <c r="AA105" s="113">
        <f t="shared" si="56"/>
        <v>149.78487875944509</v>
      </c>
      <c r="AB105" s="113">
        <f t="shared" si="56"/>
        <v>161.83130023215458</v>
      </c>
      <c r="AC105" s="113">
        <f t="shared" si="56"/>
        <v>184.14735226454562</v>
      </c>
      <c r="AD105" s="113">
        <f t="shared" si="56"/>
        <v>197.96539482658278</v>
      </c>
      <c r="AE105" s="113">
        <f t="shared" si="56"/>
        <v>212.85507577354787</v>
      </c>
      <c r="AF105" s="113">
        <f t="shared" si="56"/>
        <v>228.90205115760577</v>
      </c>
      <c r="AG105" s="113">
        <f t="shared" si="56"/>
        <v>246.19900918670237</v>
      </c>
      <c r="AH105" s="113">
        <f t="shared" si="56"/>
        <v>264.84626092218343</v>
      </c>
      <c r="AI105" s="113">
        <f t="shared" si="56"/>
        <v>284.95238155160786</v>
      </c>
      <c r="AJ105" s="113">
        <f t="shared" si="56"/>
        <v>306.63490663534202</v>
      </c>
      <c r="AK105" s="113">
        <f t="shared" si="56"/>
        <v>330.02108811297234</v>
      </c>
      <c r="AL105" s="113">
        <f t="shared" si="56"/>
        <v>355.24871527751048</v>
      </c>
    </row>
    <row r="106" spans="4:40">
      <c r="D106" s="7" t="s">
        <v>241</v>
      </c>
      <c r="E106" s="16" t="s">
        <v>320</v>
      </c>
      <c r="K106" s="65">
        <f>(K97+K92+K85)/Inputs!F34</f>
        <v>3.1326192000000002</v>
      </c>
      <c r="L106" s="65">
        <f>(L97+L92+L85)/Inputs!G34</f>
        <v>3.0430925134000004</v>
      </c>
      <c r="M106" s="65">
        <f>(M97+M92+M85)/Inputs!H34</f>
        <v>3.8397972130183198</v>
      </c>
      <c r="N106" s="65">
        <f t="shared" ref="N106:AL106" si="57">(N97+N92+N85)/N65</f>
        <v>8.6865096644803792</v>
      </c>
      <c r="O106" s="65">
        <f t="shared" si="57"/>
        <v>8.9206645306096934</v>
      </c>
      <c r="P106" s="65">
        <f t="shared" si="57"/>
        <v>9.6599360415431068</v>
      </c>
      <c r="Q106" s="65">
        <f t="shared" si="57"/>
        <v>12.732701591357081</v>
      </c>
      <c r="R106" s="65">
        <f t="shared" si="57"/>
        <v>13.744759328391039</v>
      </c>
      <c r="S106" s="65">
        <f t="shared" si="57"/>
        <v>18.21508616766701</v>
      </c>
      <c r="T106" s="65">
        <f t="shared" si="57"/>
        <v>19.657039196210508</v>
      </c>
      <c r="U106" s="65">
        <f t="shared" si="57"/>
        <v>21.216390758196187</v>
      </c>
      <c r="V106" s="65">
        <f t="shared" si="57"/>
        <v>22.902933887454338</v>
      </c>
      <c r="W106" s="65">
        <f t="shared" si="57"/>
        <v>24.727295349204603</v>
      </c>
      <c r="X106" s="65">
        <f t="shared" si="57"/>
        <v>26.701007821212421</v>
      </c>
      <c r="Y106" s="65">
        <f t="shared" si="57"/>
        <v>28.836588410033283</v>
      </c>
      <c r="Z106" s="65">
        <f t="shared" si="57"/>
        <v>31.147624064538586</v>
      </c>
      <c r="AA106" s="65">
        <f t="shared" si="57"/>
        <v>17.448327522902019</v>
      </c>
      <c r="AB106" s="65">
        <f t="shared" si="57"/>
        <v>18.852256853799755</v>
      </c>
      <c r="AC106" s="65">
        <f t="shared" si="57"/>
        <v>21.453042495335765</v>
      </c>
      <c r="AD106" s="65">
        <f t="shared" si="57"/>
        <v>23.063442338341925</v>
      </c>
      <c r="AE106" s="65">
        <f t="shared" si="57"/>
        <v>24.798734421265515</v>
      </c>
      <c r="AF106" s="65">
        <f t="shared" si="57"/>
        <v>26.66890138038368</v>
      </c>
      <c r="AG106" s="65">
        <f t="shared" si="57"/>
        <v>28.684745402392153</v>
      </c>
      <c r="AH106" s="65">
        <f t="shared" si="57"/>
        <v>30.857957066236363</v>
      </c>
      <c r="AI106" s="65">
        <f t="shared" si="57"/>
        <v>33.201190079141078</v>
      </c>
      <c r="AJ106" s="65">
        <f t="shared" si="57"/>
        <v>35.728142419464071</v>
      </c>
      <c r="AK106" s="65">
        <f t="shared" si="57"/>
        <v>38.453644444154392</v>
      </c>
      <c r="AL106" s="65">
        <f t="shared" si="57"/>
        <v>41.393754567769513</v>
      </c>
      <c r="AN106" s="65">
        <f>'BaU Model'!AM92-'Initiative 2 Model'!AM103</f>
        <v>-13.905590386156973</v>
      </c>
    </row>
    <row r="107" spans="4:40">
      <c r="D107" s="7"/>
      <c r="E107" s="7"/>
      <c r="K107" s="65"/>
    </row>
    <row r="108" spans="4:40">
      <c r="D108" s="7" t="s">
        <v>469</v>
      </c>
      <c r="E108" s="7" t="s">
        <v>337</v>
      </c>
      <c r="K108" s="65">
        <f>K103/K26</f>
        <v>30.608800000000002</v>
      </c>
      <c r="L108" s="65">
        <f t="shared" ref="L108:AK108" si="58">L103/L26</f>
        <v>32.628418400000001</v>
      </c>
      <c r="M108" s="65">
        <f t="shared" si="58"/>
        <v>33.953639322240001</v>
      </c>
      <c r="N108" s="65">
        <f t="shared" si="58"/>
        <v>34.799792294401783</v>
      </c>
      <c r="O108" s="65">
        <f t="shared" si="58"/>
        <v>29.483436346200332</v>
      </c>
      <c r="P108" s="65">
        <f t="shared" si="58"/>
        <v>31.648416165917553</v>
      </c>
      <c r="Q108" s="65">
        <f t="shared" si="58"/>
        <v>36.707859622478807</v>
      </c>
      <c r="R108" s="65">
        <f t="shared" si="58"/>
        <v>39.553105110320629</v>
      </c>
      <c r="S108" s="65">
        <f t="shared" si="58"/>
        <v>45.256408542635185</v>
      </c>
      <c r="T108" s="65">
        <f t="shared" si="58"/>
        <v>48.741388281382122</v>
      </c>
      <c r="U108" s="65">
        <f t="shared" si="58"/>
        <v>52.507500917625151</v>
      </c>
      <c r="V108" s="65">
        <f t="shared" si="58"/>
        <v>56.578356818206871</v>
      </c>
      <c r="W108" s="65">
        <f t="shared" si="58"/>
        <v>60.97961405996454</v>
      </c>
      <c r="X108" s="65">
        <f t="shared" si="58"/>
        <v>65.739160362165165</v>
      </c>
      <c r="Y108" s="65">
        <f t="shared" si="58"/>
        <v>70.887311463823025</v>
      </c>
      <c r="Z108" s="65">
        <f t="shared" si="58"/>
        <v>76.45702745010162</v>
      </c>
      <c r="AA108" s="65">
        <f t="shared" si="58"/>
        <v>82.484148670691766</v>
      </c>
      <c r="AB108" s="65">
        <f t="shared" si="58"/>
        <v>89.007653044604808</v>
      </c>
      <c r="AC108" s="65">
        <f t="shared" si="58"/>
        <v>105.34466759932911</v>
      </c>
      <c r="AD108" s="65">
        <f t="shared" si="58"/>
        <v>112.68966458563166</v>
      </c>
      <c r="AE108" s="65">
        <f t="shared" si="58"/>
        <v>120.57123745579239</v>
      </c>
      <c r="AF108" s="65">
        <f t="shared" si="58"/>
        <v>129.03055476249693</v>
      </c>
      <c r="AG108" s="65">
        <f t="shared" si="58"/>
        <v>138.11209513795959</v>
      </c>
      <c r="AH108" s="65">
        <f t="shared" si="58"/>
        <v>147.86392451954708</v>
      </c>
      <c r="AI108" s="65">
        <f t="shared" si="58"/>
        <v>158.33799736785167</v>
      </c>
      <c r="AJ108" s="65">
        <f t="shared" si="58"/>
        <v>169.59048400555406</v>
      </c>
      <c r="AK108" s="65">
        <f t="shared" si="58"/>
        <v>181.68212639758963</v>
      </c>
      <c r="AL108" s="65">
        <f>AL103/AL26</f>
        <v>194.67862490286674</v>
      </c>
    </row>
    <row r="110" spans="4:40" ht="24" thickBot="1">
      <c r="D110" s="57" t="s">
        <v>198</v>
      </c>
    </row>
    <row r="112" spans="4:40" ht="18">
      <c r="D112" s="15" t="s">
        <v>248</v>
      </c>
    </row>
    <row r="113" spans="4:38" ht="15">
      <c r="D113" s="4" t="s">
        <v>250</v>
      </c>
      <c r="E113" s="7"/>
      <c r="M113" s="7"/>
    </row>
    <row r="114" spans="4:38">
      <c r="D114" s="3" t="s">
        <v>134</v>
      </c>
      <c r="E114" s="7"/>
      <c r="M114" s="7"/>
    </row>
    <row r="115" spans="4:38">
      <c r="D115" s="7" t="s">
        <v>299</v>
      </c>
      <c r="E115" s="16" t="s">
        <v>169</v>
      </c>
      <c r="K115" t="str">
        <f>Inputs!E73</f>
        <v>Good</v>
      </c>
      <c r="L115" t="str">
        <f>Inputs!F73</f>
        <v>Good</v>
      </c>
      <c r="M115" t="str">
        <f>Inputs!G73</f>
        <v>Good</v>
      </c>
      <c r="N115" t="str">
        <f>Inputs!H73</f>
        <v>Good</v>
      </c>
      <c r="O115" t="str">
        <f>Inputs!I73</f>
        <v>Good</v>
      </c>
      <c r="P115" t="str">
        <f>Inputs!J73</f>
        <v>Good</v>
      </c>
      <c r="Q115" t="str">
        <f>P115</f>
        <v>Good</v>
      </c>
      <c r="R115" t="str">
        <f t="shared" ref="R115:AL115" si="59">Q115</f>
        <v>Good</v>
      </c>
      <c r="S115" t="str">
        <f t="shared" si="59"/>
        <v>Good</v>
      </c>
      <c r="T115" t="str">
        <f t="shared" si="59"/>
        <v>Good</v>
      </c>
      <c r="U115" t="str">
        <f t="shared" si="59"/>
        <v>Good</v>
      </c>
      <c r="V115" t="str">
        <f t="shared" si="59"/>
        <v>Good</v>
      </c>
      <c r="W115" t="str">
        <f t="shared" si="59"/>
        <v>Good</v>
      </c>
      <c r="X115" t="str">
        <f t="shared" si="59"/>
        <v>Good</v>
      </c>
      <c r="Y115" t="str">
        <f t="shared" si="59"/>
        <v>Good</v>
      </c>
      <c r="Z115" t="str">
        <f t="shared" si="59"/>
        <v>Good</v>
      </c>
      <c r="AA115" t="str">
        <f t="shared" si="59"/>
        <v>Good</v>
      </c>
      <c r="AB115" t="str">
        <f t="shared" si="59"/>
        <v>Good</v>
      </c>
      <c r="AC115" t="str">
        <f t="shared" si="59"/>
        <v>Good</v>
      </c>
      <c r="AD115" t="str">
        <f t="shared" si="59"/>
        <v>Good</v>
      </c>
      <c r="AE115" t="str">
        <f t="shared" si="59"/>
        <v>Good</v>
      </c>
      <c r="AF115" t="str">
        <f t="shared" si="59"/>
        <v>Good</v>
      </c>
      <c r="AG115" t="str">
        <f t="shared" si="59"/>
        <v>Good</v>
      </c>
      <c r="AH115" t="str">
        <f t="shared" si="59"/>
        <v>Good</v>
      </c>
      <c r="AI115" t="str">
        <f t="shared" si="59"/>
        <v>Good</v>
      </c>
      <c r="AJ115" t="str">
        <f t="shared" si="59"/>
        <v>Good</v>
      </c>
      <c r="AK115" t="str">
        <f t="shared" si="59"/>
        <v>Good</v>
      </c>
      <c r="AL115" t="str">
        <f t="shared" si="59"/>
        <v>Good</v>
      </c>
    </row>
    <row r="116" spans="4:38">
      <c r="D116" s="7" t="s">
        <v>300</v>
      </c>
      <c r="E116" s="16" t="s">
        <v>303</v>
      </c>
      <c r="K116">
        <f>INDEX('Availability Model'!$C$4:$T$8, MATCH($K$115,'Availability Model'!$B$4:$B$8, 0), MATCH($K$10, 'Availability Model'!$C$1:$T$1, 0))</f>
        <v>1</v>
      </c>
      <c r="L116">
        <f>INDEX('Availability Model'!$C$4:$T$8, MATCH($K$115,'Availability Model'!$B$4:$B$8, 0), MATCH($K$10, 'Availability Model'!$C$1:$T$1, 0))</f>
        <v>1</v>
      </c>
      <c r="M116">
        <f>INDEX('Availability Model'!$C$4:$T$8, MATCH($K$115,'Availability Model'!$B$4:$B$8, 0), MATCH($K$10, 'Availability Model'!$C$1:$T$1, 0))</f>
        <v>1</v>
      </c>
      <c r="N116">
        <f>INDEX('Availability Model'!$C$4:$T$8, MATCH($K$115,'Availability Model'!$B$4:$B$8, 0), MATCH($K$10, 'Availability Model'!$C$1:$T$1, 0))</f>
        <v>1</v>
      </c>
      <c r="O116">
        <f>INDEX('Availability Model'!$C$4:$T$8, MATCH($K$115,'Availability Model'!$B$4:$B$8, 0), MATCH($K$10, 'Availability Model'!$C$1:$T$1, 0))</f>
        <v>1</v>
      </c>
      <c r="P116">
        <f>INDEX('Availability Model'!$C$4:$T$8, MATCH($K$115,'Availability Model'!$B$4:$B$8, 0), MATCH($K$10, 'Availability Model'!$C$1:$T$1, 0))</f>
        <v>1</v>
      </c>
      <c r="Q116">
        <f>INDEX('Availability Model'!$C$4:$T$8, MATCH($K$115,'Availability Model'!$B$4:$B$8, 0), MATCH($K$10, 'Availability Model'!$C$1:$T$1, 0))</f>
        <v>1</v>
      </c>
      <c r="R116">
        <f>INDEX('Availability Model'!$C$4:$T$8, MATCH($K$115,'Availability Model'!$B$4:$B$8, 0), MATCH($K$10, 'Availability Model'!$C$1:$T$1, 0))</f>
        <v>1</v>
      </c>
      <c r="S116">
        <f>INDEX('Availability Model'!$C$4:$T$8, MATCH($K$115,'Availability Model'!$B$4:$B$8, 0), MATCH($K$10, 'Availability Model'!$C$1:$T$1, 0))</f>
        <v>1</v>
      </c>
      <c r="T116">
        <f>INDEX('Availability Model'!$C$4:$T$8, MATCH($K$115,'Availability Model'!$B$4:$B$8, 0), MATCH($K$10, 'Availability Model'!$C$1:$T$1, 0))</f>
        <v>1</v>
      </c>
      <c r="U116">
        <f>INDEX('Availability Model'!$C$4:$T$8, MATCH($K$115,'Availability Model'!$B$4:$B$8, 0), MATCH($K$10, 'Availability Model'!$C$1:$T$1, 0))</f>
        <v>1</v>
      </c>
      <c r="V116">
        <f>INDEX('Availability Model'!$C$4:$T$8, MATCH($K$115,'Availability Model'!$B$4:$B$8, 0), MATCH($K$10, 'Availability Model'!$C$1:$T$1, 0))</f>
        <v>1</v>
      </c>
      <c r="W116">
        <f>INDEX('Availability Model'!$C$4:$T$8, MATCH($K$115,'Availability Model'!$B$4:$B$8, 0), MATCH($K$10, 'Availability Model'!$C$1:$T$1, 0))</f>
        <v>1</v>
      </c>
      <c r="X116">
        <f>INDEX('Availability Model'!$C$4:$T$8, MATCH($K$115,'Availability Model'!$B$4:$B$8, 0), MATCH($K$10, 'Availability Model'!$C$1:$T$1, 0))</f>
        <v>1</v>
      </c>
      <c r="Y116">
        <f>INDEX('Availability Model'!$C$4:$T$8, MATCH($K$115,'Availability Model'!$B$4:$B$8, 0), MATCH($K$10, 'Availability Model'!$C$1:$T$1, 0))</f>
        <v>1</v>
      </c>
      <c r="Z116">
        <f>INDEX('Availability Model'!$C$4:$T$8, MATCH($K$115,'Availability Model'!$B$4:$B$8, 0), MATCH($K$10, 'Availability Model'!$C$1:$T$1, 0))</f>
        <v>1</v>
      </c>
      <c r="AA116">
        <f>INDEX('Availability Model'!$C$4:$T$8, MATCH($K$115,'Availability Model'!$B$4:$B$8, 0), MATCH($K$10, 'Availability Model'!$C$1:$T$1, 0))</f>
        <v>1</v>
      </c>
      <c r="AB116">
        <f>INDEX('Availability Model'!$C$4:$T$8, MATCH($K$115,'Availability Model'!$B$4:$B$8, 0), MATCH($K$10, 'Availability Model'!$C$1:$T$1, 0))</f>
        <v>1</v>
      </c>
      <c r="AC116">
        <f>INDEX('Availability Model'!$C$4:$T$8, MATCH($K$115,'Availability Model'!$B$4:$B$8, 0), MATCH($K$10, 'Availability Model'!$C$1:$T$1, 0))</f>
        <v>1</v>
      </c>
      <c r="AD116">
        <f>INDEX('Availability Model'!$C$4:$T$8, MATCH($K$115,'Availability Model'!$B$4:$B$8, 0), MATCH($K$10, 'Availability Model'!$C$1:$T$1, 0))</f>
        <v>1</v>
      </c>
      <c r="AE116">
        <f>INDEX('Availability Model'!$C$4:$T$8, MATCH($K$115,'Availability Model'!$B$4:$B$8, 0), MATCH($K$10, 'Availability Model'!$C$1:$T$1, 0))</f>
        <v>1</v>
      </c>
      <c r="AF116">
        <f>INDEX('Availability Model'!$C$4:$T$8, MATCH($K$115,'Availability Model'!$B$4:$B$8, 0), MATCH($K$10, 'Availability Model'!$C$1:$T$1, 0))</f>
        <v>1</v>
      </c>
      <c r="AG116">
        <f>INDEX('Availability Model'!$C$4:$T$8, MATCH($K$115,'Availability Model'!$B$4:$B$8, 0), MATCH($K$10, 'Availability Model'!$C$1:$T$1, 0))</f>
        <v>1</v>
      </c>
      <c r="AH116">
        <f>INDEX('Availability Model'!$C$4:$T$8, MATCH($K$115,'Availability Model'!$B$4:$B$8, 0), MATCH($K$10, 'Availability Model'!$C$1:$T$1, 0))</f>
        <v>1</v>
      </c>
      <c r="AI116">
        <f>INDEX('Availability Model'!$C$4:$T$8, MATCH($K$115,'Availability Model'!$B$4:$B$8, 0), MATCH($K$10, 'Availability Model'!$C$1:$T$1, 0))</f>
        <v>1</v>
      </c>
      <c r="AJ116">
        <f>INDEX('Availability Model'!$C$4:$T$8, MATCH($K$115,'Availability Model'!$B$4:$B$8, 0), MATCH($K$10, 'Availability Model'!$C$1:$T$1, 0))</f>
        <v>1</v>
      </c>
      <c r="AK116">
        <f>INDEX('Availability Model'!$C$4:$T$8, MATCH($K$115,'Availability Model'!$B$4:$B$8, 0), MATCH($K$10, 'Availability Model'!$C$1:$T$1, 0))</f>
        <v>1</v>
      </c>
      <c r="AL116">
        <f>INDEX('Availability Model'!$C$4:$T$8, MATCH($K$115,'Availability Model'!$B$4:$B$8, 0), MATCH($K$10, 'Availability Model'!$C$1:$T$1, 0))</f>
        <v>1</v>
      </c>
    </row>
    <row r="117" spans="4:38">
      <c r="D117" s="7" t="s">
        <v>301</v>
      </c>
      <c r="E117" s="16" t="s">
        <v>106</v>
      </c>
      <c r="K117">
        <f>K116*INDEX('Availability Model'!$C$11:$T$15, MATCH($K$115,'Availability Model'!$B$11:$B$15, 0), MATCH($K$10, 'Availability Model'!$C$1:$T$1, 0))</f>
        <v>0.5</v>
      </c>
      <c r="L117">
        <f>L116*INDEX('Availability Model'!$C$11:$T$15, MATCH($K$115,'Availability Model'!$B$11:$B$15, 0), MATCH($K$10, 'Availability Model'!$C$1:$T$1, 0))</f>
        <v>0.5</v>
      </c>
      <c r="M117">
        <f>M116*INDEX('Availability Model'!$C$11:$T$15, MATCH($K$115,'Availability Model'!$B$11:$B$15, 0), MATCH($K$10, 'Availability Model'!$C$1:$T$1, 0))</f>
        <v>0.5</v>
      </c>
      <c r="N117">
        <f>N116*INDEX('Availability Model'!$C$11:$T$15, MATCH($K$115,'Availability Model'!$B$11:$B$15, 0), MATCH($K$10, 'Availability Model'!$C$1:$T$1, 0))</f>
        <v>0.5</v>
      </c>
      <c r="O117">
        <f>O116*INDEX('Availability Model'!$C$11:$T$15, MATCH($K$115,'Availability Model'!$B$11:$B$15, 0), MATCH($K$10, 'Availability Model'!$C$1:$T$1, 0))</f>
        <v>0.5</v>
      </c>
      <c r="P117">
        <f>P116*INDEX('Availability Model'!$C$11:$T$15, MATCH($K$115,'Availability Model'!$B$11:$B$15, 0), MATCH($K$10, 'Availability Model'!$C$1:$T$1, 0))</f>
        <v>0.5</v>
      </c>
      <c r="Q117">
        <f>Q116*INDEX('Availability Model'!$C$11:$T$15, MATCH($K$115,'Availability Model'!$B$11:$B$15, 0), MATCH($K$10, 'Availability Model'!$C$1:$T$1, 0))</f>
        <v>0.5</v>
      </c>
      <c r="R117">
        <f>R116*INDEX('Availability Model'!$C$11:$T$15, MATCH($K$115,'Availability Model'!$B$11:$B$15, 0), MATCH($K$10, 'Availability Model'!$C$1:$T$1, 0))</f>
        <v>0.5</v>
      </c>
      <c r="S117">
        <f>S116*INDEX('Availability Model'!$C$11:$T$15, MATCH($K$115,'Availability Model'!$B$11:$B$15, 0), MATCH($K$10, 'Availability Model'!$C$1:$T$1, 0))</f>
        <v>0.5</v>
      </c>
      <c r="T117">
        <f>T116*INDEX('Availability Model'!$C$11:$T$15, MATCH($K$115,'Availability Model'!$B$11:$B$15, 0), MATCH($K$10, 'Availability Model'!$C$1:$T$1, 0))</f>
        <v>0.5</v>
      </c>
      <c r="U117">
        <f>U116*INDEX('Availability Model'!$C$11:$T$15, MATCH($K$115,'Availability Model'!$B$11:$B$15, 0), MATCH($K$10, 'Availability Model'!$C$1:$T$1, 0))</f>
        <v>0.5</v>
      </c>
      <c r="V117">
        <f>V116*INDEX('Availability Model'!$C$11:$T$15, MATCH($K$115,'Availability Model'!$B$11:$B$15, 0), MATCH($K$10, 'Availability Model'!$C$1:$T$1, 0))</f>
        <v>0.5</v>
      </c>
      <c r="W117">
        <f>W116*INDEX('Availability Model'!$C$11:$T$15, MATCH($K$115,'Availability Model'!$B$11:$B$15, 0), MATCH($K$10, 'Availability Model'!$C$1:$T$1, 0))</f>
        <v>0.5</v>
      </c>
      <c r="X117">
        <f>X116*INDEX('Availability Model'!$C$11:$T$15, MATCH($K$115,'Availability Model'!$B$11:$B$15, 0), MATCH($K$10, 'Availability Model'!$C$1:$T$1, 0))</f>
        <v>0.5</v>
      </c>
      <c r="Y117">
        <f>Y116*INDEX('Availability Model'!$C$11:$T$15, MATCH($K$115,'Availability Model'!$B$11:$B$15, 0), MATCH($K$10, 'Availability Model'!$C$1:$T$1, 0))</f>
        <v>0.5</v>
      </c>
      <c r="Z117">
        <f>Z116*INDEX('Availability Model'!$C$11:$T$15, MATCH($K$115,'Availability Model'!$B$11:$B$15, 0), MATCH($K$10, 'Availability Model'!$C$1:$T$1, 0))</f>
        <v>0.5</v>
      </c>
      <c r="AA117">
        <f>AA116*INDEX('Availability Model'!$C$11:$T$15, MATCH($K$115,'Availability Model'!$B$11:$B$15, 0), MATCH($K$10, 'Availability Model'!$C$1:$T$1, 0))</f>
        <v>0.5</v>
      </c>
      <c r="AB117">
        <f>AB116*INDEX('Availability Model'!$C$11:$T$15, MATCH($K$115,'Availability Model'!$B$11:$B$15, 0), MATCH($K$10, 'Availability Model'!$C$1:$T$1, 0))</f>
        <v>0.5</v>
      </c>
      <c r="AC117">
        <f>AC116*INDEX('Availability Model'!$C$11:$T$15, MATCH($K$115,'Availability Model'!$B$11:$B$15, 0), MATCH($K$10, 'Availability Model'!$C$1:$T$1, 0))</f>
        <v>0.5</v>
      </c>
      <c r="AD117">
        <f>AD116*INDEX('Availability Model'!$C$11:$T$15, MATCH($K$115,'Availability Model'!$B$11:$B$15, 0), MATCH($K$10, 'Availability Model'!$C$1:$T$1, 0))</f>
        <v>0.5</v>
      </c>
      <c r="AE117">
        <f>AE116*INDEX('Availability Model'!$C$11:$T$15, MATCH($K$115,'Availability Model'!$B$11:$B$15, 0), MATCH($K$10, 'Availability Model'!$C$1:$T$1, 0))</f>
        <v>0.5</v>
      </c>
      <c r="AF117">
        <f>AF116*INDEX('Availability Model'!$C$11:$T$15, MATCH($K$115,'Availability Model'!$B$11:$B$15, 0), MATCH($K$10, 'Availability Model'!$C$1:$T$1, 0))</f>
        <v>0.5</v>
      </c>
      <c r="AG117">
        <f>AG116*INDEX('Availability Model'!$C$11:$T$15, MATCH($K$115,'Availability Model'!$B$11:$B$15, 0), MATCH($K$10, 'Availability Model'!$C$1:$T$1, 0))</f>
        <v>0.5</v>
      </c>
      <c r="AH117">
        <f>AH116*INDEX('Availability Model'!$C$11:$T$15, MATCH($K$115,'Availability Model'!$B$11:$B$15, 0), MATCH($K$10, 'Availability Model'!$C$1:$T$1, 0))</f>
        <v>0.5</v>
      </c>
      <c r="AI117">
        <f>AI116*INDEX('Availability Model'!$C$11:$T$15, MATCH($K$115,'Availability Model'!$B$11:$B$15, 0), MATCH($K$10, 'Availability Model'!$C$1:$T$1, 0))</f>
        <v>0.5</v>
      </c>
      <c r="AJ117">
        <f>AJ116*INDEX('Availability Model'!$C$11:$T$15, MATCH($K$115,'Availability Model'!$B$11:$B$15, 0), MATCH($K$10, 'Availability Model'!$C$1:$T$1, 0))</f>
        <v>0.5</v>
      </c>
      <c r="AK117">
        <f>AK116*INDEX('Availability Model'!$C$11:$T$15, MATCH($K$115,'Availability Model'!$B$11:$B$15, 0), MATCH($K$10, 'Availability Model'!$C$1:$T$1, 0))</f>
        <v>0.5</v>
      </c>
      <c r="AL117">
        <f>AL116*INDEX('Availability Model'!$C$11:$T$15, MATCH($K$115,'Availability Model'!$B$11:$B$15, 0), MATCH($K$10, 'Availability Model'!$C$1:$T$1, 0))</f>
        <v>0.5</v>
      </c>
    </row>
    <row r="118" spans="4:38">
      <c r="D118" s="7" t="s">
        <v>302</v>
      </c>
      <c r="E118" s="16" t="s">
        <v>106</v>
      </c>
      <c r="K118" s="65">
        <f t="shared" ref="K118:AL118" si="60">K22</f>
        <v>1.8129533678756478</v>
      </c>
      <c r="L118" s="65">
        <f t="shared" si="60"/>
        <v>1.9066551166747128</v>
      </c>
      <c r="M118" s="65">
        <f t="shared" si="60"/>
        <v>1.8367738032705883</v>
      </c>
      <c r="N118" s="65">
        <f t="shared" si="60"/>
        <v>1.8815339776532183</v>
      </c>
      <c r="O118" s="65">
        <f t="shared" si="60"/>
        <v>2.274116334125547</v>
      </c>
      <c r="P118" s="65">
        <f t="shared" si="60"/>
        <v>2.277607063808083</v>
      </c>
      <c r="Q118" s="65">
        <f t="shared" si="60"/>
        <v>2.0845047041176494</v>
      </c>
      <c r="R118" s="65">
        <f t="shared" si="60"/>
        <v>2.0845047041176494</v>
      </c>
      <c r="S118" s="65">
        <f t="shared" si="60"/>
        <v>1.9123332911358926</v>
      </c>
      <c r="T118" s="65">
        <f t="shared" si="60"/>
        <v>1.9148328343992786</v>
      </c>
      <c r="U118" s="65">
        <f t="shared" si="60"/>
        <v>1.9123332911358926</v>
      </c>
      <c r="V118" s="65">
        <f t="shared" si="60"/>
        <v>1.9123332911358926</v>
      </c>
      <c r="W118" s="65">
        <f t="shared" si="60"/>
        <v>1.9123332911358926</v>
      </c>
      <c r="X118" s="65">
        <f t="shared" si="60"/>
        <v>1.9148328343992786</v>
      </c>
      <c r="Y118" s="65">
        <f t="shared" si="60"/>
        <v>1.9123332911358926</v>
      </c>
      <c r="Z118" s="65">
        <f t="shared" si="60"/>
        <v>1.9123332911358926</v>
      </c>
      <c r="AA118" s="65">
        <f t="shared" si="60"/>
        <v>1.9123332911358926</v>
      </c>
      <c r="AB118" s="65">
        <f t="shared" si="60"/>
        <v>1.9148328343992786</v>
      </c>
      <c r="AC118" s="65">
        <f t="shared" si="60"/>
        <v>1.4590111755413389</v>
      </c>
      <c r="AD118" s="65">
        <f t="shared" si="60"/>
        <v>1.4590111755413389</v>
      </c>
      <c r="AE118" s="65">
        <f t="shared" si="60"/>
        <v>1.4590111755413389</v>
      </c>
      <c r="AF118" s="65">
        <f t="shared" si="60"/>
        <v>1.4615107188047249</v>
      </c>
      <c r="AG118" s="65">
        <f t="shared" si="60"/>
        <v>1.4590111755413389</v>
      </c>
      <c r="AH118" s="65">
        <f t="shared" si="60"/>
        <v>1.4590111755413389</v>
      </c>
      <c r="AI118" s="65">
        <f t="shared" si="60"/>
        <v>1.4590111755413389</v>
      </c>
      <c r="AJ118" s="65">
        <f t="shared" si="60"/>
        <v>1.4615107188047249</v>
      </c>
      <c r="AK118" s="65">
        <f t="shared" si="60"/>
        <v>1.4590111755413389</v>
      </c>
      <c r="AL118" s="65">
        <f t="shared" si="60"/>
        <v>1.4590111755413389</v>
      </c>
    </row>
    <row r="119" spans="4:38">
      <c r="D119" s="7" t="s">
        <v>304</v>
      </c>
      <c r="E119" s="16" t="s">
        <v>106</v>
      </c>
      <c r="K119">
        <f>IF((K117-K118)&gt;0, K117-K118,0)</f>
        <v>0</v>
      </c>
      <c r="L119">
        <f t="shared" ref="L119:AL119" si="61">IF((L117-L118)&gt;0, L117-L118,0)</f>
        <v>0</v>
      </c>
      <c r="M119">
        <f t="shared" si="61"/>
        <v>0</v>
      </c>
      <c r="N119">
        <f t="shared" si="61"/>
        <v>0</v>
      </c>
      <c r="O119">
        <f t="shared" si="61"/>
        <v>0</v>
      </c>
      <c r="P119">
        <f t="shared" si="61"/>
        <v>0</v>
      </c>
      <c r="Q119">
        <f t="shared" si="61"/>
        <v>0</v>
      </c>
      <c r="R119">
        <f t="shared" si="61"/>
        <v>0</v>
      </c>
      <c r="S119">
        <f t="shared" si="61"/>
        <v>0</v>
      </c>
      <c r="T119">
        <f t="shared" si="61"/>
        <v>0</v>
      </c>
      <c r="U119">
        <f t="shared" si="61"/>
        <v>0</v>
      </c>
      <c r="V119">
        <f t="shared" si="61"/>
        <v>0</v>
      </c>
      <c r="W119">
        <f t="shared" si="61"/>
        <v>0</v>
      </c>
      <c r="X119">
        <f t="shared" si="61"/>
        <v>0</v>
      </c>
      <c r="Y119">
        <f t="shared" si="61"/>
        <v>0</v>
      </c>
      <c r="Z119">
        <f t="shared" si="61"/>
        <v>0</v>
      </c>
      <c r="AA119">
        <f t="shared" si="61"/>
        <v>0</v>
      </c>
      <c r="AB119">
        <f t="shared" si="61"/>
        <v>0</v>
      </c>
      <c r="AC119">
        <f t="shared" si="61"/>
        <v>0</v>
      </c>
      <c r="AD119">
        <f t="shared" si="61"/>
        <v>0</v>
      </c>
      <c r="AE119">
        <f t="shared" si="61"/>
        <v>0</v>
      </c>
      <c r="AF119">
        <f t="shared" si="61"/>
        <v>0</v>
      </c>
      <c r="AG119">
        <f t="shared" si="61"/>
        <v>0</v>
      </c>
      <c r="AH119">
        <f t="shared" si="61"/>
        <v>0</v>
      </c>
      <c r="AI119">
        <f t="shared" si="61"/>
        <v>0</v>
      </c>
      <c r="AJ119">
        <f t="shared" si="61"/>
        <v>0</v>
      </c>
      <c r="AK119">
        <f t="shared" si="61"/>
        <v>0</v>
      </c>
      <c r="AL119">
        <f t="shared" si="61"/>
        <v>0</v>
      </c>
    </row>
    <row r="120" spans="4:38">
      <c r="D120" s="7"/>
      <c r="E120" s="7"/>
      <c r="M120" s="7"/>
    </row>
    <row r="121" spans="4:38">
      <c r="D121" s="3" t="s">
        <v>297</v>
      </c>
      <c r="M121" s="7"/>
    </row>
    <row r="122" spans="4:38">
      <c r="D122" s="7" t="s">
        <v>299</v>
      </c>
      <c r="E122" s="16" t="s">
        <v>169</v>
      </c>
      <c r="K122" t="str">
        <f>Inputs!E74</f>
        <v>Very Poor</v>
      </c>
      <c r="L122" t="str">
        <f>Inputs!F74</f>
        <v>Very Poor</v>
      </c>
      <c r="M122" t="str">
        <f>Inputs!G74</f>
        <v>Very Poor</v>
      </c>
      <c r="N122" t="str">
        <f>Inputs!H74</f>
        <v>Very Poor</v>
      </c>
      <c r="O122" t="str">
        <f>Inputs!I74</f>
        <v>Very Poor</v>
      </c>
      <c r="P122" t="str">
        <f>Inputs!J74</f>
        <v>Very Poor</v>
      </c>
      <c r="Q122" t="str">
        <f>P122</f>
        <v>Very Poor</v>
      </c>
      <c r="R122" t="str">
        <f t="shared" ref="R122:AL122" si="62">Q122</f>
        <v>Very Poor</v>
      </c>
      <c r="S122" t="str">
        <f t="shared" si="62"/>
        <v>Very Poor</v>
      </c>
      <c r="T122" t="str">
        <f t="shared" si="62"/>
        <v>Very Poor</v>
      </c>
      <c r="U122" t="str">
        <f t="shared" si="62"/>
        <v>Very Poor</v>
      </c>
      <c r="V122" t="str">
        <f t="shared" si="62"/>
        <v>Very Poor</v>
      </c>
      <c r="W122" t="str">
        <f t="shared" si="62"/>
        <v>Very Poor</v>
      </c>
      <c r="X122" t="str">
        <f t="shared" si="62"/>
        <v>Very Poor</v>
      </c>
      <c r="Y122" t="str">
        <f t="shared" si="62"/>
        <v>Very Poor</v>
      </c>
      <c r="Z122" t="str">
        <f t="shared" si="62"/>
        <v>Very Poor</v>
      </c>
      <c r="AA122" t="str">
        <f t="shared" si="62"/>
        <v>Very Poor</v>
      </c>
      <c r="AB122" t="str">
        <f t="shared" si="62"/>
        <v>Very Poor</v>
      </c>
      <c r="AC122" t="str">
        <f t="shared" si="62"/>
        <v>Very Poor</v>
      </c>
      <c r="AD122" t="str">
        <f t="shared" si="62"/>
        <v>Very Poor</v>
      </c>
      <c r="AE122" t="str">
        <f t="shared" si="62"/>
        <v>Very Poor</v>
      </c>
      <c r="AF122" t="str">
        <f t="shared" si="62"/>
        <v>Very Poor</v>
      </c>
      <c r="AG122" t="str">
        <f t="shared" si="62"/>
        <v>Very Poor</v>
      </c>
      <c r="AH122" t="str">
        <f t="shared" si="62"/>
        <v>Very Poor</v>
      </c>
      <c r="AI122" t="str">
        <f t="shared" si="62"/>
        <v>Very Poor</v>
      </c>
      <c r="AJ122" t="str">
        <f t="shared" si="62"/>
        <v>Very Poor</v>
      </c>
      <c r="AK122" t="str">
        <f t="shared" si="62"/>
        <v>Very Poor</v>
      </c>
      <c r="AL122" t="str">
        <f t="shared" si="62"/>
        <v>Very Poor</v>
      </c>
    </row>
    <row r="123" spans="4:38">
      <c r="D123" s="7" t="s">
        <v>300</v>
      </c>
      <c r="E123" s="16" t="s">
        <v>303</v>
      </c>
      <c r="K123">
        <f>INDEX('Availability Model'!$C$18:$T$22, MATCH($K$122,'Availability Model'!$B$18:$B$22, 0), MATCH($K$10, 'Availability Model'!$C$1:$T$1, 0))</f>
        <v>3</v>
      </c>
      <c r="L123">
        <f>INDEX('Availability Model'!$C$18:$T$22, MATCH($K$122,'Availability Model'!$B$18:$B$22, 0), MATCH($K$10, 'Availability Model'!$C$1:$T$1, 0))</f>
        <v>3</v>
      </c>
      <c r="M123">
        <f>INDEX('Availability Model'!$C$18:$T$22, MATCH($K$122,'Availability Model'!$B$18:$B$22, 0), MATCH($K$10, 'Availability Model'!$C$1:$T$1, 0))</f>
        <v>3</v>
      </c>
      <c r="N123">
        <f>INDEX('Availability Model'!$C$18:$T$22, MATCH($K$122,'Availability Model'!$B$18:$B$22, 0), MATCH($K$10, 'Availability Model'!$C$1:$T$1, 0))</f>
        <v>3</v>
      </c>
      <c r="O123">
        <f>INDEX('Availability Model'!$C$18:$T$22, MATCH($K$122,'Availability Model'!$B$18:$B$22, 0), MATCH($K$10, 'Availability Model'!$C$1:$T$1, 0))</f>
        <v>3</v>
      </c>
      <c r="P123">
        <f>INDEX('Availability Model'!$C$18:$T$22, MATCH($K$122,'Availability Model'!$B$18:$B$22, 0), MATCH($K$10, 'Availability Model'!$C$1:$T$1, 0))</f>
        <v>3</v>
      </c>
      <c r="Q123">
        <f>INDEX('Availability Model'!$C$18:$T$22, MATCH($K$122,'Availability Model'!$B$18:$B$22, 0), MATCH($K$10, 'Availability Model'!$C$1:$T$1, 0))</f>
        <v>3</v>
      </c>
      <c r="R123">
        <f>INDEX('Availability Model'!$C$18:$T$22, MATCH($K$122,'Availability Model'!$B$18:$B$22, 0), MATCH($K$10, 'Availability Model'!$C$1:$T$1, 0))</f>
        <v>3</v>
      </c>
      <c r="S123">
        <f>INDEX('Availability Model'!$C$18:$T$22, MATCH($K$122,'Availability Model'!$B$18:$B$22, 0), MATCH($K$10, 'Availability Model'!$C$1:$T$1, 0))</f>
        <v>3</v>
      </c>
      <c r="T123">
        <f>INDEX('Availability Model'!$C$18:$T$22, MATCH($K$122,'Availability Model'!$B$18:$B$22, 0), MATCH($K$10, 'Availability Model'!$C$1:$T$1, 0))</f>
        <v>3</v>
      </c>
      <c r="U123">
        <f>INDEX('Availability Model'!$C$18:$T$22, MATCH($K$122,'Availability Model'!$B$18:$B$22, 0), MATCH($K$10, 'Availability Model'!$C$1:$T$1, 0))</f>
        <v>3</v>
      </c>
      <c r="V123">
        <f>INDEX('Availability Model'!$C$18:$T$22, MATCH($K$122,'Availability Model'!$B$18:$B$22, 0), MATCH($K$10, 'Availability Model'!$C$1:$T$1, 0))</f>
        <v>3</v>
      </c>
      <c r="W123">
        <f>INDEX('Availability Model'!$C$18:$T$22, MATCH($K$122,'Availability Model'!$B$18:$B$22, 0), MATCH($K$10, 'Availability Model'!$C$1:$T$1, 0))</f>
        <v>3</v>
      </c>
      <c r="X123">
        <f>INDEX('Availability Model'!$C$18:$T$22, MATCH($K$122,'Availability Model'!$B$18:$B$22, 0), MATCH($K$10, 'Availability Model'!$C$1:$T$1, 0))</f>
        <v>3</v>
      </c>
      <c r="Y123">
        <f>INDEX('Availability Model'!$C$18:$T$22, MATCH($K$122,'Availability Model'!$B$18:$B$22, 0), MATCH($K$10, 'Availability Model'!$C$1:$T$1, 0))</f>
        <v>3</v>
      </c>
      <c r="Z123">
        <f>INDEX('Availability Model'!$C$18:$T$22, MATCH($K$122,'Availability Model'!$B$18:$B$22, 0), MATCH($K$10, 'Availability Model'!$C$1:$T$1, 0))</f>
        <v>3</v>
      </c>
      <c r="AA123">
        <f>INDEX('Availability Model'!$C$18:$T$22, MATCH($K$122,'Availability Model'!$B$18:$B$22, 0), MATCH($K$10, 'Availability Model'!$C$1:$T$1, 0))</f>
        <v>3</v>
      </c>
      <c r="AB123">
        <f>INDEX('Availability Model'!$C$18:$T$22, MATCH($K$122,'Availability Model'!$B$18:$B$22, 0), MATCH($K$10, 'Availability Model'!$C$1:$T$1, 0))</f>
        <v>3</v>
      </c>
      <c r="AC123">
        <f>INDEX('Availability Model'!$C$18:$T$22, MATCH($K$122,'Availability Model'!$B$18:$B$22, 0), MATCH($K$10, 'Availability Model'!$C$1:$T$1, 0))</f>
        <v>3</v>
      </c>
      <c r="AD123">
        <f>INDEX('Availability Model'!$C$18:$T$22, MATCH($K$122,'Availability Model'!$B$18:$B$22, 0), MATCH($K$10, 'Availability Model'!$C$1:$T$1, 0))</f>
        <v>3</v>
      </c>
      <c r="AE123">
        <f>INDEX('Availability Model'!$C$18:$T$22, MATCH($K$122,'Availability Model'!$B$18:$B$22, 0), MATCH($K$10, 'Availability Model'!$C$1:$T$1, 0))</f>
        <v>3</v>
      </c>
      <c r="AF123">
        <f>INDEX('Availability Model'!$C$18:$T$22, MATCH($K$122,'Availability Model'!$B$18:$B$22, 0), MATCH($K$10, 'Availability Model'!$C$1:$T$1, 0))</f>
        <v>3</v>
      </c>
      <c r="AG123">
        <f>INDEX('Availability Model'!$C$18:$T$22, MATCH($K$122,'Availability Model'!$B$18:$B$22, 0), MATCH($K$10, 'Availability Model'!$C$1:$T$1, 0))</f>
        <v>3</v>
      </c>
      <c r="AH123">
        <f>INDEX('Availability Model'!$C$18:$T$22, MATCH($K$122,'Availability Model'!$B$18:$B$22, 0), MATCH($K$10, 'Availability Model'!$C$1:$T$1, 0))</f>
        <v>3</v>
      </c>
      <c r="AI123">
        <f>INDEX('Availability Model'!$C$18:$T$22, MATCH($K$122,'Availability Model'!$B$18:$B$22, 0), MATCH($K$10, 'Availability Model'!$C$1:$T$1, 0))</f>
        <v>3</v>
      </c>
      <c r="AJ123">
        <f>INDEX('Availability Model'!$C$18:$T$22, MATCH($K$122,'Availability Model'!$B$18:$B$22, 0), MATCH($K$10, 'Availability Model'!$C$1:$T$1, 0))</f>
        <v>3</v>
      </c>
      <c r="AK123">
        <f>INDEX('Availability Model'!$C$18:$T$22, MATCH($K$122,'Availability Model'!$B$18:$B$22, 0), MATCH($K$10, 'Availability Model'!$C$1:$T$1, 0))</f>
        <v>3</v>
      </c>
      <c r="AL123">
        <f>INDEX('Availability Model'!$C$18:$T$22, MATCH($K$122,'Availability Model'!$B$18:$B$22, 0), MATCH($K$10, 'Availability Model'!$C$1:$T$1, 0))</f>
        <v>3</v>
      </c>
    </row>
    <row r="124" spans="4:38">
      <c r="D124" s="7" t="s">
        <v>301</v>
      </c>
      <c r="E124" s="16" t="s">
        <v>106</v>
      </c>
      <c r="K124">
        <f>K123*INDEX('Availability Model'!$C$25:$T$30, MATCH($K$122,'Availability Model'!$B$25:$B$30, 0), MATCH($K$10, 'Availability Model'!$C$1:$T$1, 0))</f>
        <v>9</v>
      </c>
      <c r="L124">
        <f>L123*INDEX('Availability Model'!$C$25:$T$30, MATCH($K$122,'Availability Model'!$B$25:$B$30, 0), MATCH($K$10, 'Availability Model'!$C$1:$T$1, 0))</f>
        <v>9</v>
      </c>
      <c r="M124">
        <f>M123*INDEX('Availability Model'!$C$25:$T$30, MATCH($K$122,'Availability Model'!$B$25:$B$30, 0), MATCH($K$10, 'Availability Model'!$C$1:$T$1, 0))</f>
        <v>9</v>
      </c>
      <c r="N124">
        <f>N123*INDEX('Availability Model'!$C$25:$T$30, MATCH($K$122,'Availability Model'!$B$25:$B$30, 0), MATCH($K$10, 'Availability Model'!$C$1:$T$1, 0))</f>
        <v>9</v>
      </c>
      <c r="O124">
        <f>O123*INDEX('Availability Model'!$C$25:$T$30, MATCH($K$122,'Availability Model'!$B$25:$B$30, 0), MATCH($K$10, 'Availability Model'!$C$1:$T$1, 0))</f>
        <v>9</v>
      </c>
      <c r="P124">
        <f>P123*INDEX('Availability Model'!$C$25:$T$30, MATCH($K$122,'Availability Model'!$B$25:$B$30, 0), MATCH($K$10, 'Availability Model'!$C$1:$T$1, 0))</f>
        <v>9</v>
      </c>
      <c r="Q124">
        <f>Q123*INDEX('Availability Model'!$C$25:$T$30, MATCH($K$122,'Availability Model'!$B$25:$B$30, 0), MATCH($K$10, 'Availability Model'!$C$1:$T$1, 0))</f>
        <v>9</v>
      </c>
      <c r="R124">
        <f>R123*INDEX('Availability Model'!$C$25:$T$30, MATCH($K$122,'Availability Model'!$B$25:$B$30, 0), MATCH($K$10, 'Availability Model'!$C$1:$T$1, 0))</f>
        <v>9</v>
      </c>
      <c r="S124">
        <f>S123*INDEX('Availability Model'!$C$25:$T$30, MATCH($K$122,'Availability Model'!$B$25:$B$30, 0), MATCH($K$10, 'Availability Model'!$C$1:$T$1, 0))</f>
        <v>9</v>
      </c>
      <c r="T124">
        <f>T123*INDEX('Availability Model'!$C$25:$T$30, MATCH($K$122,'Availability Model'!$B$25:$B$30, 0), MATCH($K$10, 'Availability Model'!$C$1:$T$1, 0))</f>
        <v>9</v>
      </c>
      <c r="U124">
        <f>U123*INDEX('Availability Model'!$C$25:$T$30, MATCH($K$122,'Availability Model'!$B$25:$B$30, 0), MATCH($K$10, 'Availability Model'!$C$1:$T$1, 0))</f>
        <v>9</v>
      </c>
      <c r="V124">
        <f>V123*INDEX('Availability Model'!$C$25:$T$30, MATCH($K$122,'Availability Model'!$B$25:$B$30, 0), MATCH($K$10, 'Availability Model'!$C$1:$T$1, 0))</f>
        <v>9</v>
      </c>
      <c r="W124">
        <f>W123*INDEX('Availability Model'!$C$25:$T$30, MATCH($K$122,'Availability Model'!$B$25:$B$30, 0), MATCH($K$10, 'Availability Model'!$C$1:$T$1, 0))</f>
        <v>9</v>
      </c>
      <c r="X124">
        <f>X123*INDEX('Availability Model'!$C$25:$T$30, MATCH($K$122,'Availability Model'!$B$25:$B$30, 0), MATCH($K$10, 'Availability Model'!$C$1:$T$1, 0))</f>
        <v>9</v>
      </c>
      <c r="Y124">
        <f>Y123*INDEX('Availability Model'!$C$25:$T$30, MATCH($K$122,'Availability Model'!$B$25:$B$30, 0), MATCH($K$10, 'Availability Model'!$C$1:$T$1, 0))</f>
        <v>9</v>
      </c>
      <c r="Z124">
        <f>Z123*INDEX('Availability Model'!$C$25:$T$30, MATCH($K$122,'Availability Model'!$B$25:$B$30, 0), MATCH($K$10, 'Availability Model'!$C$1:$T$1, 0))</f>
        <v>9</v>
      </c>
      <c r="AA124">
        <f>AA123*INDEX('Availability Model'!$C$25:$T$30, MATCH($K$122,'Availability Model'!$B$25:$B$30, 0), MATCH($K$10, 'Availability Model'!$C$1:$T$1, 0))</f>
        <v>9</v>
      </c>
      <c r="AB124">
        <f>AB123*INDEX('Availability Model'!$C$25:$T$30, MATCH($K$122,'Availability Model'!$B$25:$B$30, 0), MATCH($K$10, 'Availability Model'!$C$1:$T$1, 0))</f>
        <v>9</v>
      </c>
      <c r="AC124">
        <f>AC123*INDEX('Availability Model'!$C$25:$T$30, MATCH($K$122,'Availability Model'!$B$25:$B$30, 0), MATCH($K$10, 'Availability Model'!$C$1:$T$1, 0))</f>
        <v>9</v>
      </c>
      <c r="AD124">
        <f>AD123*INDEX('Availability Model'!$C$25:$T$30, MATCH($K$122,'Availability Model'!$B$25:$B$30, 0), MATCH($K$10, 'Availability Model'!$C$1:$T$1, 0))</f>
        <v>9</v>
      </c>
      <c r="AE124">
        <f>AE123*INDEX('Availability Model'!$C$25:$T$30, MATCH($K$122,'Availability Model'!$B$25:$B$30, 0), MATCH($K$10, 'Availability Model'!$C$1:$T$1, 0))</f>
        <v>9</v>
      </c>
      <c r="AF124">
        <f>AF123*INDEX('Availability Model'!$C$25:$T$30, MATCH($K$122,'Availability Model'!$B$25:$B$30, 0), MATCH($K$10, 'Availability Model'!$C$1:$T$1, 0))</f>
        <v>9</v>
      </c>
      <c r="AG124">
        <f>AG123*INDEX('Availability Model'!$C$25:$T$30, MATCH($K$122,'Availability Model'!$B$25:$B$30, 0), MATCH($K$10, 'Availability Model'!$C$1:$T$1, 0))</f>
        <v>9</v>
      </c>
      <c r="AH124">
        <f>AH123*INDEX('Availability Model'!$C$25:$T$30, MATCH($K$122,'Availability Model'!$B$25:$B$30, 0), MATCH($K$10, 'Availability Model'!$C$1:$T$1, 0))</f>
        <v>9</v>
      </c>
      <c r="AI124">
        <f>AI123*INDEX('Availability Model'!$C$25:$T$30, MATCH($K$122,'Availability Model'!$B$25:$B$30, 0), MATCH($K$10, 'Availability Model'!$C$1:$T$1, 0))</f>
        <v>9</v>
      </c>
      <c r="AJ124">
        <f>AJ123*INDEX('Availability Model'!$C$25:$T$30, MATCH($K$122,'Availability Model'!$B$25:$B$30, 0), MATCH($K$10, 'Availability Model'!$C$1:$T$1, 0))</f>
        <v>9</v>
      </c>
      <c r="AK124">
        <f>AK123*INDEX('Availability Model'!$C$25:$T$30, MATCH($K$122,'Availability Model'!$B$25:$B$30, 0), MATCH($K$10, 'Availability Model'!$C$1:$T$1, 0))</f>
        <v>9</v>
      </c>
      <c r="AL124">
        <f>AL123*INDEX('Availability Model'!$C$25:$T$30, MATCH($K$122,'Availability Model'!$B$25:$B$30, 0), MATCH($K$10, 'Availability Model'!$C$1:$T$1, 0))</f>
        <v>9</v>
      </c>
    </row>
    <row r="125" spans="4:38">
      <c r="D125" s="7" t="s">
        <v>302</v>
      </c>
      <c r="E125" s="16" t="s">
        <v>106</v>
      </c>
      <c r="K125" s="65">
        <f>K118</f>
        <v>1.8129533678756478</v>
      </c>
      <c r="L125" s="65">
        <f t="shared" ref="L125:AL125" si="63">L118</f>
        <v>1.9066551166747128</v>
      </c>
      <c r="M125" s="65">
        <f t="shared" si="63"/>
        <v>1.8367738032705883</v>
      </c>
      <c r="N125" s="65">
        <f t="shared" si="63"/>
        <v>1.8815339776532183</v>
      </c>
      <c r="O125" s="65">
        <f t="shared" si="63"/>
        <v>2.274116334125547</v>
      </c>
      <c r="P125" s="65">
        <f t="shared" si="63"/>
        <v>2.277607063808083</v>
      </c>
      <c r="Q125" s="65">
        <f t="shared" si="63"/>
        <v>2.0845047041176494</v>
      </c>
      <c r="R125" s="65">
        <f t="shared" si="63"/>
        <v>2.0845047041176494</v>
      </c>
      <c r="S125" s="65">
        <f t="shared" si="63"/>
        <v>1.9123332911358926</v>
      </c>
      <c r="T125" s="65">
        <f t="shared" si="63"/>
        <v>1.9148328343992786</v>
      </c>
      <c r="U125" s="65">
        <f t="shared" si="63"/>
        <v>1.9123332911358926</v>
      </c>
      <c r="V125" s="65">
        <f t="shared" si="63"/>
        <v>1.9123332911358926</v>
      </c>
      <c r="W125" s="65">
        <f t="shared" si="63"/>
        <v>1.9123332911358926</v>
      </c>
      <c r="X125" s="65">
        <f t="shared" si="63"/>
        <v>1.9148328343992786</v>
      </c>
      <c r="Y125" s="65">
        <f t="shared" si="63"/>
        <v>1.9123332911358926</v>
      </c>
      <c r="Z125" s="65">
        <f t="shared" si="63"/>
        <v>1.9123332911358926</v>
      </c>
      <c r="AA125" s="65">
        <f t="shared" si="63"/>
        <v>1.9123332911358926</v>
      </c>
      <c r="AB125" s="65">
        <f t="shared" si="63"/>
        <v>1.9148328343992786</v>
      </c>
      <c r="AC125" s="65">
        <f t="shared" si="63"/>
        <v>1.4590111755413389</v>
      </c>
      <c r="AD125" s="65">
        <f t="shared" si="63"/>
        <v>1.4590111755413389</v>
      </c>
      <c r="AE125" s="65">
        <f t="shared" si="63"/>
        <v>1.4590111755413389</v>
      </c>
      <c r="AF125" s="65">
        <f t="shared" si="63"/>
        <v>1.4615107188047249</v>
      </c>
      <c r="AG125" s="65">
        <f t="shared" si="63"/>
        <v>1.4590111755413389</v>
      </c>
      <c r="AH125" s="65">
        <f t="shared" si="63"/>
        <v>1.4590111755413389</v>
      </c>
      <c r="AI125" s="65">
        <f t="shared" si="63"/>
        <v>1.4590111755413389</v>
      </c>
      <c r="AJ125" s="65">
        <f t="shared" si="63"/>
        <v>1.4615107188047249</v>
      </c>
      <c r="AK125" s="65">
        <f t="shared" si="63"/>
        <v>1.4590111755413389</v>
      </c>
      <c r="AL125" s="65">
        <f t="shared" si="63"/>
        <v>1.4590111755413389</v>
      </c>
    </row>
    <row r="126" spans="4:38">
      <c r="D126" s="7" t="s">
        <v>304</v>
      </c>
      <c r="E126" s="16" t="s">
        <v>106</v>
      </c>
      <c r="K126" s="140">
        <f>ROUND(K124-K125,0)</f>
        <v>7</v>
      </c>
      <c r="L126" s="140">
        <f t="shared" ref="L126:AL126" si="64">ROUND(L124-L125,0)</f>
        <v>7</v>
      </c>
      <c r="M126" s="140">
        <f t="shared" si="64"/>
        <v>7</v>
      </c>
      <c r="N126" s="140">
        <f t="shared" si="64"/>
        <v>7</v>
      </c>
      <c r="O126" s="140">
        <f t="shared" si="64"/>
        <v>7</v>
      </c>
      <c r="P126" s="140">
        <f t="shared" si="64"/>
        <v>7</v>
      </c>
      <c r="Q126" s="140">
        <f t="shared" si="64"/>
        <v>7</v>
      </c>
      <c r="R126" s="140">
        <f t="shared" si="64"/>
        <v>7</v>
      </c>
      <c r="S126" s="140">
        <f t="shared" si="64"/>
        <v>7</v>
      </c>
      <c r="T126" s="140">
        <f t="shared" si="64"/>
        <v>7</v>
      </c>
      <c r="U126" s="140">
        <f t="shared" si="64"/>
        <v>7</v>
      </c>
      <c r="V126" s="140">
        <f t="shared" si="64"/>
        <v>7</v>
      </c>
      <c r="W126" s="140">
        <f t="shared" si="64"/>
        <v>7</v>
      </c>
      <c r="X126" s="140">
        <f t="shared" si="64"/>
        <v>7</v>
      </c>
      <c r="Y126" s="140">
        <f t="shared" si="64"/>
        <v>7</v>
      </c>
      <c r="Z126" s="140">
        <f t="shared" si="64"/>
        <v>7</v>
      </c>
      <c r="AA126" s="140">
        <f t="shared" si="64"/>
        <v>7</v>
      </c>
      <c r="AB126" s="140">
        <f t="shared" si="64"/>
        <v>7</v>
      </c>
      <c r="AC126" s="140">
        <f t="shared" si="64"/>
        <v>8</v>
      </c>
      <c r="AD126" s="140">
        <f t="shared" si="64"/>
        <v>8</v>
      </c>
      <c r="AE126" s="140">
        <f t="shared" si="64"/>
        <v>8</v>
      </c>
      <c r="AF126" s="140">
        <f t="shared" si="64"/>
        <v>8</v>
      </c>
      <c r="AG126" s="140">
        <f t="shared" si="64"/>
        <v>8</v>
      </c>
      <c r="AH126" s="140">
        <f t="shared" si="64"/>
        <v>8</v>
      </c>
      <c r="AI126" s="140">
        <f t="shared" si="64"/>
        <v>8</v>
      </c>
      <c r="AJ126" s="140">
        <f t="shared" si="64"/>
        <v>8</v>
      </c>
      <c r="AK126" s="140">
        <f t="shared" si="64"/>
        <v>8</v>
      </c>
      <c r="AL126" s="140">
        <f t="shared" si="64"/>
        <v>8</v>
      </c>
    </row>
    <row r="127" spans="4:38">
      <c r="D127" s="7"/>
      <c r="E127" s="16"/>
    </row>
    <row r="128" spans="4:38">
      <c r="D128" s="3" t="s">
        <v>298</v>
      </c>
    </row>
    <row r="129" spans="4:38">
      <c r="D129" s="7" t="s">
        <v>299</v>
      </c>
      <c r="E129" s="16" t="s">
        <v>169</v>
      </c>
      <c r="K129" t="str">
        <f>Inputs!E75</f>
        <v>Average</v>
      </c>
      <c r="L129" t="str">
        <f>Inputs!F75</f>
        <v>Average</v>
      </c>
      <c r="M129" t="str">
        <f>Inputs!G75</f>
        <v>Average</v>
      </c>
      <c r="N129" t="str">
        <f>Inputs!H75</f>
        <v>Average</v>
      </c>
      <c r="O129" t="str">
        <f>Inputs!I75</f>
        <v>Average</v>
      </c>
      <c r="P129" t="str">
        <f>Inputs!J75</f>
        <v>Average</v>
      </c>
      <c r="Q129" t="str">
        <f>P129</f>
        <v>Average</v>
      </c>
      <c r="R129" t="str">
        <f t="shared" ref="R129:AL129" si="65">Q129</f>
        <v>Average</v>
      </c>
      <c r="S129" t="str">
        <f t="shared" si="65"/>
        <v>Average</v>
      </c>
      <c r="T129" t="str">
        <f t="shared" si="65"/>
        <v>Average</v>
      </c>
      <c r="U129" t="str">
        <f t="shared" si="65"/>
        <v>Average</v>
      </c>
      <c r="V129" t="str">
        <f t="shared" si="65"/>
        <v>Average</v>
      </c>
      <c r="W129" t="str">
        <f t="shared" si="65"/>
        <v>Average</v>
      </c>
      <c r="X129" t="str">
        <f t="shared" si="65"/>
        <v>Average</v>
      </c>
      <c r="Y129" t="str">
        <f t="shared" si="65"/>
        <v>Average</v>
      </c>
      <c r="Z129" t="str">
        <f t="shared" si="65"/>
        <v>Average</v>
      </c>
      <c r="AA129" t="str">
        <f t="shared" si="65"/>
        <v>Average</v>
      </c>
      <c r="AB129" t="str">
        <f t="shared" si="65"/>
        <v>Average</v>
      </c>
      <c r="AC129" t="str">
        <f t="shared" si="65"/>
        <v>Average</v>
      </c>
      <c r="AD129" t="str">
        <f t="shared" si="65"/>
        <v>Average</v>
      </c>
      <c r="AE129" t="str">
        <f t="shared" si="65"/>
        <v>Average</v>
      </c>
      <c r="AF129" t="str">
        <f t="shared" si="65"/>
        <v>Average</v>
      </c>
      <c r="AG129" t="str">
        <f t="shared" si="65"/>
        <v>Average</v>
      </c>
      <c r="AH129" t="str">
        <f t="shared" si="65"/>
        <v>Average</v>
      </c>
      <c r="AI129" t="str">
        <f t="shared" si="65"/>
        <v>Average</v>
      </c>
      <c r="AJ129" t="str">
        <f t="shared" si="65"/>
        <v>Average</v>
      </c>
      <c r="AK129" t="str">
        <f t="shared" si="65"/>
        <v>Average</v>
      </c>
      <c r="AL129" t="str">
        <f t="shared" si="65"/>
        <v>Average</v>
      </c>
    </row>
    <row r="130" spans="4:38">
      <c r="D130" s="7" t="s">
        <v>300</v>
      </c>
      <c r="E130" s="16" t="s">
        <v>303</v>
      </c>
      <c r="K130">
        <f>INDEX('Availability Model'!$C$32:$T$36, MATCH($K$129,'Availability Model'!$B$32:$B$36, 0), MATCH($K$10, 'Availability Model'!$C$1:$T$1, 0))</f>
        <v>2</v>
      </c>
      <c r="L130">
        <f>INDEX('Availability Model'!$C$32:$T$36, MATCH($K$129,'Availability Model'!$B$32:$B$36, 0), MATCH($K$10, 'Availability Model'!$C$1:$T$1, 0))</f>
        <v>2</v>
      </c>
      <c r="M130">
        <f>INDEX('Availability Model'!$C$32:$T$36, MATCH($K$129,'Availability Model'!$B$32:$B$36, 0), MATCH($K$10, 'Availability Model'!$C$1:$T$1, 0))</f>
        <v>2</v>
      </c>
      <c r="N130">
        <f>INDEX('Availability Model'!$C$32:$T$36, MATCH($K$129,'Availability Model'!$B$32:$B$36, 0), MATCH($K$10, 'Availability Model'!$C$1:$T$1, 0))</f>
        <v>2</v>
      </c>
      <c r="O130">
        <f>INDEX('Availability Model'!$C$32:$T$36, MATCH($K$129,'Availability Model'!$B$32:$B$36, 0), MATCH($K$10, 'Availability Model'!$C$1:$T$1, 0))</f>
        <v>2</v>
      </c>
      <c r="P130">
        <f>INDEX('Availability Model'!$C$32:$T$36, MATCH($K$129,'Availability Model'!$B$32:$B$36, 0), MATCH($K$10, 'Availability Model'!$C$1:$T$1, 0))</f>
        <v>2</v>
      </c>
      <c r="Q130">
        <f>INDEX('Availability Model'!$C$32:$T$36, MATCH($K$129,'Availability Model'!$B$32:$B$36, 0), MATCH($K$10, 'Availability Model'!$C$1:$T$1, 0))</f>
        <v>2</v>
      </c>
      <c r="R130">
        <f>INDEX('Availability Model'!$C$32:$T$36, MATCH($K$129,'Availability Model'!$B$32:$B$36, 0), MATCH($K$10, 'Availability Model'!$C$1:$T$1, 0))</f>
        <v>2</v>
      </c>
      <c r="S130">
        <f>INDEX('Availability Model'!$C$32:$T$36, MATCH($K$129,'Availability Model'!$B$32:$B$36, 0), MATCH($K$10, 'Availability Model'!$C$1:$T$1, 0))</f>
        <v>2</v>
      </c>
      <c r="T130">
        <f>INDEX('Availability Model'!$C$32:$T$36, MATCH($K$129,'Availability Model'!$B$32:$B$36, 0), MATCH($K$10, 'Availability Model'!$C$1:$T$1, 0))</f>
        <v>2</v>
      </c>
      <c r="U130">
        <f>INDEX('Availability Model'!$C$32:$T$36, MATCH($K$129,'Availability Model'!$B$32:$B$36, 0), MATCH($K$10, 'Availability Model'!$C$1:$T$1, 0))</f>
        <v>2</v>
      </c>
      <c r="V130">
        <f>INDEX('Availability Model'!$C$32:$T$36, MATCH($K$129,'Availability Model'!$B$32:$B$36, 0), MATCH($K$10, 'Availability Model'!$C$1:$T$1, 0))</f>
        <v>2</v>
      </c>
      <c r="W130">
        <f>INDEX('Availability Model'!$C$32:$T$36, MATCH($K$129,'Availability Model'!$B$32:$B$36, 0), MATCH($K$10, 'Availability Model'!$C$1:$T$1, 0))</f>
        <v>2</v>
      </c>
      <c r="X130">
        <f>INDEX('Availability Model'!$C$32:$T$36, MATCH($K$129,'Availability Model'!$B$32:$B$36, 0), MATCH($K$10, 'Availability Model'!$C$1:$T$1, 0))</f>
        <v>2</v>
      </c>
      <c r="Y130">
        <f>INDEX('Availability Model'!$C$32:$T$36, MATCH($K$129,'Availability Model'!$B$32:$B$36, 0), MATCH($K$10, 'Availability Model'!$C$1:$T$1, 0))</f>
        <v>2</v>
      </c>
      <c r="Z130">
        <f>INDEX('Availability Model'!$C$32:$T$36, MATCH($K$129,'Availability Model'!$B$32:$B$36, 0), MATCH($K$10, 'Availability Model'!$C$1:$T$1, 0))</f>
        <v>2</v>
      </c>
      <c r="AA130">
        <f>INDEX('Availability Model'!$C$32:$T$36, MATCH($K$129,'Availability Model'!$B$32:$B$36, 0), MATCH($K$10, 'Availability Model'!$C$1:$T$1, 0))</f>
        <v>2</v>
      </c>
      <c r="AB130">
        <f>INDEX('Availability Model'!$C$32:$T$36, MATCH($K$129,'Availability Model'!$B$32:$B$36, 0), MATCH($K$10, 'Availability Model'!$C$1:$T$1, 0))</f>
        <v>2</v>
      </c>
      <c r="AC130">
        <f>INDEX('Availability Model'!$C$32:$T$36, MATCH($K$129,'Availability Model'!$B$32:$B$36, 0), MATCH($K$10, 'Availability Model'!$C$1:$T$1, 0))</f>
        <v>2</v>
      </c>
      <c r="AD130">
        <f>INDEX('Availability Model'!$C$32:$T$36, MATCH($K$129,'Availability Model'!$B$32:$B$36, 0), MATCH($K$10, 'Availability Model'!$C$1:$T$1, 0))</f>
        <v>2</v>
      </c>
      <c r="AE130">
        <f>INDEX('Availability Model'!$C$32:$T$36, MATCH($K$129,'Availability Model'!$B$32:$B$36, 0), MATCH($K$10, 'Availability Model'!$C$1:$T$1, 0))</f>
        <v>2</v>
      </c>
      <c r="AF130">
        <f>INDEX('Availability Model'!$C$32:$T$36, MATCH($K$129,'Availability Model'!$B$32:$B$36, 0), MATCH($K$10, 'Availability Model'!$C$1:$T$1, 0))</f>
        <v>2</v>
      </c>
      <c r="AG130">
        <f>INDEX('Availability Model'!$C$32:$T$36, MATCH($K$129,'Availability Model'!$B$32:$B$36, 0), MATCH($K$10, 'Availability Model'!$C$1:$T$1, 0))</f>
        <v>2</v>
      </c>
      <c r="AH130">
        <f>INDEX('Availability Model'!$C$32:$T$36, MATCH($K$129,'Availability Model'!$B$32:$B$36, 0), MATCH($K$10, 'Availability Model'!$C$1:$T$1, 0))</f>
        <v>2</v>
      </c>
      <c r="AI130">
        <f>INDEX('Availability Model'!$C$32:$T$36, MATCH($K$129,'Availability Model'!$B$32:$B$36, 0), MATCH($K$10, 'Availability Model'!$C$1:$T$1, 0))</f>
        <v>2</v>
      </c>
      <c r="AJ130">
        <f>INDEX('Availability Model'!$C$32:$T$36, MATCH($K$129,'Availability Model'!$B$32:$B$36, 0), MATCH($K$10, 'Availability Model'!$C$1:$T$1, 0))</f>
        <v>2</v>
      </c>
      <c r="AK130">
        <f>INDEX('Availability Model'!$C$32:$T$36, MATCH($K$129,'Availability Model'!$B$32:$B$36, 0), MATCH($K$10, 'Availability Model'!$C$1:$T$1, 0))</f>
        <v>2</v>
      </c>
      <c r="AL130">
        <f>INDEX('Availability Model'!$C$32:$T$36, MATCH($K$129,'Availability Model'!$B$32:$B$36, 0), MATCH($K$10, 'Availability Model'!$C$1:$T$1, 0))</f>
        <v>2</v>
      </c>
    </row>
    <row r="131" spans="4:38">
      <c r="D131" s="7" t="s">
        <v>301</v>
      </c>
      <c r="E131" s="16" t="s">
        <v>106</v>
      </c>
      <c r="K131">
        <f>K130*INDEX('Availability Model'!$C$39:$T$43, MATCH($K$129,'Availability Model'!$B$39:$B$43, 0), MATCH($K$10, 'Availability Model'!$C$1:$T$1, 0))</f>
        <v>6</v>
      </c>
      <c r="L131">
        <f>L130*INDEX('Availability Model'!$C$39:$T$43, MATCH($K$129,'Availability Model'!$B$39:$B$43, 0), MATCH($K$10, 'Availability Model'!$C$1:$T$1, 0))</f>
        <v>6</v>
      </c>
      <c r="M131">
        <f>M130*INDEX('Availability Model'!$C$39:$T$43, MATCH($K$129,'Availability Model'!$B$39:$B$43, 0), MATCH($K$10, 'Availability Model'!$C$1:$T$1, 0))</f>
        <v>6</v>
      </c>
      <c r="N131">
        <f>N130*INDEX('Availability Model'!$C$39:$T$43, MATCH($K$129,'Availability Model'!$B$39:$B$43, 0), MATCH($K$10, 'Availability Model'!$C$1:$T$1, 0))</f>
        <v>6</v>
      </c>
      <c r="O131">
        <f>O130*INDEX('Availability Model'!$C$39:$T$43, MATCH($K$129,'Availability Model'!$B$39:$B$43, 0), MATCH($K$10, 'Availability Model'!$C$1:$T$1, 0))</f>
        <v>6</v>
      </c>
      <c r="P131">
        <f>P130*INDEX('Availability Model'!$C$39:$T$43, MATCH($K$129,'Availability Model'!$B$39:$B$43, 0), MATCH($K$10, 'Availability Model'!$C$1:$T$1, 0))</f>
        <v>6</v>
      </c>
      <c r="Q131">
        <f>Q130*INDEX('Availability Model'!$C$39:$T$43, MATCH($K$129,'Availability Model'!$B$39:$B$43, 0), MATCH($K$10, 'Availability Model'!$C$1:$T$1, 0))</f>
        <v>6</v>
      </c>
      <c r="R131">
        <f>R130*INDEX('Availability Model'!$C$39:$T$43, MATCH($K$129,'Availability Model'!$B$39:$B$43, 0), MATCH($K$10, 'Availability Model'!$C$1:$T$1, 0))</f>
        <v>6</v>
      </c>
      <c r="S131">
        <f>S130*INDEX('Availability Model'!$C$39:$T$43, MATCH($K$129,'Availability Model'!$B$39:$B$43, 0), MATCH($K$10, 'Availability Model'!$C$1:$T$1, 0))</f>
        <v>6</v>
      </c>
      <c r="T131">
        <f>T130*INDEX('Availability Model'!$C$39:$T$43, MATCH($K$129,'Availability Model'!$B$39:$B$43, 0), MATCH($K$10, 'Availability Model'!$C$1:$T$1, 0))</f>
        <v>6</v>
      </c>
      <c r="U131">
        <f>U130*INDEX('Availability Model'!$C$39:$T$43, MATCH($K$129,'Availability Model'!$B$39:$B$43, 0), MATCH($K$10, 'Availability Model'!$C$1:$T$1, 0))</f>
        <v>6</v>
      </c>
      <c r="V131">
        <f>V130*INDEX('Availability Model'!$C$39:$T$43, MATCH($K$129,'Availability Model'!$B$39:$B$43, 0), MATCH($K$10, 'Availability Model'!$C$1:$T$1, 0))</f>
        <v>6</v>
      </c>
      <c r="W131">
        <f>W130*INDEX('Availability Model'!$C$39:$T$43, MATCH($K$129,'Availability Model'!$B$39:$B$43, 0), MATCH($K$10, 'Availability Model'!$C$1:$T$1, 0))</f>
        <v>6</v>
      </c>
      <c r="X131">
        <f>X130*INDEX('Availability Model'!$C$39:$T$43, MATCH($K$129,'Availability Model'!$B$39:$B$43, 0), MATCH($K$10, 'Availability Model'!$C$1:$T$1, 0))</f>
        <v>6</v>
      </c>
      <c r="Y131">
        <f>Y130*INDEX('Availability Model'!$C$39:$T$43, MATCH($K$129,'Availability Model'!$B$39:$B$43, 0), MATCH($K$10, 'Availability Model'!$C$1:$T$1, 0))</f>
        <v>6</v>
      </c>
      <c r="Z131">
        <f>Z130*INDEX('Availability Model'!$C$39:$T$43, MATCH($K$129,'Availability Model'!$B$39:$B$43, 0), MATCH($K$10, 'Availability Model'!$C$1:$T$1, 0))</f>
        <v>6</v>
      </c>
      <c r="AA131">
        <f>AA130*INDEX('Availability Model'!$C$39:$T$43, MATCH($K$129,'Availability Model'!$B$39:$B$43, 0), MATCH($K$10, 'Availability Model'!$C$1:$T$1, 0))</f>
        <v>6</v>
      </c>
      <c r="AB131">
        <f>AB130*INDEX('Availability Model'!$C$39:$T$43, MATCH($K$129,'Availability Model'!$B$39:$B$43, 0), MATCH($K$10, 'Availability Model'!$C$1:$T$1, 0))</f>
        <v>6</v>
      </c>
      <c r="AC131">
        <f>AC130*INDEX('Availability Model'!$C$39:$T$43, MATCH($K$129,'Availability Model'!$B$39:$B$43, 0), MATCH($K$10, 'Availability Model'!$C$1:$T$1, 0))</f>
        <v>6</v>
      </c>
      <c r="AD131">
        <f>AD130*INDEX('Availability Model'!$C$39:$T$43, MATCH($K$129,'Availability Model'!$B$39:$B$43, 0), MATCH($K$10, 'Availability Model'!$C$1:$T$1, 0))</f>
        <v>6</v>
      </c>
      <c r="AE131">
        <f>AE130*INDEX('Availability Model'!$C$39:$T$43, MATCH($K$129,'Availability Model'!$B$39:$B$43, 0), MATCH($K$10, 'Availability Model'!$C$1:$T$1, 0))</f>
        <v>6</v>
      </c>
      <c r="AF131">
        <f>AF130*INDEX('Availability Model'!$C$39:$T$43, MATCH($K$129,'Availability Model'!$B$39:$B$43, 0), MATCH($K$10, 'Availability Model'!$C$1:$T$1, 0))</f>
        <v>6</v>
      </c>
      <c r="AG131">
        <f>AG130*INDEX('Availability Model'!$C$39:$T$43, MATCH($K$129,'Availability Model'!$B$39:$B$43, 0), MATCH($K$10, 'Availability Model'!$C$1:$T$1, 0))</f>
        <v>6</v>
      </c>
      <c r="AH131">
        <f>AH130*INDEX('Availability Model'!$C$39:$T$43, MATCH($K$129,'Availability Model'!$B$39:$B$43, 0), MATCH($K$10, 'Availability Model'!$C$1:$T$1, 0))</f>
        <v>6</v>
      </c>
      <c r="AI131">
        <f>AI130*INDEX('Availability Model'!$C$39:$T$43, MATCH($K$129,'Availability Model'!$B$39:$B$43, 0), MATCH($K$10, 'Availability Model'!$C$1:$T$1, 0))</f>
        <v>6</v>
      </c>
      <c r="AJ131">
        <f>AJ130*INDEX('Availability Model'!$C$39:$T$43, MATCH($K$129,'Availability Model'!$B$39:$B$43, 0), MATCH($K$10, 'Availability Model'!$C$1:$T$1, 0))</f>
        <v>6</v>
      </c>
      <c r="AK131">
        <f>AK130*INDEX('Availability Model'!$C$39:$T$43, MATCH($K$129,'Availability Model'!$B$39:$B$43, 0), MATCH($K$10, 'Availability Model'!$C$1:$T$1, 0))</f>
        <v>6</v>
      </c>
      <c r="AL131">
        <f>AL130*INDEX('Availability Model'!$C$39:$T$43, MATCH($K$129,'Availability Model'!$B$39:$B$43, 0), MATCH($K$10, 'Availability Model'!$C$1:$T$1, 0))</f>
        <v>6</v>
      </c>
    </row>
    <row r="132" spans="4:38">
      <c r="D132" s="7" t="s">
        <v>302</v>
      </c>
      <c r="E132" s="16" t="s">
        <v>106</v>
      </c>
      <c r="K132" s="65">
        <f>K125</f>
        <v>1.8129533678756478</v>
      </c>
      <c r="L132" s="65">
        <f t="shared" ref="L132:AL132" si="66">L125</f>
        <v>1.9066551166747128</v>
      </c>
      <c r="M132" s="65">
        <f t="shared" si="66"/>
        <v>1.8367738032705883</v>
      </c>
      <c r="N132" s="65">
        <f t="shared" si="66"/>
        <v>1.8815339776532183</v>
      </c>
      <c r="O132" s="65">
        <f t="shared" si="66"/>
        <v>2.274116334125547</v>
      </c>
      <c r="P132" s="65">
        <f t="shared" si="66"/>
        <v>2.277607063808083</v>
      </c>
      <c r="Q132" s="65">
        <f t="shared" si="66"/>
        <v>2.0845047041176494</v>
      </c>
      <c r="R132" s="65">
        <f t="shared" si="66"/>
        <v>2.0845047041176494</v>
      </c>
      <c r="S132" s="65">
        <f t="shared" si="66"/>
        <v>1.9123332911358926</v>
      </c>
      <c r="T132" s="65">
        <f t="shared" si="66"/>
        <v>1.9148328343992786</v>
      </c>
      <c r="U132" s="65">
        <f t="shared" si="66"/>
        <v>1.9123332911358926</v>
      </c>
      <c r="V132" s="65">
        <f t="shared" si="66"/>
        <v>1.9123332911358926</v>
      </c>
      <c r="W132" s="65">
        <f t="shared" si="66"/>
        <v>1.9123332911358926</v>
      </c>
      <c r="X132" s="65">
        <f t="shared" si="66"/>
        <v>1.9148328343992786</v>
      </c>
      <c r="Y132" s="65">
        <f t="shared" si="66"/>
        <v>1.9123332911358926</v>
      </c>
      <c r="Z132" s="65">
        <f t="shared" si="66"/>
        <v>1.9123332911358926</v>
      </c>
      <c r="AA132" s="65">
        <f t="shared" si="66"/>
        <v>1.9123332911358926</v>
      </c>
      <c r="AB132" s="65">
        <f t="shared" si="66"/>
        <v>1.9148328343992786</v>
      </c>
      <c r="AC132" s="65">
        <f t="shared" si="66"/>
        <v>1.4590111755413389</v>
      </c>
      <c r="AD132" s="65">
        <f t="shared" si="66"/>
        <v>1.4590111755413389</v>
      </c>
      <c r="AE132" s="65">
        <f t="shared" si="66"/>
        <v>1.4590111755413389</v>
      </c>
      <c r="AF132" s="65">
        <f t="shared" si="66"/>
        <v>1.4615107188047249</v>
      </c>
      <c r="AG132" s="65">
        <f t="shared" si="66"/>
        <v>1.4590111755413389</v>
      </c>
      <c r="AH132" s="65">
        <f t="shared" si="66"/>
        <v>1.4590111755413389</v>
      </c>
      <c r="AI132" s="65">
        <f t="shared" si="66"/>
        <v>1.4590111755413389</v>
      </c>
      <c r="AJ132" s="65">
        <f t="shared" si="66"/>
        <v>1.4615107188047249</v>
      </c>
      <c r="AK132" s="65">
        <f t="shared" si="66"/>
        <v>1.4590111755413389</v>
      </c>
      <c r="AL132" s="65">
        <f t="shared" si="66"/>
        <v>1.4590111755413389</v>
      </c>
    </row>
    <row r="133" spans="4:38">
      <c r="D133" s="7" t="s">
        <v>304</v>
      </c>
      <c r="E133" s="16" t="s">
        <v>106</v>
      </c>
      <c r="K133" s="140">
        <f>ROUND(K131-K132,0)</f>
        <v>4</v>
      </c>
      <c r="L133" s="140">
        <f t="shared" ref="L133:AL133" si="67">ROUND(L131-L132,0)</f>
        <v>4</v>
      </c>
      <c r="M133" s="140">
        <f t="shared" si="67"/>
        <v>4</v>
      </c>
      <c r="N133" s="140">
        <f t="shared" si="67"/>
        <v>4</v>
      </c>
      <c r="O133" s="140">
        <f t="shared" si="67"/>
        <v>4</v>
      </c>
      <c r="P133" s="140">
        <f t="shared" si="67"/>
        <v>4</v>
      </c>
      <c r="Q133" s="140">
        <f t="shared" si="67"/>
        <v>4</v>
      </c>
      <c r="R133" s="140">
        <f t="shared" si="67"/>
        <v>4</v>
      </c>
      <c r="S133" s="140">
        <f t="shared" si="67"/>
        <v>4</v>
      </c>
      <c r="T133" s="140">
        <f t="shared" si="67"/>
        <v>4</v>
      </c>
      <c r="U133" s="140">
        <f t="shared" si="67"/>
        <v>4</v>
      </c>
      <c r="V133" s="140">
        <f t="shared" si="67"/>
        <v>4</v>
      </c>
      <c r="W133" s="140">
        <f t="shared" si="67"/>
        <v>4</v>
      </c>
      <c r="X133" s="140">
        <f t="shared" si="67"/>
        <v>4</v>
      </c>
      <c r="Y133" s="140">
        <f t="shared" si="67"/>
        <v>4</v>
      </c>
      <c r="Z133" s="140">
        <f t="shared" si="67"/>
        <v>4</v>
      </c>
      <c r="AA133" s="140">
        <f t="shared" si="67"/>
        <v>4</v>
      </c>
      <c r="AB133" s="140">
        <f t="shared" si="67"/>
        <v>4</v>
      </c>
      <c r="AC133" s="140">
        <f t="shared" si="67"/>
        <v>5</v>
      </c>
      <c r="AD133" s="140">
        <f t="shared" si="67"/>
        <v>5</v>
      </c>
      <c r="AE133" s="140">
        <f t="shared" si="67"/>
        <v>5</v>
      </c>
      <c r="AF133" s="140">
        <f t="shared" si="67"/>
        <v>5</v>
      </c>
      <c r="AG133" s="140">
        <f t="shared" si="67"/>
        <v>5</v>
      </c>
      <c r="AH133" s="140">
        <f t="shared" si="67"/>
        <v>5</v>
      </c>
      <c r="AI133" s="140">
        <f t="shared" si="67"/>
        <v>5</v>
      </c>
      <c r="AJ133" s="140">
        <f t="shared" si="67"/>
        <v>5</v>
      </c>
      <c r="AK133" s="140">
        <f t="shared" si="67"/>
        <v>5</v>
      </c>
      <c r="AL133" s="140">
        <f t="shared" si="67"/>
        <v>5</v>
      </c>
    </row>
    <row r="134" spans="4:38">
      <c r="D134" s="7"/>
      <c r="W134"/>
      <c r="AB134"/>
    </row>
    <row r="135" spans="4:38">
      <c r="D135" s="3" t="s">
        <v>309</v>
      </c>
      <c r="E135" s="16" t="s">
        <v>106</v>
      </c>
      <c r="K135">
        <f>K119+K126+K133</f>
        <v>11</v>
      </c>
      <c r="L135">
        <f t="shared" ref="L135:AL135" si="68">L119+L126+L133</f>
        <v>11</v>
      </c>
      <c r="M135">
        <f t="shared" si="68"/>
        <v>11</v>
      </c>
      <c r="N135">
        <f t="shared" si="68"/>
        <v>11</v>
      </c>
      <c r="O135">
        <f t="shared" si="68"/>
        <v>11</v>
      </c>
      <c r="P135">
        <f t="shared" si="68"/>
        <v>11</v>
      </c>
      <c r="Q135">
        <f t="shared" si="68"/>
        <v>11</v>
      </c>
      <c r="R135">
        <f t="shared" si="68"/>
        <v>11</v>
      </c>
      <c r="S135">
        <f t="shared" si="68"/>
        <v>11</v>
      </c>
      <c r="T135">
        <f t="shared" si="68"/>
        <v>11</v>
      </c>
      <c r="U135">
        <f t="shared" si="68"/>
        <v>11</v>
      </c>
      <c r="V135">
        <f t="shared" si="68"/>
        <v>11</v>
      </c>
      <c r="W135">
        <f t="shared" si="68"/>
        <v>11</v>
      </c>
      <c r="X135">
        <f t="shared" si="68"/>
        <v>11</v>
      </c>
      <c r="Y135">
        <f t="shared" si="68"/>
        <v>11</v>
      </c>
      <c r="Z135">
        <f t="shared" si="68"/>
        <v>11</v>
      </c>
      <c r="AA135">
        <f t="shared" si="68"/>
        <v>11</v>
      </c>
      <c r="AB135">
        <f t="shared" si="68"/>
        <v>11</v>
      </c>
      <c r="AC135">
        <f t="shared" si="68"/>
        <v>13</v>
      </c>
      <c r="AD135">
        <f t="shared" si="68"/>
        <v>13</v>
      </c>
      <c r="AE135">
        <f t="shared" si="68"/>
        <v>13</v>
      </c>
      <c r="AF135">
        <f t="shared" si="68"/>
        <v>13</v>
      </c>
      <c r="AG135">
        <f t="shared" si="68"/>
        <v>13</v>
      </c>
      <c r="AH135">
        <f t="shared" si="68"/>
        <v>13</v>
      </c>
      <c r="AI135">
        <f t="shared" si="68"/>
        <v>13</v>
      </c>
      <c r="AJ135">
        <f t="shared" si="68"/>
        <v>13</v>
      </c>
      <c r="AK135">
        <f t="shared" si="68"/>
        <v>13</v>
      </c>
      <c r="AL135">
        <f t="shared" si="68"/>
        <v>13</v>
      </c>
    </row>
    <row r="136" spans="4:38" ht="15">
      <c r="D136" s="4"/>
    </row>
    <row r="137" spans="4:38" ht="15">
      <c r="D137" s="4" t="s">
        <v>137</v>
      </c>
    </row>
    <row r="138" spans="4:38">
      <c r="D138" s="7" t="s">
        <v>299</v>
      </c>
      <c r="E138" s="16" t="s">
        <v>169</v>
      </c>
      <c r="K138" t="str">
        <f>Inputs!E76</f>
        <v>Average</v>
      </c>
      <c r="L138" t="str">
        <f>Inputs!F76</f>
        <v>Average</v>
      </c>
      <c r="M138" t="str">
        <f>Inputs!G76</f>
        <v>Average</v>
      </c>
      <c r="N138" t="str">
        <f>Inputs!H76</f>
        <v>Average</v>
      </c>
      <c r="O138" t="str">
        <f>Inputs!I76</f>
        <v>Average</v>
      </c>
      <c r="P138" t="str">
        <f>Inputs!J76</f>
        <v>Average</v>
      </c>
      <c r="Q138" t="str">
        <f>P138</f>
        <v>Average</v>
      </c>
      <c r="R138" t="str">
        <f t="shared" ref="R138:AL138" si="69">Q138</f>
        <v>Average</v>
      </c>
      <c r="S138" t="str">
        <f t="shared" si="69"/>
        <v>Average</v>
      </c>
      <c r="T138" t="str">
        <f t="shared" si="69"/>
        <v>Average</v>
      </c>
      <c r="U138" t="str">
        <f t="shared" si="69"/>
        <v>Average</v>
      </c>
      <c r="V138" t="str">
        <f t="shared" si="69"/>
        <v>Average</v>
      </c>
      <c r="W138" t="str">
        <f t="shared" si="69"/>
        <v>Average</v>
      </c>
      <c r="X138" t="str">
        <f t="shared" si="69"/>
        <v>Average</v>
      </c>
      <c r="Y138" t="str">
        <f t="shared" si="69"/>
        <v>Average</v>
      </c>
      <c r="Z138" t="str">
        <f t="shared" si="69"/>
        <v>Average</v>
      </c>
      <c r="AA138" t="str">
        <f t="shared" si="69"/>
        <v>Average</v>
      </c>
      <c r="AB138" t="str">
        <f t="shared" si="69"/>
        <v>Average</v>
      </c>
      <c r="AC138" t="str">
        <f t="shared" si="69"/>
        <v>Average</v>
      </c>
      <c r="AD138" t="str">
        <f t="shared" si="69"/>
        <v>Average</v>
      </c>
      <c r="AE138" t="str">
        <f t="shared" si="69"/>
        <v>Average</v>
      </c>
      <c r="AF138" t="str">
        <f t="shared" si="69"/>
        <v>Average</v>
      </c>
      <c r="AG138" t="str">
        <f t="shared" si="69"/>
        <v>Average</v>
      </c>
      <c r="AH138" t="str">
        <f t="shared" si="69"/>
        <v>Average</v>
      </c>
      <c r="AI138" t="str">
        <f t="shared" si="69"/>
        <v>Average</v>
      </c>
      <c r="AJ138" t="str">
        <f t="shared" si="69"/>
        <v>Average</v>
      </c>
      <c r="AK138" t="str">
        <f t="shared" si="69"/>
        <v>Average</v>
      </c>
      <c r="AL138" t="str">
        <f t="shared" si="69"/>
        <v>Average</v>
      </c>
    </row>
    <row r="139" spans="4:38">
      <c r="D139" s="7" t="s">
        <v>300</v>
      </c>
      <c r="E139" s="16" t="s">
        <v>303</v>
      </c>
      <c r="K139">
        <f>INDEX('Availability Model'!$C$46:$T$50, MATCH($K$138,'Availability Model'!$B$46:$B$50, 0), MATCH($K$10, 'Availability Model'!$C$1:$T$1, 0))</f>
        <v>2</v>
      </c>
      <c r="L139">
        <f>INDEX('Availability Model'!$C$46:$T$50, MATCH($K$138,'Availability Model'!$B$46:$B$50, 0), MATCH($K$10, 'Availability Model'!$C$1:$T$1, 0))</f>
        <v>2</v>
      </c>
      <c r="M139">
        <f>INDEX('Availability Model'!$C$46:$T$50, MATCH($K$138,'Availability Model'!$B$46:$B$50, 0), MATCH($K$10, 'Availability Model'!$C$1:$T$1, 0))</f>
        <v>2</v>
      </c>
      <c r="N139">
        <f>INDEX('Availability Model'!$C$46:$T$50, MATCH($K$138,'Availability Model'!$B$46:$B$50, 0), MATCH($K$10, 'Availability Model'!$C$1:$T$1, 0))</f>
        <v>2</v>
      </c>
      <c r="O139">
        <f>INDEX('Availability Model'!$C$46:$T$50, MATCH($K$138,'Availability Model'!$B$46:$B$50, 0), MATCH($K$10, 'Availability Model'!$C$1:$T$1, 0))</f>
        <v>2</v>
      </c>
      <c r="P139">
        <f>INDEX('Availability Model'!$C$46:$T$50, MATCH($K$138,'Availability Model'!$B$46:$B$50, 0), MATCH($K$10, 'Availability Model'!$C$1:$T$1, 0))</f>
        <v>2</v>
      </c>
      <c r="Q139">
        <f>INDEX('Availability Model'!$C$46:$T$50, MATCH($K$138,'Availability Model'!$B$46:$B$50, 0), MATCH($K$10, 'Availability Model'!$C$1:$T$1, 0))</f>
        <v>2</v>
      </c>
      <c r="R139">
        <f>INDEX('Availability Model'!$C$46:$T$50, MATCH($K$138,'Availability Model'!$B$46:$B$50, 0), MATCH($K$10, 'Availability Model'!$C$1:$T$1, 0))</f>
        <v>2</v>
      </c>
      <c r="S139">
        <f>INDEX('Availability Model'!$C$46:$T$50, MATCH($K$138,'Availability Model'!$B$46:$B$50, 0), MATCH($K$10, 'Availability Model'!$C$1:$T$1, 0))</f>
        <v>2</v>
      </c>
      <c r="T139">
        <f>INDEX('Availability Model'!$C$46:$T$50, MATCH($K$138,'Availability Model'!$B$46:$B$50, 0), MATCH($K$10, 'Availability Model'!$C$1:$T$1, 0))</f>
        <v>2</v>
      </c>
      <c r="U139">
        <f>INDEX('Availability Model'!$C$46:$T$50, MATCH($K$138,'Availability Model'!$B$46:$B$50, 0), MATCH($K$10, 'Availability Model'!$C$1:$T$1, 0))</f>
        <v>2</v>
      </c>
      <c r="V139">
        <f>INDEX('Availability Model'!$C$46:$T$50, MATCH($K$138,'Availability Model'!$B$46:$B$50, 0), MATCH($K$10, 'Availability Model'!$C$1:$T$1, 0))</f>
        <v>2</v>
      </c>
      <c r="W139">
        <f>INDEX('Availability Model'!$C$46:$T$50, MATCH($K$138,'Availability Model'!$B$46:$B$50, 0), MATCH($K$10, 'Availability Model'!$C$1:$T$1, 0))</f>
        <v>2</v>
      </c>
      <c r="X139">
        <f>INDEX('Availability Model'!$C$46:$T$50, MATCH($K$138,'Availability Model'!$B$46:$B$50, 0), MATCH($K$10, 'Availability Model'!$C$1:$T$1, 0))</f>
        <v>2</v>
      </c>
      <c r="Y139">
        <f>INDEX('Availability Model'!$C$46:$T$50, MATCH($K$138,'Availability Model'!$B$46:$B$50, 0), MATCH($K$10, 'Availability Model'!$C$1:$T$1, 0))</f>
        <v>2</v>
      </c>
      <c r="Z139">
        <f>INDEX('Availability Model'!$C$46:$T$50, MATCH($K$138,'Availability Model'!$B$46:$B$50, 0), MATCH($K$10, 'Availability Model'!$C$1:$T$1, 0))</f>
        <v>2</v>
      </c>
      <c r="AA139">
        <f>INDEX('Availability Model'!$C$46:$T$50, MATCH($K$138,'Availability Model'!$B$46:$B$50, 0), MATCH($K$10, 'Availability Model'!$C$1:$T$1, 0))</f>
        <v>2</v>
      </c>
      <c r="AB139">
        <f>INDEX('Availability Model'!$C$46:$T$50, MATCH($K$138,'Availability Model'!$B$46:$B$50, 0), MATCH($K$10, 'Availability Model'!$C$1:$T$1, 0))</f>
        <v>2</v>
      </c>
      <c r="AC139">
        <f>INDEX('Availability Model'!$C$46:$T$50, MATCH($K$138,'Availability Model'!$B$46:$B$50, 0), MATCH($K$10, 'Availability Model'!$C$1:$T$1, 0))</f>
        <v>2</v>
      </c>
      <c r="AD139">
        <f>INDEX('Availability Model'!$C$46:$T$50, MATCH($K$138,'Availability Model'!$B$46:$B$50, 0), MATCH($K$10, 'Availability Model'!$C$1:$T$1, 0))</f>
        <v>2</v>
      </c>
      <c r="AE139">
        <f>INDEX('Availability Model'!$C$46:$T$50, MATCH($K$138,'Availability Model'!$B$46:$B$50, 0), MATCH($K$10, 'Availability Model'!$C$1:$T$1, 0))</f>
        <v>2</v>
      </c>
      <c r="AF139">
        <f>INDEX('Availability Model'!$C$46:$T$50, MATCH($K$138,'Availability Model'!$B$46:$B$50, 0), MATCH($K$10, 'Availability Model'!$C$1:$T$1, 0))</f>
        <v>2</v>
      </c>
      <c r="AG139">
        <f>INDEX('Availability Model'!$C$46:$T$50, MATCH($K$138,'Availability Model'!$B$46:$B$50, 0), MATCH($K$10, 'Availability Model'!$C$1:$T$1, 0))</f>
        <v>2</v>
      </c>
      <c r="AH139">
        <f>INDEX('Availability Model'!$C$46:$T$50, MATCH($K$138,'Availability Model'!$B$46:$B$50, 0), MATCH($K$10, 'Availability Model'!$C$1:$T$1, 0))</f>
        <v>2</v>
      </c>
      <c r="AI139">
        <f>INDEX('Availability Model'!$C$46:$T$50, MATCH($K$138,'Availability Model'!$B$46:$B$50, 0), MATCH($K$10, 'Availability Model'!$C$1:$T$1, 0))</f>
        <v>2</v>
      </c>
      <c r="AJ139">
        <f>INDEX('Availability Model'!$C$46:$T$50, MATCH($K$138,'Availability Model'!$B$46:$B$50, 0), MATCH($K$10, 'Availability Model'!$C$1:$T$1, 0))</f>
        <v>2</v>
      </c>
      <c r="AK139">
        <f>INDEX('Availability Model'!$C$46:$T$50, MATCH($K$138,'Availability Model'!$B$46:$B$50, 0), MATCH($K$10, 'Availability Model'!$C$1:$T$1, 0))</f>
        <v>2</v>
      </c>
      <c r="AL139">
        <f>INDEX('Availability Model'!$C$46:$T$50, MATCH($K$138,'Availability Model'!$B$46:$B$50, 0), MATCH($K$10, 'Availability Model'!$C$1:$T$1, 0))</f>
        <v>2</v>
      </c>
    </row>
    <row r="140" spans="4:38">
      <c r="D140" s="7" t="s">
        <v>312</v>
      </c>
      <c r="E140" s="16" t="s">
        <v>106</v>
      </c>
      <c r="K140">
        <f>K139*INDEX('Availability Model'!$C$53:$T$57, MATCH($K$138,'Availability Model'!$B$53:$B$57, 0), MATCH($K$10, 'Availability Model'!$C$1:$T$1, 0))</f>
        <v>4</v>
      </c>
      <c r="L140">
        <f>L139*INDEX('Availability Model'!$C$53:$T$57, MATCH($K$138,'Availability Model'!$B$53:$B$57, 0), MATCH($K$10, 'Availability Model'!$C$1:$T$1, 0))</f>
        <v>4</v>
      </c>
      <c r="M140">
        <f>M139*INDEX('Availability Model'!$C$53:$T$57, MATCH($K$138,'Availability Model'!$B$53:$B$57, 0), MATCH($K$10, 'Availability Model'!$C$1:$T$1, 0))</f>
        <v>4</v>
      </c>
      <c r="N140">
        <f>N139*INDEX('Availability Model'!$C$53:$T$57, MATCH($K$138,'Availability Model'!$B$53:$B$57, 0), MATCH($K$10, 'Availability Model'!$C$1:$T$1, 0))</f>
        <v>4</v>
      </c>
      <c r="O140">
        <f>O139*INDEX('Availability Model'!$C$53:$T$57, MATCH($K$138,'Availability Model'!$B$53:$B$57, 0), MATCH($K$10, 'Availability Model'!$C$1:$T$1, 0))</f>
        <v>4</v>
      </c>
      <c r="P140">
        <f>P139*INDEX('Availability Model'!$C$53:$T$57, MATCH($K$138,'Availability Model'!$B$53:$B$57, 0), MATCH($K$10, 'Availability Model'!$C$1:$T$1, 0))</f>
        <v>4</v>
      </c>
      <c r="Q140">
        <f>Q139*INDEX('Availability Model'!$C$53:$T$57, MATCH($K$138,'Availability Model'!$B$53:$B$57, 0), MATCH($K$10, 'Availability Model'!$C$1:$T$1, 0))</f>
        <v>4</v>
      </c>
      <c r="R140">
        <f>R139*INDEX('Availability Model'!$C$53:$T$57, MATCH($K$138,'Availability Model'!$B$53:$B$57, 0), MATCH($K$10, 'Availability Model'!$C$1:$T$1, 0))</f>
        <v>4</v>
      </c>
      <c r="S140">
        <f>S139*INDEX('Availability Model'!$C$53:$T$57, MATCH($K$138,'Availability Model'!$B$53:$B$57, 0), MATCH($K$10, 'Availability Model'!$C$1:$T$1, 0))</f>
        <v>4</v>
      </c>
      <c r="T140">
        <f>T139*INDEX('Availability Model'!$C$53:$T$57, MATCH($K$138,'Availability Model'!$B$53:$B$57, 0), MATCH($K$10, 'Availability Model'!$C$1:$T$1, 0))</f>
        <v>4</v>
      </c>
      <c r="U140">
        <f>U139*INDEX('Availability Model'!$C$53:$T$57, MATCH($K$138,'Availability Model'!$B$53:$B$57, 0), MATCH($K$10, 'Availability Model'!$C$1:$T$1, 0))</f>
        <v>4</v>
      </c>
      <c r="V140">
        <f>V139*INDEX('Availability Model'!$C$53:$T$57, MATCH($K$138,'Availability Model'!$B$53:$B$57, 0), MATCH($K$10, 'Availability Model'!$C$1:$T$1, 0))</f>
        <v>4</v>
      </c>
      <c r="W140">
        <f>W139*INDEX('Availability Model'!$C$53:$T$57, MATCH($K$138,'Availability Model'!$B$53:$B$57, 0), MATCH($K$10, 'Availability Model'!$C$1:$T$1, 0))</f>
        <v>4</v>
      </c>
      <c r="X140">
        <f>X139*INDEX('Availability Model'!$C$53:$T$57, MATCH($K$138,'Availability Model'!$B$53:$B$57, 0), MATCH($K$10, 'Availability Model'!$C$1:$T$1, 0))</f>
        <v>4</v>
      </c>
      <c r="Y140">
        <f>Y139*INDEX('Availability Model'!$C$53:$T$57, MATCH($K$138,'Availability Model'!$B$53:$B$57, 0), MATCH($K$10, 'Availability Model'!$C$1:$T$1, 0))</f>
        <v>4</v>
      </c>
      <c r="Z140">
        <f>Z139*INDEX('Availability Model'!$C$53:$T$57, MATCH($K$138,'Availability Model'!$B$53:$B$57, 0), MATCH($K$10, 'Availability Model'!$C$1:$T$1, 0))</f>
        <v>4</v>
      </c>
      <c r="AA140">
        <f>AA139*INDEX('Availability Model'!$C$53:$T$57, MATCH($K$138,'Availability Model'!$B$53:$B$57, 0), MATCH($K$10, 'Availability Model'!$C$1:$T$1, 0))</f>
        <v>4</v>
      </c>
      <c r="AB140">
        <f>AB139*INDEX('Availability Model'!$C$53:$T$57, MATCH($K$138,'Availability Model'!$B$53:$B$57, 0), MATCH($K$10, 'Availability Model'!$C$1:$T$1, 0))</f>
        <v>4</v>
      </c>
      <c r="AC140">
        <f>AC139*INDEX('Availability Model'!$C$53:$T$57, MATCH($K$138,'Availability Model'!$B$53:$B$57, 0), MATCH($K$10, 'Availability Model'!$C$1:$T$1, 0))</f>
        <v>4</v>
      </c>
      <c r="AD140">
        <f>AD139*INDEX('Availability Model'!$C$53:$T$57, MATCH($K$138,'Availability Model'!$B$53:$B$57, 0), MATCH($K$10, 'Availability Model'!$C$1:$T$1, 0))</f>
        <v>4</v>
      </c>
      <c r="AE140">
        <f>AE139*INDEX('Availability Model'!$C$53:$T$57, MATCH($K$138,'Availability Model'!$B$53:$B$57, 0), MATCH($K$10, 'Availability Model'!$C$1:$T$1, 0))</f>
        <v>4</v>
      </c>
      <c r="AF140">
        <f>AF139*INDEX('Availability Model'!$C$53:$T$57, MATCH($K$138,'Availability Model'!$B$53:$B$57, 0), MATCH($K$10, 'Availability Model'!$C$1:$T$1, 0))</f>
        <v>4</v>
      </c>
      <c r="AG140">
        <f>AG139*INDEX('Availability Model'!$C$53:$T$57, MATCH($K$138,'Availability Model'!$B$53:$B$57, 0), MATCH($K$10, 'Availability Model'!$C$1:$T$1, 0))</f>
        <v>4</v>
      </c>
      <c r="AH140">
        <f>AH139*INDEX('Availability Model'!$C$53:$T$57, MATCH($K$138,'Availability Model'!$B$53:$B$57, 0), MATCH($K$10, 'Availability Model'!$C$1:$T$1, 0))</f>
        <v>4</v>
      </c>
      <c r="AI140">
        <f>AI139*INDEX('Availability Model'!$C$53:$T$57, MATCH($K$138,'Availability Model'!$B$53:$B$57, 0), MATCH($K$10, 'Availability Model'!$C$1:$T$1, 0))</f>
        <v>4</v>
      </c>
      <c r="AJ140">
        <f>AJ139*INDEX('Availability Model'!$C$53:$T$57, MATCH($K$138,'Availability Model'!$B$53:$B$57, 0), MATCH($K$10, 'Availability Model'!$C$1:$T$1, 0))</f>
        <v>4</v>
      </c>
      <c r="AK140">
        <f>AK139*INDEX('Availability Model'!$C$53:$T$57, MATCH($K$138,'Availability Model'!$B$53:$B$57, 0), MATCH($K$10, 'Availability Model'!$C$1:$T$1, 0))</f>
        <v>4</v>
      </c>
      <c r="AL140">
        <f>AL139*INDEX('Availability Model'!$C$53:$T$57, MATCH($K$138,'Availability Model'!$B$53:$B$57, 0), MATCH($K$10, 'Availability Model'!$C$1:$T$1, 0))</f>
        <v>4</v>
      </c>
    </row>
    <row r="141" spans="4:38">
      <c r="D141" s="7" t="s">
        <v>302</v>
      </c>
      <c r="E141" s="16" t="s">
        <v>106</v>
      </c>
      <c r="K141" s="65">
        <f>K132</f>
        <v>1.8129533678756478</v>
      </c>
      <c r="L141" s="65">
        <f t="shared" ref="L141:AL141" si="70">L132</f>
        <v>1.9066551166747128</v>
      </c>
      <c r="M141" s="65">
        <f t="shared" si="70"/>
        <v>1.8367738032705883</v>
      </c>
      <c r="N141" s="65">
        <f t="shared" si="70"/>
        <v>1.8815339776532183</v>
      </c>
      <c r="O141" s="65">
        <f t="shared" si="70"/>
        <v>2.274116334125547</v>
      </c>
      <c r="P141" s="65">
        <f t="shared" si="70"/>
        <v>2.277607063808083</v>
      </c>
      <c r="Q141" s="65">
        <f t="shared" si="70"/>
        <v>2.0845047041176494</v>
      </c>
      <c r="R141" s="65">
        <f t="shared" si="70"/>
        <v>2.0845047041176494</v>
      </c>
      <c r="S141" s="65">
        <f t="shared" si="70"/>
        <v>1.9123332911358926</v>
      </c>
      <c r="T141" s="65">
        <f t="shared" si="70"/>
        <v>1.9148328343992786</v>
      </c>
      <c r="U141" s="65">
        <f t="shared" si="70"/>
        <v>1.9123332911358926</v>
      </c>
      <c r="V141" s="65">
        <f t="shared" si="70"/>
        <v>1.9123332911358926</v>
      </c>
      <c r="W141" s="65">
        <f t="shared" si="70"/>
        <v>1.9123332911358926</v>
      </c>
      <c r="X141" s="65">
        <f t="shared" si="70"/>
        <v>1.9148328343992786</v>
      </c>
      <c r="Y141" s="65">
        <f t="shared" si="70"/>
        <v>1.9123332911358926</v>
      </c>
      <c r="Z141" s="65">
        <f t="shared" si="70"/>
        <v>1.9123332911358926</v>
      </c>
      <c r="AA141" s="65">
        <f t="shared" si="70"/>
        <v>1.9123332911358926</v>
      </c>
      <c r="AB141" s="65">
        <f t="shared" si="70"/>
        <v>1.9148328343992786</v>
      </c>
      <c r="AC141" s="65">
        <f t="shared" si="70"/>
        <v>1.4590111755413389</v>
      </c>
      <c r="AD141" s="65">
        <f t="shared" si="70"/>
        <v>1.4590111755413389</v>
      </c>
      <c r="AE141" s="65">
        <f t="shared" si="70"/>
        <v>1.4590111755413389</v>
      </c>
      <c r="AF141" s="65">
        <f t="shared" si="70"/>
        <v>1.4615107188047249</v>
      </c>
      <c r="AG141" s="65">
        <f t="shared" si="70"/>
        <v>1.4590111755413389</v>
      </c>
      <c r="AH141" s="65">
        <f t="shared" si="70"/>
        <v>1.4590111755413389</v>
      </c>
      <c r="AI141" s="65">
        <f t="shared" si="70"/>
        <v>1.4590111755413389</v>
      </c>
      <c r="AJ141" s="65">
        <f t="shared" si="70"/>
        <v>1.4615107188047249</v>
      </c>
      <c r="AK141" s="65">
        <f t="shared" si="70"/>
        <v>1.4590111755413389</v>
      </c>
      <c r="AL141" s="65">
        <f t="shared" si="70"/>
        <v>1.4590111755413389</v>
      </c>
    </row>
    <row r="142" spans="4:38">
      <c r="D142" s="7" t="s">
        <v>313</v>
      </c>
      <c r="E142" s="16" t="s">
        <v>106</v>
      </c>
      <c r="K142" s="140">
        <f>ROUND(K140-K141,0)</f>
        <v>2</v>
      </c>
      <c r="L142" s="140">
        <f t="shared" ref="L142:AL142" si="71">ROUND(L140-L141,0)</f>
        <v>2</v>
      </c>
      <c r="M142" s="140">
        <f t="shared" si="71"/>
        <v>2</v>
      </c>
      <c r="N142" s="140">
        <f t="shared" si="71"/>
        <v>2</v>
      </c>
      <c r="O142" s="140">
        <f t="shared" si="71"/>
        <v>2</v>
      </c>
      <c r="P142" s="140">
        <f t="shared" si="71"/>
        <v>2</v>
      </c>
      <c r="Q142" s="140">
        <f t="shared" si="71"/>
        <v>2</v>
      </c>
      <c r="R142" s="140">
        <f t="shared" si="71"/>
        <v>2</v>
      </c>
      <c r="S142" s="140">
        <f t="shared" si="71"/>
        <v>2</v>
      </c>
      <c r="T142" s="140">
        <f t="shared" si="71"/>
        <v>2</v>
      </c>
      <c r="U142" s="140">
        <f t="shared" si="71"/>
        <v>2</v>
      </c>
      <c r="V142" s="140">
        <f t="shared" si="71"/>
        <v>2</v>
      </c>
      <c r="W142" s="140">
        <f t="shared" si="71"/>
        <v>2</v>
      </c>
      <c r="X142" s="140">
        <f t="shared" si="71"/>
        <v>2</v>
      </c>
      <c r="Y142" s="140">
        <f t="shared" si="71"/>
        <v>2</v>
      </c>
      <c r="Z142" s="140">
        <f t="shared" si="71"/>
        <v>2</v>
      </c>
      <c r="AA142" s="140">
        <f t="shared" si="71"/>
        <v>2</v>
      </c>
      <c r="AB142" s="140">
        <f t="shared" si="71"/>
        <v>2</v>
      </c>
      <c r="AC142" s="140">
        <f t="shared" si="71"/>
        <v>3</v>
      </c>
      <c r="AD142" s="140">
        <f t="shared" si="71"/>
        <v>3</v>
      </c>
      <c r="AE142" s="140">
        <f t="shared" si="71"/>
        <v>3</v>
      </c>
      <c r="AF142" s="140">
        <f t="shared" si="71"/>
        <v>3</v>
      </c>
      <c r="AG142" s="140">
        <f t="shared" si="71"/>
        <v>3</v>
      </c>
      <c r="AH142" s="140">
        <f t="shared" si="71"/>
        <v>3</v>
      </c>
      <c r="AI142" s="140">
        <f t="shared" si="71"/>
        <v>3</v>
      </c>
      <c r="AJ142" s="140">
        <f t="shared" si="71"/>
        <v>3</v>
      </c>
      <c r="AK142" s="140">
        <f t="shared" si="71"/>
        <v>3</v>
      </c>
      <c r="AL142" s="140">
        <f t="shared" si="71"/>
        <v>3</v>
      </c>
    </row>
    <row r="143" spans="4:38">
      <c r="D143" s="7" t="s">
        <v>314</v>
      </c>
      <c r="E143" s="16" t="s">
        <v>145</v>
      </c>
      <c r="K143" s="90">
        <f>K142*K34</f>
        <v>740.27397260273972</v>
      </c>
      <c r="L143" s="90">
        <f t="shared" ref="L143:AL143" si="72">L142*L34</f>
        <v>697.10044699453556</v>
      </c>
      <c r="M143" s="90">
        <f t="shared" si="72"/>
        <v>728.79951338082208</v>
      </c>
      <c r="N143" s="90">
        <f t="shared" si="72"/>
        <v>1302.8995515967122</v>
      </c>
      <c r="O143" s="90">
        <f t="shared" si="72"/>
        <v>0</v>
      </c>
      <c r="P143" s="90">
        <f t="shared" si="72"/>
        <v>0</v>
      </c>
      <c r="Q143" s="90">
        <f t="shared" si="72"/>
        <v>0</v>
      </c>
      <c r="R143" s="90">
        <f t="shared" si="72"/>
        <v>0</v>
      </c>
      <c r="S143" s="90">
        <f t="shared" si="72"/>
        <v>0</v>
      </c>
      <c r="T143" s="90">
        <f t="shared" si="72"/>
        <v>0</v>
      </c>
      <c r="U143" s="90">
        <f t="shared" si="72"/>
        <v>0</v>
      </c>
      <c r="V143" s="90">
        <f t="shared" si="72"/>
        <v>0</v>
      </c>
      <c r="W143" s="90">
        <f t="shared" si="72"/>
        <v>0</v>
      </c>
      <c r="X143" s="90">
        <f t="shared" si="72"/>
        <v>0</v>
      </c>
      <c r="Y143" s="90">
        <f t="shared" si="72"/>
        <v>0</v>
      </c>
      <c r="Z143" s="90">
        <f t="shared" si="72"/>
        <v>0</v>
      </c>
      <c r="AA143" s="90">
        <f t="shared" si="72"/>
        <v>0</v>
      </c>
      <c r="AB143" s="90">
        <f t="shared" si="72"/>
        <v>0</v>
      </c>
      <c r="AC143" s="90">
        <f t="shared" si="72"/>
        <v>2683.1635412128871</v>
      </c>
      <c r="AD143" s="90">
        <f t="shared" si="72"/>
        <v>2683.1635412128871</v>
      </c>
      <c r="AE143" s="90">
        <f t="shared" si="72"/>
        <v>2683.1635412128871</v>
      </c>
      <c r="AF143" s="90">
        <f t="shared" si="72"/>
        <v>2675.832493286076</v>
      </c>
      <c r="AG143" s="90">
        <f t="shared" si="72"/>
        <v>2683.1635412128871</v>
      </c>
      <c r="AH143" s="90">
        <f t="shared" si="72"/>
        <v>2683.1635412128871</v>
      </c>
      <c r="AI143" s="90">
        <f t="shared" si="72"/>
        <v>2683.1635412128871</v>
      </c>
      <c r="AJ143" s="90">
        <f t="shared" si="72"/>
        <v>2675.832493286076</v>
      </c>
      <c r="AK143" s="90">
        <f t="shared" si="72"/>
        <v>2683.1635412128871</v>
      </c>
      <c r="AL143" s="90">
        <f t="shared" si="72"/>
        <v>2683.1635412128871</v>
      </c>
    </row>
    <row r="144" spans="4:38">
      <c r="D144" s="7"/>
    </row>
    <row r="145" spans="4:38">
      <c r="D145" s="3" t="s">
        <v>315</v>
      </c>
      <c r="E145" s="16" t="s">
        <v>145</v>
      </c>
      <c r="K145" s="65">
        <f>K143*INDEX('Availability Model'!$C$60:$T$64, MATCH($K$138,'Availability Model'!$B$60:$B$64, 0), MATCH($K$10, 'Availability Model'!$C$1:$T$1, 0))</f>
        <v>222.08219178082192</v>
      </c>
      <c r="L145" s="65">
        <f>L143*INDEX('Availability Model'!$C$60:$T$64, MATCH($K$138,'Availability Model'!$B$60:$B$64, 0), MATCH($K$10, 'Availability Model'!$C$1:$T$1, 0))</f>
        <v>209.13013409836066</v>
      </c>
      <c r="M145" s="65">
        <f>M143*INDEX('Availability Model'!$C$60:$T$64, MATCH($K$138,'Availability Model'!$B$60:$B$64, 0), MATCH($K$10, 'Availability Model'!$C$1:$T$1, 0))</f>
        <v>218.63985401424662</v>
      </c>
      <c r="N145" s="65">
        <f>N143*INDEX('Availability Model'!$C$60:$T$64, MATCH($N$138,'Availability Model'!$B$60:$B$64, 0), MATCH($K$10, 'Availability Model'!$C$1:$T$1, 0))</f>
        <v>390.86986547901364</v>
      </c>
      <c r="O145" s="65">
        <f>O143*INDEX('Availability Model'!$C$60:$T$64, MATCH($N$138,'Availability Model'!$B$60:$B$64, 0), MATCH($K$10, 'Availability Model'!$C$1:$T$1, 0))</f>
        <v>0</v>
      </c>
      <c r="P145" s="65">
        <f>P143*INDEX('Availability Model'!$C$60:$T$64, MATCH($N$138,'Availability Model'!$B$60:$B$64, 0), MATCH($K$10, 'Availability Model'!$C$1:$T$1, 0))</f>
        <v>0</v>
      </c>
      <c r="Q145" s="65">
        <f>Q143*INDEX('Availability Model'!$C$60:$T$64, MATCH($N$138,'Availability Model'!$B$60:$B$64, 0), MATCH($K$10, 'Availability Model'!$C$1:$T$1, 0))</f>
        <v>0</v>
      </c>
      <c r="R145" s="65">
        <f>R143*INDEX('Availability Model'!$C$60:$T$64, MATCH($N$138,'Availability Model'!$B$60:$B$64, 0), MATCH($K$10, 'Availability Model'!$C$1:$T$1, 0))</f>
        <v>0</v>
      </c>
      <c r="S145" s="65">
        <f>S143*INDEX('Availability Model'!$C$60:$T$64, MATCH($N$138,'Availability Model'!$B$60:$B$64, 0), MATCH($K$10, 'Availability Model'!$C$1:$T$1, 0))</f>
        <v>0</v>
      </c>
      <c r="T145" s="65">
        <f>T143*INDEX('Availability Model'!$C$60:$T$64, MATCH($N$138,'Availability Model'!$B$60:$B$64, 0), MATCH($K$10, 'Availability Model'!$C$1:$T$1, 0))</f>
        <v>0</v>
      </c>
      <c r="U145" s="65">
        <f>U143*INDEX('Availability Model'!$C$60:$T$64, MATCH($N$138,'Availability Model'!$B$60:$B$64, 0), MATCH($K$10, 'Availability Model'!$C$1:$T$1, 0))</f>
        <v>0</v>
      </c>
      <c r="V145" s="65">
        <f>V143*INDEX('Availability Model'!$C$60:$T$64, MATCH($N$138,'Availability Model'!$B$60:$B$64, 0), MATCH($K$10, 'Availability Model'!$C$1:$T$1, 0))</f>
        <v>0</v>
      </c>
      <c r="W145" s="65">
        <f>W143*INDEX('Availability Model'!$C$60:$T$64, MATCH($N$138,'Availability Model'!$B$60:$B$64, 0), MATCH($K$10, 'Availability Model'!$C$1:$T$1, 0))</f>
        <v>0</v>
      </c>
      <c r="X145" s="65">
        <f>X143*INDEX('Availability Model'!$C$60:$T$64, MATCH($N$138,'Availability Model'!$B$60:$B$64, 0), MATCH($K$10, 'Availability Model'!$C$1:$T$1, 0))</f>
        <v>0</v>
      </c>
      <c r="Y145" s="65">
        <f>Y143*INDEX('Availability Model'!$C$60:$T$64, MATCH($N$138,'Availability Model'!$B$60:$B$64, 0), MATCH($K$10, 'Availability Model'!$C$1:$T$1, 0))</f>
        <v>0</v>
      </c>
      <c r="Z145" s="65">
        <f>Z143*INDEX('Availability Model'!$C$60:$T$64, MATCH($N$138,'Availability Model'!$B$60:$B$64, 0), MATCH($K$10, 'Availability Model'!$C$1:$T$1, 0))</f>
        <v>0</v>
      </c>
      <c r="AA145" s="65">
        <f>AA143*INDEX('Availability Model'!$C$60:$T$64, MATCH($N$138,'Availability Model'!$B$60:$B$64, 0), MATCH($K$10, 'Availability Model'!$C$1:$T$1, 0))</f>
        <v>0</v>
      </c>
      <c r="AB145" s="65">
        <f>AB143*INDEX('Availability Model'!$C$60:$T$64, MATCH($N$138,'Availability Model'!$B$60:$B$64, 0), MATCH($K$10, 'Availability Model'!$C$1:$T$1, 0))</f>
        <v>0</v>
      </c>
      <c r="AC145" s="65">
        <f>AC143*INDEX('Availability Model'!$C$60:$T$64, MATCH($N$138,'Availability Model'!$B$60:$B$64, 0), MATCH($K$10, 'Availability Model'!$C$1:$T$1, 0))</f>
        <v>804.94906236386612</v>
      </c>
      <c r="AD145" s="65">
        <f>AD143*INDEX('Availability Model'!$C$60:$T$64, MATCH($N$138,'Availability Model'!$B$60:$B$64, 0), MATCH($K$10, 'Availability Model'!$C$1:$T$1, 0))</f>
        <v>804.94906236386612</v>
      </c>
      <c r="AE145" s="65">
        <f>AE143*INDEX('Availability Model'!$C$60:$T$64, MATCH($N$138,'Availability Model'!$B$60:$B$64, 0), MATCH($K$10, 'Availability Model'!$C$1:$T$1, 0))</f>
        <v>804.94906236386612</v>
      </c>
      <c r="AF145" s="65">
        <f>AF143*INDEX('Availability Model'!$C$60:$T$64, MATCH($N$138,'Availability Model'!$B$60:$B$64, 0), MATCH($K$10, 'Availability Model'!$C$1:$T$1, 0))</f>
        <v>802.74974798582275</v>
      </c>
      <c r="AG145" s="65">
        <f>AG143*INDEX('Availability Model'!$C$60:$T$64, MATCH($N$138,'Availability Model'!$B$60:$B$64, 0), MATCH($K$10, 'Availability Model'!$C$1:$T$1, 0))</f>
        <v>804.94906236386612</v>
      </c>
      <c r="AH145" s="65">
        <f>AH143*INDEX('Availability Model'!$C$60:$T$64, MATCH($N$138,'Availability Model'!$B$60:$B$64, 0), MATCH($K$10, 'Availability Model'!$C$1:$T$1, 0))</f>
        <v>804.94906236386612</v>
      </c>
      <c r="AI145" s="65">
        <f>AI143*INDEX('Availability Model'!$C$60:$T$64, MATCH($N$138,'Availability Model'!$B$60:$B$64, 0), MATCH($K$10, 'Availability Model'!$C$1:$T$1, 0))</f>
        <v>804.94906236386612</v>
      </c>
      <c r="AJ145" s="65">
        <f>AJ143*INDEX('Availability Model'!$C$60:$T$64, MATCH($N$138,'Availability Model'!$B$60:$B$64, 0), MATCH($K$10, 'Availability Model'!$C$1:$T$1, 0))</f>
        <v>802.74974798582275</v>
      </c>
      <c r="AK145" s="65">
        <f>AK143*INDEX('Availability Model'!$C$60:$T$64, MATCH($N$138,'Availability Model'!$B$60:$B$64, 0), MATCH($K$10, 'Availability Model'!$C$1:$T$1, 0))</f>
        <v>804.94906236386612</v>
      </c>
      <c r="AL145" s="65">
        <f>AL143*INDEX('Availability Model'!$C$60:$T$64, MATCH($N$138,'Availability Model'!$B$60:$B$64, 0), MATCH($K$10, 'Availability Model'!$C$1:$T$1, 0))</f>
        <v>804.94906236386612</v>
      </c>
    </row>
    <row r="146" spans="4:38">
      <c r="D146" t="s">
        <v>317</v>
      </c>
      <c r="E146" s="16" t="s">
        <v>211</v>
      </c>
      <c r="K146" s="65">
        <f>K145*K71</f>
        <v>6158.3391780821921</v>
      </c>
      <c r="L146" s="65">
        <f t="shared" ref="L146:AL146" si="73">L145*L71</f>
        <v>6169.3389559016396</v>
      </c>
      <c r="M146" s="65">
        <f t="shared" si="73"/>
        <v>6611.6691853908178</v>
      </c>
      <c r="N146" s="65">
        <f t="shared" si="73"/>
        <v>12531.287887257178</v>
      </c>
      <c r="O146" s="65">
        <f t="shared" si="73"/>
        <v>0</v>
      </c>
      <c r="P146" s="65">
        <f t="shared" si="73"/>
        <v>0</v>
      </c>
      <c r="Q146" s="65">
        <f t="shared" si="73"/>
        <v>0</v>
      </c>
      <c r="R146" s="65">
        <f t="shared" si="73"/>
        <v>0</v>
      </c>
      <c r="S146" s="65">
        <f t="shared" si="73"/>
        <v>0</v>
      </c>
      <c r="T146" s="65">
        <f t="shared" si="73"/>
        <v>0</v>
      </c>
      <c r="U146" s="65">
        <f t="shared" si="73"/>
        <v>0</v>
      </c>
      <c r="V146" s="65">
        <f t="shared" si="73"/>
        <v>0</v>
      </c>
      <c r="W146" s="65">
        <f t="shared" si="73"/>
        <v>0</v>
      </c>
      <c r="X146" s="65">
        <f t="shared" si="73"/>
        <v>0</v>
      </c>
      <c r="Y146" s="65">
        <f t="shared" si="73"/>
        <v>0</v>
      </c>
      <c r="Z146" s="65">
        <f t="shared" si="73"/>
        <v>0</v>
      </c>
      <c r="AA146" s="65">
        <f t="shared" si="73"/>
        <v>0</v>
      </c>
      <c r="AB146" s="65">
        <f t="shared" si="73"/>
        <v>0</v>
      </c>
      <c r="AC146" s="65">
        <f t="shared" si="73"/>
        <v>61847.179090179372</v>
      </c>
      <c r="AD146" s="65">
        <f t="shared" si="73"/>
        <v>65558.009835590143</v>
      </c>
      <c r="AE146" s="65">
        <f t="shared" si="73"/>
        <v>69491.490425725555</v>
      </c>
      <c r="AF146" s="65">
        <f t="shared" si="73"/>
        <v>73459.720343478737</v>
      </c>
      <c r="AG146" s="65">
        <f t="shared" si="73"/>
        <v>78080.638642345235</v>
      </c>
      <c r="AH146" s="65">
        <f t="shared" si="73"/>
        <v>82765.47696088595</v>
      </c>
      <c r="AI146" s="65">
        <f t="shared" si="73"/>
        <v>87731.405578539125</v>
      </c>
      <c r="AJ146" s="65">
        <f t="shared" si="73"/>
        <v>92741.204421685208</v>
      </c>
      <c r="AK146" s="65">
        <f t="shared" si="73"/>
        <v>98575.007308046566</v>
      </c>
      <c r="AL146" s="65">
        <f t="shared" si="73"/>
        <v>104489.50774652937</v>
      </c>
    </row>
    <row r="147" spans="4:38">
      <c r="D147" t="s">
        <v>318</v>
      </c>
      <c r="E147" s="16" t="s">
        <v>211</v>
      </c>
      <c r="K147" s="65">
        <f>(Inputs!$E$117*Inputs!$E$118*'Initiative 2 Model'!K145*K75)+(Inputs!$E$114*0.25*'Initiative 2 Model'!K145*K77)</f>
        <v>995.4834246575341</v>
      </c>
      <c r="L147" s="65">
        <f>(Inputs!$E$117*Inputs!$E$118*'Initiative 2 Model'!L145*L75)+(Inputs!$E$114*0.25*'Initiative 2 Model'!L145*L77)</f>
        <v>1025.1688834184779</v>
      </c>
      <c r="M147" s="65">
        <f>(Inputs!$E$117*Inputs!$E$118*'Initiative 2 Model'!M145*M75)+(Inputs!$E$114*0.25*'Initiative 2 Model'!M145*M77)</f>
        <v>1172.1053008853519</v>
      </c>
      <c r="N147" s="65">
        <f>(Inputs!$E$117*Inputs!$E$118*'Initiative 2 Model'!N145*N75)+(Inputs!$E$114*0.25*'Initiative 2 Model'!N145*N77)</f>
        <v>2291.5429008467036</v>
      </c>
      <c r="O147" s="65">
        <f>(Inputs!$E$117*Inputs!$E$118*'Initiative 2 Model'!O145*O75)+(Inputs!$E$114*0.25*'Initiative 2 Model'!O145*O77)</f>
        <v>0</v>
      </c>
      <c r="P147" s="65">
        <f>(Inputs!$E$117*Inputs!$E$118*'Initiative 2 Model'!P145*P75)+(Inputs!$E$114*0.25*'Initiative 2 Model'!P145*P77)</f>
        <v>0</v>
      </c>
      <c r="Q147" s="65">
        <f>(Inputs!$E$117*Inputs!$E$118*'Initiative 2 Model'!Q145*Q75)+(Inputs!$E$114*0.25*'Initiative 2 Model'!Q145*Q77)</f>
        <v>0</v>
      </c>
      <c r="R147" s="65">
        <f>(Inputs!$E$117*Inputs!$E$118*'Initiative 2 Model'!R145*R75)+(Inputs!$E$114*0.25*'Initiative 2 Model'!R145*R77)</f>
        <v>0</v>
      </c>
      <c r="S147" s="65">
        <f>(Inputs!$E$117*Inputs!$E$118*'Initiative 2 Model'!S145*S75)+(Inputs!$E$114*0.25*'Initiative 2 Model'!S145*S77)</f>
        <v>0</v>
      </c>
      <c r="T147" s="65">
        <f>(Inputs!$E$117*Inputs!$E$118*'Initiative 2 Model'!T145*T75)+(Inputs!$E$114*0.25*'Initiative 2 Model'!T145*T77)</f>
        <v>0</v>
      </c>
      <c r="U147" s="65">
        <f>(Inputs!$E$117*Inputs!$E$118*'Initiative 2 Model'!U145*U75)+(Inputs!$E$114*0.25*'Initiative 2 Model'!U145*U77)</f>
        <v>0</v>
      </c>
      <c r="V147" s="65">
        <f>(Inputs!$E$117*Inputs!$E$118*'Initiative 2 Model'!V145*V75)+(Inputs!$E$114*0.25*'Initiative 2 Model'!V145*V77)</f>
        <v>0</v>
      </c>
      <c r="W147" s="65">
        <f>(Inputs!$E$117*Inputs!$E$118*'Initiative 2 Model'!W145*W75)+(Inputs!$E$114*0.25*'Initiative 2 Model'!W145*W77)</f>
        <v>0</v>
      </c>
      <c r="X147" s="65">
        <f>(Inputs!$E$117*Inputs!$E$118*'Initiative 2 Model'!X145*X75)+(Inputs!$E$114*0.25*'Initiative 2 Model'!X145*X77)</f>
        <v>0</v>
      </c>
      <c r="Y147" s="65">
        <f>(Inputs!$E$117*Inputs!$E$118*'Initiative 2 Model'!Y145*Y75)+(Inputs!$E$114*0.25*'Initiative 2 Model'!Y145*Y77)</f>
        <v>0</v>
      </c>
      <c r="Z147" s="65">
        <f>(Inputs!$E$117*Inputs!$E$118*'Initiative 2 Model'!Z145*Z75)+(Inputs!$E$114*0.25*'Initiative 2 Model'!Z145*Z77)</f>
        <v>0</v>
      </c>
      <c r="AA147" s="65">
        <f>(Inputs!$E$117*Inputs!$E$118*'Initiative 2 Model'!AA145*AA75)+(Inputs!$E$114*0.25*'Initiative 2 Model'!AA145*AA77)</f>
        <v>0</v>
      </c>
      <c r="AB147" s="65">
        <f>(Inputs!$E$117*Inputs!$E$118*'Initiative 2 Model'!AB145*AB75)+(Inputs!$E$114*0.25*'Initiative 2 Model'!AB145*AB77)</f>
        <v>0</v>
      </c>
      <c r="AC147" s="65">
        <f>(Inputs!$E$117*Inputs!$E$118*'Initiative 2 Model'!AC145*AC75)+(Inputs!$E$114*0.25*'Initiative 2 Model'!AC145*AC77)</f>
        <v>18060.997193686122</v>
      </c>
      <c r="AD147" s="65">
        <f>(Inputs!$E$117*Inputs!$E$118*'Initiative 2 Model'!AD145*AD75)+(Inputs!$E$114*0.25*'Initiative 2 Model'!AD145*AD77)</f>
        <v>19751.50653101514</v>
      </c>
      <c r="AE147" s="65">
        <f>(Inputs!$E$117*Inputs!$E$118*'Initiative 2 Model'!AE145*AE75)+(Inputs!$E$114*0.25*'Initiative 2 Model'!AE145*AE77)</f>
        <v>21600.247542318157</v>
      </c>
      <c r="AF147" s="65">
        <f>(Inputs!$E$117*Inputs!$E$118*'Initiative 2 Model'!AF145*AF75)+(Inputs!$E$114*0.25*'Initiative 2 Model'!AF145*AF77)</f>
        <v>23557.489644759247</v>
      </c>
      <c r="AG147" s="65">
        <f>(Inputs!$E$117*Inputs!$E$118*'Initiative 2 Model'!AG145*AG75)+(Inputs!$E$114*0.25*'Initiative 2 Model'!AG145*AG77)</f>
        <v>25833.052786948461</v>
      </c>
      <c r="AH147" s="65">
        <f>(Inputs!$E$117*Inputs!$E$118*'Initiative 2 Model'!AH145*AH75)+(Inputs!$E$114*0.25*'Initiative 2 Model'!AH145*AH77)</f>
        <v>28251.026527806833</v>
      </c>
      <c r="AI147" s="65">
        <f>(Inputs!$E$117*Inputs!$E$118*'Initiative 2 Model'!AI145*AI75)+(Inputs!$E$114*0.25*'Initiative 2 Model'!AI145*AI77)</f>
        <v>30895.322610809551</v>
      </c>
      <c r="AJ147" s="65">
        <f>(Inputs!$E$117*Inputs!$E$118*'Initiative 2 Model'!AJ145*AJ75)+(Inputs!$E$114*0.25*'Initiative 2 Model'!AJ145*AJ77)</f>
        <v>33694.810258527817</v>
      </c>
      <c r="AK147" s="65">
        <f>(Inputs!$E$117*Inputs!$E$118*'Initiative 2 Model'!AK145*AK75)+(Inputs!$E$114*0.25*'Initiative 2 Model'!AK145*AK77)</f>
        <v>36949.599689133487</v>
      </c>
      <c r="AL147" s="65">
        <f>(Inputs!$E$117*Inputs!$E$118*'Initiative 2 Model'!AL145*AL75)+(Inputs!$E$114*0.25*'Initiative 2 Model'!AL145*AL77)</f>
        <v>40408.082220036384</v>
      </c>
    </row>
    <row r="148" spans="4:38">
      <c r="D148" s="3" t="s">
        <v>319</v>
      </c>
      <c r="E148" s="16" t="s">
        <v>211</v>
      </c>
      <c r="K148" s="65">
        <f>IF(K27&gt;0,K146+K147,0)</f>
        <v>7153.8226027397259</v>
      </c>
      <c r="L148" s="65">
        <f t="shared" ref="L148:AL148" si="74">IF(L27&gt;0,L146+L147,0)</f>
        <v>7194.5078393201175</v>
      </c>
      <c r="M148" s="65">
        <f t="shared" si="74"/>
        <v>7783.7744862761701</v>
      </c>
      <c r="N148" s="65">
        <f t="shared" si="74"/>
        <v>14822.830788103882</v>
      </c>
      <c r="O148" s="65">
        <f t="shared" si="74"/>
        <v>0</v>
      </c>
      <c r="P148" s="65">
        <f t="shared" si="74"/>
        <v>0</v>
      </c>
      <c r="Q148" s="65">
        <f t="shared" si="74"/>
        <v>0</v>
      </c>
      <c r="R148" s="65">
        <f t="shared" si="74"/>
        <v>0</v>
      </c>
      <c r="S148" s="65">
        <f t="shared" si="74"/>
        <v>0</v>
      </c>
      <c r="T148" s="65">
        <f t="shared" si="74"/>
        <v>0</v>
      </c>
      <c r="U148" s="65">
        <f t="shared" si="74"/>
        <v>0</v>
      </c>
      <c r="V148" s="65">
        <f t="shared" si="74"/>
        <v>0</v>
      </c>
      <c r="W148" s="65">
        <f t="shared" si="74"/>
        <v>0</v>
      </c>
      <c r="X148" s="65">
        <f t="shared" si="74"/>
        <v>0</v>
      </c>
      <c r="Y148" s="65">
        <f t="shared" si="74"/>
        <v>0</v>
      </c>
      <c r="Z148" s="65">
        <f t="shared" si="74"/>
        <v>0</v>
      </c>
      <c r="AA148" s="65">
        <f t="shared" si="74"/>
        <v>0</v>
      </c>
      <c r="AB148" s="65">
        <f t="shared" si="74"/>
        <v>0</v>
      </c>
      <c r="AC148" s="65">
        <f t="shared" si="74"/>
        <v>79908.176283865498</v>
      </c>
      <c r="AD148" s="65">
        <f t="shared" si="74"/>
        <v>85309.516366605283</v>
      </c>
      <c r="AE148" s="65">
        <f t="shared" si="74"/>
        <v>91091.737968043715</v>
      </c>
      <c r="AF148" s="65">
        <f t="shared" si="74"/>
        <v>97017.209988237984</v>
      </c>
      <c r="AG148" s="65">
        <f t="shared" si="74"/>
        <v>103913.6914292937</v>
      </c>
      <c r="AH148" s="65">
        <f t="shared" si="74"/>
        <v>111016.50348869278</v>
      </c>
      <c r="AI148" s="65">
        <f t="shared" si="74"/>
        <v>118626.72818934868</v>
      </c>
      <c r="AJ148" s="65">
        <f t="shared" si="74"/>
        <v>126436.01468021303</v>
      </c>
      <c r="AK148" s="65">
        <f t="shared" si="74"/>
        <v>135524.60699718006</v>
      </c>
      <c r="AL148" s="65">
        <f t="shared" si="74"/>
        <v>144897.58996656575</v>
      </c>
    </row>
    <row r="149" spans="4:38">
      <c r="D149" s="3"/>
      <c r="E149" s="16"/>
      <c r="K149" s="65"/>
      <c r="L149" s="65"/>
      <c r="M149" s="65"/>
      <c r="N149" s="65"/>
      <c r="O149" s="65"/>
      <c r="P149" s="65"/>
    </row>
    <row r="150" spans="4:38">
      <c r="D150" s="3" t="s">
        <v>323</v>
      </c>
      <c r="E150" s="16" t="s">
        <v>211</v>
      </c>
      <c r="K150" s="65">
        <f>K93*INDEX('Availability Model'!$C$67:$T$71, MATCH($K$138,'Availability Model'!$B$67:$B$71, 0), MATCH($K$10, 'Availability Model'!$C$1:$T$1, 0))</f>
        <v>190339.01249999998</v>
      </c>
      <c r="L150" s="65">
        <f>L93*INDEX('Availability Model'!$C$67:$T$71, MATCH($K$138,'Availability Model'!$B$67:$B$71, 0), MATCH($K$10, 'Availability Model'!$C$1:$T$1, 0))</f>
        <v>196551.97646000827</v>
      </c>
      <c r="M150" s="65">
        <f>M93*INDEX('Availability Model'!$C$67:$T$71, MATCH($K$138,'Availability Model'!$B$67:$B$71, 0), MATCH($K$10, 'Availability Model'!$C$1:$T$1, 0))</f>
        <v>224109.57328926207</v>
      </c>
      <c r="N150" s="65">
        <f>N93*INDEX('Availability Model'!$C$67:$T$71, MATCH($K$138,'Availability Model'!$B$67:$B$71, 0), MATCH($K$10, 'Availability Model'!$C$1:$T$1, 0))</f>
        <v>613408.52380142547</v>
      </c>
      <c r="O150" s="65">
        <f>O93*INDEX('Availability Model'!$C$67:$T$71, MATCH($K$138,'Availability Model'!$B$67:$B$71, 0), MATCH($K$10, 'Availability Model'!$C$1:$T$1, 0))</f>
        <v>727379.06153381173</v>
      </c>
      <c r="P150" s="65">
        <f>P93*INDEX('Availability Model'!$C$67:$T$71, MATCH($K$138,'Availability Model'!$B$67:$B$71, 0), MATCH($K$10, 'Availability Model'!$C$1:$T$1, 0))</f>
        <v>795461.74169337645</v>
      </c>
      <c r="Q150" s="65">
        <f>Q93*INDEX('Availability Model'!$C$67:$T$71, MATCH($K$138,'Availability Model'!$B$67:$B$71, 0), MATCH($K$10, 'Availability Model'!$C$1:$T$1, 0))</f>
        <v>1022010.6973927068</v>
      </c>
      <c r="R150" s="65">
        <f>R93*INDEX('Availability Model'!$C$67:$T$71, MATCH($K$138,'Availability Model'!$B$67:$B$71, 0), MATCH($K$10, 'Availability Model'!$C$1:$T$1, 0))</f>
        <v>1117670.898668664</v>
      </c>
      <c r="S150" s="65">
        <f>S93*INDEX('Availability Model'!$C$67:$T$71, MATCH($K$138,'Availability Model'!$B$67:$B$71, 0), MATCH($K$10, 'Availability Model'!$C$1:$T$1, 0))</f>
        <v>1452948.9727540854</v>
      </c>
      <c r="T150" s="65">
        <f>T93*INDEX('Availability Model'!$C$67:$T$71, MATCH($K$138,'Availability Model'!$B$67:$B$71, 0), MATCH($K$10, 'Availability Model'!$C$1:$T$1, 0))</f>
        <v>1588944.9966038677</v>
      </c>
      <c r="U150" s="65">
        <f>U93*INDEX('Availability Model'!$C$67:$T$71, MATCH($K$138,'Availability Model'!$B$67:$B$71, 0), MATCH($K$10, 'Availability Model'!$C$1:$T$1, 0))</f>
        <v>1737670.2482859897</v>
      </c>
      <c r="V150" s="65">
        <f>V93*INDEX('Availability Model'!$C$67:$T$71, MATCH($K$138,'Availability Model'!$B$67:$B$71, 0), MATCH($K$10, 'Availability Model'!$C$1:$T$1, 0))</f>
        <v>1900316.1835255581</v>
      </c>
      <c r="W150" s="65">
        <f>W93*INDEX('Availability Model'!$C$67:$T$71, MATCH($K$138,'Availability Model'!$B$67:$B$71, 0), MATCH($K$10, 'Availability Model'!$C$1:$T$1, 0))</f>
        <v>2078185.7783035501</v>
      </c>
      <c r="X150" s="65">
        <f>X93*INDEX('Availability Model'!$C$67:$T$71, MATCH($K$138,'Availability Model'!$B$67:$B$71, 0), MATCH($K$10, 'Availability Model'!$C$1:$T$1, 0))</f>
        <v>2272703.9671527622</v>
      </c>
      <c r="Y150" s="65">
        <f>Y93*INDEX('Availability Model'!$C$67:$T$71, MATCH($K$138,'Availability Model'!$B$67:$B$71, 0), MATCH($K$10, 'Availability Model'!$C$1:$T$1, 0))</f>
        <v>2485429.0584782604</v>
      </c>
      <c r="Z150" s="65">
        <f>Z93*INDEX('Availability Model'!$C$67:$T$71, MATCH($K$138,'Availability Model'!$B$67:$B$71, 0), MATCH($K$10, 'Availability Model'!$C$1:$T$1, 0))</f>
        <v>2718065.2183518251</v>
      </c>
      <c r="AA150" s="65">
        <f>AA93*INDEX('Availability Model'!$C$67:$T$71, MATCH($K$138,'Availability Model'!$B$67:$B$71, 0), MATCH($K$10, 'Availability Model'!$C$1:$T$1, 0))</f>
        <v>2972476.1227895557</v>
      </c>
      <c r="AB150" s="65">
        <f>AB93*INDEX('Availability Model'!$C$67:$T$71, MATCH($K$138,'Availability Model'!$B$67:$B$71, 0), MATCH($K$10, 'Availability Model'!$C$1:$T$1, 0))</f>
        <v>3250699.8878826578</v>
      </c>
      <c r="AC150" s="65">
        <f>AC93*INDEX('Availability Model'!$C$67:$T$71, MATCH($K$138,'Availability Model'!$B$67:$B$71, 0), MATCH($K$10, 'Availability Model'!$C$1:$T$1, 0))</f>
        <v>3554965.3973884741</v>
      </c>
      <c r="AD150" s="65">
        <f>AD93*INDEX('Availability Model'!$C$67:$T$71, MATCH($K$138,'Availability Model'!$B$67:$B$71, 0), MATCH($K$10, 'Availability Model'!$C$1:$T$1, 0))</f>
        <v>3887710.158584035</v>
      </c>
      <c r="AE150" s="65">
        <f>AE93*INDEX('Availability Model'!$C$67:$T$71, MATCH($K$138,'Availability Model'!$B$67:$B$71, 0), MATCH($K$10, 'Availability Model'!$C$1:$T$1, 0))</f>
        <v>4251599.8294275003</v>
      </c>
      <c r="AF150" s="65">
        <f>AF93*INDEX('Availability Model'!$C$67:$T$71, MATCH($K$138,'Availability Model'!$B$67:$B$71, 0), MATCH($K$10, 'Availability Model'!$C$1:$T$1, 0))</f>
        <v>4649549.5734619144</v>
      </c>
      <c r="AG150" s="65">
        <f>AG93*INDEX('Availability Model'!$C$67:$T$71, MATCH($K$138,'Availability Model'!$B$67:$B$71, 0), MATCH($K$10, 'Availability Model'!$C$1:$T$1, 0))</f>
        <v>5084747.4135379493</v>
      </c>
      <c r="AH150" s="65">
        <f>AH93*INDEX('Availability Model'!$C$67:$T$71, MATCH($K$138,'Availability Model'!$B$67:$B$71, 0), MATCH($K$10, 'Availability Model'!$C$1:$T$1, 0))</f>
        <v>5560679.7714451002</v>
      </c>
      <c r="AI150" s="65">
        <f>AI93*INDEX('Availability Model'!$C$67:$T$71, MATCH($K$138,'Availability Model'!$B$67:$B$71, 0), MATCH($K$10, 'Availability Model'!$C$1:$T$1, 0))</f>
        <v>6081159.3980523599</v>
      </c>
      <c r="AJ150" s="65">
        <f>AJ93*INDEX('Availability Model'!$C$67:$T$71, MATCH($K$138,'Availability Model'!$B$67:$B$71, 0), MATCH($K$10, 'Availability Model'!$C$1:$T$1, 0))</f>
        <v>6650355.9177100612</v>
      </c>
      <c r="AK150" s="65">
        <f>AK93*INDEX('Availability Model'!$C$67:$T$71, MATCH($K$138,'Availability Model'!$B$67:$B$71, 0), MATCH($K$10, 'Availability Model'!$C$1:$T$1, 0))</f>
        <v>7272829.2316077221</v>
      </c>
      <c r="AL150" s="65">
        <f>AL93*INDEX('Availability Model'!$C$67:$T$71, MATCH($K$138,'Availability Model'!$B$67:$B$71, 0), MATCH($K$10, 'Availability Model'!$C$1:$T$1, 0))</f>
        <v>7953566.0476862052</v>
      </c>
    </row>
    <row r="151" spans="4:38">
      <c r="D151" s="3" t="s">
        <v>324</v>
      </c>
      <c r="E151" s="16" t="s">
        <v>211</v>
      </c>
      <c r="K151" s="65">
        <f>K95*INDEX('Availability Model'!$C$67:$T$71, MATCH($K$138,'Availability Model'!$B$67:$B$71, 0), MATCH($K$10, 'Availability Model'!$C$1:$T$1, 0))</f>
        <v>14243.399999999998</v>
      </c>
      <c r="L151" s="65">
        <f>L95*INDEX('Availability Model'!$C$67:$T$71, MATCH($K$138,'Availability Model'!$B$67:$B$71, 0), MATCH($K$10, 'Availability Model'!$C$1:$T$1, 0))</f>
        <v>14708.32692016032</v>
      </c>
      <c r="M151" s="65">
        <f>M95*INDEX('Availability Model'!$C$67:$T$71, MATCH($K$138,'Availability Model'!$B$67:$B$71, 0), MATCH($K$10, 'Availability Model'!$C$1:$T$1, 0))</f>
        <v>16770.509914189428</v>
      </c>
      <c r="N151" s="65">
        <f>N95*INDEX('Availability Model'!$C$67:$T$71, MATCH($K$138,'Availability Model'!$B$67:$B$71, 0), MATCH($K$10, 'Availability Model'!$C$1:$T$1, 0))</f>
        <v>45902.428793536092</v>
      </c>
      <c r="O151" s="65">
        <f>O95*INDEX('Availability Model'!$C$67:$T$71, MATCH($K$138,'Availability Model'!$B$67:$B$71, 0), MATCH($K$10, 'Availability Model'!$C$1:$T$1, 0))</f>
        <v>54431.042743014616</v>
      </c>
      <c r="P151" s="65">
        <f>P95*INDEX('Availability Model'!$C$67:$T$71, MATCH($K$138,'Availability Model'!$B$67:$B$71, 0), MATCH($K$10, 'Availability Model'!$C$1:$T$1, 0))</f>
        <v>59525.788343760774</v>
      </c>
      <c r="Q151" s="65">
        <f>Q95*INDEX('Availability Model'!$C$67:$T$71, MATCH($K$138,'Availability Model'!$B$67:$B$71, 0), MATCH($K$10, 'Availability Model'!$C$1:$T$1, 0))</f>
        <v>65097.402132736781</v>
      </c>
      <c r="R151" s="65">
        <f>R95*INDEX('Availability Model'!$C$67:$T$71, MATCH($K$138,'Availability Model'!$B$67:$B$71, 0), MATCH($K$10, 'Availability Model'!$C$1:$T$1, 0))</f>
        <v>71190.518972360936</v>
      </c>
      <c r="S151" s="65">
        <f>S95*INDEX('Availability Model'!$C$67:$T$71, MATCH($K$138,'Availability Model'!$B$67:$B$71, 0), MATCH($K$10, 'Availability Model'!$C$1:$T$1, 0))</f>
        <v>77853.951548173922</v>
      </c>
      <c r="T151" s="65">
        <f>T95*INDEX('Availability Model'!$C$67:$T$71, MATCH($K$138,'Availability Model'!$B$67:$B$71, 0), MATCH($K$10, 'Availability Model'!$C$1:$T$1, 0))</f>
        <v>85141.081413082997</v>
      </c>
      <c r="U151" s="65">
        <f>U95*INDEX('Availability Model'!$C$67:$T$71, MATCH($K$138,'Availability Model'!$B$67:$B$71, 0), MATCH($K$10, 'Availability Model'!$C$1:$T$1, 0))</f>
        <v>93110.286633347569</v>
      </c>
      <c r="V151" s="65">
        <f>V95*INDEX('Availability Model'!$C$67:$T$71, MATCH($K$138,'Availability Model'!$B$67:$B$71, 0), MATCH($K$10, 'Availability Model'!$C$1:$T$1, 0))</f>
        <v>101825.40946222887</v>
      </c>
      <c r="W151" s="65">
        <f>W95*INDEX('Availability Model'!$C$67:$T$71, MATCH($K$138,'Availability Model'!$B$67:$B$71, 0), MATCH($K$10, 'Availability Model'!$C$1:$T$1, 0))</f>
        <v>111356.26778789349</v>
      </c>
      <c r="X151" s="65">
        <f>X95*INDEX('Availability Model'!$C$67:$T$71, MATCH($K$138,'Availability Model'!$B$67:$B$71, 0), MATCH($K$10, 'Availability Model'!$C$1:$T$1, 0))</f>
        <v>121779.21445284033</v>
      </c>
      <c r="Y151" s="65">
        <f>Y95*INDEX('Availability Model'!$C$67:$T$71, MATCH($K$138,'Availability Model'!$B$67:$B$71, 0), MATCH($K$10, 'Availability Model'!$C$1:$T$1, 0))</f>
        <v>133177.74892562616</v>
      </c>
      <c r="Z151" s="65">
        <f>Z95*INDEX('Availability Model'!$C$67:$T$71, MATCH($K$138,'Availability Model'!$B$67:$B$71, 0), MATCH($K$10, 'Availability Model'!$C$1:$T$1, 0))</f>
        <v>145643.18622506474</v>
      </c>
      <c r="AA151" s="65">
        <f>AA95*INDEX('Availability Model'!$C$67:$T$71, MATCH($K$138,'Availability Model'!$B$67:$B$71, 0), MATCH($K$10, 'Availability Model'!$C$1:$T$1, 0))</f>
        <v>159275.3884557308</v>
      </c>
      <c r="AB151" s="65">
        <f>AB95*INDEX('Availability Model'!$C$67:$T$71, MATCH($K$138,'Availability Model'!$B$67:$B$71, 0), MATCH($K$10, 'Availability Model'!$C$1:$T$1, 0))</f>
        <v>174183.56481518719</v>
      </c>
      <c r="AC151" s="65">
        <f>AC95*INDEX('Availability Model'!$C$67:$T$71, MATCH($K$138,'Availability Model'!$B$67:$B$71, 0), MATCH($K$10, 'Availability Model'!$C$1:$T$1, 0))</f>
        <v>190487.14648188869</v>
      </c>
      <c r="AD151" s="65">
        <f>AD95*INDEX('Availability Model'!$C$67:$T$71, MATCH($K$138,'Availability Model'!$B$67:$B$71, 0), MATCH($K$10, 'Availability Model'!$C$1:$T$1, 0))</f>
        <v>208316.74339259349</v>
      </c>
      <c r="AE151" s="65">
        <f>AE95*INDEX('Availability Model'!$C$67:$T$71, MATCH($K$138,'Availability Model'!$B$67:$B$71, 0), MATCH($K$10, 'Availability Model'!$C$1:$T$1, 0))</f>
        <v>227815.1905741402</v>
      </c>
      <c r="AF151" s="65">
        <f>AF95*INDEX('Availability Model'!$C$67:$T$71, MATCH($K$138,'Availability Model'!$B$67:$B$71, 0), MATCH($K$10, 'Availability Model'!$C$1:$T$1, 0))</f>
        <v>249138.69241187975</v>
      </c>
      <c r="AG151" s="65">
        <f>AG95*INDEX('Availability Model'!$C$67:$T$71, MATCH($K$138,'Availability Model'!$B$67:$B$71, 0), MATCH($K$10, 'Availability Model'!$C$1:$T$1, 0))</f>
        <v>272458.07402163168</v>
      </c>
      <c r="AH151" s="65">
        <f>AH95*INDEX('Availability Model'!$C$67:$T$71, MATCH($K$138,'Availability Model'!$B$67:$B$71, 0), MATCH($K$10, 'Availability Model'!$C$1:$T$1, 0))</f>
        <v>297960.14975005639</v>
      </c>
      <c r="AI151" s="65">
        <f>AI95*INDEX('Availability Model'!$C$67:$T$71, MATCH($K$138,'Availability Model'!$B$67:$B$71, 0), MATCH($K$10, 'Availability Model'!$C$1:$T$1, 0))</f>
        <v>325849.21976666164</v>
      </c>
      <c r="AJ151" s="65">
        <f>AJ95*INDEX('Availability Model'!$C$67:$T$71, MATCH($K$138,'Availability Model'!$B$67:$B$71, 0), MATCH($K$10, 'Availability Model'!$C$1:$T$1, 0))</f>
        <v>356348.7067368211</v>
      </c>
      <c r="AK151" s="65">
        <f>AK95*INDEX('Availability Model'!$C$67:$T$71, MATCH($K$138,'Availability Model'!$B$67:$B$71, 0), MATCH($K$10, 'Availability Model'!$C$1:$T$1, 0))</f>
        <v>389702.94568738755</v>
      </c>
      <c r="AL151" s="65">
        <f>AL95*INDEX('Availability Model'!$C$67:$T$71, MATCH($K$138,'Availability Model'!$B$67:$B$71, 0), MATCH($K$10, 'Availability Model'!$C$1:$T$1, 0))</f>
        <v>426179.141403727</v>
      </c>
    </row>
    <row r="152" spans="4:38">
      <c r="D152" s="3" t="s">
        <v>321</v>
      </c>
      <c r="E152" s="3" t="s">
        <v>211</v>
      </c>
      <c r="K152" s="65">
        <f>IF(K27&gt;0,K150+K151,0)</f>
        <v>204582.41249999998</v>
      </c>
      <c r="L152" s="65">
        <f t="shared" ref="L152:AL152" si="75">IF(L27&gt;0,L150+L151,0)</f>
        <v>211260.3033801686</v>
      </c>
      <c r="M152" s="65">
        <f t="shared" si="75"/>
        <v>240880.0832034515</v>
      </c>
      <c r="N152" s="65">
        <f t="shared" si="75"/>
        <v>659310.95259496151</v>
      </c>
      <c r="O152" s="65">
        <f t="shared" si="75"/>
        <v>0</v>
      </c>
      <c r="P152" s="65">
        <f t="shared" si="75"/>
        <v>0</v>
      </c>
      <c r="Q152" s="65">
        <f t="shared" si="75"/>
        <v>0</v>
      </c>
      <c r="R152" s="65">
        <f t="shared" si="75"/>
        <v>0</v>
      </c>
      <c r="S152" s="65">
        <f t="shared" si="75"/>
        <v>0</v>
      </c>
      <c r="T152" s="65">
        <f t="shared" si="75"/>
        <v>0</v>
      </c>
      <c r="U152" s="65">
        <f t="shared" si="75"/>
        <v>0</v>
      </c>
      <c r="V152" s="65">
        <f t="shared" si="75"/>
        <v>0</v>
      </c>
      <c r="W152" s="65">
        <f t="shared" si="75"/>
        <v>0</v>
      </c>
      <c r="X152" s="65">
        <f t="shared" si="75"/>
        <v>0</v>
      </c>
      <c r="Y152" s="65">
        <f t="shared" si="75"/>
        <v>0</v>
      </c>
      <c r="Z152" s="65">
        <f t="shared" si="75"/>
        <v>0</v>
      </c>
      <c r="AA152" s="65">
        <f t="shared" si="75"/>
        <v>0</v>
      </c>
      <c r="AB152" s="65">
        <f t="shared" si="75"/>
        <v>0</v>
      </c>
      <c r="AC152" s="65">
        <f t="shared" si="75"/>
        <v>3745452.5438703629</v>
      </c>
      <c r="AD152" s="65">
        <f t="shared" si="75"/>
        <v>4096026.9019766287</v>
      </c>
      <c r="AE152" s="65">
        <f t="shared" si="75"/>
        <v>4479415.0200016405</v>
      </c>
      <c r="AF152" s="65">
        <f t="shared" si="75"/>
        <v>4898688.2658737944</v>
      </c>
      <c r="AG152" s="65">
        <f t="shared" si="75"/>
        <v>5357205.4875595812</v>
      </c>
      <c r="AH152" s="65">
        <f t="shared" si="75"/>
        <v>5858639.9211951569</v>
      </c>
      <c r="AI152" s="65">
        <f t="shared" si="75"/>
        <v>6407008.6178190215</v>
      </c>
      <c r="AJ152" s="65">
        <f t="shared" si="75"/>
        <v>7006704.6244468819</v>
      </c>
      <c r="AK152" s="65">
        <f t="shared" si="75"/>
        <v>7662532.1772951093</v>
      </c>
      <c r="AL152" s="65">
        <f t="shared" si="75"/>
        <v>8379745.1890899325</v>
      </c>
    </row>
    <row r="153" spans="4:38">
      <c r="D153" s="7"/>
      <c r="E153" s="16"/>
    </row>
    <row r="154" spans="4:38" ht="18">
      <c r="D154" s="15" t="s">
        <v>249</v>
      </c>
    </row>
    <row r="155" spans="4:38" ht="15">
      <c r="D155" s="100" t="s">
        <v>250</v>
      </c>
      <c r="E155" s="101"/>
      <c r="F155" s="101"/>
      <c r="G155" s="101"/>
      <c r="H155" s="101"/>
      <c r="I155" s="101"/>
      <c r="J155" s="101"/>
      <c r="K155" s="101"/>
    </row>
    <row r="156" spans="4:38">
      <c r="D156" s="102" t="s">
        <v>299</v>
      </c>
      <c r="E156" s="103" t="s">
        <v>169</v>
      </c>
      <c r="F156" s="101"/>
      <c r="G156" s="101"/>
      <c r="H156" s="101"/>
      <c r="I156" s="101"/>
      <c r="J156" s="101"/>
      <c r="K156" s="101" t="str">
        <f>Inputs!E69</f>
        <v>Low</v>
      </c>
      <c r="M156" s="7"/>
    </row>
    <row r="157" spans="4:38">
      <c r="D157" s="102" t="s">
        <v>329</v>
      </c>
      <c r="E157" s="103" t="s">
        <v>303</v>
      </c>
      <c r="F157" s="101"/>
      <c r="G157" s="101"/>
      <c r="H157" s="101"/>
      <c r="I157" s="101"/>
      <c r="J157" s="101"/>
      <c r="K157" s="101">
        <f>INDEX('Availability Model'!$C$4:$T$8, MATCH($K$129,'Availability Model'!$B$4:$B$8, 0), MATCH($K$10, 'Availability Model'!$C$1:$T$1, 0))</f>
        <v>2</v>
      </c>
      <c r="M157" s="7"/>
    </row>
    <row r="158" spans="4:38">
      <c r="D158" s="102" t="s">
        <v>301</v>
      </c>
      <c r="E158" s="103" t="s">
        <v>106</v>
      </c>
      <c r="F158" s="101"/>
      <c r="G158" s="101"/>
      <c r="H158" s="101"/>
      <c r="I158" s="101"/>
      <c r="J158" s="101"/>
      <c r="K158" s="101"/>
      <c r="M158" s="7"/>
    </row>
    <row r="159" spans="4:38">
      <c r="D159" s="102" t="s">
        <v>302</v>
      </c>
      <c r="E159" s="103" t="s">
        <v>106</v>
      </c>
      <c r="F159" s="101"/>
      <c r="G159" s="101"/>
      <c r="H159" s="101"/>
      <c r="I159" s="101"/>
      <c r="J159" s="101"/>
      <c r="K159" s="101">
        <f>Inputs!E132</f>
        <v>376680</v>
      </c>
      <c r="M159" s="7"/>
    </row>
    <row r="160" spans="4:38">
      <c r="D160" s="102" t="s">
        <v>326</v>
      </c>
      <c r="E160" s="103" t="s">
        <v>106</v>
      </c>
      <c r="F160" s="101"/>
      <c r="G160" s="101"/>
      <c r="H160" s="101"/>
      <c r="I160" s="101"/>
      <c r="J160" s="101"/>
      <c r="K160" s="101">
        <f>K158-K159</f>
        <v>-376680</v>
      </c>
      <c r="M160" s="7"/>
    </row>
    <row r="161" spans="4:38">
      <c r="D161" s="7"/>
    </row>
    <row r="163" spans="4:38" ht="15">
      <c r="D163" s="4" t="s">
        <v>137</v>
      </c>
    </row>
    <row r="164" spans="4:38">
      <c r="D164" s="7" t="s">
        <v>299</v>
      </c>
      <c r="E164" s="16" t="s">
        <v>169</v>
      </c>
      <c r="K164" t="str">
        <f>Inputs!E70</f>
        <v>Good</v>
      </c>
      <c r="L164" t="str">
        <f>Inputs!F70</f>
        <v>Good</v>
      </c>
      <c r="M164" t="str">
        <f>Inputs!G70</f>
        <v>Good</v>
      </c>
      <c r="N164" t="str">
        <f>Inputs!H70</f>
        <v>Good</v>
      </c>
      <c r="O164" t="str">
        <f>Inputs!I70</f>
        <v>Good</v>
      </c>
      <c r="P164" t="str">
        <f>Inputs!J70</f>
        <v>Good</v>
      </c>
      <c r="Q164" t="str">
        <f>P164</f>
        <v>Good</v>
      </c>
      <c r="R164" t="str">
        <f t="shared" ref="R164:AL164" si="76">Q164</f>
        <v>Good</v>
      </c>
      <c r="S164" t="str">
        <f t="shared" si="76"/>
        <v>Good</v>
      </c>
      <c r="T164" t="str">
        <f t="shared" si="76"/>
        <v>Good</v>
      </c>
      <c r="U164" t="str">
        <f t="shared" si="76"/>
        <v>Good</v>
      </c>
      <c r="V164" t="str">
        <f t="shared" si="76"/>
        <v>Good</v>
      </c>
      <c r="W164" t="str">
        <f t="shared" si="76"/>
        <v>Good</v>
      </c>
      <c r="X164" t="str">
        <f t="shared" si="76"/>
        <v>Good</v>
      </c>
      <c r="Y164" t="str">
        <f t="shared" si="76"/>
        <v>Good</v>
      </c>
      <c r="Z164" t="str">
        <f t="shared" si="76"/>
        <v>Good</v>
      </c>
      <c r="AA164" t="str">
        <f t="shared" si="76"/>
        <v>Good</v>
      </c>
      <c r="AB164" t="str">
        <f t="shared" si="76"/>
        <v>Good</v>
      </c>
      <c r="AC164" t="str">
        <f t="shared" si="76"/>
        <v>Good</v>
      </c>
      <c r="AD164" t="str">
        <f t="shared" si="76"/>
        <v>Good</v>
      </c>
      <c r="AE164" t="str">
        <f t="shared" si="76"/>
        <v>Good</v>
      </c>
      <c r="AF164" t="str">
        <f t="shared" si="76"/>
        <v>Good</v>
      </c>
      <c r="AG164" t="str">
        <f t="shared" si="76"/>
        <v>Good</v>
      </c>
      <c r="AH164" t="str">
        <f t="shared" si="76"/>
        <v>Good</v>
      </c>
      <c r="AI164" t="str">
        <f t="shared" si="76"/>
        <v>Good</v>
      </c>
      <c r="AJ164" t="str">
        <f t="shared" si="76"/>
        <v>Good</v>
      </c>
      <c r="AK164" t="str">
        <f t="shared" si="76"/>
        <v>Good</v>
      </c>
      <c r="AL164" t="str">
        <f t="shared" si="76"/>
        <v>Good</v>
      </c>
    </row>
    <row r="165" spans="4:38">
      <c r="D165" s="7" t="s">
        <v>300</v>
      </c>
      <c r="E165" s="16" t="s">
        <v>303</v>
      </c>
      <c r="K165">
        <f>INDEX('Availability Model'!$C$81:$T$84, MATCH($K$164,'Availability Model'!$B$81:$B$84, 0), MATCH($K$10, 'Availability Model'!$C$1:$T$1, 0))</f>
        <v>0</v>
      </c>
      <c r="L165">
        <f>INDEX('Availability Model'!$C$81:$T$84, MATCH($K$164,'Availability Model'!$B$81:$B$84, 0), MATCH($K$10, 'Availability Model'!$C$1:$T$1, 0))</f>
        <v>0</v>
      </c>
      <c r="M165">
        <f>INDEX('Availability Model'!$C$81:$T$84, MATCH($K$164,'Availability Model'!$B$81:$B$84, 0), MATCH($K$10, 'Availability Model'!$C$1:$T$1, 0))</f>
        <v>0</v>
      </c>
      <c r="N165">
        <f>INDEX('Availability Model'!$C$81:$T$84, MATCH($K$164,'Availability Model'!$B$81:$B$84, 0), MATCH($K$10, 'Availability Model'!$C$1:$T$1, 0))</f>
        <v>0</v>
      </c>
      <c r="O165">
        <f>INDEX('Availability Model'!$C$81:$T$84, MATCH($K$164,'Availability Model'!$B$81:$B$84, 0), MATCH($K$10, 'Availability Model'!$C$1:$T$1, 0))</f>
        <v>0</v>
      </c>
      <c r="P165">
        <f>INDEX('Availability Model'!$C$81:$T$84, MATCH($K$164,'Availability Model'!$B$81:$B$84, 0), MATCH($K$10, 'Availability Model'!$C$1:$T$1, 0))</f>
        <v>0</v>
      </c>
      <c r="Q165">
        <f>INDEX('Availability Model'!$C$81:$T$84, MATCH($K$164,'Availability Model'!$B$81:$B$84, 0), MATCH($K$10, 'Availability Model'!$C$1:$T$1, 0))</f>
        <v>0</v>
      </c>
      <c r="R165">
        <f>INDEX('Availability Model'!$C$81:$T$84, MATCH($K$164,'Availability Model'!$B$81:$B$84, 0), MATCH($K$10, 'Availability Model'!$C$1:$T$1, 0))</f>
        <v>0</v>
      </c>
      <c r="S165">
        <f>INDEX('Availability Model'!$C$81:$T$84, MATCH($K$164,'Availability Model'!$B$81:$B$84, 0), MATCH($K$10, 'Availability Model'!$C$1:$T$1, 0))</f>
        <v>0</v>
      </c>
      <c r="T165">
        <f>INDEX('Availability Model'!$C$81:$T$84, MATCH($K$164,'Availability Model'!$B$81:$B$84, 0), MATCH($K$10, 'Availability Model'!$C$1:$T$1, 0))</f>
        <v>0</v>
      </c>
      <c r="U165">
        <f>INDEX('Availability Model'!$C$81:$T$84, MATCH($K$164,'Availability Model'!$B$81:$B$84, 0), MATCH($K$10, 'Availability Model'!$C$1:$T$1, 0))</f>
        <v>0</v>
      </c>
      <c r="V165">
        <f>INDEX('Availability Model'!$C$81:$T$84, MATCH($K$164,'Availability Model'!$B$81:$B$84, 0), MATCH($K$10, 'Availability Model'!$C$1:$T$1, 0))</f>
        <v>0</v>
      </c>
      <c r="W165">
        <f>INDEX('Availability Model'!$C$81:$T$84, MATCH($K$164,'Availability Model'!$B$81:$B$84, 0), MATCH($K$10, 'Availability Model'!$C$1:$T$1, 0))</f>
        <v>0</v>
      </c>
      <c r="X165">
        <f>INDEX('Availability Model'!$C$81:$T$84, MATCH($K$164,'Availability Model'!$B$81:$B$84, 0), MATCH($K$10, 'Availability Model'!$C$1:$T$1, 0))</f>
        <v>0</v>
      </c>
      <c r="Y165">
        <f>INDEX('Availability Model'!$C$81:$T$84, MATCH($K$164,'Availability Model'!$B$81:$B$84, 0), MATCH($K$10, 'Availability Model'!$C$1:$T$1, 0))</f>
        <v>0</v>
      </c>
      <c r="Z165">
        <f>INDEX('Availability Model'!$C$81:$T$84, MATCH($K$164,'Availability Model'!$B$81:$B$84, 0), MATCH($K$10, 'Availability Model'!$C$1:$T$1, 0))</f>
        <v>0</v>
      </c>
      <c r="AA165">
        <f>INDEX('Availability Model'!$C$81:$T$84, MATCH($K$164,'Availability Model'!$B$81:$B$84, 0), MATCH($K$10, 'Availability Model'!$C$1:$T$1, 0))</f>
        <v>0</v>
      </c>
      <c r="AB165">
        <f>INDEX('Availability Model'!$C$81:$T$84, MATCH($K$164,'Availability Model'!$B$81:$B$84, 0), MATCH($K$10, 'Availability Model'!$C$1:$T$1, 0))</f>
        <v>0</v>
      </c>
      <c r="AC165">
        <f>INDEX('Availability Model'!$C$81:$T$84, MATCH($K$164,'Availability Model'!$B$81:$B$84, 0), MATCH($K$10, 'Availability Model'!$C$1:$T$1, 0))</f>
        <v>0</v>
      </c>
      <c r="AD165">
        <f>INDEX('Availability Model'!$C$81:$T$84, MATCH($K$164,'Availability Model'!$B$81:$B$84, 0), MATCH($K$10, 'Availability Model'!$C$1:$T$1, 0))</f>
        <v>0</v>
      </c>
      <c r="AE165">
        <f>INDEX('Availability Model'!$C$81:$T$84, MATCH($K$164,'Availability Model'!$B$81:$B$84, 0), MATCH($K$10, 'Availability Model'!$C$1:$T$1, 0))</f>
        <v>0</v>
      </c>
      <c r="AF165">
        <f>INDEX('Availability Model'!$C$81:$T$84, MATCH($K$164,'Availability Model'!$B$81:$B$84, 0), MATCH($K$10, 'Availability Model'!$C$1:$T$1, 0))</f>
        <v>0</v>
      </c>
      <c r="AG165">
        <f>INDEX('Availability Model'!$C$81:$T$84, MATCH($K$164,'Availability Model'!$B$81:$B$84, 0), MATCH($K$10, 'Availability Model'!$C$1:$T$1, 0))</f>
        <v>0</v>
      </c>
      <c r="AH165">
        <f>INDEX('Availability Model'!$C$81:$T$84, MATCH($K$164,'Availability Model'!$B$81:$B$84, 0), MATCH($K$10, 'Availability Model'!$C$1:$T$1, 0))</f>
        <v>0</v>
      </c>
      <c r="AI165">
        <f>INDEX('Availability Model'!$C$81:$T$84, MATCH($K$164,'Availability Model'!$B$81:$B$84, 0), MATCH($K$10, 'Availability Model'!$C$1:$T$1, 0))</f>
        <v>0</v>
      </c>
      <c r="AJ165">
        <f>INDEX('Availability Model'!$C$81:$T$84, MATCH($K$164,'Availability Model'!$B$81:$B$84, 0), MATCH($K$10, 'Availability Model'!$C$1:$T$1, 0))</f>
        <v>0</v>
      </c>
      <c r="AK165">
        <f>INDEX('Availability Model'!$C$81:$T$84, MATCH($K$164,'Availability Model'!$B$81:$B$84, 0), MATCH($K$10, 'Availability Model'!$C$1:$T$1, 0))</f>
        <v>0</v>
      </c>
      <c r="AL165">
        <f>INDEX('Availability Model'!$C$81:$T$84, MATCH($K$164,'Availability Model'!$B$81:$B$84, 0), MATCH($K$10, 'Availability Model'!$C$1:$T$1, 0))</f>
        <v>0</v>
      </c>
    </row>
    <row r="166" spans="4:38">
      <c r="D166" s="7" t="s">
        <v>312</v>
      </c>
      <c r="E166" s="16" t="s">
        <v>106</v>
      </c>
      <c r="K166">
        <f>K165*INDEX('Availability Model'!$C$81:$T$84, MATCH($K$164,'Availability Model'!$B$81:$B$84, 0), MATCH($K$10, 'Availability Model'!$C$1:$T$1, 0))</f>
        <v>0</v>
      </c>
      <c r="L166">
        <f>L165*INDEX('Availability Model'!$C$81:$T$84, MATCH($K$164,'Availability Model'!$B$81:$B$84, 0), MATCH($K$10, 'Availability Model'!$C$1:$T$1, 0))</f>
        <v>0</v>
      </c>
      <c r="M166">
        <f>M165*INDEX('Availability Model'!$C$81:$T$84, MATCH($K$164,'Availability Model'!$B$81:$B$84, 0), MATCH($K$10, 'Availability Model'!$C$1:$T$1, 0))</f>
        <v>0</v>
      </c>
      <c r="N166">
        <f>N165*INDEX('Availability Model'!$C$81:$T$84, MATCH($K$164,'Availability Model'!$B$81:$B$84, 0), MATCH($K$10, 'Availability Model'!$C$1:$T$1, 0))</f>
        <v>0</v>
      </c>
      <c r="O166">
        <f>O165*INDEX('Availability Model'!$C$81:$T$84, MATCH($K$164,'Availability Model'!$B$81:$B$84, 0), MATCH($K$10, 'Availability Model'!$C$1:$T$1, 0))</f>
        <v>0</v>
      </c>
      <c r="P166">
        <f>P165*INDEX('Availability Model'!$C$81:$T$84, MATCH($K$164,'Availability Model'!$B$81:$B$84, 0), MATCH($K$10, 'Availability Model'!$C$1:$T$1, 0))</f>
        <v>0</v>
      </c>
      <c r="Q166">
        <f>Q165*INDEX('Availability Model'!$C$81:$T$84, MATCH($K$164,'Availability Model'!$B$81:$B$84, 0), MATCH($K$10, 'Availability Model'!$C$1:$T$1, 0))</f>
        <v>0</v>
      </c>
      <c r="R166">
        <f>R165*INDEX('Availability Model'!$C$81:$T$84, MATCH($K$164,'Availability Model'!$B$81:$B$84, 0), MATCH($K$10, 'Availability Model'!$C$1:$T$1, 0))</f>
        <v>0</v>
      </c>
      <c r="S166">
        <f>S165*INDEX('Availability Model'!$C$81:$T$84, MATCH($K$164,'Availability Model'!$B$81:$B$84, 0), MATCH($K$10, 'Availability Model'!$C$1:$T$1, 0))</f>
        <v>0</v>
      </c>
      <c r="T166">
        <f>T165*INDEX('Availability Model'!$C$81:$T$84, MATCH($K$164,'Availability Model'!$B$81:$B$84, 0), MATCH($K$10, 'Availability Model'!$C$1:$T$1, 0))</f>
        <v>0</v>
      </c>
      <c r="U166">
        <f>U165*INDEX('Availability Model'!$C$81:$T$84, MATCH($K$164,'Availability Model'!$B$81:$B$84, 0), MATCH($K$10, 'Availability Model'!$C$1:$T$1, 0))</f>
        <v>0</v>
      </c>
      <c r="V166">
        <f>V165*INDEX('Availability Model'!$C$81:$T$84, MATCH($K$164,'Availability Model'!$B$81:$B$84, 0), MATCH($K$10, 'Availability Model'!$C$1:$T$1, 0))</f>
        <v>0</v>
      </c>
      <c r="W166">
        <f>W165*INDEX('Availability Model'!$C$81:$T$84, MATCH($K$164,'Availability Model'!$B$81:$B$84, 0), MATCH($K$10, 'Availability Model'!$C$1:$T$1, 0))</f>
        <v>0</v>
      </c>
      <c r="X166">
        <f>X165*INDEX('Availability Model'!$C$81:$T$84, MATCH($K$164,'Availability Model'!$B$81:$B$84, 0), MATCH($K$10, 'Availability Model'!$C$1:$T$1, 0))</f>
        <v>0</v>
      </c>
      <c r="Y166">
        <f>Y165*INDEX('Availability Model'!$C$81:$T$84, MATCH($K$164,'Availability Model'!$B$81:$B$84, 0), MATCH($K$10, 'Availability Model'!$C$1:$T$1, 0))</f>
        <v>0</v>
      </c>
      <c r="Z166">
        <f>Z165*INDEX('Availability Model'!$C$81:$T$84, MATCH($K$164,'Availability Model'!$B$81:$B$84, 0), MATCH($K$10, 'Availability Model'!$C$1:$T$1, 0))</f>
        <v>0</v>
      </c>
      <c r="AA166">
        <f>AA165*INDEX('Availability Model'!$C$81:$T$84, MATCH($K$164,'Availability Model'!$B$81:$B$84, 0), MATCH($K$10, 'Availability Model'!$C$1:$T$1, 0))</f>
        <v>0</v>
      </c>
      <c r="AB166">
        <f>AB165*INDEX('Availability Model'!$C$81:$T$84, MATCH($K$164,'Availability Model'!$B$81:$B$84, 0), MATCH($K$10, 'Availability Model'!$C$1:$T$1, 0))</f>
        <v>0</v>
      </c>
      <c r="AC166">
        <f>AC165*INDEX('Availability Model'!$C$81:$T$84, MATCH($K$164,'Availability Model'!$B$81:$B$84, 0), MATCH($K$10, 'Availability Model'!$C$1:$T$1, 0))</f>
        <v>0</v>
      </c>
      <c r="AD166">
        <f>AD165*INDEX('Availability Model'!$C$81:$T$84, MATCH($K$164,'Availability Model'!$B$81:$B$84, 0), MATCH($K$10, 'Availability Model'!$C$1:$T$1, 0))</f>
        <v>0</v>
      </c>
      <c r="AE166">
        <f>AE165*INDEX('Availability Model'!$C$81:$T$84, MATCH($K$164,'Availability Model'!$B$81:$B$84, 0), MATCH($K$10, 'Availability Model'!$C$1:$T$1, 0))</f>
        <v>0</v>
      </c>
      <c r="AF166">
        <f>AF165*INDEX('Availability Model'!$C$81:$T$84, MATCH($K$164,'Availability Model'!$B$81:$B$84, 0), MATCH($K$10, 'Availability Model'!$C$1:$T$1, 0))</f>
        <v>0</v>
      </c>
      <c r="AG166">
        <f>AG165*INDEX('Availability Model'!$C$81:$T$84, MATCH($K$164,'Availability Model'!$B$81:$B$84, 0), MATCH($K$10, 'Availability Model'!$C$1:$T$1, 0))</f>
        <v>0</v>
      </c>
      <c r="AH166">
        <f>AH165*INDEX('Availability Model'!$C$81:$T$84, MATCH($K$164,'Availability Model'!$B$81:$B$84, 0), MATCH($K$10, 'Availability Model'!$C$1:$T$1, 0))</f>
        <v>0</v>
      </c>
      <c r="AI166">
        <f>AI165*INDEX('Availability Model'!$C$81:$T$84, MATCH($K$164,'Availability Model'!$B$81:$B$84, 0), MATCH($K$10, 'Availability Model'!$C$1:$T$1, 0))</f>
        <v>0</v>
      </c>
      <c r="AJ166">
        <f>AJ165*INDEX('Availability Model'!$C$81:$T$84, MATCH($K$164,'Availability Model'!$B$81:$B$84, 0), MATCH($K$10, 'Availability Model'!$C$1:$T$1, 0))</f>
        <v>0</v>
      </c>
      <c r="AK166">
        <f>AK165*INDEX('Availability Model'!$C$81:$T$84, MATCH($K$164,'Availability Model'!$B$81:$B$84, 0), MATCH($K$10, 'Availability Model'!$C$1:$T$1, 0))</f>
        <v>0</v>
      </c>
      <c r="AL166">
        <f>AL165*INDEX('Availability Model'!$C$81:$T$84, MATCH($K$164,'Availability Model'!$B$81:$B$84, 0), MATCH($K$10, 'Availability Model'!$C$1:$T$1, 0))</f>
        <v>0</v>
      </c>
    </row>
    <row r="167" spans="4:38">
      <c r="D167" s="7" t="s">
        <v>302</v>
      </c>
      <c r="E167" s="16" t="s">
        <v>106</v>
      </c>
      <c r="K167" s="65">
        <f>K141</f>
        <v>1.8129533678756478</v>
      </c>
      <c r="L167" s="65">
        <f t="shared" ref="L167:AL167" si="77">L141</f>
        <v>1.9066551166747128</v>
      </c>
      <c r="M167" s="65">
        <f t="shared" si="77"/>
        <v>1.8367738032705883</v>
      </c>
      <c r="N167" s="65">
        <f t="shared" si="77"/>
        <v>1.8815339776532183</v>
      </c>
      <c r="O167" s="65">
        <f t="shared" si="77"/>
        <v>2.274116334125547</v>
      </c>
      <c r="P167" s="65">
        <f t="shared" si="77"/>
        <v>2.277607063808083</v>
      </c>
      <c r="Q167" s="65">
        <f t="shared" si="77"/>
        <v>2.0845047041176494</v>
      </c>
      <c r="R167" s="65">
        <f t="shared" si="77"/>
        <v>2.0845047041176494</v>
      </c>
      <c r="S167" s="65">
        <f t="shared" si="77"/>
        <v>1.9123332911358926</v>
      </c>
      <c r="T167" s="65">
        <f t="shared" si="77"/>
        <v>1.9148328343992786</v>
      </c>
      <c r="U167" s="65">
        <f t="shared" si="77"/>
        <v>1.9123332911358926</v>
      </c>
      <c r="V167" s="65">
        <f t="shared" si="77"/>
        <v>1.9123332911358926</v>
      </c>
      <c r="W167" s="65">
        <f t="shared" si="77"/>
        <v>1.9123332911358926</v>
      </c>
      <c r="X167" s="65">
        <f t="shared" si="77"/>
        <v>1.9148328343992786</v>
      </c>
      <c r="Y167" s="65">
        <f t="shared" si="77"/>
        <v>1.9123332911358926</v>
      </c>
      <c r="Z167" s="65">
        <f t="shared" si="77"/>
        <v>1.9123332911358926</v>
      </c>
      <c r="AA167" s="65">
        <f t="shared" si="77"/>
        <v>1.9123332911358926</v>
      </c>
      <c r="AB167" s="65">
        <f t="shared" si="77"/>
        <v>1.9148328343992786</v>
      </c>
      <c r="AC167" s="65">
        <f t="shared" si="77"/>
        <v>1.4590111755413389</v>
      </c>
      <c r="AD167" s="65">
        <f t="shared" si="77"/>
        <v>1.4590111755413389</v>
      </c>
      <c r="AE167" s="65">
        <f t="shared" si="77"/>
        <v>1.4590111755413389</v>
      </c>
      <c r="AF167" s="65">
        <f t="shared" si="77"/>
        <v>1.4615107188047249</v>
      </c>
      <c r="AG167" s="65">
        <f t="shared" si="77"/>
        <v>1.4590111755413389</v>
      </c>
      <c r="AH167" s="65">
        <f t="shared" si="77"/>
        <v>1.4590111755413389</v>
      </c>
      <c r="AI167" s="65">
        <f t="shared" si="77"/>
        <v>1.4590111755413389</v>
      </c>
      <c r="AJ167" s="65">
        <f t="shared" si="77"/>
        <v>1.4615107188047249</v>
      </c>
      <c r="AK167" s="65">
        <f t="shared" si="77"/>
        <v>1.4590111755413389</v>
      </c>
      <c r="AL167" s="65">
        <f t="shared" si="77"/>
        <v>1.4590111755413389</v>
      </c>
    </row>
    <row r="168" spans="4:38">
      <c r="D168" s="7" t="s">
        <v>313</v>
      </c>
      <c r="E168" s="16" t="s">
        <v>106</v>
      </c>
      <c r="K168" s="89">
        <f>IF((K166-K167)&gt;0, K166-K167,0)</f>
        <v>0</v>
      </c>
      <c r="L168" s="89">
        <f t="shared" ref="L168:AL168" si="78">IF((L166-L167)&gt;0, L166-L167,0)</f>
        <v>0</v>
      </c>
      <c r="M168" s="89">
        <f t="shared" si="78"/>
        <v>0</v>
      </c>
      <c r="N168" s="89">
        <f t="shared" si="78"/>
        <v>0</v>
      </c>
      <c r="O168" s="89">
        <f t="shared" si="78"/>
        <v>0</v>
      </c>
      <c r="P168" s="89">
        <f t="shared" si="78"/>
        <v>0</v>
      </c>
      <c r="Q168" s="89">
        <f t="shared" si="78"/>
        <v>0</v>
      </c>
      <c r="R168" s="89">
        <f t="shared" si="78"/>
        <v>0</v>
      </c>
      <c r="S168" s="89">
        <f t="shared" si="78"/>
        <v>0</v>
      </c>
      <c r="T168" s="89">
        <f t="shared" si="78"/>
        <v>0</v>
      </c>
      <c r="U168" s="89">
        <f t="shared" si="78"/>
        <v>0</v>
      </c>
      <c r="V168" s="89">
        <f t="shared" si="78"/>
        <v>0</v>
      </c>
      <c r="W168" s="89">
        <f t="shared" si="78"/>
        <v>0</v>
      </c>
      <c r="X168" s="89">
        <f t="shared" si="78"/>
        <v>0</v>
      </c>
      <c r="Y168" s="89">
        <f t="shared" si="78"/>
        <v>0</v>
      </c>
      <c r="Z168" s="89">
        <f t="shared" si="78"/>
        <v>0</v>
      </c>
      <c r="AA168" s="89">
        <f t="shared" si="78"/>
        <v>0</v>
      </c>
      <c r="AB168" s="89">
        <f t="shared" si="78"/>
        <v>0</v>
      </c>
      <c r="AC168" s="89">
        <f t="shared" si="78"/>
        <v>0</v>
      </c>
      <c r="AD168" s="89">
        <f t="shared" si="78"/>
        <v>0</v>
      </c>
      <c r="AE168" s="89">
        <f t="shared" si="78"/>
        <v>0</v>
      </c>
      <c r="AF168" s="89">
        <f t="shared" si="78"/>
        <v>0</v>
      </c>
      <c r="AG168" s="89">
        <f t="shared" si="78"/>
        <v>0</v>
      </c>
      <c r="AH168" s="89">
        <f t="shared" si="78"/>
        <v>0</v>
      </c>
      <c r="AI168" s="89">
        <f t="shared" si="78"/>
        <v>0</v>
      </c>
      <c r="AJ168" s="89">
        <f t="shared" si="78"/>
        <v>0</v>
      </c>
      <c r="AK168" s="89">
        <f t="shared" si="78"/>
        <v>0</v>
      </c>
      <c r="AL168" s="89">
        <f t="shared" si="78"/>
        <v>0</v>
      </c>
    </row>
    <row r="169" spans="4:38">
      <c r="D169" s="7" t="s">
        <v>314</v>
      </c>
      <c r="E169" s="16" t="s">
        <v>306</v>
      </c>
      <c r="K169" s="90">
        <f t="shared" ref="K169:AL169" si="79">IF(K168&gt;0,K168*K35,0)</f>
        <v>0</v>
      </c>
      <c r="L169" s="90">
        <f t="shared" si="79"/>
        <v>0</v>
      </c>
      <c r="M169" s="90">
        <f t="shared" si="79"/>
        <v>0</v>
      </c>
      <c r="N169" s="90">
        <f t="shared" si="79"/>
        <v>0</v>
      </c>
      <c r="O169" s="90">
        <f t="shared" si="79"/>
        <v>0</v>
      </c>
      <c r="P169" s="90">
        <f t="shared" si="79"/>
        <v>0</v>
      </c>
      <c r="Q169" s="90">
        <f t="shared" si="79"/>
        <v>0</v>
      </c>
      <c r="R169" s="90">
        <f t="shared" si="79"/>
        <v>0</v>
      </c>
      <c r="S169" s="90">
        <f t="shared" si="79"/>
        <v>0</v>
      </c>
      <c r="T169" s="90">
        <f t="shared" si="79"/>
        <v>0</v>
      </c>
      <c r="U169" s="90">
        <f t="shared" si="79"/>
        <v>0</v>
      </c>
      <c r="V169" s="90">
        <f t="shared" si="79"/>
        <v>0</v>
      </c>
      <c r="W169" s="90">
        <f t="shared" si="79"/>
        <v>0</v>
      </c>
      <c r="X169" s="90">
        <f t="shared" si="79"/>
        <v>0</v>
      </c>
      <c r="Y169" s="90">
        <f t="shared" si="79"/>
        <v>0</v>
      </c>
      <c r="Z169" s="90">
        <f t="shared" si="79"/>
        <v>0</v>
      </c>
      <c r="AA169" s="90">
        <f t="shared" si="79"/>
        <v>0</v>
      </c>
      <c r="AB169" s="90">
        <f t="shared" si="79"/>
        <v>0</v>
      </c>
      <c r="AC169" s="90">
        <f t="shared" si="79"/>
        <v>0</v>
      </c>
      <c r="AD169" s="90">
        <f t="shared" si="79"/>
        <v>0</v>
      </c>
      <c r="AE169" s="90">
        <f t="shared" si="79"/>
        <v>0</v>
      </c>
      <c r="AF169" s="90">
        <f t="shared" si="79"/>
        <v>0</v>
      </c>
      <c r="AG169" s="90">
        <f t="shared" si="79"/>
        <v>0</v>
      </c>
      <c r="AH169" s="90">
        <f t="shared" si="79"/>
        <v>0</v>
      </c>
      <c r="AI169" s="90">
        <f t="shared" si="79"/>
        <v>0</v>
      </c>
      <c r="AJ169" s="90">
        <f t="shared" si="79"/>
        <v>0</v>
      </c>
      <c r="AK169" s="90">
        <f t="shared" si="79"/>
        <v>0</v>
      </c>
      <c r="AL169" s="90">
        <f t="shared" si="79"/>
        <v>0</v>
      </c>
    </row>
    <row r="170" spans="4:38">
      <c r="D170" s="7"/>
    </row>
    <row r="171" spans="4:38">
      <c r="D171" s="3" t="s">
        <v>315</v>
      </c>
      <c r="E171" s="16" t="s">
        <v>306</v>
      </c>
      <c r="K171" s="65">
        <f>K169*INDEX('Availability Model'!$C$60:$T$64, MATCH($K$138,'Availability Model'!$B$60:$B$64, 0), MATCH($K$10, 'Availability Model'!$C$1:$T$1, 0))</f>
        <v>0</v>
      </c>
      <c r="L171" s="65">
        <f>L169*INDEX('Availability Model'!$C$60:$T$64, MATCH($K$138,'Availability Model'!$B$60:$B$64, 0), MATCH($K$10, 'Availability Model'!$C$1:$T$1, 0))</f>
        <v>0</v>
      </c>
      <c r="M171" s="65">
        <f>M169*INDEX('Availability Model'!$C$60:$T$64, MATCH($K$138,'Availability Model'!$B$60:$B$64, 0), MATCH($K$10, 'Availability Model'!$C$1:$T$1, 0))</f>
        <v>0</v>
      </c>
      <c r="N171" s="65">
        <f>N169*INDEX('Availability Model'!$C$60:$T$64, MATCH($K$138,'Availability Model'!$B$60:$B$64, 0), MATCH($K$10, 'Availability Model'!$C$1:$T$1, 0))</f>
        <v>0</v>
      </c>
      <c r="O171" s="65">
        <f>O169*INDEX('Availability Model'!$C$60:$T$64, MATCH($K$138,'Availability Model'!$B$60:$B$64, 0), MATCH($K$10, 'Availability Model'!$C$1:$T$1, 0))</f>
        <v>0</v>
      </c>
      <c r="P171" s="65">
        <f>P169*INDEX('Availability Model'!$C$60:$T$64, MATCH($K$138,'Availability Model'!$B$60:$B$64, 0), MATCH($K$10, 'Availability Model'!$C$1:$T$1, 0))</f>
        <v>0</v>
      </c>
    </row>
    <row r="172" spans="4:38">
      <c r="D172" s="3" t="s">
        <v>333</v>
      </c>
      <c r="E172" s="16" t="s">
        <v>246</v>
      </c>
      <c r="K172" s="65">
        <f>K171*Inputs!E52</f>
        <v>0</v>
      </c>
      <c r="L172" s="65">
        <f>L171*Inputs!F52</f>
        <v>0</v>
      </c>
      <c r="M172" s="65">
        <f>M171*Inputs!G52</f>
        <v>0</v>
      </c>
      <c r="N172" s="65">
        <f>N171*Inputs!H52</f>
        <v>0</v>
      </c>
      <c r="O172" s="65">
        <f>O171*Inputs!I52</f>
        <v>0</v>
      </c>
      <c r="P172" s="65">
        <f>P171*Inputs!J52</f>
        <v>0</v>
      </c>
    </row>
    <row r="173" spans="4:38">
      <c r="D173" s="89" t="s">
        <v>318</v>
      </c>
      <c r="E173" s="16" t="s">
        <v>211</v>
      </c>
      <c r="K173" s="65">
        <f>(K28*K74)*INDEX('Availability Model'!$C$93:$T$96, MATCH($K$164,'Availability Model'!$B$93:$B$96, 0), MATCH($K$10, 'Availability Model'!$C$1:$T$1, 0))</f>
        <v>104654.25</v>
      </c>
      <c r="L173" s="65">
        <f>(L28*L74)*INDEX('Availability Model'!$C$93:$T$96, MATCH($K$164,'Availability Model'!$B$93:$B$96, 0), MATCH($K$10, 'Availability Model'!$C$1:$T$1, 0))</f>
        <v>108070.32889508041</v>
      </c>
      <c r="M173" s="65">
        <f>(M28*M74)*INDEX('Availability Model'!$C$93:$T$96, MATCH($K$164,'Availability Model'!$B$93:$B$96, 0), MATCH($K$10, 'Availability Model'!$C$1:$T$1, 0))</f>
        <v>123222.34418657479</v>
      </c>
      <c r="N173" s="65">
        <f>(N28*N74)*INDEX('Availability Model'!$C$93:$T$96, MATCH($K$164,'Availability Model'!$B$93:$B$96, 0), MATCH($K$10, 'Availability Model'!$C$1:$T$1, 0))</f>
        <v>875621.78677276801</v>
      </c>
      <c r="O173" s="65">
        <f>(O28*O74)*INDEX('Availability Model'!$C$93:$T$96, MATCH($K$164,'Availability Model'!$B$93:$B$96, 0), MATCH($K$10, 'Availability Model'!$C$1:$T$1, 0))</f>
        <v>2076622.4426562337</v>
      </c>
      <c r="P173" s="65">
        <f>(P28*P74)*INDEX('Availability Model'!$C$93:$T$96, MATCH($K$164,'Availability Model'!$B$93:$B$96, 0), MATCH($K$10, 'Availability Model'!$C$1:$T$1, 0))</f>
        <v>2196124.1572904573</v>
      </c>
      <c r="Q173" s="65">
        <f>(Q28*Q74)*INDEX('Availability Model'!$C$93:$T$96, MATCH($K$164,'Availability Model'!$B$93:$B$96, 0), MATCH($K$10, 'Availability Model'!$C$1:$T$1, 0))</f>
        <v>2835899.6336160447</v>
      </c>
      <c r="R173" s="65">
        <f>(R28*R74)*INDEX('Availability Model'!$C$93:$T$96, MATCH($K$164,'Availability Model'!$B$93:$B$96, 0), MATCH($K$10, 'Availability Model'!$C$1:$T$1, 0))</f>
        <v>3101339.839322506</v>
      </c>
      <c r="S173" s="65">
        <f>(S28*S74)*INDEX('Availability Model'!$C$93:$T$96, MATCH($K$164,'Availability Model'!$B$93:$B$96, 0), MATCH($K$10, 'Availability Model'!$C$1:$T$1, 0))</f>
        <v>4050156.9910268518</v>
      </c>
      <c r="T173" s="65">
        <f>(T28*T74)*INDEX('Availability Model'!$C$93:$T$96, MATCH($K$164,'Availability Model'!$B$93:$B$96, 0), MATCH($K$10, 'Availability Model'!$C$1:$T$1, 0))</f>
        <v>4429251.6853869651</v>
      </c>
      <c r="U173" s="65">
        <f>(U28*U74)*INDEX('Availability Model'!$C$93:$T$96, MATCH($K$164,'Availability Model'!$B$93:$B$96, 0), MATCH($K$10, 'Availability Model'!$C$1:$T$1, 0))</f>
        <v>4843829.6431391845</v>
      </c>
      <c r="V173" s="65">
        <f>(V28*V74)*INDEX('Availability Model'!$C$93:$T$96, MATCH($K$164,'Availability Model'!$B$93:$B$96, 0), MATCH($K$10, 'Availability Model'!$C$1:$T$1, 0))</f>
        <v>5297212.0977370115</v>
      </c>
      <c r="W173" s="65">
        <f>(W28*W74)*INDEX('Availability Model'!$C$93:$T$96, MATCH($K$164,'Availability Model'!$B$93:$B$96, 0), MATCH($K$10, 'Availability Model'!$C$1:$T$1, 0))</f>
        <v>5793031.150085194</v>
      </c>
      <c r="X173" s="65">
        <f>(X28*X74)*INDEX('Availability Model'!$C$93:$T$96, MATCH($K$164,'Availability Model'!$B$93:$B$96, 0), MATCH($K$10, 'Availability Model'!$C$1:$T$1, 0))</f>
        <v>6335258.865733169</v>
      </c>
      <c r="Y173" s="65">
        <f>(Y28*Y74)*INDEX('Availability Model'!$C$93:$T$96, MATCH($K$164,'Availability Model'!$B$93:$B$96, 0), MATCH($K$10, 'Availability Model'!$C$1:$T$1, 0))</f>
        <v>6928239.0955657922</v>
      </c>
      <c r="Z173" s="65">
        <f>(Z28*Z74)*INDEX('Availability Model'!$C$93:$T$96, MATCH($K$164,'Availability Model'!$B$93:$B$96, 0), MATCH($K$10, 'Availability Model'!$C$1:$T$1, 0))</f>
        <v>7576722.2749107499</v>
      </c>
      <c r="AA173" s="65">
        <f>(AA28*AA74)*INDEX('Availability Model'!$C$93:$T$96, MATCH($K$164,'Availability Model'!$B$93:$B$96, 0), MATCH($K$10, 'Availability Model'!$C$1:$T$1, 0))</f>
        <v>8285903.4798423946</v>
      </c>
      <c r="AB173" s="65">
        <f>(AB28*AB74)*INDEX('Availability Model'!$C$93:$T$96, MATCH($K$164,'Availability Model'!$B$93:$B$96, 0), MATCH($K$10, 'Availability Model'!$C$1:$T$1, 0))</f>
        <v>9061464.0455556419</v>
      </c>
      <c r="AC173" s="65">
        <f>(AC28*AC74)*INDEX('Availability Model'!$C$93:$T$96, MATCH($K$164,'Availability Model'!$B$93:$B$96, 0), MATCH($K$10, 'Availability Model'!$C$1:$T$1, 0))</f>
        <v>5308756.9267716398</v>
      </c>
      <c r="AD173" s="65">
        <f>(AD28*AD74)*INDEX('Availability Model'!$C$93:$T$96, MATCH($K$164,'Availability Model'!$B$93:$B$96, 0), MATCH($K$10, 'Availability Model'!$C$1:$T$1, 0))</f>
        <v>5805656.5751174651</v>
      </c>
      <c r="AE173" s="65">
        <f>(AE28*AE74)*INDEX('Availability Model'!$C$93:$T$96, MATCH($K$164,'Availability Model'!$B$93:$B$96, 0), MATCH($K$10, 'Availability Model'!$C$1:$T$1, 0))</f>
        <v>6349066.0305484599</v>
      </c>
      <c r="AF173" s="65">
        <f>(AF28*AF74)*INDEX('Availability Model'!$C$93:$T$96, MATCH($K$164,'Availability Model'!$B$93:$B$96, 0), MATCH($K$10, 'Availability Model'!$C$1:$T$1, 0))</f>
        <v>6943338.6110077947</v>
      </c>
      <c r="AG173" s="65">
        <f>(AG28*AG74)*INDEX('Availability Model'!$C$93:$T$96, MATCH($K$164,'Availability Model'!$B$93:$B$96, 0), MATCH($K$10, 'Availability Model'!$C$1:$T$1, 0))</f>
        <v>7593235.1049981248</v>
      </c>
      <c r="AH173" s="65">
        <f>(AH28*AH74)*INDEX('Availability Model'!$C$93:$T$96, MATCH($K$164,'Availability Model'!$B$93:$B$96, 0), MATCH($K$10, 'Availability Model'!$C$1:$T$1, 0))</f>
        <v>8303961.9108259482</v>
      </c>
      <c r="AI173" s="65">
        <f>(AI28*AI74)*INDEX('Availability Model'!$C$93:$T$96, MATCH($K$164,'Availability Model'!$B$93:$B$96, 0), MATCH($K$10, 'Availability Model'!$C$1:$T$1, 0))</f>
        <v>9081212.7456792556</v>
      </c>
      <c r="AJ173" s="65">
        <f>(AJ28*AJ74)*INDEX('Availability Model'!$C$93:$T$96, MATCH($K$164,'Availability Model'!$B$93:$B$96, 0), MATCH($K$10, 'Availability Model'!$C$1:$T$1, 0))</f>
        <v>9931214.2586748339</v>
      </c>
      <c r="AK173" s="65">
        <f>(AK28*AK74)*INDEX('Availability Model'!$C$93:$T$96, MATCH($K$164,'Availability Model'!$B$93:$B$96, 0), MATCH($K$10, 'Availability Model'!$C$1:$T$1, 0))</f>
        <v>10860775.913286798</v>
      </c>
      <c r="AL173" s="65">
        <f>(AL28*AL74)*INDEX('Availability Model'!$C$93:$T$96, MATCH($K$164,'Availability Model'!$B$93:$B$96, 0), MATCH($K$10, 'Availability Model'!$C$1:$T$1, 0))</f>
        <v>11877344.538770441</v>
      </c>
    </row>
    <row r="174" spans="4:38">
      <c r="E174" s="16"/>
      <c r="K174" s="65"/>
    </row>
    <row r="175" spans="4:38">
      <c r="D175" s="3" t="s">
        <v>474</v>
      </c>
      <c r="E175" s="16" t="s">
        <v>211</v>
      </c>
      <c r="K175" s="65">
        <f>K172+K173</f>
        <v>104654.25</v>
      </c>
      <c r="L175" s="65">
        <f t="shared" ref="L175:AK175" si="80">L172+L173</f>
        <v>108070.32889508041</v>
      </c>
      <c r="M175" s="65">
        <f t="shared" si="80"/>
        <v>123222.34418657479</v>
      </c>
      <c r="N175" s="65">
        <f t="shared" si="80"/>
        <v>875621.78677276801</v>
      </c>
      <c r="O175" s="65">
        <f t="shared" si="80"/>
        <v>2076622.4426562337</v>
      </c>
      <c r="P175" s="65">
        <f t="shared" si="80"/>
        <v>2196124.1572904573</v>
      </c>
      <c r="Q175" s="65">
        <f t="shared" si="80"/>
        <v>2835899.6336160447</v>
      </c>
      <c r="R175" s="65">
        <f t="shared" si="80"/>
        <v>3101339.839322506</v>
      </c>
      <c r="S175" s="65">
        <f t="shared" si="80"/>
        <v>4050156.9910268518</v>
      </c>
      <c r="T175" s="65">
        <f t="shared" si="80"/>
        <v>4429251.6853869651</v>
      </c>
      <c r="U175" s="65">
        <f t="shared" si="80"/>
        <v>4843829.6431391845</v>
      </c>
      <c r="V175" s="65">
        <f t="shared" si="80"/>
        <v>5297212.0977370115</v>
      </c>
      <c r="W175" s="65">
        <f t="shared" si="80"/>
        <v>5793031.150085194</v>
      </c>
      <c r="X175" s="65">
        <f t="shared" si="80"/>
        <v>6335258.865733169</v>
      </c>
      <c r="Y175" s="65">
        <f t="shared" si="80"/>
        <v>6928239.0955657922</v>
      </c>
      <c r="Z175" s="65">
        <f t="shared" si="80"/>
        <v>7576722.2749107499</v>
      </c>
      <c r="AA175" s="65">
        <f t="shared" si="80"/>
        <v>8285903.4798423946</v>
      </c>
      <c r="AB175" s="65">
        <f t="shared" si="80"/>
        <v>9061464.0455556419</v>
      </c>
      <c r="AC175" s="65">
        <f t="shared" si="80"/>
        <v>5308756.9267716398</v>
      </c>
      <c r="AD175" s="65">
        <f t="shared" si="80"/>
        <v>5805656.5751174651</v>
      </c>
      <c r="AE175" s="65">
        <f t="shared" si="80"/>
        <v>6349066.0305484599</v>
      </c>
      <c r="AF175" s="65">
        <f t="shared" si="80"/>
        <v>6943338.6110077947</v>
      </c>
      <c r="AG175" s="65">
        <f t="shared" si="80"/>
        <v>7593235.1049981248</v>
      </c>
      <c r="AH175" s="65">
        <f t="shared" si="80"/>
        <v>8303961.9108259482</v>
      </c>
      <c r="AI175" s="65">
        <f t="shared" si="80"/>
        <v>9081212.7456792556</v>
      </c>
      <c r="AJ175" s="65">
        <f t="shared" si="80"/>
        <v>9931214.2586748339</v>
      </c>
      <c r="AK175" s="65">
        <f t="shared" si="80"/>
        <v>10860775.913286798</v>
      </c>
      <c r="AL175" s="65">
        <f>AL172+AL173</f>
        <v>11877344.538770441</v>
      </c>
    </row>
    <row r="176" spans="4:38">
      <c r="D176" s="7"/>
    </row>
    <row r="177" spans="4:39" ht="18">
      <c r="D177" s="15" t="s">
        <v>261</v>
      </c>
    </row>
    <row r="186" spans="4:39" ht="18">
      <c r="D186" s="71" t="s">
        <v>251</v>
      </c>
    </row>
    <row r="188" spans="4:39">
      <c r="D188" s="7" t="s">
        <v>242</v>
      </c>
      <c r="E188" s="7" t="s">
        <v>243</v>
      </c>
      <c r="K188" s="9">
        <f>Inputs!F34/'Initiative 2 Model'!K11</f>
        <v>8261.9863013698632</v>
      </c>
      <c r="L188" s="9">
        <f>Inputs!G34/'Initiative 2 Model'!L11</f>
        <v>8584.9808743169397</v>
      </c>
      <c r="M188" s="9">
        <f>Inputs!H34/'Initiative 2 Model'!M11</f>
        <v>7544.5084200913252</v>
      </c>
      <c r="N188" s="65">
        <f t="shared" ref="N188:AL188" si="81">N65/N11</f>
        <v>8778.396247123288</v>
      </c>
      <c r="O188" s="65">
        <f t="shared" si="81"/>
        <v>8778.396247123288</v>
      </c>
      <c r="P188" s="65">
        <f t="shared" si="81"/>
        <v>8754.4115579234967</v>
      </c>
      <c r="Q188" s="65">
        <f t="shared" si="81"/>
        <v>8778.396247123288</v>
      </c>
      <c r="R188" s="65">
        <f t="shared" si="81"/>
        <v>8778.396247123288</v>
      </c>
      <c r="S188" s="65">
        <f t="shared" si="81"/>
        <v>8778.396247123288</v>
      </c>
      <c r="T188" s="65">
        <f t="shared" si="81"/>
        <v>8754.4115579234967</v>
      </c>
      <c r="U188" s="65">
        <f t="shared" si="81"/>
        <v>8778.396247123288</v>
      </c>
      <c r="V188" s="65">
        <f t="shared" si="81"/>
        <v>8778.396247123288</v>
      </c>
      <c r="W188" s="65">
        <f t="shared" si="81"/>
        <v>8778.396247123288</v>
      </c>
      <c r="X188" s="65">
        <f t="shared" si="81"/>
        <v>8754.4115579234967</v>
      </c>
      <c r="Y188" s="65">
        <f t="shared" si="81"/>
        <v>8778.396247123288</v>
      </c>
      <c r="Z188" s="65">
        <f t="shared" si="81"/>
        <v>8778.396247123288</v>
      </c>
      <c r="AA188" s="65">
        <f t="shared" si="81"/>
        <v>16929.018867425919</v>
      </c>
      <c r="AB188" s="65">
        <f t="shared" si="81"/>
        <v>16882.764717514918</v>
      </c>
      <c r="AC188" s="65">
        <f t="shared" si="81"/>
        <v>16929.018867425919</v>
      </c>
      <c r="AD188" s="65">
        <f t="shared" si="81"/>
        <v>16929.018867425919</v>
      </c>
      <c r="AE188" s="65">
        <f t="shared" si="81"/>
        <v>16929.018867425919</v>
      </c>
      <c r="AF188" s="65">
        <f t="shared" si="81"/>
        <v>16882.764717514918</v>
      </c>
      <c r="AG188" s="65">
        <f t="shared" si="81"/>
        <v>16929.018867425919</v>
      </c>
      <c r="AH188" s="65">
        <f t="shared" si="81"/>
        <v>16929.018867425919</v>
      </c>
      <c r="AI188" s="65">
        <f t="shared" si="81"/>
        <v>16929.018867425919</v>
      </c>
      <c r="AJ188" s="65">
        <f t="shared" si="81"/>
        <v>16882.764717514918</v>
      </c>
      <c r="AK188" s="65">
        <f t="shared" si="81"/>
        <v>16929.018867425919</v>
      </c>
      <c r="AL188" s="65">
        <f t="shared" si="81"/>
        <v>16929.018867425919</v>
      </c>
    </row>
    <row r="189" spans="4:39">
      <c r="D189" s="7" t="s">
        <v>244</v>
      </c>
      <c r="E189" s="7" t="s">
        <v>106</v>
      </c>
      <c r="K189" s="9">
        <f>K135</f>
        <v>11</v>
      </c>
      <c r="L189" s="9">
        <f t="shared" ref="L189:AL189" si="82">L135</f>
        <v>11</v>
      </c>
      <c r="M189" s="9">
        <f t="shared" si="82"/>
        <v>11</v>
      </c>
      <c r="N189" s="9">
        <f t="shared" si="82"/>
        <v>11</v>
      </c>
      <c r="O189" s="9">
        <f t="shared" si="82"/>
        <v>11</v>
      </c>
      <c r="P189" s="9">
        <f t="shared" si="82"/>
        <v>11</v>
      </c>
      <c r="Q189" s="9">
        <f t="shared" si="82"/>
        <v>11</v>
      </c>
      <c r="R189" s="9">
        <f t="shared" si="82"/>
        <v>11</v>
      </c>
      <c r="S189" s="9">
        <f t="shared" si="82"/>
        <v>11</v>
      </c>
      <c r="T189" s="9">
        <f t="shared" si="82"/>
        <v>11</v>
      </c>
      <c r="U189" s="9">
        <f t="shared" si="82"/>
        <v>11</v>
      </c>
      <c r="V189" s="9">
        <f t="shared" si="82"/>
        <v>11</v>
      </c>
      <c r="W189" s="9">
        <f t="shared" si="82"/>
        <v>11</v>
      </c>
      <c r="X189" s="9">
        <f t="shared" si="82"/>
        <v>11</v>
      </c>
      <c r="Y189" s="9">
        <f t="shared" si="82"/>
        <v>11</v>
      </c>
      <c r="Z189" s="9">
        <f t="shared" si="82"/>
        <v>11</v>
      </c>
      <c r="AA189" s="9">
        <f t="shared" si="82"/>
        <v>11</v>
      </c>
      <c r="AB189" s="9">
        <f t="shared" si="82"/>
        <v>11</v>
      </c>
      <c r="AC189" s="9">
        <f t="shared" si="82"/>
        <v>13</v>
      </c>
      <c r="AD189" s="9">
        <f t="shared" si="82"/>
        <v>13</v>
      </c>
      <c r="AE189" s="9">
        <f t="shared" si="82"/>
        <v>13</v>
      </c>
      <c r="AF189" s="9">
        <f t="shared" si="82"/>
        <v>13</v>
      </c>
      <c r="AG189" s="9">
        <f t="shared" si="82"/>
        <v>13</v>
      </c>
      <c r="AH189" s="9">
        <f t="shared" si="82"/>
        <v>13</v>
      </c>
      <c r="AI189" s="9">
        <f t="shared" si="82"/>
        <v>13</v>
      </c>
      <c r="AJ189" s="9">
        <f t="shared" si="82"/>
        <v>13</v>
      </c>
      <c r="AK189" s="9">
        <f t="shared" si="82"/>
        <v>13</v>
      </c>
      <c r="AL189" s="9">
        <f t="shared" si="82"/>
        <v>13</v>
      </c>
    </row>
    <row r="190" spans="4:39">
      <c r="D190" s="7" t="s">
        <v>244</v>
      </c>
      <c r="E190" s="7" t="s">
        <v>113</v>
      </c>
      <c r="K190" s="9">
        <f>IF(K27&gt;0,K189*K188,0)</f>
        <v>90881.849315068495</v>
      </c>
      <c r="L190" s="9">
        <f t="shared" ref="L190:AL190" si="83">IF(L27&gt;0,L189*L188,0)</f>
        <v>94434.789617486342</v>
      </c>
      <c r="M190" s="9">
        <f t="shared" si="83"/>
        <v>82989.592621004573</v>
      </c>
      <c r="N190" s="9">
        <f t="shared" si="83"/>
        <v>96562.358718356176</v>
      </c>
      <c r="O190" s="9">
        <f t="shared" si="83"/>
        <v>0</v>
      </c>
      <c r="P190" s="9">
        <f t="shared" si="83"/>
        <v>0</v>
      </c>
      <c r="Q190" s="9">
        <f t="shared" si="83"/>
        <v>0</v>
      </c>
      <c r="R190" s="9">
        <f t="shared" si="83"/>
        <v>0</v>
      </c>
      <c r="S190" s="9">
        <f t="shared" si="83"/>
        <v>0</v>
      </c>
      <c r="T190" s="9">
        <f t="shared" si="83"/>
        <v>0</v>
      </c>
      <c r="U190" s="9">
        <f t="shared" si="83"/>
        <v>0</v>
      </c>
      <c r="V190" s="9">
        <f t="shared" si="83"/>
        <v>0</v>
      </c>
      <c r="W190" s="9">
        <f t="shared" si="83"/>
        <v>0</v>
      </c>
      <c r="X190" s="9">
        <f t="shared" si="83"/>
        <v>0</v>
      </c>
      <c r="Y190" s="9">
        <f t="shared" si="83"/>
        <v>0</v>
      </c>
      <c r="Z190" s="9">
        <f t="shared" si="83"/>
        <v>0</v>
      </c>
      <c r="AA190" s="9">
        <f t="shared" si="83"/>
        <v>0</v>
      </c>
      <c r="AB190" s="9">
        <f t="shared" si="83"/>
        <v>0</v>
      </c>
      <c r="AC190" s="9">
        <f t="shared" si="83"/>
        <v>220077.24527653694</v>
      </c>
      <c r="AD190" s="9">
        <f t="shared" si="83"/>
        <v>220077.24527653694</v>
      </c>
      <c r="AE190" s="9">
        <f t="shared" si="83"/>
        <v>220077.24527653694</v>
      </c>
      <c r="AF190" s="9">
        <f t="shared" si="83"/>
        <v>219475.94132769393</v>
      </c>
      <c r="AG190" s="9">
        <f t="shared" si="83"/>
        <v>220077.24527653694</v>
      </c>
      <c r="AH190" s="9">
        <f t="shared" si="83"/>
        <v>220077.24527653694</v>
      </c>
      <c r="AI190" s="9">
        <f t="shared" si="83"/>
        <v>220077.24527653694</v>
      </c>
      <c r="AJ190" s="9">
        <f t="shared" si="83"/>
        <v>219475.94132769393</v>
      </c>
      <c r="AK190" s="9">
        <f t="shared" si="83"/>
        <v>220077.24527653694</v>
      </c>
      <c r="AL190" s="9">
        <f t="shared" si="83"/>
        <v>220077.24527653694</v>
      </c>
      <c r="AM190" s="133">
        <f>SUM(M190:AL190)</f>
        <v>2379121.7962070443</v>
      </c>
    </row>
    <row r="191" spans="4:39">
      <c r="D191" s="109" t="s">
        <v>374</v>
      </c>
      <c r="E191" s="109"/>
      <c r="F191" s="110"/>
      <c r="G191" s="110"/>
      <c r="H191" s="110"/>
      <c r="I191" s="110"/>
      <c r="J191" s="110"/>
      <c r="K191" s="111">
        <f t="shared" ref="K191:AL191" si="84">K190/K65</f>
        <v>2.8364106720300351E-2</v>
      </c>
      <c r="L191" s="111">
        <f t="shared" si="84"/>
        <v>2.9472974757957317E-2</v>
      </c>
      <c r="M191" s="111">
        <f t="shared" si="84"/>
        <v>2.5900943692462208E-2</v>
      </c>
      <c r="N191" s="111">
        <f t="shared" si="84"/>
        <v>3.0136986301369868E-2</v>
      </c>
      <c r="O191" s="111">
        <f t="shared" si="84"/>
        <v>0</v>
      </c>
      <c r="P191" s="111">
        <f t="shared" si="84"/>
        <v>0</v>
      </c>
      <c r="Q191" s="111">
        <f t="shared" si="84"/>
        <v>0</v>
      </c>
      <c r="R191" s="111">
        <f t="shared" si="84"/>
        <v>0</v>
      </c>
      <c r="S191" s="111">
        <f t="shared" si="84"/>
        <v>0</v>
      </c>
      <c r="T191" s="111">
        <f t="shared" si="84"/>
        <v>0</v>
      </c>
      <c r="U191" s="111">
        <f t="shared" si="84"/>
        <v>0</v>
      </c>
      <c r="V191" s="111">
        <f t="shared" si="84"/>
        <v>0</v>
      </c>
      <c r="W191" s="111">
        <f t="shared" si="84"/>
        <v>0</v>
      </c>
      <c r="X191" s="111">
        <f t="shared" si="84"/>
        <v>0</v>
      </c>
      <c r="Y191" s="111">
        <f t="shared" si="84"/>
        <v>0</v>
      </c>
      <c r="Z191" s="111">
        <f t="shared" si="84"/>
        <v>0</v>
      </c>
      <c r="AA191" s="111">
        <f t="shared" si="84"/>
        <v>0</v>
      </c>
      <c r="AB191" s="111">
        <f t="shared" si="84"/>
        <v>0</v>
      </c>
      <c r="AC191" s="111">
        <f t="shared" si="84"/>
        <v>3.5616438356164383E-2</v>
      </c>
      <c r="AD191" s="111">
        <f t="shared" si="84"/>
        <v>3.5616438356164383E-2</v>
      </c>
      <c r="AE191" s="111">
        <f t="shared" si="84"/>
        <v>3.5616438356164383E-2</v>
      </c>
      <c r="AF191" s="111">
        <f t="shared" si="84"/>
        <v>3.5519125683060107E-2</v>
      </c>
      <c r="AG191" s="111">
        <f t="shared" si="84"/>
        <v>3.5616438356164383E-2</v>
      </c>
      <c r="AH191" s="111">
        <f t="shared" si="84"/>
        <v>3.5616438356164383E-2</v>
      </c>
      <c r="AI191" s="111">
        <f t="shared" si="84"/>
        <v>3.5616438356164383E-2</v>
      </c>
      <c r="AJ191" s="111">
        <f t="shared" si="84"/>
        <v>3.5519125683060107E-2</v>
      </c>
      <c r="AK191" s="111">
        <f t="shared" si="84"/>
        <v>3.5616438356164383E-2</v>
      </c>
      <c r="AL191" s="111">
        <f t="shared" si="84"/>
        <v>3.5616438356164383E-2</v>
      </c>
    </row>
    <row r="192" spans="4:39">
      <c r="K192" s="9"/>
    </row>
    <row r="193" spans="4:40">
      <c r="D193" t="s">
        <v>399</v>
      </c>
      <c r="E193" t="s">
        <v>108</v>
      </c>
      <c r="K193" s="9">
        <f>K81/Inputs!E34</f>
        <v>551.54081671843676</v>
      </c>
      <c r="L193" s="9">
        <f>L81/Inputs!F34</f>
        <v>623.41968911917104</v>
      </c>
      <c r="M193" s="9">
        <f>M81/Inputs!G34</f>
        <v>636.51637136020042</v>
      </c>
      <c r="N193" s="65">
        <f t="shared" ref="N193:AL193" si="85">N81/N65</f>
        <v>661.64923689626869</v>
      </c>
      <c r="O193" s="65">
        <f t="shared" si="85"/>
        <v>701.34819111004481</v>
      </c>
      <c r="P193" s="65">
        <f t="shared" si="85"/>
        <v>743.42908257664749</v>
      </c>
      <c r="Q193" s="65">
        <f t="shared" si="85"/>
        <v>788.03482753124626</v>
      </c>
      <c r="R193" s="65">
        <f t="shared" si="85"/>
        <v>835.31691718312118</v>
      </c>
      <c r="S193" s="65">
        <f t="shared" si="85"/>
        <v>885.43593221410856</v>
      </c>
      <c r="T193" s="65">
        <f t="shared" si="85"/>
        <v>938.56208814695515</v>
      </c>
      <c r="U193" s="65">
        <f t="shared" si="85"/>
        <v>994.87581343577244</v>
      </c>
      <c r="V193" s="65">
        <f t="shared" si="85"/>
        <v>1054.5683622419187</v>
      </c>
      <c r="W193" s="65">
        <f t="shared" si="85"/>
        <v>1117.8424639764339</v>
      </c>
      <c r="X193" s="65">
        <f t="shared" si="85"/>
        <v>1184.9130118150201</v>
      </c>
      <c r="Y193" s="65">
        <f t="shared" si="85"/>
        <v>1256.0077925239214</v>
      </c>
      <c r="Z193" s="65">
        <f t="shared" si="85"/>
        <v>1331.3682600753566</v>
      </c>
      <c r="AA193" s="65">
        <f t="shared" si="85"/>
        <v>731.79166040679934</v>
      </c>
      <c r="AB193" s="65">
        <f t="shared" si="85"/>
        <v>775.69916003120738</v>
      </c>
      <c r="AC193" s="65">
        <f t="shared" si="85"/>
        <v>822.24110963307999</v>
      </c>
      <c r="AD193" s="65">
        <f t="shared" si="85"/>
        <v>871.5755762110648</v>
      </c>
      <c r="AE193" s="65">
        <f t="shared" si="85"/>
        <v>923.87011078372871</v>
      </c>
      <c r="AF193" s="65">
        <f t="shared" si="85"/>
        <v>979.30231743075251</v>
      </c>
      <c r="AG193" s="65">
        <f t="shared" si="85"/>
        <v>1038.0604564765977</v>
      </c>
      <c r="AH193" s="65">
        <f t="shared" si="85"/>
        <v>1100.3440838651934</v>
      </c>
      <c r="AI193" s="65">
        <f t="shared" si="85"/>
        <v>1166.3647288971051</v>
      </c>
      <c r="AJ193" s="65">
        <f t="shared" si="85"/>
        <v>1236.3466126309315</v>
      </c>
      <c r="AK193" s="65">
        <f t="shared" si="85"/>
        <v>1310.5274093887874</v>
      </c>
      <c r="AL193" s="65">
        <f t="shared" si="85"/>
        <v>1389.1590539521146</v>
      </c>
    </row>
    <row r="194" spans="4:40">
      <c r="D194" s="7" t="s">
        <v>245</v>
      </c>
      <c r="E194" s="7" t="s">
        <v>211</v>
      </c>
      <c r="K194" s="9">
        <f t="shared" ref="K194:AL194" si="86">K190*K193</f>
        <v>50125049.396114781</v>
      </c>
      <c r="L194" s="9">
        <f t="shared" si="86"/>
        <v>58872507.185367659</v>
      </c>
      <c r="M194" s="9">
        <f t="shared" si="86"/>
        <v>52824234.355783097</v>
      </c>
      <c r="N194" s="9">
        <f t="shared" si="86"/>
        <v>63890410.958904125</v>
      </c>
      <c r="O194" s="9">
        <f t="shared" si="86"/>
        <v>0</v>
      </c>
      <c r="P194" s="9">
        <f t="shared" si="86"/>
        <v>0</v>
      </c>
      <c r="Q194" s="9">
        <f t="shared" si="86"/>
        <v>0</v>
      </c>
      <c r="R194" s="9">
        <f t="shared" si="86"/>
        <v>0</v>
      </c>
      <c r="S194" s="9">
        <f t="shared" si="86"/>
        <v>0</v>
      </c>
      <c r="T194" s="9">
        <f t="shared" si="86"/>
        <v>0</v>
      </c>
      <c r="U194" s="9">
        <f t="shared" si="86"/>
        <v>0</v>
      </c>
      <c r="V194" s="9">
        <f t="shared" si="86"/>
        <v>0</v>
      </c>
      <c r="W194" s="9">
        <f t="shared" si="86"/>
        <v>0</v>
      </c>
      <c r="X194" s="9">
        <f t="shared" si="86"/>
        <v>0</v>
      </c>
      <c r="Y194" s="9">
        <f t="shared" si="86"/>
        <v>0</v>
      </c>
      <c r="Z194" s="9">
        <f t="shared" si="86"/>
        <v>0</v>
      </c>
      <c r="AA194" s="9">
        <f t="shared" si="86"/>
        <v>0</v>
      </c>
      <c r="AB194" s="9">
        <f t="shared" si="86"/>
        <v>0</v>
      </c>
      <c r="AC194" s="9">
        <f t="shared" si="86"/>
        <v>180956558.36117125</v>
      </c>
      <c r="AD194" s="9">
        <f t="shared" si="86"/>
        <v>191813951.86284152</v>
      </c>
      <c r="AE194" s="9">
        <f t="shared" si="86"/>
        <v>203322788.97461203</v>
      </c>
      <c r="AF194" s="9">
        <f t="shared" si="86"/>
        <v>214933297.96250653</v>
      </c>
      <c r="AG194" s="9">
        <f t="shared" si="86"/>
        <v>228453485.69187409</v>
      </c>
      <c r="AH194" s="9">
        <f t="shared" si="86"/>
        <v>242160694.83338651</v>
      </c>
      <c r="AI194" s="9">
        <f t="shared" si="86"/>
        <v>256690336.52338973</v>
      </c>
      <c r="AJ194" s="9">
        <f t="shared" si="86"/>
        <v>271348336.61447948</v>
      </c>
      <c r="AK194" s="9">
        <f t="shared" si="86"/>
        <v>288417262.11768073</v>
      </c>
      <c r="AL194" s="9">
        <f t="shared" si="86"/>
        <v>305722297.84474152</v>
      </c>
    </row>
    <row r="195" spans="4:40">
      <c r="D195" t="s">
        <v>316</v>
      </c>
      <c r="E195" s="7" t="s">
        <v>211</v>
      </c>
      <c r="K195" s="65">
        <f>K152+K175+K148</f>
        <v>316390.48510273971</v>
      </c>
      <c r="L195" s="65">
        <f t="shared" ref="L195:AL195" si="87">L152+L175+L148</f>
        <v>326525.14011456911</v>
      </c>
      <c r="M195" s="65">
        <f t="shared" si="87"/>
        <v>371886.20187630242</v>
      </c>
      <c r="N195" s="65">
        <f t="shared" si="87"/>
        <v>1549755.5701558334</v>
      </c>
      <c r="O195" s="65">
        <f t="shared" si="87"/>
        <v>2076622.4426562337</v>
      </c>
      <c r="P195" s="65">
        <f t="shared" si="87"/>
        <v>2196124.1572904573</v>
      </c>
      <c r="Q195" s="65">
        <f t="shared" si="87"/>
        <v>2835899.6336160447</v>
      </c>
      <c r="R195" s="65">
        <f t="shared" si="87"/>
        <v>3101339.839322506</v>
      </c>
      <c r="S195" s="65">
        <f t="shared" si="87"/>
        <v>4050156.9910268518</v>
      </c>
      <c r="T195" s="65">
        <f t="shared" si="87"/>
        <v>4429251.6853869651</v>
      </c>
      <c r="U195" s="65">
        <f t="shared" si="87"/>
        <v>4843829.6431391845</v>
      </c>
      <c r="V195" s="65">
        <f t="shared" si="87"/>
        <v>5297212.0977370115</v>
      </c>
      <c r="W195" s="65">
        <f t="shared" si="87"/>
        <v>5793031.150085194</v>
      </c>
      <c r="X195" s="65">
        <f t="shared" si="87"/>
        <v>6335258.865733169</v>
      </c>
      <c r="Y195" s="65">
        <f t="shared" si="87"/>
        <v>6928239.0955657922</v>
      </c>
      <c r="Z195" s="65">
        <f t="shared" si="87"/>
        <v>7576722.2749107499</v>
      </c>
      <c r="AA195" s="65">
        <f t="shared" si="87"/>
        <v>8285903.4798423946</v>
      </c>
      <c r="AB195" s="65">
        <f t="shared" si="87"/>
        <v>9061464.0455556419</v>
      </c>
      <c r="AC195" s="65">
        <f t="shared" si="87"/>
        <v>9134117.6469258685</v>
      </c>
      <c r="AD195" s="65">
        <f t="shared" si="87"/>
        <v>9986992.9934606981</v>
      </c>
      <c r="AE195" s="65">
        <f t="shared" si="87"/>
        <v>10919572.788518144</v>
      </c>
      <c r="AF195" s="65">
        <f t="shared" si="87"/>
        <v>11939044.086869827</v>
      </c>
      <c r="AG195" s="65">
        <f t="shared" si="87"/>
        <v>13054354.283986999</v>
      </c>
      <c r="AH195" s="65">
        <f t="shared" si="87"/>
        <v>14273618.335509799</v>
      </c>
      <c r="AI195" s="65">
        <f t="shared" si="87"/>
        <v>15606848.091687627</v>
      </c>
      <c r="AJ195" s="65">
        <f t="shared" si="87"/>
        <v>17064354.897801928</v>
      </c>
      <c r="AK195" s="65">
        <f t="shared" si="87"/>
        <v>18658832.69757909</v>
      </c>
      <c r="AL195" s="65">
        <f t="shared" si="87"/>
        <v>20401987.317826938</v>
      </c>
    </row>
    <row r="196" spans="4:40">
      <c r="D196" s="110" t="s">
        <v>335</v>
      </c>
      <c r="E196" s="109" t="s">
        <v>211</v>
      </c>
      <c r="F196" s="110"/>
      <c r="G196" s="110"/>
      <c r="H196" s="110"/>
      <c r="I196" s="110"/>
      <c r="J196" s="110"/>
      <c r="K196" s="122">
        <f>K194+K195</f>
        <v>50441439.881217524</v>
      </c>
      <c r="L196" s="122">
        <f t="shared" ref="L196:AL196" si="88">L194+L195</f>
        <v>59199032.325482227</v>
      </c>
      <c r="M196" s="122">
        <f>M194+M195</f>
        <v>53196120.557659402</v>
      </c>
      <c r="N196" s="122">
        <f t="shared" si="88"/>
        <v>65440166.529059961</v>
      </c>
      <c r="O196" s="122">
        <f t="shared" si="88"/>
        <v>2076622.4426562337</v>
      </c>
      <c r="P196" s="122">
        <f t="shared" si="88"/>
        <v>2196124.1572904573</v>
      </c>
      <c r="Q196" s="122">
        <f t="shared" si="88"/>
        <v>2835899.6336160447</v>
      </c>
      <c r="R196" s="122">
        <f t="shared" si="88"/>
        <v>3101339.839322506</v>
      </c>
      <c r="S196" s="122">
        <f t="shared" si="88"/>
        <v>4050156.9910268518</v>
      </c>
      <c r="T196" s="122">
        <f t="shared" si="88"/>
        <v>4429251.6853869651</v>
      </c>
      <c r="U196" s="122">
        <f t="shared" si="88"/>
        <v>4843829.6431391845</v>
      </c>
      <c r="V196" s="122">
        <f t="shared" si="88"/>
        <v>5297212.0977370115</v>
      </c>
      <c r="W196" s="122">
        <f t="shared" si="88"/>
        <v>5793031.150085194</v>
      </c>
      <c r="X196" s="122">
        <f t="shared" si="88"/>
        <v>6335258.865733169</v>
      </c>
      <c r="Y196" s="122">
        <f t="shared" si="88"/>
        <v>6928239.0955657922</v>
      </c>
      <c r="Z196" s="122">
        <f t="shared" si="88"/>
        <v>7576722.2749107499</v>
      </c>
      <c r="AA196" s="122">
        <f t="shared" si="88"/>
        <v>8285903.4798423946</v>
      </c>
      <c r="AB196" s="122">
        <f t="shared" si="88"/>
        <v>9061464.0455556419</v>
      </c>
      <c r="AC196" s="122">
        <f t="shared" si="88"/>
        <v>190090676.00809711</v>
      </c>
      <c r="AD196" s="122">
        <f t="shared" si="88"/>
        <v>201800944.8563022</v>
      </c>
      <c r="AE196" s="122">
        <f t="shared" si="88"/>
        <v>214242361.76313016</v>
      </c>
      <c r="AF196" s="122">
        <f t="shared" si="88"/>
        <v>226872342.04937637</v>
      </c>
      <c r="AG196" s="122">
        <f t="shared" si="88"/>
        <v>241507839.97586107</v>
      </c>
      <c r="AH196" s="122">
        <f t="shared" si="88"/>
        <v>256434313.16889632</v>
      </c>
      <c r="AI196" s="122">
        <f t="shared" si="88"/>
        <v>272297184.61507738</v>
      </c>
      <c r="AJ196" s="122">
        <f t="shared" si="88"/>
        <v>288412691.51228142</v>
      </c>
      <c r="AK196" s="122">
        <f t="shared" si="88"/>
        <v>307076094.81525981</v>
      </c>
      <c r="AL196" s="122">
        <f t="shared" si="88"/>
        <v>326124285.16256845</v>
      </c>
    </row>
    <row r="197" spans="4:40">
      <c r="E197" s="7"/>
      <c r="K197" s="65">
        <f>K196/K26</f>
        <v>261.35461078351051</v>
      </c>
      <c r="L197" s="65">
        <f t="shared" ref="L197:N197" si="89">L196/L26</f>
        <v>324.83752796423408</v>
      </c>
      <c r="M197" s="65">
        <f t="shared" si="89"/>
        <v>279.96713872820197</v>
      </c>
      <c r="N197" s="65">
        <f t="shared" si="89"/>
        <v>137.60702216618142</v>
      </c>
      <c r="O197" s="65">
        <f>O175/O26</f>
        <v>4.0271819999999998</v>
      </c>
      <c r="P197" s="65">
        <f t="shared" ref="P197:AL197" si="90">P175/P26</f>
        <v>4.2589309902153332</v>
      </c>
      <c r="Q197" s="65">
        <f t="shared" si="90"/>
        <v>4.6811970975070309</v>
      </c>
      <c r="R197" s="65">
        <f t="shared" si="90"/>
        <v>5.1193571458336882</v>
      </c>
      <c r="S197" s="65">
        <f t="shared" si="90"/>
        <v>5.6241903458760607</v>
      </c>
      <c r="T197" s="65">
        <f t="shared" si="90"/>
        <v>6.1506145622500599</v>
      </c>
      <c r="U197" s="65">
        <f t="shared" si="90"/>
        <v>6.7263120852766649</v>
      </c>
      <c r="V197" s="65">
        <f t="shared" si="90"/>
        <v>7.35589489645856</v>
      </c>
      <c r="W197" s="65">
        <f t="shared" si="90"/>
        <v>8.0444066587670786</v>
      </c>
      <c r="X197" s="65">
        <f t="shared" si="90"/>
        <v>8.7973631220276776</v>
      </c>
      <c r="Y197" s="65">
        <f t="shared" si="90"/>
        <v>9.6207963102494674</v>
      </c>
      <c r="Z197" s="65">
        <f t="shared" si="90"/>
        <v>10.521302844888817</v>
      </c>
      <c r="AA197" s="65">
        <f t="shared" si="90"/>
        <v>11.506096791170407</v>
      </c>
      <c r="AB197" s="65">
        <f t="shared" si="90"/>
        <v>12.583067450823956</v>
      </c>
      <c r="AC197" s="65">
        <f t="shared" si="90"/>
        <v>7.3719264518143648</v>
      </c>
      <c r="AD197" s="65">
        <f t="shared" si="90"/>
        <v>8.0619387677041896</v>
      </c>
      <c r="AE197" s="65">
        <f t="shared" si="90"/>
        <v>8.8165362363613013</v>
      </c>
      <c r="AF197" s="65">
        <f t="shared" si="90"/>
        <v>9.641764028084717</v>
      </c>
      <c r="AG197" s="65">
        <f t="shared" si="90"/>
        <v>10.544233141113448</v>
      </c>
      <c r="AH197" s="65">
        <f t="shared" si="90"/>
        <v>11.531173363121665</v>
      </c>
      <c r="AI197" s="65">
        <f t="shared" si="90"/>
        <v>12.610491189909851</v>
      </c>
      <c r="AJ197" s="65">
        <f t="shared" si="90"/>
        <v>13.790833165285413</v>
      </c>
      <c r="AK197" s="65">
        <f t="shared" si="90"/>
        <v>15.081655149556127</v>
      </c>
      <c r="AL197" s="65">
        <f t="shared" si="90"/>
        <v>16.493298071554577</v>
      </c>
    </row>
    <row r="198" spans="4:40">
      <c r="D198" s="63" t="s">
        <v>247</v>
      </c>
      <c r="E198" s="7" t="s">
        <v>101</v>
      </c>
      <c r="K198" s="10">
        <f>K194/20000000000</f>
        <v>2.5062524698057391E-3</v>
      </c>
    </row>
    <row r="199" spans="4:40">
      <c r="D199" s="7"/>
      <c r="E199" s="7"/>
      <c r="K199" s="10"/>
    </row>
    <row r="200" spans="4:40">
      <c r="D200" s="7"/>
      <c r="E200" s="7"/>
      <c r="K200" s="10"/>
    </row>
    <row r="201" spans="4:40">
      <c r="D201" s="110" t="s">
        <v>348</v>
      </c>
      <c r="E201" s="110" t="s">
        <v>211</v>
      </c>
      <c r="F201" s="110"/>
      <c r="G201" s="110"/>
      <c r="H201" s="110"/>
      <c r="I201" s="110"/>
      <c r="J201" s="110"/>
      <c r="K201" s="122">
        <f t="shared" ref="K201:AL201" si="91">K85+K92+K97</f>
        <v>9446804.7750000004</v>
      </c>
      <c r="L201" s="122">
        <f t="shared" si="91"/>
        <v>9561710.1156316809</v>
      </c>
      <c r="M201" s="122">
        <f t="shared" si="91"/>
        <v>10573824.57784687</v>
      </c>
      <c r="N201" s="122">
        <f t="shared" si="91"/>
        <v>27832572.701335274</v>
      </c>
      <c r="O201" s="122">
        <f t="shared" si="91"/>
        <v>28582831.733632732</v>
      </c>
      <c r="P201" s="122">
        <f t="shared" si="91"/>
        <v>30951542.397504546</v>
      </c>
      <c r="Q201" s="122">
        <f t="shared" si="91"/>
        <v>40797035.450838044</v>
      </c>
      <c r="R201" s="122">
        <f t="shared" si="91"/>
        <v>44039784.452675655</v>
      </c>
      <c r="S201" s="122">
        <f t="shared" si="91"/>
        <v>58363224.080175519</v>
      </c>
      <c r="T201" s="122">
        <f t="shared" si="91"/>
        <v>62983406.874992944</v>
      </c>
      <c r="U201" s="122">
        <f t="shared" si="91"/>
        <v>67979748.028376475</v>
      </c>
      <c r="V201" s="122">
        <f t="shared" si="91"/>
        <v>73383625.543295801</v>
      </c>
      <c r="W201" s="122">
        <f t="shared" si="91"/>
        <v>79229088.793662891</v>
      </c>
      <c r="X201" s="122">
        <f t="shared" si="91"/>
        <v>85553089.801031351</v>
      </c>
      <c r="Y201" s="122">
        <f t="shared" si="91"/>
        <v>92395734.809643418</v>
      </c>
      <c r="Z201" s="122">
        <f t="shared" si="91"/>
        <v>99800557.96115768</v>
      </c>
      <c r="AA201" s="122">
        <f t="shared" si="91"/>
        <v>107814819.03168586</v>
      </c>
      <c r="AB201" s="122">
        <f t="shared" si="91"/>
        <v>116489827.36961053</v>
      </c>
      <c r="AC201" s="122">
        <f t="shared" si="91"/>
        <v>132560320.82603866</v>
      </c>
      <c r="AD201" s="122">
        <f t="shared" si="91"/>
        <v>142511129.4301568</v>
      </c>
      <c r="AE201" s="122">
        <f t="shared" si="91"/>
        <v>153233658.66064927</v>
      </c>
      <c r="AF201" s="122">
        <f t="shared" si="91"/>
        <v>164789592.14434332</v>
      </c>
      <c r="AG201" s="122">
        <f t="shared" si="91"/>
        <v>177245677.58540806</v>
      </c>
      <c r="AH201" s="122">
        <f t="shared" si="91"/>
        <v>190674152.14535505</v>
      </c>
      <c r="AI201" s="122">
        <f t="shared" si="91"/>
        <v>205153204.24383235</v>
      </c>
      <c r="AJ201" s="122">
        <f t="shared" si="91"/>
        <v>220767474.94777346</v>
      </c>
      <c r="AK201" s="122">
        <f t="shared" si="91"/>
        <v>237608602.39547783</v>
      </c>
      <c r="AL201" s="122">
        <f t="shared" si="91"/>
        <v>255775813.00604931</v>
      </c>
    </row>
    <row r="202" spans="4:40">
      <c r="D202" t="s">
        <v>336</v>
      </c>
      <c r="E202" t="s">
        <v>211</v>
      </c>
      <c r="K202" s="65">
        <f>K201+K196</f>
        <v>59888244.656217523</v>
      </c>
      <c r="L202" s="65">
        <f t="shared" ref="L202:AL202" si="92">L201+L196</f>
        <v>68760742.441113904</v>
      </c>
      <c r="M202" s="65">
        <f t="shared" si="92"/>
        <v>63769945.135506272</v>
      </c>
      <c r="N202" s="65">
        <f t="shared" si="92"/>
        <v>93272739.230395228</v>
      </c>
      <c r="O202" s="65">
        <f t="shared" si="92"/>
        <v>30659454.176288966</v>
      </c>
      <c r="P202" s="65">
        <f t="shared" si="92"/>
        <v>33147666.554795004</v>
      </c>
      <c r="Q202" s="65">
        <f t="shared" si="92"/>
        <v>43632935.084454089</v>
      </c>
      <c r="R202" s="65">
        <f t="shared" si="92"/>
        <v>47141124.291998163</v>
      </c>
      <c r="S202" s="65">
        <f t="shared" si="92"/>
        <v>62413381.071202368</v>
      </c>
      <c r="T202" s="65">
        <f t="shared" si="92"/>
        <v>67412658.560379907</v>
      </c>
      <c r="U202" s="65">
        <f t="shared" si="92"/>
        <v>72823577.671515658</v>
      </c>
      <c r="V202" s="65">
        <f t="shared" si="92"/>
        <v>78680837.641032815</v>
      </c>
      <c r="W202" s="65">
        <f t="shared" si="92"/>
        <v>85022119.943748087</v>
      </c>
      <c r="X202" s="65">
        <f t="shared" si="92"/>
        <v>91888348.666764528</v>
      </c>
      <c r="Y202" s="65">
        <f t="shared" si="92"/>
        <v>99323973.905209213</v>
      </c>
      <c r="Z202" s="65">
        <f t="shared" si="92"/>
        <v>107377280.23606843</v>
      </c>
      <c r="AA202" s="65">
        <f t="shared" si="92"/>
        <v>116100722.51152825</v>
      </c>
      <c r="AB202" s="65">
        <f t="shared" si="92"/>
        <v>125551291.41516617</v>
      </c>
      <c r="AC202" s="65">
        <f t="shared" si="92"/>
        <v>322650996.83413577</v>
      </c>
      <c r="AD202" s="65">
        <f t="shared" si="92"/>
        <v>344312074.28645897</v>
      </c>
      <c r="AE202" s="65">
        <f t="shared" si="92"/>
        <v>367476020.42377943</v>
      </c>
      <c r="AF202" s="65">
        <f t="shared" si="92"/>
        <v>391661934.19371969</v>
      </c>
      <c r="AG202" s="65">
        <f t="shared" si="92"/>
        <v>418753517.56126916</v>
      </c>
      <c r="AH202" s="65">
        <f t="shared" si="92"/>
        <v>447108465.31425136</v>
      </c>
      <c r="AI202" s="65">
        <f t="shared" si="92"/>
        <v>477450388.85890973</v>
      </c>
      <c r="AJ202" s="65">
        <f t="shared" si="92"/>
        <v>509180166.46005487</v>
      </c>
      <c r="AK202" s="65">
        <f t="shared" si="92"/>
        <v>544684697.21073771</v>
      </c>
      <c r="AL202" s="65">
        <f t="shared" si="92"/>
        <v>581900098.16861773</v>
      </c>
      <c r="AM202" s="65">
        <f>SUM(M202:AL202)/10^6</f>
        <v>5623.3964154079877</v>
      </c>
      <c r="AN202" s="65">
        <f>'BaU Model'!AM191-'Initiative 2 Model'!AM202</f>
        <v>820.28477570059476</v>
      </c>
    </row>
    <row r="203" spans="4:40">
      <c r="D203" s="109" t="s">
        <v>336</v>
      </c>
      <c r="E203" s="110" t="s">
        <v>337</v>
      </c>
      <c r="F203" s="110"/>
      <c r="G203" s="110"/>
      <c r="H203" s="110"/>
      <c r="I203" s="110"/>
      <c r="J203" s="110">
        <f>K203/K105</f>
        <v>6.3395239006849824</v>
      </c>
      <c r="K203" s="113">
        <f t="shared" ref="K203:AL203" si="93">K202/K26</f>
        <v>310.30178578351047</v>
      </c>
      <c r="L203" s="113">
        <f t="shared" si="93"/>
        <v>377.30464026423408</v>
      </c>
      <c r="M203" s="113">
        <f t="shared" si="93"/>
        <v>335.61637369948198</v>
      </c>
      <c r="N203" s="113">
        <f t="shared" si="93"/>
        <v>196.13311786237333</v>
      </c>
      <c r="O203" s="113">
        <f t="shared" si="93"/>
        <v>59.457703746398018</v>
      </c>
      <c r="P203" s="113">
        <f t="shared" si="93"/>
        <v>64.283079749789067</v>
      </c>
      <c r="Q203" s="113">
        <f t="shared" si="93"/>
        <v>72.024540872984005</v>
      </c>
      <c r="R203" s="113">
        <f t="shared" si="93"/>
        <v>77.815481053374143</v>
      </c>
      <c r="S203" s="113">
        <f t="shared" si="93"/>
        <v>86.66941455648201</v>
      </c>
      <c r="T203" s="113">
        <f t="shared" si="93"/>
        <v>93.61158698418815</v>
      </c>
      <c r="U203" s="113">
        <f t="shared" si="93"/>
        <v>101.12537943583591</v>
      </c>
      <c r="V203" s="113">
        <f t="shared" si="93"/>
        <v>109.25897649067321</v>
      </c>
      <c r="W203" s="113">
        <f t="shared" si="93"/>
        <v>118.06470396899591</v>
      </c>
      <c r="X203" s="113">
        <f t="shared" si="93"/>
        <v>127.59939049648661</v>
      </c>
      <c r="Y203" s="113">
        <f t="shared" si="93"/>
        <v>137.92476103749627</v>
      </c>
      <c r="Z203" s="113">
        <f t="shared" si="93"/>
        <v>149.10786525265351</v>
      </c>
      <c r="AA203" s="113">
        <f t="shared" si="93"/>
        <v>161.22154379329925</v>
      </c>
      <c r="AB203" s="113">
        <f t="shared" si="93"/>
        <v>174.34493592566227</v>
      </c>
      <c r="AC203" s="113">
        <f t="shared" si="93"/>
        <v>448.0445142008578</v>
      </c>
      <c r="AD203" s="113">
        <f t="shared" si="93"/>
        <v>478.12384765843393</v>
      </c>
      <c r="AE203" s="113">
        <f t="shared" si="93"/>
        <v>510.2901173923093</v>
      </c>
      <c r="AF203" s="113">
        <f t="shared" si="93"/>
        <v>543.87552729924766</v>
      </c>
      <c r="AG203" s="113">
        <f t="shared" si="93"/>
        <v>581.49585213303578</v>
      </c>
      <c r="AH203" s="113">
        <f t="shared" si="93"/>
        <v>620.87052915505183</v>
      </c>
      <c r="AI203" s="113">
        <f t="shared" si="93"/>
        <v>663.00439059628752</v>
      </c>
      <c r="AJ203" s="113">
        <f t="shared" si="93"/>
        <v>707.06547495833115</v>
      </c>
      <c r="AK203" s="113">
        <f t="shared" si="93"/>
        <v>756.36831421252589</v>
      </c>
      <c r="AL203" s="113">
        <f t="shared" si="93"/>
        <v>808.046927967236</v>
      </c>
    </row>
    <row r="204" spans="4:40">
      <c r="E204" t="s">
        <v>108</v>
      </c>
      <c r="J204">
        <f>K204/K106</f>
        <v>5.9665863957588288</v>
      </c>
      <c r="K204" s="65">
        <f>K202/Inputs!E34</f>
        <v>18.691043101812905</v>
      </c>
      <c r="L204" s="65">
        <f>L202/Inputs!F34</f>
        <v>22.801489721405648</v>
      </c>
      <c r="M204" s="65">
        <f>M202/Inputs!G34</f>
        <v>20.295307039745762</v>
      </c>
      <c r="N204" s="65">
        <f>N202/Inputs!H34</f>
        <v>33.871226206817333</v>
      </c>
      <c r="O204" s="65">
        <f t="shared" ref="O204:AL204" si="94">O202/O65</f>
        <v>9.5687756883951476</v>
      </c>
      <c r="P204" s="65">
        <f t="shared" si="94"/>
        <v>10.345343528713245</v>
      </c>
      <c r="Q204" s="65">
        <f t="shared" si="94"/>
        <v>13.617782170836545</v>
      </c>
      <c r="R204" s="65">
        <f t="shared" si="94"/>
        <v>14.712683450109781</v>
      </c>
      <c r="S204" s="65">
        <f t="shared" si="94"/>
        <v>19.479134885791069</v>
      </c>
      <c r="T204" s="65">
        <f t="shared" si="94"/>
        <v>21.03940287435098</v>
      </c>
      <c r="U204" s="65">
        <f t="shared" si="94"/>
        <v>22.728143676610607</v>
      </c>
      <c r="V204" s="65">
        <f t="shared" si="94"/>
        <v>24.556186879032346</v>
      </c>
      <c r="W204" s="65">
        <f t="shared" si="94"/>
        <v>26.535292820794314</v>
      </c>
      <c r="X204" s="65">
        <f t="shared" si="94"/>
        <v>28.678233856142931</v>
      </c>
      <c r="Y204" s="65">
        <f t="shared" si="94"/>
        <v>30.99888280183329</v>
      </c>
      <c r="Z204" s="65">
        <f t="shared" si="94"/>
        <v>33.512309211411065</v>
      </c>
      <c r="AA204" s="65">
        <f t="shared" si="94"/>
        <v>18.789285649418506</v>
      </c>
      <c r="AB204" s="65">
        <f t="shared" si="94"/>
        <v>20.31872866095819</v>
      </c>
      <c r="AC204" s="65">
        <f t="shared" si="94"/>
        <v>52.216572071584118</v>
      </c>
      <c r="AD204" s="65">
        <f t="shared" si="94"/>
        <v>55.722115903884266</v>
      </c>
      <c r="AE204" s="65">
        <f t="shared" si="94"/>
        <v>59.470878110757198</v>
      </c>
      <c r="AF204" s="65">
        <f t="shared" si="94"/>
        <v>63.385031551710064</v>
      </c>
      <c r="AG204" s="65">
        <f t="shared" si="94"/>
        <v>67.769427165935269</v>
      </c>
      <c r="AH204" s="65">
        <f t="shared" si="94"/>
        <v>72.358280718093127</v>
      </c>
      <c r="AI204" s="65">
        <f t="shared" si="94"/>
        <v>77.26869864057241</v>
      </c>
      <c r="AJ204" s="65">
        <f t="shared" si="94"/>
        <v>82.403721421169152</v>
      </c>
      <c r="AK204" s="65">
        <f t="shared" si="94"/>
        <v>88.149635449024601</v>
      </c>
      <c r="AL204" s="65">
        <f t="shared" si="94"/>
        <v>94.172430002140473</v>
      </c>
    </row>
  </sheetData>
  <conditionalFormatting sqref="K6:AL6">
    <cfRule type="cellIs" dxfId="7" priority="2" operator="equal">
      <formula>1</formula>
    </cfRule>
  </conditionalFormatting>
  <conditionalFormatting sqref="K7:AL7">
    <cfRule type="cellIs" dxfId="6" priority="1" operator="equal">
      <formula>1</formula>
    </cfRule>
  </conditionalFormatting>
  <pageMargins left="0.7" right="0.7" top="0.75" bottom="0.75" header="0.3" footer="0.3"/>
  <pageSetup paperSize="9" orientation="portrait" r:id="rId1"/>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3C108-9182-44ED-B8DB-9B8997D23B08}">
  <sheetPr codeName="Sheet24">
    <tabColor theme="0" tint="-0.14999847407452621"/>
  </sheetPr>
  <dimension ref="A1:AO206"/>
  <sheetViews>
    <sheetView topLeftCell="W86" zoomScale="67" zoomScaleNormal="85" workbookViewId="0">
      <selection activeCell="AN104" sqref="AN104"/>
    </sheetView>
  </sheetViews>
  <sheetFormatPr defaultColWidth="9.140625" defaultRowHeight="12.75"/>
  <cols>
    <col min="1" max="3" width="2.140625" customWidth="1"/>
    <col min="4" max="4" width="39.7109375" bestFit="1" customWidth="1"/>
    <col min="5" max="5" width="13.5703125" customWidth="1"/>
    <col min="6" max="6" width="14" customWidth="1"/>
    <col min="7" max="7" width="15.28515625" customWidth="1"/>
    <col min="8" max="8" width="2.140625" customWidth="1"/>
    <col min="9" max="9" width="2.42578125" customWidth="1"/>
    <col min="10" max="10" width="16.140625" bestFit="1" customWidth="1"/>
    <col min="11" max="11" width="17.5703125" customWidth="1"/>
    <col min="12" max="22" width="15.28515625" customWidth="1"/>
    <col min="23" max="23" width="15.28515625" style="128" customWidth="1"/>
    <col min="24" max="26" width="15.28515625" customWidth="1"/>
    <col min="27" max="27" width="15.5703125" customWidth="1"/>
    <col min="28" max="28" width="14.5703125" style="128" customWidth="1"/>
    <col min="29" max="29" width="14.85546875" customWidth="1"/>
    <col min="30" max="30" width="14.28515625" customWidth="1"/>
    <col min="31" max="31" width="19.42578125" customWidth="1"/>
    <col min="32" max="32" width="14.85546875" customWidth="1"/>
    <col min="33" max="33" width="15.28515625" customWidth="1"/>
    <col min="34" max="34" width="14.140625" customWidth="1"/>
    <col min="35" max="35" width="14.42578125" customWidth="1"/>
    <col min="36" max="36" width="19.7109375" customWidth="1"/>
    <col min="37" max="37" width="15.42578125" customWidth="1"/>
    <col min="38" max="38" width="29.42578125" customWidth="1"/>
    <col min="39" max="39" width="19.42578125" customWidth="1"/>
    <col min="40" max="40" width="15.28515625" customWidth="1"/>
    <col min="41" max="41" width="13.140625" customWidth="1"/>
    <col min="56" max="56" width="1.28515625" customWidth="1"/>
    <col min="57" max="57" width="0.7109375" customWidth="1"/>
    <col min="58" max="58" width="1.28515625" customWidth="1"/>
    <col min="60" max="69" width="14" customWidth="1"/>
    <col min="70" max="70" width="16.28515625" customWidth="1"/>
  </cols>
  <sheetData>
    <row r="1" spans="1:38" ht="23.25">
      <c r="A1" s="30" t="s">
        <v>162</v>
      </c>
      <c r="B1" s="30"/>
      <c r="C1" s="30"/>
      <c r="D1" s="30"/>
      <c r="E1" s="30"/>
      <c r="F1" s="30"/>
      <c r="G1" s="30"/>
      <c r="H1" s="30"/>
      <c r="I1" s="30"/>
      <c r="J1" s="30"/>
      <c r="K1" s="30"/>
      <c r="L1" s="30"/>
      <c r="M1" s="30"/>
      <c r="N1" s="30"/>
      <c r="O1" s="30"/>
      <c r="P1" s="30"/>
      <c r="Q1" s="30"/>
      <c r="R1" s="30"/>
      <c r="S1" s="30"/>
      <c r="T1" s="30"/>
      <c r="U1" s="30"/>
      <c r="V1" s="30"/>
      <c r="W1" s="124"/>
      <c r="X1" s="30"/>
      <c r="Y1" s="30"/>
      <c r="Z1" s="30"/>
      <c r="AA1" s="30"/>
    </row>
    <row r="2" spans="1:38" ht="15.75">
      <c r="A2" s="17" t="str">
        <f>Name_Model</f>
        <v>Aspen PE</v>
      </c>
      <c r="B2" s="17"/>
      <c r="C2" s="17"/>
      <c r="D2" s="17"/>
      <c r="E2" s="17"/>
      <c r="F2" s="17"/>
      <c r="G2" s="17"/>
      <c r="H2" s="17"/>
      <c r="I2" s="17"/>
      <c r="J2" s="17"/>
      <c r="K2" s="17"/>
      <c r="L2" s="17"/>
      <c r="M2" s="17"/>
      <c r="N2" s="17"/>
      <c r="O2" s="17"/>
      <c r="P2" s="17"/>
      <c r="Q2" s="17"/>
      <c r="R2" s="17"/>
      <c r="S2" s="17"/>
      <c r="T2" s="17"/>
      <c r="U2" s="17"/>
      <c r="V2" s="17"/>
      <c r="W2" s="125"/>
      <c r="X2" s="17"/>
      <c r="Y2" s="17"/>
      <c r="Z2" s="17"/>
      <c r="AA2" s="17"/>
    </row>
    <row r="3" spans="1:38" ht="15.75">
      <c r="A3" s="64"/>
      <c r="B3" s="64"/>
      <c r="C3" s="64"/>
      <c r="D3" s="64"/>
      <c r="E3" s="64"/>
      <c r="F3" s="64"/>
      <c r="G3" s="64"/>
      <c r="H3" s="64"/>
      <c r="I3" s="64"/>
      <c r="J3" s="64"/>
      <c r="K3" s="64"/>
      <c r="L3" s="64"/>
      <c r="M3" s="64"/>
      <c r="N3" s="64"/>
      <c r="O3" s="64"/>
      <c r="P3" s="64"/>
      <c r="Q3" s="64"/>
      <c r="R3" s="64"/>
      <c r="S3" s="64"/>
      <c r="T3" s="64"/>
      <c r="U3" s="64"/>
      <c r="V3" s="64"/>
      <c r="W3" s="125"/>
      <c r="X3" s="64"/>
      <c r="Y3" s="64"/>
      <c r="Z3" s="64"/>
      <c r="AA3" s="64"/>
    </row>
    <row r="4" spans="1:38">
      <c r="D4" t="s">
        <v>70</v>
      </c>
      <c r="E4" s="16" t="s">
        <v>17</v>
      </c>
      <c r="K4" s="37">
        <f>J5+1</f>
        <v>44743</v>
      </c>
      <c r="L4" s="37">
        <f t="shared" ref="L4:AL4" si="0">K5+1</f>
        <v>45108</v>
      </c>
      <c r="M4" s="37">
        <f t="shared" si="0"/>
        <v>45474</v>
      </c>
      <c r="N4" s="37">
        <f t="shared" si="0"/>
        <v>45839</v>
      </c>
      <c r="O4" s="37">
        <f t="shared" si="0"/>
        <v>46204</v>
      </c>
      <c r="P4" s="37">
        <f t="shared" si="0"/>
        <v>46569</v>
      </c>
      <c r="Q4" s="37">
        <f t="shared" si="0"/>
        <v>46935</v>
      </c>
      <c r="R4" s="37">
        <f t="shared" si="0"/>
        <v>47300</v>
      </c>
      <c r="S4" s="37">
        <f t="shared" si="0"/>
        <v>47665</v>
      </c>
      <c r="T4" s="37">
        <f t="shared" si="0"/>
        <v>48030</v>
      </c>
      <c r="U4" s="37">
        <f t="shared" si="0"/>
        <v>48396</v>
      </c>
      <c r="V4" s="37">
        <f t="shared" si="0"/>
        <v>48761</v>
      </c>
      <c r="W4" s="126">
        <f t="shared" si="0"/>
        <v>49126</v>
      </c>
      <c r="X4" s="37">
        <f t="shared" si="0"/>
        <v>49491</v>
      </c>
      <c r="Y4" s="37">
        <f t="shared" si="0"/>
        <v>49857</v>
      </c>
      <c r="Z4" s="37">
        <f t="shared" si="0"/>
        <v>50222</v>
      </c>
      <c r="AA4" s="37">
        <f t="shared" si="0"/>
        <v>50587</v>
      </c>
      <c r="AB4" s="126">
        <f t="shared" si="0"/>
        <v>50952</v>
      </c>
      <c r="AC4" s="37">
        <f t="shared" si="0"/>
        <v>51318</v>
      </c>
      <c r="AD4" s="37">
        <f t="shared" si="0"/>
        <v>51683</v>
      </c>
      <c r="AE4" s="37">
        <f t="shared" si="0"/>
        <v>52048</v>
      </c>
      <c r="AF4" s="37">
        <f t="shared" si="0"/>
        <v>52413</v>
      </c>
      <c r="AG4" s="37">
        <f t="shared" si="0"/>
        <v>52779</v>
      </c>
      <c r="AH4" s="37">
        <f t="shared" si="0"/>
        <v>53144</v>
      </c>
      <c r="AI4" s="37">
        <f t="shared" si="0"/>
        <v>53509</v>
      </c>
      <c r="AJ4" s="37">
        <f t="shared" si="0"/>
        <v>53874</v>
      </c>
      <c r="AK4" s="37">
        <f t="shared" si="0"/>
        <v>54240</v>
      </c>
      <c r="AL4" s="37">
        <f t="shared" si="0"/>
        <v>54605</v>
      </c>
    </row>
    <row r="5" spans="1:38">
      <c r="D5" t="s">
        <v>71</v>
      </c>
      <c r="E5" s="16" t="s">
        <v>17</v>
      </c>
      <c r="F5" s="36" t="s">
        <v>16</v>
      </c>
      <c r="G5" s="36" t="s">
        <v>18</v>
      </c>
      <c r="J5" s="38">
        <f>Model_Start</f>
        <v>44742</v>
      </c>
      <c r="K5" s="37">
        <f>EOMONTH(K4,11)</f>
        <v>45107</v>
      </c>
      <c r="L5" s="37">
        <f t="shared" ref="L5:AL5" si="1">EOMONTH(L4,11)</f>
        <v>45473</v>
      </c>
      <c r="M5" s="37">
        <f t="shared" si="1"/>
        <v>45838</v>
      </c>
      <c r="N5" s="37">
        <f t="shared" si="1"/>
        <v>46203</v>
      </c>
      <c r="O5" s="37">
        <f t="shared" si="1"/>
        <v>46568</v>
      </c>
      <c r="P5" s="37">
        <f t="shared" si="1"/>
        <v>46934</v>
      </c>
      <c r="Q5" s="37">
        <f t="shared" si="1"/>
        <v>47299</v>
      </c>
      <c r="R5" s="37">
        <f t="shared" si="1"/>
        <v>47664</v>
      </c>
      <c r="S5" s="37">
        <f t="shared" si="1"/>
        <v>48029</v>
      </c>
      <c r="T5" s="37">
        <f t="shared" si="1"/>
        <v>48395</v>
      </c>
      <c r="U5" s="37">
        <f t="shared" si="1"/>
        <v>48760</v>
      </c>
      <c r="V5" s="37">
        <f t="shared" si="1"/>
        <v>49125</v>
      </c>
      <c r="W5" s="126">
        <f t="shared" si="1"/>
        <v>49490</v>
      </c>
      <c r="X5" s="37">
        <f t="shared" si="1"/>
        <v>49856</v>
      </c>
      <c r="Y5" s="37">
        <f t="shared" si="1"/>
        <v>50221</v>
      </c>
      <c r="Z5" s="37">
        <f t="shared" si="1"/>
        <v>50586</v>
      </c>
      <c r="AA5" s="37">
        <f t="shared" si="1"/>
        <v>50951</v>
      </c>
      <c r="AB5" s="126">
        <f t="shared" si="1"/>
        <v>51317</v>
      </c>
      <c r="AC5" s="37">
        <f t="shared" si="1"/>
        <v>51682</v>
      </c>
      <c r="AD5" s="37">
        <f t="shared" si="1"/>
        <v>52047</v>
      </c>
      <c r="AE5" s="37">
        <f t="shared" si="1"/>
        <v>52412</v>
      </c>
      <c r="AF5" s="37">
        <f t="shared" si="1"/>
        <v>52778</v>
      </c>
      <c r="AG5" s="37">
        <f t="shared" si="1"/>
        <v>53143</v>
      </c>
      <c r="AH5" s="37">
        <f t="shared" si="1"/>
        <v>53508</v>
      </c>
      <c r="AI5" s="37">
        <f t="shared" si="1"/>
        <v>53873</v>
      </c>
      <c r="AJ5" s="37">
        <f t="shared" si="1"/>
        <v>54239</v>
      </c>
      <c r="AK5" s="37">
        <f t="shared" si="1"/>
        <v>54604</v>
      </c>
      <c r="AL5" s="37">
        <f t="shared" si="1"/>
        <v>54969</v>
      </c>
    </row>
    <row r="6" spans="1:38">
      <c r="D6" s="7" t="s">
        <v>95</v>
      </c>
      <c r="E6" s="16" t="s">
        <v>72</v>
      </c>
      <c r="F6" s="38">
        <f>Inputs!E9</f>
        <v>44743</v>
      </c>
      <c r="G6" s="38">
        <f>Inputs!E11</f>
        <v>45473</v>
      </c>
      <c r="K6" s="8">
        <f t="shared" ref="K6:Z7" si="2">IF(AND(K$4&gt;=$F6,K$5&lt;=$G6),1,0)</f>
        <v>1</v>
      </c>
      <c r="L6" s="8">
        <f t="shared" si="2"/>
        <v>1</v>
      </c>
      <c r="M6" s="8">
        <f t="shared" si="2"/>
        <v>0</v>
      </c>
      <c r="N6" s="8">
        <f t="shared" si="2"/>
        <v>0</v>
      </c>
      <c r="O6" s="8">
        <f t="shared" si="2"/>
        <v>0</v>
      </c>
      <c r="P6" s="8">
        <f t="shared" si="2"/>
        <v>0</v>
      </c>
      <c r="Q6" s="8">
        <f t="shared" si="2"/>
        <v>0</v>
      </c>
      <c r="R6" s="8">
        <f t="shared" si="2"/>
        <v>0</v>
      </c>
      <c r="S6" s="8">
        <f t="shared" si="2"/>
        <v>0</v>
      </c>
      <c r="T6" s="8">
        <f t="shared" si="2"/>
        <v>0</v>
      </c>
      <c r="U6" s="8">
        <f t="shared" si="2"/>
        <v>0</v>
      </c>
      <c r="V6" s="8">
        <f t="shared" si="2"/>
        <v>0</v>
      </c>
      <c r="W6" s="127">
        <f t="shared" si="2"/>
        <v>0</v>
      </c>
      <c r="X6" s="8">
        <f t="shared" si="2"/>
        <v>0</v>
      </c>
      <c r="Y6" s="8">
        <f t="shared" si="2"/>
        <v>0</v>
      </c>
      <c r="Z6" s="8">
        <f t="shared" si="2"/>
        <v>0</v>
      </c>
      <c r="AA6" s="8">
        <f t="shared" ref="AA6:AL7" si="3">IF(AND(AA$4&gt;=$F6,AA$5&lt;=$G6),1,0)</f>
        <v>0</v>
      </c>
      <c r="AB6" s="127">
        <f t="shared" si="3"/>
        <v>0</v>
      </c>
      <c r="AC6" s="8">
        <f t="shared" si="3"/>
        <v>0</v>
      </c>
      <c r="AD6" s="8">
        <f t="shared" si="3"/>
        <v>0</v>
      </c>
      <c r="AE6" s="8">
        <f t="shared" si="3"/>
        <v>0</v>
      </c>
      <c r="AF6" s="8">
        <f t="shared" si="3"/>
        <v>0</v>
      </c>
      <c r="AG6" s="8">
        <f t="shared" si="3"/>
        <v>0</v>
      </c>
      <c r="AH6" s="8">
        <f t="shared" si="3"/>
        <v>0</v>
      </c>
      <c r="AI6" s="8">
        <f t="shared" si="3"/>
        <v>0</v>
      </c>
      <c r="AJ6" s="8">
        <f t="shared" si="3"/>
        <v>0</v>
      </c>
      <c r="AK6" s="8">
        <f t="shared" si="3"/>
        <v>0</v>
      </c>
      <c r="AL6" s="8">
        <f t="shared" si="3"/>
        <v>0</v>
      </c>
    </row>
    <row r="7" spans="1:38">
      <c r="D7" s="7" t="s">
        <v>103</v>
      </c>
      <c r="E7" s="16" t="s">
        <v>72</v>
      </c>
      <c r="F7" s="38">
        <f>Inputs!E14</f>
        <v>45474</v>
      </c>
      <c r="G7" s="38">
        <f>Inputs!E16</f>
        <v>54604</v>
      </c>
      <c r="K7" s="8">
        <f t="shared" si="2"/>
        <v>0</v>
      </c>
      <c r="L7" s="8">
        <f t="shared" si="2"/>
        <v>0</v>
      </c>
      <c r="M7" s="8">
        <f t="shared" si="2"/>
        <v>1</v>
      </c>
      <c r="N7" s="8">
        <f t="shared" si="2"/>
        <v>1</v>
      </c>
      <c r="O7" s="8">
        <f t="shared" si="2"/>
        <v>1</v>
      </c>
      <c r="P7" s="8">
        <f t="shared" si="2"/>
        <v>1</v>
      </c>
      <c r="Q7" s="8">
        <f t="shared" si="2"/>
        <v>1</v>
      </c>
      <c r="R7" s="8">
        <f t="shared" si="2"/>
        <v>1</v>
      </c>
      <c r="S7" s="8">
        <f t="shared" si="2"/>
        <v>1</v>
      </c>
      <c r="T7" s="8">
        <f t="shared" si="2"/>
        <v>1</v>
      </c>
      <c r="U7" s="8">
        <f t="shared" si="2"/>
        <v>1</v>
      </c>
      <c r="V7" s="8">
        <f t="shared" si="2"/>
        <v>1</v>
      </c>
      <c r="W7" s="127">
        <f t="shared" si="2"/>
        <v>1</v>
      </c>
      <c r="X7" s="8">
        <f t="shared" si="2"/>
        <v>1</v>
      </c>
      <c r="Y7" s="8">
        <f t="shared" si="2"/>
        <v>1</v>
      </c>
      <c r="Z7" s="8">
        <f t="shared" si="2"/>
        <v>1</v>
      </c>
      <c r="AA7" s="8">
        <f t="shared" si="3"/>
        <v>1</v>
      </c>
      <c r="AB7" s="127">
        <f t="shared" si="3"/>
        <v>1</v>
      </c>
      <c r="AC7" s="8">
        <f t="shared" si="3"/>
        <v>1</v>
      </c>
      <c r="AD7" s="8">
        <f t="shared" si="3"/>
        <v>1</v>
      </c>
      <c r="AE7" s="8">
        <f t="shared" si="3"/>
        <v>1</v>
      </c>
      <c r="AF7" s="8">
        <f t="shared" si="3"/>
        <v>1</v>
      </c>
      <c r="AG7" s="8">
        <f t="shared" si="3"/>
        <v>1</v>
      </c>
      <c r="AH7" s="8">
        <f t="shared" si="3"/>
        <v>1</v>
      </c>
      <c r="AI7" s="8">
        <f t="shared" si="3"/>
        <v>1</v>
      </c>
      <c r="AJ7" s="8">
        <f t="shared" si="3"/>
        <v>1</v>
      </c>
      <c r="AK7" s="8">
        <f t="shared" si="3"/>
        <v>1</v>
      </c>
      <c r="AL7" s="8">
        <f t="shared" si="3"/>
        <v>0</v>
      </c>
    </row>
    <row r="9" spans="1:38" ht="18">
      <c r="D9" s="15" t="s">
        <v>74</v>
      </c>
    </row>
    <row r="10" spans="1:38">
      <c r="D10" s="7" t="s">
        <v>77</v>
      </c>
      <c r="E10" s="16" t="s">
        <v>21</v>
      </c>
      <c r="K10">
        <f t="shared" ref="K10:AL10" si="4">YEAR(K5)</f>
        <v>2023</v>
      </c>
      <c r="L10">
        <f t="shared" si="4"/>
        <v>2024</v>
      </c>
      <c r="M10">
        <f t="shared" si="4"/>
        <v>2025</v>
      </c>
      <c r="N10">
        <f t="shared" si="4"/>
        <v>2026</v>
      </c>
      <c r="O10">
        <f t="shared" si="4"/>
        <v>2027</v>
      </c>
      <c r="P10">
        <f t="shared" si="4"/>
        <v>2028</v>
      </c>
      <c r="Q10">
        <f t="shared" si="4"/>
        <v>2029</v>
      </c>
      <c r="R10">
        <f t="shared" si="4"/>
        <v>2030</v>
      </c>
      <c r="S10">
        <f t="shared" si="4"/>
        <v>2031</v>
      </c>
      <c r="T10">
        <f t="shared" si="4"/>
        <v>2032</v>
      </c>
      <c r="U10">
        <f t="shared" si="4"/>
        <v>2033</v>
      </c>
      <c r="V10">
        <f t="shared" si="4"/>
        <v>2034</v>
      </c>
      <c r="W10" s="128">
        <f t="shared" si="4"/>
        <v>2035</v>
      </c>
      <c r="X10">
        <f t="shared" si="4"/>
        <v>2036</v>
      </c>
      <c r="Y10">
        <f t="shared" si="4"/>
        <v>2037</v>
      </c>
      <c r="Z10">
        <f t="shared" si="4"/>
        <v>2038</v>
      </c>
      <c r="AA10">
        <f t="shared" si="4"/>
        <v>2039</v>
      </c>
      <c r="AB10" s="128">
        <f t="shared" si="4"/>
        <v>2040</v>
      </c>
      <c r="AC10">
        <f t="shared" si="4"/>
        <v>2041</v>
      </c>
      <c r="AD10">
        <f t="shared" si="4"/>
        <v>2042</v>
      </c>
      <c r="AE10">
        <f t="shared" si="4"/>
        <v>2043</v>
      </c>
      <c r="AF10">
        <f t="shared" si="4"/>
        <v>2044</v>
      </c>
      <c r="AG10">
        <f t="shared" si="4"/>
        <v>2045</v>
      </c>
      <c r="AH10">
        <f t="shared" si="4"/>
        <v>2046</v>
      </c>
      <c r="AI10">
        <f t="shared" si="4"/>
        <v>2047</v>
      </c>
      <c r="AJ10">
        <f t="shared" si="4"/>
        <v>2048</v>
      </c>
      <c r="AK10">
        <f t="shared" si="4"/>
        <v>2049</v>
      </c>
      <c r="AL10">
        <f t="shared" si="4"/>
        <v>2050</v>
      </c>
    </row>
    <row r="11" spans="1:38">
      <c r="D11" s="7" t="s">
        <v>78</v>
      </c>
      <c r="E11" s="16" t="s">
        <v>76</v>
      </c>
      <c r="K11">
        <f>K5-K4+1</f>
        <v>365</v>
      </c>
      <c r="L11">
        <f t="shared" ref="L11:AL11" si="5">L5-L4+1</f>
        <v>366</v>
      </c>
      <c r="M11">
        <f t="shared" si="5"/>
        <v>365</v>
      </c>
      <c r="N11">
        <f t="shared" si="5"/>
        <v>365</v>
      </c>
      <c r="O11">
        <f t="shared" si="5"/>
        <v>365</v>
      </c>
      <c r="P11">
        <f t="shared" si="5"/>
        <v>366</v>
      </c>
      <c r="Q11">
        <f t="shared" si="5"/>
        <v>365</v>
      </c>
      <c r="R11">
        <f t="shared" si="5"/>
        <v>365</v>
      </c>
      <c r="S11">
        <f t="shared" si="5"/>
        <v>365</v>
      </c>
      <c r="T11">
        <f t="shared" si="5"/>
        <v>366</v>
      </c>
      <c r="U11">
        <f t="shared" si="5"/>
        <v>365</v>
      </c>
      <c r="V11">
        <f t="shared" si="5"/>
        <v>365</v>
      </c>
      <c r="W11" s="128">
        <f t="shared" si="5"/>
        <v>365</v>
      </c>
      <c r="X11">
        <f t="shared" si="5"/>
        <v>366</v>
      </c>
      <c r="Y11">
        <f t="shared" si="5"/>
        <v>365</v>
      </c>
      <c r="Z11">
        <f t="shared" si="5"/>
        <v>365</v>
      </c>
      <c r="AA11">
        <f t="shared" si="5"/>
        <v>365</v>
      </c>
      <c r="AB11" s="128">
        <f t="shared" si="5"/>
        <v>366</v>
      </c>
      <c r="AC11">
        <f t="shared" si="5"/>
        <v>365</v>
      </c>
      <c r="AD11">
        <f t="shared" si="5"/>
        <v>365</v>
      </c>
      <c r="AE11">
        <f t="shared" si="5"/>
        <v>365</v>
      </c>
      <c r="AF11">
        <f t="shared" si="5"/>
        <v>366</v>
      </c>
      <c r="AG11">
        <f t="shared" si="5"/>
        <v>365</v>
      </c>
      <c r="AH11">
        <f t="shared" si="5"/>
        <v>365</v>
      </c>
      <c r="AI11">
        <f t="shared" si="5"/>
        <v>365</v>
      </c>
      <c r="AJ11">
        <f t="shared" si="5"/>
        <v>366</v>
      </c>
      <c r="AK11">
        <f t="shared" si="5"/>
        <v>365</v>
      </c>
      <c r="AL11">
        <f t="shared" si="5"/>
        <v>365</v>
      </c>
    </row>
    <row r="12" spans="1:38" ht="15.75">
      <c r="A12" s="64"/>
      <c r="B12" s="64"/>
      <c r="C12" s="64"/>
      <c r="D12" s="64"/>
      <c r="E12" s="64"/>
      <c r="F12" s="64"/>
      <c r="G12" s="64"/>
      <c r="H12" s="64"/>
      <c r="I12" s="64"/>
      <c r="J12" s="64"/>
      <c r="K12" s="64"/>
      <c r="L12" s="64"/>
      <c r="M12" s="64"/>
      <c r="N12" s="64"/>
      <c r="O12" s="64"/>
      <c r="P12" s="64"/>
      <c r="Q12" s="64"/>
      <c r="R12" s="64"/>
      <c r="S12" s="64"/>
      <c r="T12" s="64"/>
      <c r="U12" s="64"/>
      <c r="V12" s="64"/>
      <c r="W12" s="125"/>
      <c r="X12" s="64"/>
      <c r="Y12" s="64"/>
      <c r="Z12" s="64"/>
      <c r="AA12" s="64"/>
    </row>
    <row r="13" spans="1:38" ht="24" thickBot="1">
      <c r="D13" s="57" t="s">
        <v>188</v>
      </c>
      <c r="AD13">
        <f>12*60*60*24*365/1000</f>
        <v>378432</v>
      </c>
    </row>
    <row r="14" spans="1:38" ht="18">
      <c r="D14" s="15" t="s">
        <v>331</v>
      </c>
    </row>
    <row r="15" spans="1:38" ht="15">
      <c r="D15" s="4" t="s">
        <v>410</v>
      </c>
      <c r="AC15">
        <f>ABS(AC17)/AC26</f>
        <v>0.47692891308208818</v>
      </c>
    </row>
    <row r="16" spans="1:38">
      <c r="D16" s="7" t="s">
        <v>332</v>
      </c>
      <c r="K16">
        <f>Inputs!E86</f>
        <v>376680</v>
      </c>
      <c r="L16">
        <f>Inputs!F86</f>
        <v>376680</v>
      </c>
      <c r="M16">
        <f>Inputs!G86</f>
        <v>376680</v>
      </c>
      <c r="N16">
        <f>Inputs!H86</f>
        <v>753360</v>
      </c>
      <c r="O16">
        <f>Inputs!I86</f>
        <v>753360</v>
      </c>
      <c r="P16">
        <f>Inputs!J86</f>
        <v>753360</v>
      </c>
      <c r="Q16">
        <f>P16</f>
        <v>753360</v>
      </c>
      <c r="R16">
        <f t="shared" ref="R16:AA16" si="6">Q16</f>
        <v>753360</v>
      </c>
      <c r="S16">
        <f t="shared" si="6"/>
        <v>753360</v>
      </c>
      <c r="T16">
        <f t="shared" si="6"/>
        <v>753360</v>
      </c>
      <c r="U16">
        <f>T16</f>
        <v>753360</v>
      </c>
      <c r="V16">
        <f t="shared" si="6"/>
        <v>753360</v>
      </c>
      <c r="W16" s="128">
        <f>V16</f>
        <v>753360</v>
      </c>
      <c r="X16">
        <f t="shared" si="6"/>
        <v>753360</v>
      </c>
      <c r="Y16">
        <f t="shared" si="6"/>
        <v>753360</v>
      </c>
      <c r="Z16">
        <f t="shared" si="6"/>
        <v>753360</v>
      </c>
      <c r="AA16">
        <f t="shared" si="6"/>
        <v>753360</v>
      </c>
      <c r="AB16" s="128">
        <f>AA16</f>
        <v>753360</v>
      </c>
      <c r="AC16">
        <f>AB16-Inputs!$E$86</f>
        <v>376680</v>
      </c>
      <c r="AD16">
        <f>AC16</f>
        <v>376680</v>
      </c>
      <c r="AE16">
        <f t="shared" ref="AE16:AL16" si="7">AD16</f>
        <v>376680</v>
      </c>
      <c r="AF16">
        <f t="shared" si="7"/>
        <v>376680</v>
      </c>
      <c r="AG16">
        <f t="shared" si="7"/>
        <v>376680</v>
      </c>
      <c r="AH16">
        <f t="shared" si="7"/>
        <v>376680</v>
      </c>
      <c r="AI16">
        <f t="shared" si="7"/>
        <v>376680</v>
      </c>
      <c r="AJ16">
        <f t="shared" si="7"/>
        <v>376680</v>
      </c>
      <c r="AK16">
        <f t="shared" si="7"/>
        <v>376680</v>
      </c>
      <c r="AL16">
        <f t="shared" si="7"/>
        <v>376680</v>
      </c>
    </row>
    <row r="17" spans="4:39">
      <c r="D17" s="7" t="s">
        <v>402</v>
      </c>
      <c r="K17" s="65">
        <f t="shared" ref="K17:AL17" si="8">K16-K26</f>
        <v>183680</v>
      </c>
      <c r="L17" s="65">
        <f t="shared" si="8"/>
        <v>194438.02599999998</v>
      </c>
      <c r="M17" s="65">
        <f t="shared" si="8"/>
        <v>186671.55543999997</v>
      </c>
      <c r="N17" s="65">
        <f t="shared" si="8"/>
        <v>277801.66366720002</v>
      </c>
      <c r="O17" s="65">
        <f t="shared" si="8"/>
        <v>237708.49911023793</v>
      </c>
      <c r="P17" s="65">
        <f t="shared" si="8"/>
        <v>237708.49911023793</v>
      </c>
      <c r="Q17" s="65">
        <f t="shared" si="8"/>
        <v>147553.49911023793</v>
      </c>
      <c r="R17" s="65">
        <f t="shared" si="8"/>
        <v>147553.49911023793</v>
      </c>
      <c r="S17" s="65">
        <f t="shared" si="8"/>
        <v>33228.435819098726</v>
      </c>
      <c r="T17" s="65">
        <f t="shared" si="8"/>
        <v>33228.435819098726</v>
      </c>
      <c r="U17" s="65">
        <f t="shared" si="8"/>
        <v>33228.435819098726</v>
      </c>
      <c r="V17" s="65">
        <f t="shared" si="8"/>
        <v>33228.435819098726</v>
      </c>
      <c r="W17" s="65">
        <f t="shared" si="8"/>
        <v>33228.435819098726</v>
      </c>
      <c r="X17" s="65">
        <f t="shared" si="8"/>
        <v>33228.435819098726</v>
      </c>
      <c r="Y17" s="65">
        <f t="shared" si="8"/>
        <v>33228.435819098726</v>
      </c>
      <c r="Z17" s="65">
        <f t="shared" si="8"/>
        <v>33228.435819098726</v>
      </c>
      <c r="AA17" s="65">
        <f t="shared" si="8"/>
        <v>33228.435819098726</v>
      </c>
      <c r="AB17" s="65">
        <f t="shared" si="8"/>
        <v>33228.435819098726</v>
      </c>
      <c r="AC17" s="65">
        <f t="shared" si="8"/>
        <v>-343451.56418090127</v>
      </c>
      <c r="AD17" s="65">
        <f t="shared" si="8"/>
        <v>-343451.56418090127</v>
      </c>
      <c r="AE17" s="65">
        <f t="shared" si="8"/>
        <v>-343451.56418090127</v>
      </c>
      <c r="AF17" s="65">
        <f t="shared" si="8"/>
        <v>-343451.56418090127</v>
      </c>
      <c r="AG17" s="65">
        <f t="shared" si="8"/>
        <v>-343451.56418090127</v>
      </c>
      <c r="AH17" s="65">
        <f t="shared" si="8"/>
        <v>-343451.56418090127</v>
      </c>
      <c r="AI17" s="65">
        <f t="shared" si="8"/>
        <v>-343451.56418090127</v>
      </c>
      <c r="AJ17" s="65">
        <f t="shared" si="8"/>
        <v>-343451.56418090127</v>
      </c>
      <c r="AK17" s="65">
        <f t="shared" si="8"/>
        <v>-343451.56418090127</v>
      </c>
      <c r="AL17" s="65">
        <f t="shared" si="8"/>
        <v>-343451.56418090127</v>
      </c>
      <c r="AM17" s="145" t="s">
        <v>492</v>
      </c>
    </row>
    <row r="18" spans="4:39" ht="15">
      <c r="D18" s="4" t="s">
        <v>411</v>
      </c>
    </row>
    <row r="19" spans="4:39">
      <c r="D19" s="7" t="s">
        <v>332</v>
      </c>
      <c r="K19">
        <f>Inputs!E86</f>
        <v>376680</v>
      </c>
      <c r="L19">
        <f>Inputs!F86</f>
        <v>376680</v>
      </c>
      <c r="M19">
        <f>Inputs!G86</f>
        <v>376680</v>
      </c>
      <c r="N19">
        <f>Inputs!H86</f>
        <v>753360</v>
      </c>
      <c r="O19">
        <f>Inputs!I86</f>
        <v>753360</v>
      </c>
      <c r="P19">
        <f>Inputs!J86</f>
        <v>753360</v>
      </c>
      <c r="Q19">
        <f>P19</f>
        <v>753360</v>
      </c>
      <c r="R19">
        <f t="shared" ref="R19:AB19" si="9">Q19</f>
        <v>753360</v>
      </c>
      <c r="S19">
        <f t="shared" si="9"/>
        <v>753360</v>
      </c>
      <c r="T19">
        <f t="shared" si="9"/>
        <v>753360</v>
      </c>
      <c r="U19">
        <f t="shared" si="9"/>
        <v>753360</v>
      </c>
      <c r="V19">
        <f t="shared" si="9"/>
        <v>753360</v>
      </c>
      <c r="W19" s="128">
        <f t="shared" si="9"/>
        <v>753360</v>
      </c>
      <c r="X19">
        <f t="shared" si="9"/>
        <v>753360</v>
      </c>
      <c r="Y19">
        <f t="shared" si="9"/>
        <v>753360</v>
      </c>
      <c r="Z19">
        <f t="shared" si="9"/>
        <v>753360</v>
      </c>
      <c r="AA19">
        <f t="shared" si="9"/>
        <v>753360</v>
      </c>
      <c r="AB19" s="128">
        <f t="shared" si="9"/>
        <v>753360</v>
      </c>
      <c r="AC19">
        <f>AB19</f>
        <v>753360</v>
      </c>
      <c r="AD19">
        <f>AC19</f>
        <v>753360</v>
      </c>
      <c r="AE19">
        <f t="shared" ref="AE19:AK19" si="10">AD19</f>
        <v>753360</v>
      </c>
      <c r="AF19">
        <f t="shared" si="10"/>
        <v>753360</v>
      </c>
      <c r="AG19">
        <f t="shared" si="10"/>
        <v>753360</v>
      </c>
      <c r="AH19">
        <f t="shared" si="10"/>
        <v>753360</v>
      </c>
      <c r="AI19">
        <f t="shared" si="10"/>
        <v>753360</v>
      </c>
      <c r="AJ19">
        <f t="shared" si="10"/>
        <v>753360</v>
      </c>
      <c r="AK19">
        <f t="shared" si="10"/>
        <v>753360</v>
      </c>
      <c r="AL19">
        <f t="shared" ref="AL19" si="11">T19</f>
        <v>753360</v>
      </c>
    </row>
    <row r="20" spans="4:39">
      <c r="D20" s="7" t="s">
        <v>402</v>
      </c>
      <c r="K20" s="65">
        <f>K19-K26</f>
        <v>183680</v>
      </c>
      <c r="L20" s="65">
        <f t="shared" ref="L20:AL20" si="12">L19-L26</f>
        <v>194438.02599999998</v>
      </c>
      <c r="M20" s="65">
        <f t="shared" si="12"/>
        <v>186671.55543999997</v>
      </c>
      <c r="N20" s="65">
        <f t="shared" si="12"/>
        <v>277801.66366720002</v>
      </c>
      <c r="O20" s="65">
        <f t="shared" si="12"/>
        <v>237708.49911023793</v>
      </c>
      <c r="P20" s="65">
        <f t="shared" si="12"/>
        <v>237708.49911023793</v>
      </c>
      <c r="Q20" s="65">
        <f t="shared" si="12"/>
        <v>147553.49911023793</v>
      </c>
      <c r="R20" s="65">
        <f t="shared" si="12"/>
        <v>147553.49911023793</v>
      </c>
      <c r="S20" s="65">
        <f t="shared" si="12"/>
        <v>33228.435819098726</v>
      </c>
      <c r="T20" s="65">
        <f t="shared" si="12"/>
        <v>33228.435819098726</v>
      </c>
      <c r="U20" s="65">
        <f t="shared" si="12"/>
        <v>33228.435819098726</v>
      </c>
      <c r="V20" s="65">
        <f t="shared" si="12"/>
        <v>33228.435819098726</v>
      </c>
      <c r="W20" s="65">
        <f t="shared" si="12"/>
        <v>33228.435819098726</v>
      </c>
      <c r="X20" s="65">
        <f t="shared" si="12"/>
        <v>33228.435819098726</v>
      </c>
      <c r="Y20" s="65">
        <f t="shared" si="12"/>
        <v>33228.435819098726</v>
      </c>
      <c r="Z20" s="65">
        <f t="shared" si="12"/>
        <v>33228.435819098726</v>
      </c>
      <c r="AA20" s="65">
        <f t="shared" si="12"/>
        <v>33228.435819098726</v>
      </c>
      <c r="AB20" s="65">
        <f t="shared" si="12"/>
        <v>33228.435819098726</v>
      </c>
      <c r="AC20" s="65">
        <f t="shared" si="12"/>
        <v>33228.435819098726</v>
      </c>
      <c r="AD20" s="65">
        <f t="shared" si="12"/>
        <v>33228.435819098726</v>
      </c>
      <c r="AE20" s="65">
        <f t="shared" si="12"/>
        <v>33228.435819098726</v>
      </c>
      <c r="AF20" s="65">
        <f t="shared" si="12"/>
        <v>33228.435819098726</v>
      </c>
      <c r="AG20" s="65">
        <f t="shared" si="12"/>
        <v>33228.435819098726</v>
      </c>
      <c r="AH20" s="65">
        <f t="shared" si="12"/>
        <v>33228.435819098726</v>
      </c>
      <c r="AI20" s="65">
        <f t="shared" si="12"/>
        <v>33228.435819098726</v>
      </c>
      <c r="AJ20" s="65">
        <f t="shared" si="12"/>
        <v>33228.435819098726</v>
      </c>
      <c r="AK20" s="65">
        <f t="shared" si="12"/>
        <v>33228.435819098726</v>
      </c>
      <c r="AL20" s="65">
        <f t="shared" si="12"/>
        <v>33228.435819098726</v>
      </c>
    </row>
    <row r="21" spans="4:39" ht="15">
      <c r="D21" s="4" t="s">
        <v>180</v>
      </c>
      <c r="E21" s="16" t="s">
        <v>306</v>
      </c>
      <c r="K21" s="65">
        <f>'BaU Model'!K18</f>
        <v>800</v>
      </c>
      <c r="L21" s="65">
        <f>'BaU Model'!L18</f>
        <v>800</v>
      </c>
      <c r="M21" s="65">
        <f>'BaU Model'!M18</f>
        <v>800</v>
      </c>
      <c r="N21" s="65">
        <f>'BaU Model'!N18</f>
        <v>1800</v>
      </c>
      <c r="O21" s="65">
        <f>'BaU Model'!O18</f>
        <v>1800</v>
      </c>
      <c r="P21" s="65">
        <f>'BaU Model'!P18</f>
        <v>1800</v>
      </c>
      <c r="Q21" s="65">
        <f>'BaU Model'!Q18+Inputs!$E$202</f>
        <v>2450</v>
      </c>
      <c r="R21" s="65">
        <f>'BaU Model'!R18+Inputs!$E$202</f>
        <v>2450</v>
      </c>
      <c r="S21" s="65">
        <f>'BaU Model'!S18+Inputs!$E$202</f>
        <v>2450</v>
      </c>
      <c r="T21" s="65">
        <f>'BaU Model'!T18+Inputs!$E$202</f>
        <v>2450</v>
      </c>
      <c r="U21" s="65">
        <f>'BaU Model'!U18+Inputs!$E$202</f>
        <v>2450</v>
      </c>
      <c r="V21" s="65">
        <f>'BaU Model'!V18+Inputs!$E$202</f>
        <v>2450</v>
      </c>
      <c r="W21" s="65">
        <f>'BaU Model'!W18+Inputs!$E$202</f>
        <v>2450</v>
      </c>
      <c r="X21" s="65">
        <f>'BaU Model'!X18+Inputs!$E$202</f>
        <v>2450</v>
      </c>
      <c r="Y21" s="65">
        <f>'BaU Model'!Y18+Inputs!$E$202</f>
        <v>2450</v>
      </c>
      <c r="Z21" s="65">
        <f>'BaU Model'!Z18+Inputs!$E$202</f>
        <v>2450</v>
      </c>
      <c r="AA21" s="65">
        <f>'BaU Model'!AA18+Inputs!$E$202</f>
        <v>2450</v>
      </c>
      <c r="AB21" s="65">
        <f>'BaU Model'!AB18+Inputs!$E$202</f>
        <v>2450</v>
      </c>
      <c r="AC21" s="65">
        <f>'BaU Model'!AC18+Inputs!$E$202</f>
        <v>2450</v>
      </c>
      <c r="AD21" s="65">
        <f>'BaU Model'!AD18+Inputs!$E$202</f>
        <v>2450</v>
      </c>
      <c r="AE21" s="65">
        <f>'BaU Model'!AE18+Inputs!$E$202</f>
        <v>2450</v>
      </c>
      <c r="AF21" s="65">
        <f>'BaU Model'!AF18+Inputs!$E$202</f>
        <v>2450</v>
      </c>
      <c r="AG21" s="65">
        <f>'BaU Model'!AG18+Inputs!$E$202</f>
        <v>2450</v>
      </c>
      <c r="AH21" s="65">
        <f>'BaU Model'!AH18+Inputs!$E$202</f>
        <v>2450</v>
      </c>
      <c r="AI21" s="65">
        <f>'BaU Model'!AI18+Inputs!$E$202</f>
        <v>2450</v>
      </c>
      <c r="AJ21" s="65">
        <f>'BaU Model'!AJ18+Inputs!$E$202</f>
        <v>2450</v>
      </c>
      <c r="AK21" s="65">
        <f>'BaU Model'!AK18+Inputs!$E$202</f>
        <v>2450</v>
      </c>
      <c r="AL21" s="65">
        <f>'BaU Model'!AL18+Inputs!$E$202</f>
        <v>2450</v>
      </c>
    </row>
    <row r="22" spans="4:39" ht="15">
      <c r="D22" s="4" t="s">
        <v>427</v>
      </c>
      <c r="E22" s="16" t="s">
        <v>106</v>
      </c>
      <c r="K22" s="65">
        <f>(K21+SUM(K35:K38))/K33</f>
        <v>1.8129533678756478</v>
      </c>
      <c r="L22" s="65">
        <f t="shared" ref="L22:O22" si="13">(L21+SUM(L35:L38))/L33</f>
        <v>1.9066551166747128</v>
      </c>
      <c r="M22" s="65">
        <f t="shared" si="13"/>
        <v>1.8367738032705883</v>
      </c>
      <c r="N22" s="65">
        <f t="shared" si="13"/>
        <v>1.8815339776532183</v>
      </c>
      <c r="O22" s="65">
        <f t="shared" si="13"/>
        <v>2.274116334125547</v>
      </c>
      <c r="P22" s="65">
        <f>(P21+SUM(P35:P38))/P33</f>
        <v>2.277607063808083</v>
      </c>
      <c r="Q22" s="65">
        <f t="shared" ref="Q22:AL22" si="14">(Q21+SUM(Q35:Q38))/Q33</f>
        <v>2.4761314028268004</v>
      </c>
      <c r="R22" s="65">
        <f t="shared" si="14"/>
        <v>2.4761314028268004</v>
      </c>
      <c r="S22" s="65">
        <f t="shared" si="14"/>
        <v>2.2417869796016316</v>
      </c>
      <c r="T22" s="65">
        <f t="shared" si="14"/>
        <v>2.2451891357101292</v>
      </c>
      <c r="U22" s="65">
        <f t="shared" si="14"/>
        <v>2.2417869796016316</v>
      </c>
      <c r="V22" s="65">
        <f t="shared" si="14"/>
        <v>2.2417869796016316</v>
      </c>
      <c r="W22" s="65">
        <f t="shared" si="14"/>
        <v>2.2417869796016316</v>
      </c>
      <c r="X22" s="65">
        <f t="shared" si="14"/>
        <v>2.2451891357101292</v>
      </c>
      <c r="Y22" s="65">
        <f t="shared" si="14"/>
        <v>2.2417869796016316</v>
      </c>
      <c r="Z22" s="65">
        <f t="shared" si="14"/>
        <v>2.2417869796016316</v>
      </c>
      <c r="AA22" s="65">
        <f t="shared" si="14"/>
        <v>2.2417869796016316</v>
      </c>
      <c r="AB22" s="65">
        <f t="shared" si="14"/>
        <v>2.2451891357101292</v>
      </c>
      <c r="AC22" s="65">
        <f t="shared" si="14"/>
        <v>1.7648580665195435</v>
      </c>
      <c r="AD22" s="65">
        <f t="shared" si="14"/>
        <v>1.7648580665195435</v>
      </c>
      <c r="AE22" s="65">
        <f t="shared" si="14"/>
        <v>1.7648580665195435</v>
      </c>
      <c r="AF22" s="65">
        <f t="shared" si="14"/>
        <v>1.7682602226280411</v>
      </c>
      <c r="AG22" s="65">
        <f t="shared" si="14"/>
        <v>1.7648580665195435</v>
      </c>
      <c r="AH22" s="65">
        <f t="shared" si="14"/>
        <v>1.7648580665195435</v>
      </c>
      <c r="AI22" s="65">
        <f t="shared" si="14"/>
        <v>1.7648580665195435</v>
      </c>
      <c r="AJ22" s="65">
        <f t="shared" si="14"/>
        <v>1.7682602226280411</v>
      </c>
      <c r="AK22" s="65">
        <f t="shared" si="14"/>
        <v>1.7648580665195435</v>
      </c>
      <c r="AL22" s="65">
        <f t="shared" si="14"/>
        <v>1.7648580665195435</v>
      </c>
    </row>
    <row r="23" spans="4:39" ht="24" thickBot="1">
      <c r="D23" s="57"/>
    </row>
    <row r="24" spans="4:39" ht="18">
      <c r="D24" s="15" t="s">
        <v>225</v>
      </c>
      <c r="K24">
        <f>K29/K26</f>
        <v>0</v>
      </c>
      <c r="L24">
        <f t="shared" ref="L24:AL24" si="15">L29/L26</f>
        <v>0</v>
      </c>
      <c r="M24">
        <f t="shared" si="15"/>
        <v>0</v>
      </c>
      <c r="N24">
        <f t="shared" si="15"/>
        <v>0</v>
      </c>
      <c r="O24">
        <f t="shared" si="15"/>
        <v>0</v>
      </c>
      <c r="P24">
        <f t="shared" si="15"/>
        <v>0</v>
      </c>
      <c r="Q24">
        <f t="shared" si="15"/>
        <v>0</v>
      </c>
      <c r="R24">
        <f t="shared" si="15"/>
        <v>0</v>
      </c>
      <c r="S24">
        <f t="shared" si="15"/>
        <v>0</v>
      </c>
      <c r="T24">
        <f t="shared" si="15"/>
        <v>0</v>
      </c>
      <c r="U24">
        <f t="shared" si="15"/>
        <v>0</v>
      </c>
      <c r="V24">
        <f t="shared" si="15"/>
        <v>0</v>
      </c>
      <c r="W24">
        <f t="shared" si="15"/>
        <v>0</v>
      </c>
      <c r="X24">
        <f t="shared" si="15"/>
        <v>0</v>
      </c>
      <c r="Y24">
        <f t="shared" si="15"/>
        <v>0</v>
      </c>
      <c r="Z24">
        <f t="shared" si="15"/>
        <v>0</v>
      </c>
      <c r="AA24">
        <f t="shared" si="15"/>
        <v>0</v>
      </c>
      <c r="AB24">
        <f t="shared" si="15"/>
        <v>0</v>
      </c>
      <c r="AC24">
        <f t="shared" si="15"/>
        <v>0</v>
      </c>
      <c r="AD24">
        <f t="shared" si="15"/>
        <v>0</v>
      </c>
      <c r="AE24">
        <f t="shared" si="15"/>
        <v>0</v>
      </c>
      <c r="AF24">
        <f t="shared" si="15"/>
        <v>0</v>
      </c>
      <c r="AG24">
        <f t="shared" si="15"/>
        <v>0</v>
      </c>
      <c r="AH24">
        <f t="shared" si="15"/>
        <v>0</v>
      </c>
      <c r="AI24">
        <f t="shared" si="15"/>
        <v>0</v>
      </c>
      <c r="AJ24">
        <f t="shared" si="15"/>
        <v>0</v>
      </c>
      <c r="AK24">
        <f t="shared" si="15"/>
        <v>0</v>
      </c>
      <c r="AL24">
        <f t="shared" si="15"/>
        <v>0</v>
      </c>
    </row>
    <row r="25" spans="4:39" ht="15">
      <c r="D25" s="4" t="s">
        <v>310</v>
      </c>
      <c r="K25" s="65">
        <f>K26-SUM(K27:K31)</f>
        <v>0</v>
      </c>
      <c r="L25" s="65">
        <f t="shared" ref="L25:AL25" si="16">L26-SUM(L27:L31)</f>
        <v>0</v>
      </c>
      <c r="M25" s="65">
        <f t="shared" si="16"/>
        <v>0</v>
      </c>
      <c r="N25" s="65">
        <f t="shared" si="16"/>
        <v>0</v>
      </c>
      <c r="O25" s="65">
        <f t="shared" si="16"/>
        <v>0</v>
      </c>
      <c r="P25" s="65">
        <f t="shared" si="16"/>
        <v>0</v>
      </c>
      <c r="Q25" s="65">
        <f t="shared" si="16"/>
        <v>0</v>
      </c>
      <c r="R25" s="65">
        <f t="shared" si="16"/>
        <v>0</v>
      </c>
      <c r="S25" s="65">
        <f t="shared" si="16"/>
        <v>0</v>
      </c>
      <c r="T25" s="65">
        <f t="shared" si="16"/>
        <v>0</v>
      </c>
      <c r="U25" s="65">
        <f t="shared" si="16"/>
        <v>0</v>
      </c>
      <c r="V25" s="65">
        <f t="shared" si="16"/>
        <v>0</v>
      </c>
      <c r="W25" s="65">
        <f t="shared" si="16"/>
        <v>0</v>
      </c>
      <c r="X25" s="65">
        <f t="shared" si="16"/>
        <v>0</v>
      </c>
      <c r="Y25" s="65">
        <f t="shared" si="16"/>
        <v>0</v>
      </c>
      <c r="Z25" s="65">
        <f t="shared" si="16"/>
        <v>0</v>
      </c>
      <c r="AA25" s="65">
        <f t="shared" si="16"/>
        <v>0</v>
      </c>
      <c r="AB25" s="65">
        <f t="shared" si="16"/>
        <v>0</v>
      </c>
      <c r="AC25" s="65">
        <f t="shared" si="16"/>
        <v>0</v>
      </c>
      <c r="AD25" s="65">
        <f t="shared" si="16"/>
        <v>0</v>
      </c>
      <c r="AE25" s="65">
        <f t="shared" si="16"/>
        <v>0</v>
      </c>
      <c r="AF25" s="65">
        <f t="shared" si="16"/>
        <v>0</v>
      </c>
      <c r="AG25" s="65">
        <f t="shared" si="16"/>
        <v>0</v>
      </c>
      <c r="AH25" s="65">
        <f t="shared" si="16"/>
        <v>0</v>
      </c>
      <c r="AI25" s="65">
        <f t="shared" si="16"/>
        <v>0</v>
      </c>
      <c r="AJ25" s="65">
        <f t="shared" si="16"/>
        <v>0</v>
      </c>
      <c r="AK25" s="65">
        <f t="shared" si="16"/>
        <v>0</v>
      </c>
      <c r="AL25" s="65">
        <f t="shared" si="16"/>
        <v>0</v>
      </c>
    </row>
    <row r="26" spans="4:39">
      <c r="D26" t="s">
        <v>190</v>
      </c>
      <c r="E26" s="16" t="s">
        <v>145</v>
      </c>
      <c r="K26" s="59">
        <f>'BaU Model'!K23</f>
        <v>193000</v>
      </c>
      <c r="L26" s="59">
        <f>'BaU Model'!L23</f>
        <v>182241.97400000002</v>
      </c>
      <c r="M26" s="59">
        <f>'BaU Model'!M23</f>
        <v>190008.44456000003</v>
      </c>
      <c r="N26" s="59">
        <f>'BaU Model'!N23</f>
        <v>475558.33633279998</v>
      </c>
      <c r="O26" s="59">
        <f>'BaU Model'!O23</f>
        <v>515651.50088976207</v>
      </c>
      <c r="P26" s="59">
        <f>'BaU Model'!P23</f>
        <v>515651.50088976207</v>
      </c>
      <c r="Q26" s="59">
        <f>'BaU Model'!Q23</f>
        <v>605806.50088976207</v>
      </c>
      <c r="R26" s="59">
        <f>'BaU Model'!R23</f>
        <v>605806.50088976207</v>
      </c>
      <c r="S26" s="59">
        <f>'BaU Model'!S23</f>
        <v>720131.56418090127</v>
      </c>
      <c r="T26" s="59">
        <f>'BaU Model'!T23</f>
        <v>720131.56418090127</v>
      </c>
      <c r="U26" s="59">
        <f>'BaU Model'!U23</f>
        <v>720131.56418090127</v>
      </c>
      <c r="V26" s="59">
        <f>'BaU Model'!V23</f>
        <v>720131.56418090127</v>
      </c>
      <c r="W26" s="59">
        <f>'BaU Model'!W23</f>
        <v>720131.56418090127</v>
      </c>
      <c r="X26" s="59">
        <f>'BaU Model'!X23</f>
        <v>720131.56418090127</v>
      </c>
      <c r="Y26" s="59">
        <f>'BaU Model'!Y23</f>
        <v>720131.56418090127</v>
      </c>
      <c r="Z26" s="59">
        <f>'BaU Model'!Z23</f>
        <v>720131.56418090127</v>
      </c>
      <c r="AA26" s="59">
        <f>'BaU Model'!AA23</f>
        <v>720131.56418090127</v>
      </c>
      <c r="AB26" s="59">
        <f>'BaU Model'!AB23</f>
        <v>720131.56418090127</v>
      </c>
      <c r="AC26" s="59">
        <f>'BaU Model'!AC23</f>
        <v>720131.56418090127</v>
      </c>
      <c r="AD26" s="59">
        <f>'BaU Model'!AD23</f>
        <v>720131.56418090127</v>
      </c>
      <c r="AE26" s="59">
        <f>'BaU Model'!AE23</f>
        <v>720131.56418090127</v>
      </c>
      <c r="AF26" s="59">
        <f>'BaU Model'!AF23</f>
        <v>720131.56418090127</v>
      </c>
      <c r="AG26" s="59">
        <f>'BaU Model'!AG23</f>
        <v>720131.56418090127</v>
      </c>
      <c r="AH26" s="59">
        <f>'BaU Model'!AH23</f>
        <v>720131.56418090127</v>
      </c>
      <c r="AI26" s="59">
        <f>'BaU Model'!AI23</f>
        <v>720131.56418090127</v>
      </c>
      <c r="AJ26" s="59">
        <f>'BaU Model'!AJ23</f>
        <v>720131.56418090127</v>
      </c>
      <c r="AK26" s="59">
        <f>'BaU Model'!AK23</f>
        <v>720131.56418090127</v>
      </c>
      <c r="AL26" s="59">
        <f>'BaU Model'!AL23</f>
        <v>720131.56418090127</v>
      </c>
    </row>
    <row r="27" spans="4:39">
      <c r="D27" t="s">
        <v>189</v>
      </c>
      <c r="E27" s="16" t="s">
        <v>145</v>
      </c>
      <c r="K27" s="59">
        <f>Inputs!E93/100*'Initiative 3 Model'!K26</f>
        <v>135100</v>
      </c>
      <c r="L27" s="59">
        <f>Inputs!F93/100*'Initiative 3 Model'!L26</f>
        <v>127569.3818</v>
      </c>
      <c r="M27" s="59">
        <f>Inputs!G93/100*'Initiative 3 Model'!M26</f>
        <v>133005.91119200003</v>
      </c>
      <c r="N27" s="59">
        <f>Inputs!H93/100*'Initiative 3 Model'!N26</f>
        <v>237779.16816639999</v>
      </c>
      <c r="O27" s="59">
        <f>Inputs!I93/100*'Initiative 3 Model'!O26</f>
        <v>0</v>
      </c>
      <c r="P27" s="59">
        <f>P26-P28</f>
        <v>0</v>
      </c>
      <c r="Q27" s="59">
        <f t="shared" ref="Q27:AL27" si="17">Q26-Q28</f>
        <v>0</v>
      </c>
      <c r="R27" s="59">
        <f t="shared" si="17"/>
        <v>0</v>
      </c>
      <c r="S27" s="59">
        <f t="shared" si="17"/>
        <v>0</v>
      </c>
      <c r="T27" s="59">
        <f t="shared" si="17"/>
        <v>0</v>
      </c>
      <c r="U27" s="59">
        <f t="shared" si="17"/>
        <v>0</v>
      </c>
      <c r="V27" s="59">
        <f t="shared" si="17"/>
        <v>0</v>
      </c>
      <c r="W27" s="59">
        <f t="shared" si="17"/>
        <v>0</v>
      </c>
      <c r="X27" s="59">
        <f t="shared" si="17"/>
        <v>0</v>
      </c>
      <c r="Y27" s="59">
        <f t="shared" si="17"/>
        <v>0</v>
      </c>
      <c r="Z27" s="59">
        <f t="shared" si="17"/>
        <v>0</v>
      </c>
      <c r="AA27" s="59">
        <f t="shared" si="17"/>
        <v>0</v>
      </c>
      <c r="AB27" s="59">
        <f t="shared" si="17"/>
        <v>0</v>
      </c>
      <c r="AC27" s="59">
        <f t="shared" si="17"/>
        <v>343451.56418090127</v>
      </c>
      <c r="AD27" s="59">
        <f t="shared" si="17"/>
        <v>343451.56418090127</v>
      </c>
      <c r="AE27" s="59">
        <f t="shared" si="17"/>
        <v>343451.56418090127</v>
      </c>
      <c r="AF27" s="59">
        <f t="shared" si="17"/>
        <v>343451.56418090127</v>
      </c>
      <c r="AG27" s="59">
        <f t="shared" si="17"/>
        <v>343451.56418090127</v>
      </c>
      <c r="AH27" s="59">
        <f t="shared" si="17"/>
        <v>343451.56418090127</v>
      </c>
      <c r="AI27" s="59">
        <f t="shared" si="17"/>
        <v>343451.56418090127</v>
      </c>
      <c r="AJ27" s="59">
        <f t="shared" si="17"/>
        <v>343451.56418090127</v>
      </c>
      <c r="AK27" s="59">
        <f t="shared" si="17"/>
        <v>343451.56418090127</v>
      </c>
      <c r="AL27" s="59">
        <f t="shared" si="17"/>
        <v>343451.56418090127</v>
      </c>
      <c r="AM27" s="65">
        <f>SUM(M27:AL27)/1000</f>
        <v>3805.3007211674126</v>
      </c>
    </row>
    <row r="28" spans="4:39">
      <c r="D28" t="s">
        <v>144</v>
      </c>
      <c r="E28" s="16" t="s">
        <v>145</v>
      </c>
      <c r="K28" s="59">
        <f>Inputs!E89/100*'Initiative 3 Model'!K26</f>
        <v>57900</v>
      </c>
      <c r="L28" s="59">
        <f>Inputs!F89/100*'Initiative 3 Model'!L26</f>
        <v>54672.592200000006</v>
      </c>
      <c r="M28" s="59">
        <f>Inputs!G89/100*'Initiative 3 Model'!M26</f>
        <v>57002.533368000011</v>
      </c>
      <c r="N28" s="59">
        <f>Inputs!H89/100*'Initiative 3 Model'!N26</f>
        <v>237779.16816639999</v>
      </c>
      <c r="O28" s="59">
        <f>Inputs!I89/100*'Initiative 3 Model'!O26</f>
        <v>515651.50088976207</v>
      </c>
      <c r="P28" s="59">
        <f>IF(P26&lt;P16,P26,P16)</f>
        <v>515651.50088976207</v>
      </c>
      <c r="Q28" s="59">
        <f t="shared" ref="Q28:AL28" si="18">IF(Q26&lt;Q16,Q26,Q16)</f>
        <v>605806.50088976207</v>
      </c>
      <c r="R28" s="59">
        <f t="shared" si="18"/>
        <v>605806.50088976207</v>
      </c>
      <c r="S28" s="59">
        <f t="shared" si="18"/>
        <v>720131.56418090127</v>
      </c>
      <c r="T28" s="59">
        <f t="shared" si="18"/>
        <v>720131.56418090127</v>
      </c>
      <c r="U28" s="59">
        <f t="shared" si="18"/>
        <v>720131.56418090127</v>
      </c>
      <c r="V28" s="59">
        <f t="shared" si="18"/>
        <v>720131.56418090127</v>
      </c>
      <c r="W28" s="59">
        <f t="shared" si="18"/>
        <v>720131.56418090127</v>
      </c>
      <c r="X28" s="59">
        <f t="shared" si="18"/>
        <v>720131.56418090127</v>
      </c>
      <c r="Y28" s="59">
        <f t="shared" si="18"/>
        <v>720131.56418090127</v>
      </c>
      <c r="Z28" s="59">
        <f t="shared" si="18"/>
        <v>720131.56418090127</v>
      </c>
      <c r="AA28" s="59">
        <f t="shared" si="18"/>
        <v>720131.56418090127</v>
      </c>
      <c r="AB28" s="59">
        <f t="shared" si="18"/>
        <v>720131.56418090127</v>
      </c>
      <c r="AC28" s="59">
        <f t="shared" si="18"/>
        <v>376680</v>
      </c>
      <c r="AD28" s="59">
        <f t="shared" si="18"/>
        <v>376680</v>
      </c>
      <c r="AE28" s="59">
        <f t="shared" si="18"/>
        <v>376680</v>
      </c>
      <c r="AF28" s="59">
        <f t="shared" si="18"/>
        <v>376680</v>
      </c>
      <c r="AG28" s="59">
        <f t="shared" si="18"/>
        <v>376680</v>
      </c>
      <c r="AH28" s="59">
        <f t="shared" si="18"/>
        <v>376680</v>
      </c>
      <c r="AI28" s="59">
        <f t="shared" si="18"/>
        <v>376680</v>
      </c>
      <c r="AJ28" s="59">
        <f t="shared" si="18"/>
        <v>376680</v>
      </c>
      <c r="AK28" s="59">
        <f t="shared" si="18"/>
        <v>376680</v>
      </c>
      <c r="AL28" s="59">
        <f t="shared" si="18"/>
        <v>376680</v>
      </c>
    </row>
    <row r="29" spans="4:39">
      <c r="D29" t="s">
        <v>125</v>
      </c>
      <c r="E29" s="16" t="s">
        <v>145</v>
      </c>
      <c r="K29" s="59">
        <f>Inputs!E99/100*'Initiative 3 Model'!K26</f>
        <v>0</v>
      </c>
      <c r="L29" s="59">
        <f>Inputs!F99/100*'Initiative 3 Model'!L26</f>
        <v>0</v>
      </c>
      <c r="M29" s="59">
        <f>Inputs!G99/100*'Initiative 3 Model'!M26</f>
        <v>0</v>
      </c>
      <c r="N29" s="59">
        <f>Inputs!H99/100*'Initiative 3 Model'!N26</f>
        <v>0</v>
      </c>
      <c r="O29" s="59">
        <f>Inputs!I99/100*'Initiative 3 Model'!O26</f>
        <v>0</v>
      </c>
      <c r="P29" s="59"/>
      <c r="Q29" s="59"/>
      <c r="R29" s="59"/>
      <c r="S29" s="59"/>
      <c r="T29" s="59"/>
      <c r="U29" s="59"/>
      <c r="V29" s="59"/>
      <c r="W29" s="59"/>
      <c r="X29" s="59"/>
      <c r="Y29" s="59"/>
      <c r="Z29" s="59"/>
      <c r="AA29" s="59"/>
      <c r="AB29" s="59"/>
      <c r="AC29" s="59"/>
      <c r="AD29" s="59"/>
      <c r="AE29" s="59"/>
      <c r="AF29" s="59"/>
      <c r="AG29" s="59"/>
      <c r="AH29" s="59"/>
      <c r="AI29" s="59"/>
      <c r="AJ29" s="59"/>
      <c r="AK29" s="59"/>
      <c r="AL29" s="59"/>
    </row>
    <row r="30" spans="4:39">
      <c r="D30" t="s">
        <v>191</v>
      </c>
      <c r="E30" s="16" t="s">
        <v>145</v>
      </c>
      <c r="K30" s="59">
        <f>Inputs!E104/100*'Initiative 3 Model'!K26</f>
        <v>0</v>
      </c>
      <c r="L30" s="59">
        <f>Inputs!F104/100*'Initiative 3 Model'!L26</f>
        <v>0</v>
      </c>
      <c r="M30" s="59">
        <f>Inputs!G104/100*'Initiative 3 Model'!M26</f>
        <v>0</v>
      </c>
      <c r="N30" s="59">
        <f>Inputs!H104/100*'Initiative 3 Model'!N26</f>
        <v>0</v>
      </c>
      <c r="O30" s="59">
        <f>Inputs!I104/100*'Initiative 3 Model'!O26</f>
        <v>0</v>
      </c>
      <c r="P30" s="59"/>
      <c r="Q30" s="59"/>
      <c r="R30" s="59"/>
      <c r="S30" s="59"/>
      <c r="T30" s="59"/>
      <c r="U30" s="59"/>
      <c r="V30" s="59"/>
      <c r="W30" s="59"/>
      <c r="X30" s="59"/>
      <c r="Y30" s="59"/>
      <c r="Z30" s="59"/>
      <c r="AA30" s="59"/>
      <c r="AB30" s="59"/>
      <c r="AC30" s="59"/>
      <c r="AD30" s="59"/>
      <c r="AE30" s="59"/>
      <c r="AF30" s="59"/>
      <c r="AG30" s="59"/>
      <c r="AH30" s="59"/>
      <c r="AI30" s="59"/>
      <c r="AJ30" s="59"/>
      <c r="AK30" s="59"/>
      <c r="AL30" s="59"/>
    </row>
    <row r="31" spans="4:39">
      <c r="D31" t="s">
        <v>424</v>
      </c>
      <c r="E31" s="16" t="s">
        <v>145</v>
      </c>
      <c r="K31" s="59">
        <f>Inputs!E105/100*'Initiative 3 Model'!K27</f>
        <v>0</v>
      </c>
      <c r="L31" s="59">
        <f>Inputs!F105/100*'Initiative 3 Model'!L27</f>
        <v>0</v>
      </c>
      <c r="M31" s="59">
        <f>Inputs!G105/100*'Initiative 3 Model'!M27</f>
        <v>0</v>
      </c>
      <c r="N31" s="59">
        <f>Inputs!H105/100*'Initiative 3 Model'!N27</f>
        <v>0</v>
      </c>
      <c r="O31" s="59">
        <f>Inputs!I105/100*'Initiative 3 Model'!O27</f>
        <v>0</v>
      </c>
      <c r="P31" s="59"/>
      <c r="Q31" s="59"/>
      <c r="R31" s="59"/>
      <c r="S31" s="59"/>
      <c r="T31" s="59"/>
      <c r="U31" s="59"/>
      <c r="V31" s="59"/>
      <c r="W31" s="59"/>
      <c r="X31" s="59"/>
      <c r="Y31" s="59"/>
      <c r="Z31" s="59"/>
      <c r="AA31" s="59"/>
      <c r="AB31" s="59"/>
      <c r="AC31" s="59"/>
      <c r="AD31" s="59"/>
      <c r="AE31" s="59"/>
      <c r="AF31" s="59"/>
      <c r="AG31" s="59"/>
      <c r="AH31" s="59"/>
      <c r="AI31" s="59"/>
      <c r="AJ31" s="59"/>
      <c r="AK31" s="59"/>
      <c r="AL31" s="59"/>
    </row>
    <row r="32" spans="4:39" ht="15">
      <c r="D32" s="4" t="s">
        <v>311</v>
      </c>
    </row>
    <row r="33" spans="4:38">
      <c r="D33" t="s">
        <v>190</v>
      </c>
      <c r="E33" s="16" t="s">
        <v>156</v>
      </c>
      <c r="K33" s="59">
        <f>K26/K11</f>
        <v>528.76712328767121</v>
      </c>
      <c r="L33" s="59">
        <f t="shared" ref="L33:AL33" si="19">L26/L11</f>
        <v>497.92889071038257</v>
      </c>
      <c r="M33" s="59">
        <f t="shared" si="19"/>
        <v>520.57108098630147</v>
      </c>
      <c r="N33" s="59">
        <f t="shared" si="19"/>
        <v>1302.8995515967122</v>
      </c>
      <c r="O33" s="59">
        <f t="shared" si="19"/>
        <v>1412.7438380541428</v>
      </c>
      <c r="P33" s="59">
        <f t="shared" si="19"/>
        <v>1408.8838822124646</v>
      </c>
      <c r="Q33" s="59">
        <f t="shared" si="19"/>
        <v>1659.7438380541428</v>
      </c>
      <c r="R33" s="59">
        <f t="shared" si="19"/>
        <v>1659.7438380541428</v>
      </c>
      <c r="S33" s="59">
        <f t="shared" si="19"/>
        <v>1972.9631895367158</v>
      </c>
      <c r="T33" s="59">
        <f t="shared" si="19"/>
        <v>1967.5725797292384</v>
      </c>
      <c r="U33" s="59">
        <f t="shared" si="19"/>
        <v>1972.9631895367158</v>
      </c>
      <c r="V33" s="59">
        <f t="shared" si="19"/>
        <v>1972.9631895367158</v>
      </c>
      <c r="W33" s="59">
        <f t="shared" si="19"/>
        <v>1972.9631895367158</v>
      </c>
      <c r="X33" s="59">
        <f t="shared" si="19"/>
        <v>1967.5725797292384</v>
      </c>
      <c r="Y33" s="59">
        <f t="shared" si="19"/>
        <v>1972.9631895367158</v>
      </c>
      <c r="Z33" s="59">
        <f t="shared" si="19"/>
        <v>1972.9631895367158</v>
      </c>
      <c r="AA33" s="59">
        <f t="shared" si="19"/>
        <v>1972.9631895367158</v>
      </c>
      <c r="AB33" s="59">
        <f t="shared" si="19"/>
        <v>1967.5725797292384</v>
      </c>
      <c r="AC33" s="59">
        <f t="shared" si="19"/>
        <v>1972.9631895367158</v>
      </c>
      <c r="AD33" s="59">
        <f t="shared" si="19"/>
        <v>1972.9631895367158</v>
      </c>
      <c r="AE33" s="59">
        <f t="shared" si="19"/>
        <v>1972.9631895367158</v>
      </c>
      <c r="AF33" s="59">
        <f t="shared" si="19"/>
        <v>1967.5725797292384</v>
      </c>
      <c r="AG33" s="59">
        <f t="shared" si="19"/>
        <v>1972.9631895367158</v>
      </c>
      <c r="AH33" s="59">
        <f t="shared" si="19"/>
        <v>1972.9631895367158</v>
      </c>
      <c r="AI33" s="59">
        <f t="shared" si="19"/>
        <v>1972.9631895367158</v>
      </c>
      <c r="AJ33" s="59">
        <f t="shared" si="19"/>
        <v>1967.5725797292384</v>
      </c>
      <c r="AK33" s="59">
        <f t="shared" si="19"/>
        <v>1972.9631895367158</v>
      </c>
      <c r="AL33" s="59">
        <f t="shared" si="19"/>
        <v>1972.9631895367158</v>
      </c>
    </row>
    <row r="34" spans="4:38">
      <c r="D34" t="s">
        <v>189</v>
      </c>
      <c r="E34" s="16" t="s">
        <v>156</v>
      </c>
      <c r="K34" s="59">
        <f>K27/K11</f>
        <v>370.13698630136986</v>
      </c>
      <c r="L34" s="59">
        <f t="shared" ref="L34:AL34" si="20">L27/L11</f>
        <v>348.55022349726778</v>
      </c>
      <c r="M34" s="59">
        <f t="shared" si="20"/>
        <v>364.39975669041104</v>
      </c>
      <c r="N34" s="59">
        <f t="shared" si="20"/>
        <v>651.44977579835609</v>
      </c>
      <c r="O34" s="59">
        <f t="shared" si="20"/>
        <v>0</v>
      </c>
      <c r="P34" s="59">
        <f t="shared" si="20"/>
        <v>0</v>
      </c>
      <c r="Q34" s="59">
        <f t="shared" si="20"/>
        <v>0</v>
      </c>
      <c r="R34" s="59">
        <f t="shared" si="20"/>
        <v>0</v>
      </c>
      <c r="S34" s="59">
        <f t="shared" si="20"/>
        <v>0</v>
      </c>
      <c r="T34" s="59">
        <f t="shared" si="20"/>
        <v>0</v>
      </c>
      <c r="U34" s="59">
        <f t="shared" si="20"/>
        <v>0</v>
      </c>
      <c r="V34" s="59">
        <f t="shared" si="20"/>
        <v>0</v>
      </c>
      <c r="W34" s="59">
        <f t="shared" si="20"/>
        <v>0</v>
      </c>
      <c r="X34" s="59">
        <f t="shared" si="20"/>
        <v>0</v>
      </c>
      <c r="Y34" s="59">
        <f t="shared" si="20"/>
        <v>0</v>
      </c>
      <c r="Z34" s="59">
        <f t="shared" si="20"/>
        <v>0</v>
      </c>
      <c r="AA34" s="59">
        <f t="shared" si="20"/>
        <v>0</v>
      </c>
      <c r="AB34" s="59">
        <f t="shared" si="20"/>
        <v>0</v>
      </c>
      <c r="AC34" s="59">
        <f t="shared" si="20"/>
        <v>940.96318953671584</v>
      </c>
      <c r="AD34" s="59">
        <f t="shared" si="20"/>
        <v>940.96318953671584</v>
      </c>
      <c r="AE34" s="59">
        <f t="shared" si="20"/>
        <v>940.96318953671584</v>
      </c>
      <c r="AF34" s="59">
        <f t="shared" si="20"/>
        <v>938.39225186038595</v>
      </c>
      <c r="AG34" s="59">
        <f t="shared" si="20"/>
        <v>940.96318953671584</v>
      </c>
      <c r="AH34" s="59">
        <f t="shared" si="20"/>
        <v>940.96318953671584</v>
      </c>
      <c r="AI34" s="59">
        <f t="shared" si="20"/>
        <v>940.96318953671584</v>
      </c>
      <c r="AJ34" s="59">
        <f t="shared" si="20"/>
        <v>938.39225186038595</v>
      </c>
      <c r="AK34" s="59">
        <f t="shared" si="20"/>
        <v>940.96318953671584</v>
      </c>
      <c r="AL34" s="59">
        <f t="shared" si="20"/>
        <v>940.96318953671584</v>
      </c>
    </row>
    <row r="35" spans="4:38">
      <c r="D35" t="s">
        <v>144</v>
      </c>
      <c r="E35" s="16" t="s">
        <v>156</v>
      </c>
      <c r="K35" s="59">
        <f>K28/K11</f>
        <v>158.63013698630138</v>
      </c>
      <c r="L35" s="59">
        <f t="shared" ref="L35:AL35" si="21">L28/L11</f>
        <v>149.37866721311477</v>
      </c>
      <c r="M35" s="59">
        <f t="shared" si="21"/>
        <v>156.17132429589043</v>
      </c>
      <c r="N35" s="59">
        <f t="shared" si="21"/>
        <v>651.44977579835609</v>
      </c>
      <c r="O35" s="59">
        <f t="shared" si="21"/>
        <v>1412.7438380541428</v>
      </c>
      <c r="P35" s="59">
        <f t="shared" si="21"/>
        <v>1408.8838822124646</v>
      </c>
      <c r="Q35" s="59">
        <f t="shared" si="21"/>
        <v>1659.7438380541428</v>
      </c>
      <c r="R35" s="59">
        <f t="shared" si="21"/>
        <v>1659.7438380541428</v>
      </c>
      <c r="S35" s="59">
        <f t="shared" si="21"/>
        <v>1972.9631895367158</v>
      </c>
      <c r="T35" s="59">
        <f t="shared" si="21"/>
        <v>1967.5725797292384</v>
      </c>
      <c r="U35" s="59">
        <f t="shared" si="21"/>
        <v>1972.9631895367158</v>
      </c>
      <c r="V35" s="59">
        <f t="shared" si="21"/>
        <v>1972.9631895367158</v>
      </c>
      <c r="W35" s="59">
        <f t="shared" si="21"/>
        <v>1972.9631895367158</v>
      </c>
      <c r="X35" s="59">
        <f t="shared" si="21"/>
        <v>1967.5725797292384</v>
      </c>
      <c r="Y35" s="59">
        <f t="shared" si="21"/>
        <v>1972.9631895367158</v>
      </c>
      <c r="Z35" s="59">
        <f t="shared" si="21"/>
        <v>1972.9631895367158</v>
      </c>
      <c r="AA35" s="59">
        <f t="shared" si="21"/>
        <v>1972.9631895367158</v>
      </c>
      <c r="AB35" s="59">
        <f t="shared" si="21"/>
        <v>1967.5725797292384</v>
      </c>
      <c r="AC35" s="59">
        <f t="shared" si="21"/>
        <v>1032</v>
      </c>
      <c r="AD35" s="59">
        <f t="shared" si="21"/>
        <v>1032</v>
      </c>
      <c r="AE35" s="59">
        <f t="shared" si="21"/>
        <v>1032</v>
      </c>
      <c r="AF35" s="59">
        <f t="shared" si="21"/>
        <v>1029.1803278688524</v>
      </c>
      <c r="AG35" s="59">
        <f t="shared" si="21"/>
        <v>1032</v>
      </c>
      <c r="AH35" s="59">
        <f t="shared" si="21"/>
        <v>1032</v>
      </c>
      <c r="AI35" s="59">
        <f t="shared" si="21"/>
        <v>1032</v>
      </c>
      <c r="AJ35" s="59">
        <f t="shared" si="21"/>
        <v>1029.1803278688524</v>
      </c>
      <c r="AK35" s="59">
        <f t="shared" si="21"/>
        <v>1032</v>
      </c>
      <c r="AL35" s="59">
        <f t="shared" si="21"/>
        <v>1032</v>
      </c>
    </row>
    <row r="36" spans="4:38">
      <c r="D36" t="s">
        <v>125</v>
      </c>
      <c r="E36" s="16" t="s">
        <v>156</v>
      </c>
      <c r="K36" s="59">
        <f>K29/K11</f>
        <v>0</v>
      </c>
      <c r="L36" s="59">
        <f t="shared" ref="L36:AL36" si="22">L29/L11</f>
        <v>0</v>
      </c>
      <c r="M36" s="59">
        <f t="shared" si="22"/>
        <v>0</v>
      </c>
      <c r="N36" s="59">
        <f t="shared" si="22"/>
        <v>0</v>
      </c>
      <c r="O36" s="59">
        <f t="shared" si="22"/>
        <v>0</v>
      </c>
      <c r="P36" s="59">
        <f t="shared" si="22"/>
        <v>0</v>
      </c>
      <c r="Q36" s="59">
        <f t="shared" si="22"/>
        <v>0</v>
      </c>
      <c r="R36" s="59">
        <f t="shared" si="22"/>
        <v>0</v>
      </c>
      <c r="S36" s="59">
        <f t="shared" si="22"/>
        <v>0</v>
      </c>
      <c r="T36" s="59">
        <f t="shared" si="22"/>
        <v>0</v>
      </c>
      <c r="U36" s="59">
        <f t="shared" si="22"/>
        <v>0</v>
      </c>
      <c r="V36" s="59">
        <f t="shared" si="22"/>
        <v>0</v>
      </c>
      <c r="W36" s="59">
        <f t="shared" si="22"/>
        <v>0</v>
      </c>
      <c r="X36" s="59">
        <f t="shared" si="22"/>
        <v>0</v>
      </c>
      <c r="Y36" s="59">
        <f t="shared" si="22"/>
        <v>0</v>
      </c>
      <c r="Z36" s="59">
        <f t="shared" si="22"/>
        <v>0</v>
      </c>
      <c r="AA36" s="59">
        <f t="shared" si="22"/>
        <v>0</v>
      </c>
      <c r="AB36" s="59">
        <f t="shared" si="22"/>
        <v>0</v>
      </c>
      <c r="AC36" s="59">
        <f t="shared" si="22"/>
        <v>0</v>
      </c>
      <c r="AD36" s="59">
        <f t="shared" si="22"/>
        <v>0</v>
      </c>
      <c r="AE36" s="59">
        <f t="shared" si="22"/>
        <v>0</v>
      </c>
      <c r="AF36" s="59">
        <f t="shared" si="22"/>
        <v>0</v>
      </c>
      <c r="AG36" s="59">
        <f t="shared" si="22"/>
        <v>0</v>
      </c>
      <c r="AH36" s="59">
        <f t="shared" si="22"/>
        <v>0</v>
      </c>
      <c r="AI36" s="59">
        <f t="shared" si="22"/>
        <v>0</v>
      </c>
      <c r="AJ36" s="59">
        <f t="shared" si="22"/>
        <v>0</v>
      </c>
      <c r="AK36" s="59">
        <f t="shared" si="22"/>
        <v>0</v>
      </c>
      <c r="AL36" s="59">
        <f t="shared" si="22"/>
        <v>0</v>
      </c>
    </row>
    <row r="37" spans="4:38">
      <c r="D37" t="s">
        <v>191</v>
      </c>
      <c r="E37" s="16" t="s">
        <v>156</v>
      </c>
      <c r="K37" s="59">
        <f>K30/K11</f>
        <v>0</v>
      </c>
      <c r="L37" s="59">
        <f t="shared" ref="L37:AL37" si="23">L30/L11</f>
        <v>0</v>
      </c>
      <c r="M37" s="59">
        <f t="shared" si="23"/>
        <v>0</v>
      </c>
      <c r="N37" s="59">
        <f t="shared" si="23"/>
        <v>0</v>
      </c>
      <c r="O37" s="59">
        <f t="shared" si="23"/>
        <v>0</v>
      </c>
      <c r="P37" s="59">
        <f t="shared" si="23"/>
        <v>0</v>
      </c>
      <c r="Q37" s="59">
        <f t="shared" si="23"/>
        <v>0</v>
      </c>
      <c r="R37" s="59">
        <f t="shared" si="23"/>
        <v>0</v>
      </c>
      <c r="S37" s="59">
        <f t="shared" si="23"/>
        <v>0</v>
      </c>
      <c r="T37" s="59">
        <f t="shared" si="23"/>
        <v>0</v>
      </c>
      <c r="U37" s="59">
        <f t="shared" si="23"/>
        <v>0</v>
      </c>
      <c r="V37" s="59">
        <f t="shared" si="23"/>
        <v>0</v>
      </c>
      <c r="W37" s="59">
        <f t="shared" si="23"/>
        <v>0</v>
      </c>
      <c r="X37" s="59">
        <f t="shared" si="23"/>
        <v>0</v>
      </c>
      <c r="Y37" s="59">
        <f t="shared" si="23"/>
        <v>0</v>
      </c>
      <c r="Z37" s="59">
        <f t="shared" si="23"/>
        <v>0</v>
      </c>
      <c r="AA37" s="59">
        <f t="shared" si="23"/>
        <v>0</v>
      </c>
      <c r="AB37" s="59">
        <f t="shared" si="23"/>
        <v>0</v>
      </c>
      <c r="AC37" s="59">
        <f t="shared" si="23"/>
        <v>0</v>
      </c>
      <c r="AD37" s="59">
        <f t="shared" si="23"/>
        <v>0</v>
      </c>
      <c r="AE37" s="59">
        <f t="shared" si="23"/>
        <v>0</v>
      </c>
      <c r="AF37" s="59">
        <f t="shared" si="23"/>
        <v>0</v>
      </c>
      <c r="AG37" s="59">
        <f t="shared" si="23"/>
        <v>0</v>
      </c>
      <c r="AH37" s="59">
        <f t="shared" si="23"/>
        <v>0</v>
      </c>
      <c r="AI37" s="59">
        <f t="shared" si="23"/>
        <v>0</v>
      </c>
      <c r="AJ37" s="59">
        <f t="shared" si="23"/>
        <v>0</v>
      </c>
      <c r="AK37" s="59">
        <f t="shared" si="23"/>
        <v>0</v>
      </c>
      <c r="AL37" s="59">
        <f t="shared" si="23"/>
        <v>0</v>
      </c>
    </row>
    <row r="38" spans="4:38">
      <c r="D38" t="s">
        <v>424</v>
      </c>
      <c r="E38" s="16" t="s">
        <v>156</v>
      </c>
      <c r="K38" s="59">
        <f>K31/K11</f>
        <v>0</v>
      </c>
      <c r="L38" s="59">
        <f t="shared" ref="L38:AL38" si="24">L31/L11</f>
        <v>0</v>
      </c>
      <c r="M38" s="59">
        <f t="shared" si="24"/>
        <v>0</v>
      </c>
      <c r="N38" s="59">
        <f t="shared" si="24"/>
        <v>0</v>
      </c>
      <c r="O38" s="59">
        <f t="shared" si="24"/>
        <v>0</v>
      </c>
      <c r="P38" s="59">
        <f t="shared" si="24"/>
        <v>0</v>
      </c>
      <c r="Q38" s="59">
        <f t="shared" si="24"/>
        <v>0</v>
      </c>
      <c r="R38" s="59">
        <f t="shared" si="24"/>
        <v>0</v>
      </c>
      <c r="S38" s="59">
        <f t="shared" si="24"/>
        <v>0</v>
      </c>
      <c r="T38" s="59">
        <f t="shared" si="24"/>
        <v>0</v>
      </c>
      <c r="U38" s="59">
        <f t="shared" si="24"/>
        <v>0</v>
      </c>
      <c r="V38" s="59">
        <f t="shared" si="24"/>
        <v>0</v>
      </c>
      <c r="W38" s="59">
        <f t="shared" si="24"/>
        <v>0</v>
      </c>
      <c r="X38" s="59">
        <f t="shared" si="24"/>
        <v>0</v>
      </c>
      <c r="Y38" s="59">
        <f t="shared" si="24"/>
        <v>0</v>
      </c>
      <c r="Z38" s="59">
        <f t="shared" si="24"/>
        <v>0</v>
      </c>
      <c r="AA38" s="59">
        <f t="shared" si="24"/>
        <v>0</v>
      </c>
      <c r="AB38" s="59">
        <f t="shared" si="24"/>
        <v>0</v>
      </c>
      <c r="AC38" s="59">
        <f t="shared" si="24"/>
        <v>0</v>
      </c>
      <c r="AD38" s="59">
        <f t="shared" si="24"/>
        <v>0</v>
      </c>
      <c r="AE38" s="59">
        <f t="shared" si="24"/>
        <v>0</v>
      </c>
      <c r="AF38" s="59">
        <f t="shared" si="24"/>
        <v>0</v>
      </c>
      <c r="AG38" s="59">
        <f t="shared" si="24"/>
        <v>0</v>
      </c>
      <c r="AH38" s="59">
        <f t="shared" si="24"/>
        <v>0</v>
      </c>
      <c r="AI38" s="59">
        <f t="shared" si="24"/>
        <v>0</v>
      </c>
      <c r="AJ38" s="59">
        <f t="shared" si="24"/>
        <v>0</v>
      </c>
      <c r="AK38" s="59">
        <f t="shared" si="24"/>
        <v>0</v>
      </c>
      <c r="AL38" s="59">
        <f t="shared" si="24"/>
        <v>0</v>
      </c>
    </row>
    <row r="39" spans="4:38" ht="15">
      <c r="D39" s="4" t="s">
        <v>194</v>
      </c>
    </row>
    <row r="40" spans="4:38">
      <c r="D40" t="s">
        <v>189</v>
      </c>
      <c r="E40" s="16" t="s">
        <v>195</v>
      </c>
      <c r="K40" s="60">
        <f>K27/Inputs!F34</f>
        <v>4.48E-2</v>
      </c>
    </row>
    <row r="41" spans="4:38">
      <c r="D41" t="s">
        <v>144</v>
      </c>
      <c r="E41" s="16" t="s">
        <v>195</v>
      </c>
      <c r="K41" s="61">
        <f>K28/Inputs!F34</f>
        <v>1.9199999999999998E-2</v>
      </c>
    </row>
    <row r="42" spans="4:38">
      <c r="D42" t="s">
        <v>125</v>
      </c>
      <c r="E42" s="16" t="s">
        <v>195</v>
      </c>
      <c r="K42" s="62"/>
    </row>
    <row r="43" spans="4:38">
      <c r="D43" t="s">
        <v>191</v>
      </c>
      <c r="E43" s="16" t="s">
        <v>195</v>
      </c>
      <c r="K43" s="62"/>
    </row>
    <row r="44" spans="4:38">
      <c r="E44" s="16"/>
      <c r="K44" s="66"/>
    </row>
    <row r="45" spans="4:38" ht="18">
      <c r="D45" s="15" t="s">
        <v>226</v>
      </c>
    </row>
    <row r="46" spans="4:38" ht="15">
      <c r="D46" s="4" t="s">
        <v>212</v>
      </c>
      <c r="E46" s="16" t="s">
        <v>145</v>
      </c>
      <c r="K46" s="116">
        <f>K26*Inputs!E117</f>
        <v>67550</v>
      </c>
      <c r="L46" s="116">
        <f>L26*Inputs!F117</f>
        <v>63784.690900000001</v>
      </c>
      <c r="M46" s="116">
        <f>M26*Inputs!G117</f>
        <v>66502.955596000014</v>
      </c>
      <c r="N46" s="116">
        <f>N26*Inputs!H117</f>
        <v>166445.41771647998</v>
      </c>
      <c r="O46" s="116">
        <f>O26*Inputs!I117</f>
        <v>180478.02531141671</v>
      </c>
      <c r="P46" s="116">
        <f>P26*Inputs!$J$117</f>
        <v>180478.02531141671</v>
      </c>
      <c r="Q46" s="116">
        <f>Q26*Inputs!$J$117</f>
        <v>212032.27531141671</v>
      </c>
      <c r="R46" s="116">
        <f>R26*Inputs!$J$117</f>
        <v>212032.27531141671</v>
      </c>
      <c r="S46" s="116">
        <f>S26*Inputs!$J$117</f>
        <v>252046.04746331542</v>
      </c>
      <c r="T46" s="116">
        <f>T26*Inputs!$J$117</f>
        <v>252046.04746331542</v>
      </c>
      <c r="U46" s="116">
        <f>U26*Inputs!$J$117</f>
        <v>252046.04746331542</v>
      </c>
      <c r="V46" s="116">
        <f>V26*Inputs!$J$117</f>
        <v>252046.04746331542</v>
      </c>
      <c r="W46" s="116">
        <f>W26*Inputs!$J$117</f>
        <v>252046.04746331542</v>
      </c>
      <c r="X46" s="116">
        <f>X26*Inputs!$J$117</f>
        <v>252046.04746331542</v>
      </c>
      <c r="Y46" s="116">
        <f>Y26*Inputs!$J$117</f>
        <v>252046.04746331542</v>
      </c>
      <c r="Z46" s="116">
        <f>Z26*Inputs!$J$117</f>
        <v>252046.04746331542</v>
      </c>
      <c r="AA46" s="116">
        <f>AA26*Inputs!$J$117</f>
        <v>252046.04746331542</v>
      </c>
      <c r="AB46" s="116">
        <f>AB26*Inputs!$J$117</f>
        <v>252046.04746331542</v>
      </c>
      <c r="AC46" s="116">
        <f>AC26*Inputs!$J$117</f>
        <v>252046.04746331542</v>
      </c>
      <c r="AD46" s="116">
        <f>AD26*Inputs!$J$117</f>
        <v>252046.04746331542</v>
      </c>
      <c r="AE46" s="116">
        <f>AE26*Inputs!$J$117</f>
        <v>252046.04746331542</v>
      </c>
      <c r="AF46" s="116">
        <f>AF26*Inputs!$J$117</f>
        <v>252046.04746331542</v>
      </c>
      <c r="AG46" s="116">
        <f>AG26*Inputs!$J$117</f>
        <v>252046.04746331542</v>
      </c>
      <c r="AH46" s="116">
        <f>AH26*Inputs!$J$117</f>
        <v>252046.04746331542</v>
      </c>
      <c r="AI46" s="116">
        <f>AI26*Inputs!$J$117</f>
        <v>252046.04746331542</v>
      </c>
      <c r="AJ46" s="116">
        <f>AJ26*Inputs!$J$117</f>
        <v>252046.04746331542</v>
      </c>
      <c r="AK46" s="116">
        <f>AK26*Inputs!$J$117</f>
        <v>252046.04746331542</v>
      </c>
      <c r="AL46" s="116">
        <f>AL26*Inputs!$J$117</f>
        <v>252046.04746331542</v>
      </c>
    </row>
    <row r="47" spans="4:38">
      <c r="D47" s="7" t="s">
        <v>122</v>
      </c>
      <c r="E47" s="16" t="s">
        <v>145</v>
      </c>
      <c r="K47" s="116">
        <f>(K46*Inputs!E118)*Inputs!E120</f>
        <v>48804.875</v>
      </c>
      <c r="L47" s="116">
        <f>(L46*Inputs!F118)*Inputs!F120</f>
        <v>46084.439175250001</v>
      </c>
      <c r="M47" s="116">
        <f>(M46*Inputs!G118)*Inputs!G120</f>
        <v>48048.385418110011</v>
      </c>
      <c r="N47" s="116">
        <f>(N46*Inputs!H118)*Inputs!H120</f>
        <v>120256.81430015677</v>
      </c>
      <c r="O47" s="116">
        <f>(O46*Inputs!I118)*Inputs!I120</f>
        <v>130395.37328749857</v>
      </c>
      <c r="P47" s="116">
        <f>(P46*Inputs!$J$118)*Inputs!$J$120</f>
        <v>130395.37328749857</v>
      </c>
      <c r="Q47" s="116">
        <f>(Q46*Inputs!$J$118)*Inputs!$J$120</f>
        <v>153193.31891249857</v>
      </c>
      <c r="R47" s="116">
        <f>(R46*Inputs!$J$118)*Inputs!$J$120</f>
        <v>153193.31891249857</v>
      </c>
      <c r="S47" s="116">
        <f>(S46*Inputs!$J$118)*Inputs!$J$120</f>
        <v>182103.26929224539</v>
      </c>
      <c r="T47" s="116">
        <f>(T46*Inputs!$J$118)*Inputs!$J$120</f>
        <v>182103.26929224539</v>
      </c>
      <c r="U47" s="116">
        <f>(U46*Inputs!$J$118)*Inputs!$J$120</f>
        <v>182103.26929224539</v>
      </c>
      <c r="V47" s="116">
        <f>(V46*Inputs!$J$118)*Inputs!$J$120</f>
        <v>182103.26929224539</v>
      </c>
      <c r="W47" s="116">
        <f>(W46*Inputs!$J$118)*Inputs!$J$120</f>
        <v>182103.26929224539</v>
      </c>
      <c r="X47" s="116">
        <f>(X46*Inputs!$J$118)*Inputs!$J$120</f>
        <v>182103.26929224539</v>
      </c>
      <c r="Y47" s="116">
        <f>(Y46*Inputs!$J$118)*Inputs!$J$120</f>
        <v>182103.26929224539</v>
      </c>
      <c r="Z47" s="116">
        <f>(Z46*Inputs!$J$118)*Inputs!$J$120</f>
        <v>182103.26929224539</v>
      </c>
      <c r="AA47" s="116">
        <f>(AA46*Inputs!$J$118)*Inputs!$J$120</f>
        <v>182103.26929224539</v>
      </c>
      <c r="AB47" s="116">
        <f>(AB46*Inputs!$J$118)*Inputs!$J$120</f>
        <v>182103.26929224539</v>
      </c>
      <c r="AC47" s="116">
        <f>(AC46*Inputs!$J$118)*Inputs!$J$120</f>
        <v>182103.26929224539</v>
      </c>
      <c r="AD47" s="116">
        <f>(AD46*Inputs!$J$118)*Inputs!$J$120</f>
        <v>182103.26929224539</v>
      </c>
      <c r="AE47" s="116">
        <f>(AE46*Inputs!$J$118)*Inputs!$J$120</f>
        <v>182103.26929224539</v>
      </c>
      <c r="AF47" s="116">
        <f>(AF46*Inputs!$J$118)*Inputs!$J$120</f>
        <v>182103.26929224539</v>
      </c>
      <c r="AG47" s="116">
        <f>(AG46*Inputs!$J$118)*Inputs!$J$120</f>
        <v>182103.26929224539</v>
      </c>
      <c r="AH47" s="116">
        <f>(AH46*Inputs!$J$118)*Inputs!$J$120</f>
        <v>182103.26929224539</v>
      </c>
      <c r="AI47" s="116">
        <f>(AI46*Inputs!$J$118)*Inputs!$J$120</f>
        <v>182103.26929224539</v>
      </c>
      <c r="AJ47" s="116">
        <f>(AJ46*Inputs!$J$118)*Inputs!$J$120</f>
        <v>182103.26929224539</v>
      </c>
      <c r="AK47" s="116">
        <f>(AK46*Inputs!$J$118)*Inputs!$J$120</f>
        <v>182103.26929224539</v>
      </c>
      <c r="AL47" s="116">
        <f>(AL46*Inputs!$J$118)*Inputs!$J$120</f>
        <v>182103.26929224539</v>
      </c>
    </row>
    <row r="48" spans="4:38">
      <c r="D48" s="7" t="s">
        <v>219</v>
      </c>
      <c r="E48" s="16" t="s">
        <v>145</v>
      </c>
      <c r="K48" s="116">
        <f>K46*Inputs!E119</f>
        <v>10132.5</v>
      </c>
      <c r="L48" s="116">
        <f>L46*Inputs!F119</f>
        <v>9567.7036349999998</v>
      </c>
      <c r="M48" s="116">
        <f>M46*Inputs!G119</f>
        <v>9975.4433394000025</v>
      </c>
      <c r="N48" s="116">
        <f>N46*Inputs!H119</f>
        <v>24966.812657471997</v>
      </c>
      <c r="O48" s="116">
        <f>O46*Inputs!I119</f>
        <v>27071.703796712507</v>
      </c>
      <c r="P48" s="116">
        <f>P46*Inputs!$J$119</f>
        <v>27071.703796712507</v>
      </c>
      <c r="Q48" s="116">
        <f>Q46*Inputs!$J$119</f>
        <v>31804.841296712504</v>
      </c>
      <c r="R48" s="116">
        <f>R46*Inputs!$J$119</f>
        <v>31804.841296712504</v>
      </c>
      <c r="S48" s="116">
        <f>S46*Inputs!$J$119</f>
        <v>37806.907119497315</v>
      </c>
      <c r="T48" s="116">
        <f>T46*Inputs!$J$119</f>
        <v>37806.907119497315</v>
      </c>
      <c r="U48" s="116">
        <f>U46*Inputs!$J$119</f>
        <v>37806.907119497315</v>
      </c>
      <c r="V48" s="116">
        <f>V46*Inputs!$J$119</f>
        <v>37806.907119497315</v>
      </c>
      <c r="W48" s="116">
        <f>W46*Inputs!$J$119</f>
        <v>37806.907119497315</v>
      </c>
      <c r="X48" s="116">
        <f>X46*Inputs!$J$119</f>
        <v>37806.907119497315</v>
      </c>
      <c r="Y48" s="116">
        <f>Y46*Inputs!$J$119</f>
        <v>37806.907119497315</v>
      </c>
      <c r="Z48" s="116">
        <f>Z46*Inputs!$J$119</f>
        <v>37806.907119497315</v>
      </c>
      <c r="AA48" s="116">
        <f>AA46*Inputs!$J$119</f>
        <v>37806.907119497315</v>
      </c>
      <c r="AB48" s="116">
        <f>AB46*Inputs!$J$119</f>
        <v>37806.907119497315</v>
      </c>
      <c r="AC48" s="116">
        <f>AC46*Inputs!$J$119</f>
        <v>37806.907119497315</v>
      </c>
      <c r="AD48" s="116">
        <f>AD46*Inputs!$J$119</f>
        <v>37806.907119497315</v>
      </c>
      <c r="AE48" s="116">
        <f>AE46*Inputs!$J$119</f>
        <v>37806.907119497315</v>
      </c>
      <c r="AF48" s="116">
        <f>AF46*Inputs!$J$119</f>
        <v>37806.907119497315</v>
      </c>
      <c r="AG48" s="116">
        <f>AG46*Inputs!$J$119</f>
        <v>37806.907119497315</v>
      </c>
      <c r="AH48" s="116">
        <f>AH46*Inputs!$J$119</f>
        <v>37806.907119497315</v>
      </c>
      <c r="AI48" s="116">
        <f>AI46*Inputs!$J$119</f>
        <v>37806.907119497315</v>
      </c>
      <c r="AJ48" s="116">
        <f>AJ46*Inputs!$J$119</f>
        <v>37806.907119497315</v>
      </c>
      <c r="AK48" s="116">
        <f>AK46*Inputs!$J$119</f>
        <v>37806.907119497315</v>
      </c>
      <c r="AL48" s="116">
        <f>AL46*Inputs!$J$119</f>
        <v>37806.907119497315</v>
      </c>
    </row>
    <row r="49" spans="4:39" ht="15">
      <c r="D49" s="131" t="s">
        <v>227</v>
      </c>
      <c r="E49" s="16" t="s">
        <v>145</v>
      </c>
      <c r="K49" s="116">
        <f>K26*Inputs!E114</f>
        <v>115800</v>
      </c>
      <c r="L49" s="116">
        <f>L26*Inputs!F114</f>
        <v>109345.18440000001</v>
      </c>
      <c r="M49" s="116">
        <f>M26*Inputs!G114</f>
        <v>114005.06673600002</v>
      </c>
      <c r="N49" s="116">
        <f>N26*Inputs!H114</f>
        <v>285335.00179968</v>
      </c>
      <c r="O49" s="116">
        <f>O26*Inputs!I114</f>
        <v>309390.90053385723</v>
      </c>
      <c r="P49" s="116">
        <f>P26*Inputs!$J$114</f>
        <v>309390.90053385723</v>
      </c>
      <c r="Q49" s="116">
        <f>Q26*Inputs!$J$114</f>
        <v>363483.90053385723</v>
      </c>
      <c r="R49" s="116">
        <f>R26*Inputs!$J$114</f>
        <v>363483.90053385723</v>
      </c>
      <c r="S49" s="116">
        <f>S26*Inputs!$J$114</f>
        <v>432078.93850854074</v>
      </c>
      <c r="T49" s="116">
        <f>T26*Inputs!$J$114</f>
        <v>432078.93850854074</v>
      </c>
      <c r="U49" s="116">
        <f>U26*Inputs!$J$114</f>
        <v>432078.93850854074</v>
      </c>
      <c r="V49" s="116">
        <f>V26*Inputs!$J$114</f>
        <v>432078.93850854074</v>
      </c>
      <c r="W49" s="116">
        <f>W26*Inputs!$J$114</f>
        <v>432078.93850854074</v>
      </c>
      <c r="X49" s="116">
        <f>X26*Inputs!$J$114</f>
        <v>432078.93850854074</v>
      </c>
      <c r="Y49" s="116">
        <f>Y26*Inputs!$J$114</f>
        <v>432078.93850854074</v>
      </c>
      <c r="Z49" s="116">
        <f>Z26*Inputs!$J$114</f>
        <v>432078.93850854074</v>
      </c>
      <c r="AA49" s="116">
        <f>AA26*Inputs!$J$114</f>
        <v>432078.93850854074</v>
      </c>
      <c r="AB49" s="116">
        <f>AB26*Inputs!$J$114</f>
        <v>432078.93850854074</v>
      </c>
      <c r="AC49" s="116">
        <f>AC26*Inputs!$J$114</f>
        <v>432078.93850854074</v>
      </c>
      <c r="AD49" s="116">
        <f>AD26*Inputs!$J$114</f>
        <v>432078.93850854074</v>
      </c>
      <c r="AE49" s="116">
        <f>AE26*Inputs!$J$114</f>
        <v>432078.93850854074</v>
      </c>
      <c r="AF49" s="116">
        <f>AF26*Inputs!$J$114</f>
        <v>432078.93850854074</v>
      </c>
      <c r="AG49" s="116">
        <f>AG26*Inputs!$J$114</f>
        <v>432078.93850854074</v>
      </c>
      <c r="AH49" s="116">
        <f>AH26*Inputs!$J$114</f>
        <v>432078.93850854074</v>
      </c>
      <c r="AI49" s="116">
        <f>AI26*Inputs!$J$114</f>
        <v>432078.93850854074</v>
      </c>
      <c r="AJ49" s="116">
        <f>AJ26*Inputs!$J$114</f>
        <v>432078.93850854074</v>
      </c>
      <c r="AK49" s="116">
        <f>AK26*Inputs!$J$114</f>
        <v>432078.93850854074</v>
      </c>
      <c r="AL49" s="116">
        <f>AL26*Inputs!$J$114</f>
        <v>432078.93850854074</v>
      </c>
    </row>
    <row r="50" spans="4:39">
      <c r="D50" s="63" t="s">
        <v>394</v>
      </c>
      <c r="E50" s="16" t="s">
        <v>145</v>
      </c>
      <c r="J50" s="65"/>
      <c r="K50" s="116">
        <f>K49*Inputs!E115</f>
        <v>11580</v>
      </c>
      <c r="L50" s="116">
        <f>L49*Inputs!F115</f>
        <v>10934.518440000002</v>
      </c>
      <c r="M50" s="116">
        <f>M49*Inputs!G115</f>
        <v>11400.506673600003</v>
      </c>
      <c r="N50" s="116">
        <f>N49*Inputs!H115</f>
        <v>28533.500179968003</v>
      </c>
      <c r="O50" s="116">
        <f>O49*Inputs!I115</f>
        <v>30939.090053385724</v>
      </c>
      <c r="P50" s="116">
        <f>P49*Inputs!J115</f>
        <v>30939.090053385724</v>
      </c>
      <c r="Q50" s="116">
        <f>P50</f>
        <v>30939.090053385724</v>
      </c>
      <c r="R50" s="116">
        <f t="shared" ref="R50:AL50" si="25">Q50</f>
        <v>30939.090053385724</v>
      </c>
      <c r="S50" s="116">
        <f t="shared" si="25"/>
        <v>30939.090053385724</v>
      </c>
      <c r="T50" s="116">
        <f t="shared" si="25"/>
        <v>30939.090053385724</v>
      </c>
      <c r="U50" s="116">
        <f t="shared" si="25"/>
        <v>30939.090053385724</v>
      </c>
      <c r="V50" s="116">
        <f t="shared" si="25"/>
        <v>30939.090053385724</v>
      </c>
      <c r="W50" s="116">
        <f t="shared" si="25"/>
        <v>30939.090053385724</v>
      </c>
      <c r="X50" s="116">
        <f t="shared" si="25"/>
        <v>30939.090053385724</v>
      </c>
      <c r="Y50" s="116">
        <f t="shared" si="25"/>
        <v>30939.090053385724</v>
      </c>
      <c r="Z50" s="116">
        <f t="shared" si="25"/>
        <v>30939.090053385724</v>
      </c>
      <c r="AA50" s="116">
        <f t="shared" si="25"/>
        <v>30939.090053385724</v>
      </c>
      <c r="AB50" s="116">
        <f t="shared" si="25"/>
        <v>30939.090053385724</v>
      </c>
      <c r="AC50" s="116">
        <f t="shared" si="25"/>
        <v>30939.090053385724</v>
      </c>
      <c r="AD50" s="116">
        <f t="shared" si="25"/>
        <v>30939.090053385724</v>
      </c>
      <c r="AE50" s="116">
        <f t="shared" si="25"/>
        <v>30939.090053385724</v>
      </c>
      <c r="AF50" s="116">
        <f t="shared" si="25"/>
        <v>30939.090053385724</v>
      </c>
      <c r="AG50" s="116">
        <f t="shared" si="25"/>
        <v>30939.090053385724</v>
      </c>
      <c r="AH50" s="116">
        <f t="shared" si="25"/>
        <v>30939.090053385724</v>
      </c>
      <c r="AI50" s="116">
        <f t="shared" si="25"/>
        <v>30939.090053385724</v>
      </c>
      <c r="AJ50" s="116">
        <f t="shared" si="25"/>
        <v>30939.090053385724</v>
      </c>
      <c r="AK50" s="116">
        <f t="shared" si="25"/>
        <v>30939.090053385724</v>
      </c>
      <c r="AL50" s="116">
        <f t="shared" si="25"/>
        <v>30939.090053385724</v>
      </c>
    </row>
    <row r="51" spans="4:39">
      <c r="D51" s="63" t="s">
        <v>395</v>
      </c>
      <c r="E51" s="16" t="s">
        <v>145</v>
      </c>
      <c r="J51" s="65"/>
      <c r="K51" s="116">
        <f>Inputs!E116*K49</f>
        <v>104220</v>
      </c>
      <c r="L51" s="116">
        <f>Inputs!F116*L49</f>
        <v>98410.665960000013</v>
      </c>
      <c r="M51" s="116">
        <f>Inputs!G116*M49</f>
        <v>102604.56006240002</v>
      </c>
      <c r="N51" s="116">
        <f>Inputs!H116*N49</f>
        <v>256801.50161971201</v>
      </c>
      <c r="O51" s="116">
        <f>Inputs!I116*O49</f>
        <v>278451.81048047153</v>
      </c>
      <c r="P51" s="116">
        <f>Inputs!J116*P49</f>
        <v>278451.81048047153</v>
      </c>
      <c r="Q51" s="116">
        <f t="shared" ref="Q51:AL51" si="26">P51</f>
        <v>278451.81048047153</v>
      </c>
      <c r="R51" s="116">
        <f t="shared" si="26"/>
        <v>278451.81048047153</v>
      </c>
      <c r="S51" s="116">
        <f t="shared" si="26"/>
        <v>278451.81048047153</v>
      </c>
      <c r="T51" s="116">
        <f t="shared" si="26"/>
        <v>278451.81048047153</v>
      </c>
      <c r="U51" s="116">
        <f t="shared" si="26"/>
        <v>278451.81048047153</v>
      </c>
      <c r="V51" s="116">
        <f t="shared" si="26"/>
        <v>278451.81048047153</v>
      </c>
      <c r="W51" s="116">
        <f t="shared" si="26"/>
        <v>278451.81048047153</v>
      </c>
      <c r="X51" s="116">
        <f t="shared" si="26"/>
        <v>278451.81048047153</v>
      </c>
      <c r="Y51" s="116">
        <f t="shared" si="26"/>
        <v>278451.81048047153</v>
      </c>
      <c r="Z51" s="116">
        <f t="shared" si="26"/>
        <v>278451.81048047153</v>
      </c>
      <c r="AA51" s="116">
        <f t="shared" si="26"/>
        <v>278451.81048047153</v>
      </c>
      <c r="AB51" s="116">
        <f t="shared" si="26"/>
        <v>278451.81048047153</v>
      </c>
      <c r="AC51" s="116">
        <f t="shared" si="26"/>
        <v>278451.81048047153</v>
      </c>
      <c r="AD51" s="116">
        <f t="shared" si="26"/>
        <v>278451.81048047153</v>
      </c>
      <c r="AE51" s="116">
        <f t="shared" si="26"/>
        <v>278451.81048047153</v>
      </c>
      <c r="AF51" s="116">
        <f t="shared" si="26"/>
        <v>278451.81048047153</v>
      </c>
      <c r="AG51" s="116">
        <f t="shared" si="26"/>
        <v>278451.81048047153</v>
      </c>
      <c r="AH51" s="116">
        <f t="shared" si="26"/>
        <v>278451.81048047153</v>
      </c>
      <c r="AI51" s="116">
        <f t="shared" si="26"/>
        <v>278451.81048047153</v>
      </c>
      <c r="AJ51" s="116">
        <f t="shared" si="26"/>
        <v>278451.81048047153</v>
      </c>
      <c r="AK51" s="116">
        <f t="shared" si="26"/>
        <v>278451.81048047153</v>
      </c>
      <c r="AL51" s="116">
        <f t="shared" si="26"/>
        <v>278451.81048047153</v>
      </c>
    </row>
    <row r="52" spans="4:39" ht="15">
      <c r="D52" s="4" t="s">
        <v>228</v>
      </c>
      <c r="E52" s="16" t="s">
        <v>145</v>
      </c>
      <c r="K52" s="116">
        <f>K26*Inputs!E113</f>
        <v>9650</v>
      </c>
      <c r="L52" s="116">
        <f>L26*Inputs!F113</f>
        <v>9112.0987000000005</v>
      </c>
      <c r="M52" s="116">
        <f>M26*Inputs!G113</f>
        <v>9500.4222280000013</v>
      </c>
      <c r="N52" s="116">
        <f>N26*Inputs!H113</f>
        <v>23777.916816640001</v>
      </c>
      <c r="O52" s="116">
        <f>O26*Inputs!I113</f>
        <v>25782.575044488105</v>
      </c>
      <c r="P52" s="116">
        <f>P26*Inputs!$J$113</f>
        <v>25782.575044488105</v>
      </c>
      <c r="Q52" s="116">
        <f>Q26*Inputs!$J$113</f>
        <v>30290.325044488105</v>
      </c>
      <c r="R52" s="116">
        <f>R26*Inputs!$J$113</f>
        <v>30290.325044488105</v>
      </c>
      <c r="S52" s="116">
        <f>S26*Inputs!$J$113</f>
        <v>36006.578209045067</v>
      </c>
      <c r="T52" s="116">
        <f>T26*Inputs!$J$113</f>
        <v>36006.578209045067</v>
      </c>
      <c r="U52" s="116">
        <f>U26*Inputs!$J$113</f>
        <v>36006.578209045067</v>
      </c>
      <c r="V52" s="116">
        <f>V26*Inputs!$J$113</f>
        <v>36006.578209045067</v>
      </c>
      <c r="W52" s="116">
        <f>W26*Inputs!$J$113</f>
        <v>36006.578209045067</v>
      </c>
      <c r="X52" s="116">
        <f>X26*Inputs!$J$113</f>
        <v>36006.578209045067</v>
      </c>
      <c r="Y52" s="116">
        <f>Y26*Inputs!$J$113</f>
        <v>36006.578209045067</v>
      </c>
      <c r="Z52" s="116">
        <f>Z26*Inputs!$J$113</f>
        <v>36006.578209045067</v>
      </c>
      <c r="AA52" s="116">
        <f>AA26*Inputs!$J$113</f>
        <v>36006.578209045067</v>
      </c>
      <c r="AB52" s="116">
        <f>AB26*Inputs!$J$113</f>
        <v>36006.578209045067</v>
      </c>
      <c r="AC52" s="116">
        <f>AC26*Inputs!$J$113</f>
        <v>36006.578209045067</v>
      </c>
      <c r="AD52" s="116">
        <f>AD26*Inputs!$J$113</f>
        <v>36006.578209045067</v>
      </c>
      <c r="AE52" s="116">
        <f>AE26*Inputs!$J$113</f>
        <v>36006.578209045067</v>
      </c>
      <c r="AF52" s="116">
        <f>AF26*Inputs!$J$113</f>
        <v>36006.578209045067</v>
      </c>
      <c r="AG52" s="116">
        <f>AG26*Inputs!$J$113</f>
        <v>36006.578209045067</v>
      </c>
      <c r="AH52" s="116">
        <f>AH26*Inputs!$J$113</f>
        <v>36006.578209045067</v>
      </c>
      <c r="AI52" s="116">
        <f>AI26*Inputs!$J$113</f>
        <v>36006.578209045067</v>
      </c>
      <c r="AJ52" s="116">
        <f>AJ26*Inputs!$J$113</f>
        <v>36006.578209045067</v>
      </c>
      <c r="AK52" s="116">
        <f>AK26*Inputs!$J$113</f>
        <v>36006.578209045067</v>
      </c>
      <c r="AL52" s="116">
        <f>AL26*Inputs!$J$113</f>
        <v>36006.578209045067</v>
      </c>
    </row>
    <row r="53" spans="4:39">
      <c r="N53" s="65"/>
    </row>
    <row r="54" spans="4:39" ht="24" thickBot="1">
      <c r="D54" s="57" t="s">
        <v>230</v>
      </c>
    </row>
    <row r="55" spans="4:39" ht="15">
      <c r="D55" s="4" t="s">
        <v>236</v>
      </c>
      <c r="E55" s="16" t="s">
        <v>145</v>
      </c>
      <c r="K55" s="117">
        <f>Inputs!E124*'Initiative 3 Model'!K26</f>
        <v>183350</v>
      </c>
      <c r="L55" s="117">
        <f>Inputs!F124*'Initiative 3 Model'!L26</f>
        <v>173129.87530000001</v>
      </c>
      <c r="M55" s="117">
        <f>Inputs!G124*'Initiative 3 Model'!M26</f>
        <v>180508.02233200002</v>
      </c>
      <c r="N55" s="117">
        <f>Inputs!H124*'Initiative 3 Model'!N26</f>
        <v>451780.41951615998</v>
      </c>
      <c r="O55" s="117">
        <f>Inputs!I124*'Initiative 3 Model'!O26</f>
        <v>489868.92584527395</v>
      </c>
      <c r="P55" s="117">
        <f>Inputs!$J$124*'Initiative 3 Model'!P26</f>
        <v>489868.92584527395</v>
      </c>
      <c r="Q55" s="117">
        <f>Inputs!$J$124*'Initiative 3 Model'!Q26</f>
        <v>575516.17584527389</v>
      </c>
      <c r="R55" s="117">
        <f>Inputs!$J$124*'Initiative 3 Model'!R26</f>
        <v>575516.17584527389</v>
      </c>
      <c r="S55" s="117">
        <f>Inputs!$J$124*'Initiative 3 Model'!S26</f>
        <v>684124.98597185616</v>
      </c>
      <c r="T55" s="117">
        <f>Inputs!$J$124*'Initiative 3 Model'!T26</f>
        <v>684124.98597185616</v>
      </c>
      <c r="U55" s="117">
        <f>Inputs!$J$124*'Initiative 3 Model'!U26</f>
        <v>684124.98597185616</v>
      </c>
      <c r="V55" s="117">
        <f>Inputs!$J$124*'Initiative 3 Model'!V26</f>
        <v>684124.98597185616</v>
      </c>
      <c r="W55" s="117">
        <f>Inputs!$J$124*'Initiative 3 Model'!W26</f>
        <v>684124.98597185616</v>
      </c>
      <c r="X55" s="117">
        <f>Inputs!$J$124*'Initiative 3 Model'!X26</f>
        <v>684124.98597185616</v>
      </c>
      <c r="Y55" s="117">
        <f>Inputs!$J$124*'Initiative 3 Model'!Y26</f>
        <v>684124.98597185616</v>
      </c>
      <c r="Z55" s="117">
        <f>Inputs!$J$124*'Initiative 3 Model'!Z26</f>
        <v>684124.98597185616</v>
      </c>
      <c r="AA55" s="117">
        <f>Inputs!$J$124*'Initiative 3 Model'!AA26</f>
        <v>684124.98597185616</v>
      </c>
      <c r="AB55" s="117">
        <f>Inputs!$J$124*'Initiative 3 Model'!AB26</f>
        <v>684124.98597185616</v>
      </c>
      <c r="AC55" s="117">
        <f>Inputs!$J$124*'Initiative 3 Model'!AC26</f>
        <v>684124.98597185616</v>
      </c>
      <c r="AD55" s="117">
        <f>Inputs!$J$124*'Initiative 3 Model'!AD26</f>
        <v>684124.98597185616</v>
      </c>
      <c r="AE55" s="117">
        <f>Inputs!$J$124*'Initiative 3 Model'!AE26</f>
        <v>684124.98597185616</v>
      </c>
      <c r="AF55" s="117">
        <f>Inputs!$J$124*'Initiative 3 Model'!AF26</f>
        <v>684124.98597185616</v>
      </c>
      <c r="AG55" s="117">
        <f>Inputs!$J$124*'Initiative 3 Model'!AG26</f>
        <v>684124.98597185616</v>
      </c>
      <c r="AH55" s="117">
        <f>Inputs!$J$124*'Initiative 3 Model'!AH26</f>
        <v>684124.98597185616</v>
      </c>
      <c r="AI55" s="117">
        <f>Inputs!$J$124*'Initiative 3 Model'!AI26</f>
        <v>684124.98597185616</v>
      </c>
      <c r="AJ55" s="117">
        <f>Inputs!$J$124*'Initiative 3 Model'!AJ26</f>
        <v>684124.98597185616</v>
      </c>
      <c r="AK55" s="117">
        <f>Inputs!$J$124*'Initiative 3 Model'!AK26</f>
        <v>684124.98597185616</v>
      </c>
      <c r="AL55" s="117">
        <f>Inputs!$J$124*'Initiative 3 Model'!AL26</f>
        <v>684124.98597185616</v>
      </c>
    </row>
    <row r="56" spans="4:39" ht="15">
      <c r="D56" s="4" t="s">
        <v>378</v>
      </c>
      <c r="E56" s="16" t="s">
        <v>145</v>
      </c>
      <c r="K56" s="65">
        <f>0.6*K55</f>
        <v>110010</v>
      </c>
      <c r="L56" s="65">
        <f t="shared" ref="L56:M56" si="27">0.6*L55</f>
        <v>103877.92518000001</v>
      </c>
      <c r="M56" s="65">
        <f t="shared" si="27"/>
        <v>108304.81339920001</v>
      </c>
      <c r="N56">
        <f>Inputs!H125</f>
        <v>260975</v>
      </c>
      <c r="O56">
        <f>Inputs!I125</f>
        <v>260975</v>
      </c>
      <c r="P56">
        <f>Inputs!J125</f>
        <v>260975</v>
      </c>
      <c r="Q56">
        <f>P56</f>
        <v>260975</v>
      </c>
      <c r="R56">
        <f t="shared" ref="R56:AL56" si="28">Q56</f>
        <v>260975</v>
      </c>
      <c r="S56">
        <f t="shared" si="28"/>
        <v>260975</v>
      </c>
      <c r="T56">
        <f t="shared" si="28"/>
        <v>260975</v>
      </c>
      <c r="U56">
        <f t="shared" si="28"/>
        <v>260975</v>
      </c>
      <c r="V56">
        <f t="shared" si="28"/>
        <v>260975</v>
      </c>
      <c r="W56">
        <f t="shared" si="28"/>
        <v>260975</v>
      </c>
      <c r="X56">
        <f t="shared" si="28"/>
        <v>260975</v>
      </c>
      <c r="Y56">
        <f t="shared" si="28"/>
        <v>260975</v>
      </c>
      <c r="Z56">
        <f t="shared" si="28"/>
        <v>260975</v>
      </c>
      <c r="AA56">
        <f t="shared" si="28"/>
        <v>260975</v>
      </c>
      <c r="AB56">
        <f t="shared" si="28"/>
        <v>260975</v>
      </c>
      <c r="AC56">
        <f t="shared" si="28"/>
        <v>260975</v>
      </c>
      <c r="AD56">
        <f t="shared" si="28"/>
        <v>260975</v>
      </c>
      <c r="AE56">
        <f t="shared" si="28"/>
        <v>260975</v>
      </c>
      <c r="AF56">
        <f t="shared" si="28"/>
        <v>260975</v>
      </c>
      <c r="AG56">
        <f t="shared" si="28"/>
        <v>260975</v>
      </c>
      <c r="AH56">
        <f t="shared" si="28"/>
        <v>260975</v>
      </c>
      <c r="AI56">
        <f t="shared" si="28"/>
        <v>260975</v>
      </c>
      <c r="AJ56">
        <f t="shared" si="28"/>
        <v>260975</v>
      </c>
      <c r="AK56">
        <f t="shared" si="28"/>
        <v>260975</v>
      </c>
      <c r="AL56">
        <f t="shared" si="28"/>
        <v>260975</v>
      </c>
    </row>
    <row r="57" spans="4:39" ht="15">
      <c r="D57" s="4" t="s">
        <v>154</v>
      </c>
      <c r="E57" s="16" t="s">
        <v>145</v>
      </c>
      <c r="K57" s="65"/>
      <c r="L57" s="65"/>
      <c r="M57" s="65"/>
      <c r="U57" s="139"/>
      <c r="V57" s="139"/>
      <c r="W57" s="139"/>
      <c r="X57" s="139"/>
      <c r="Y57" s="139"/>
      <c r="Z57" s="139"/>
      <c r="AA57" s="139"/>
      <c r="AB57" s="139"/>
      <c r="AC57" s="139"/>
      <c r="AD57" s="139"/>
      <c r="AE57" s="139"/>
      <c r="AF57" s="139"/>
      <c r="AG57" s="139"/>
      <c r="AH57" s="139"/>
      <c r="AI57" s="139"/>
      <c r="AJ57" s="139"/>
      <c r="AK57" s="139"/>
      <c r="AL57" s="139"/>
    </row>
    <row r="58" spans="4:39" ht="15">
      <c r="D58" s="4" t="s">
        <v>432</v>
      </c>
      <c r="E58" s="16" t="s">
        <v>145</v>
      </c>
      <c r="K58" s="65"/>
      <c r="L58" s="65"/>
      <c r="M58" s="65"/>
      <c r="U58" s="139"/>
      <c r="V58" s="139"/>
      <c r="W58" s="139"/>
      <c r="X58" s="139"/>
      <c r="Y58" s="139"/>
      <c r="Z58" s="139"/>
      <c r="AA58" s="139"/>
      <c r="AB58" s="139"/>
      <c r="AC58" s="139"/>
      <c r="AD58" s="139"/>
      <c r="AE58" s="139"/>
      <c r="AF58" s="139"/>
      <c r="AG58" s="139"/>
      <c r="AH58" s="139"/>
      <c r="AI58" s="139"/>
      <c r="AJ58" s="139"/>
      <c r="AK58" s="139"/>
      <c r="AL58" s="139"/>
    </row>
    <row r="59" spans="4:39" ht="15">
      <c r="D59" s="67" t="s">
        <v>379</v>
      </c>
      <c r="E59" s="16" t="s">
        <v>145</v>
      </c>
      <c r="K59" s="116">
        <f>K55-K56-K57</f>
        <v>73340</v>
      </c>
      <c r="L59" s="116">
        <f t="shared" ref="L59:AA59" si="29">L55-L56-L57</f>
        <v>69251.950120000009</v>
      </c>
      <c r="M59" s="116">
        <f t="shared" si="29"/>
        <v>72203.208932800015</v>
      </c>
      <c r="N59" s="116">
        <f t="shared" si="29"/>
        <v>190805.41951615998</v>
      </c>
      <c r="O59" s="116">
        <f t="shared" si="29"/>
        <v>228893.92584527395</v>
      </c>
      <c r="P59" s="116">
        <f t="shared" si="29"/>
        <v>228893.92584527395</v>
      </c>
      <c r="Q59" s="116">
        <f t="shared" si="29"/>
        <v>314541.17584527389</v>
      </c>
      <c r="R59" s="116">
        <f t="shared" si="29"/>
        <v>314541.17584527389</v>
      </c>
      <c r="S59" s="116">
        <f t="shared" si="29"/>
        <v>423149.98597185616</v>
      </c>
      <c r="T59" s="116">
        <f t="shared" si="29"/>
        <v>423149.98597185616</v>
      </c>
      <c r="U59" s="116">
        <f t="shared" si="29"/>
        <v>423149.98597185616</v>
      </c>
      <c r="V59" s="116">
        <f t="shared" si="29"/>
        <v>423149.98597185616</v>
      </c>
      <c r="W59" s="116">
        <f t="shared" si="29"/>
        <v>423149.98597185616</v>
      </c>
      <c r="X59" s="116">
        <f t="shared" si="29"/>
        <v>423149.98597185616</v>
      </c>
      <c r="Y59" s="116">
        <f t="shared" si="29"/>
        <v>423149.98597185616</v>
      </c>
      <c r="Z59" s="116">
        <f t="shared" si="29"/>
        <v>423149.98597185616</v>
      </c>
      <c r="AA59" s="116">
        <f t="shared" si="29"/>
        <v>423149.98597185616</v>
      </c>
      <c r="AB59" s="116">
        <f>AB55-AB56-AB57+AB58</f>
        <v>423149.98597185616</v>
      </c>
      <c r="AC59" s="116">
        <f t="shared" ref="AC59:AL59" si="30">AC55-AC56-AC57+AC58</f>
        <v>423149.98597185616</v>
      </c>
      <c r="AD59" s="116">
        <f t="shared" si="30"/>
        <v>423149.98597185616</v>
      </c>
      <c r="AE59" s="116">
        <f t="shared" si="30"/>
        <v>423149.98597185616</v>
      </c>
      <c r="AF59" s="116">
        <f t="shared" si="30"/>
        <v>423149.98597185616</v>
      </c>
      <c r="AG59" s="116">
        <f t="shared" si="30"/>
        <v>423149.98597185616</v>
      </c>
      <c r="AH59" s="116">
        <f t="shared" si="30"/>
        <v>423149.98597185616</v>
      </c>
      <c r="AI59" s="116">
        <f t="shared" si="30"/>
        <v>423149.98597185616</v>
      </c>
      <c r="AJ59" s="116">
        <f t="shared" si="30"/>
        <v>423149.98597185616</v>
      </c>
      <c r="AK59" s="116">
        <f t="shared" si="30"/>
        <v>423149.98597185616</v>
      </c>
      <c r="AL59" s="116">
        <f t="shared" si="30"/>
        <v>423149.98597185616</v>
      </c>
      <c r="AM59" s="65">
        <f>SUM(M59:AL59)/1000</f>
        <v>9812.8785512671784</v>
      </c>
    </row>
    <row r="60" spans="4:39" ht="15">
      <c r="D60" s="67"/>
      <c r="E60" s="16"/>
    </row>
    <row r="64" spans="4:39" ht="24" thickBot="1">
      <c r="D64" s="57" t="s">
        <v>109</v>
      </c>
    </row>
    <row r="65" spans="4:41">
      <c r="D65" t="s">
        <v>173</v>
      </c>
      <c r="E65" s="16" t="s">
        <v>213</v>
      </c>
      <c r="K65" s="116">
        <f>Inputs!E34*(1+(Inputs!E29/100))</f>
        <v>3204114.6302</v>
      </c>
      <c r="L65" s="116">
        <f>K65*(1+(Inputs!$E$29/100))</f>
        <v>3204114.6302</v>
      </c>
      <c r="M65" s="116">
        <f>L65*(1+(Inputs!$E$29/100))</f>
        <v>3204114.6302</v>
      </c>
      <c r="N65" s="116">
        <f>M65*(1+(Inputs!$E$29/100))</f>
        <v>3204114.6302</v>
      </c>
      <c r="O65" s="116">
        <f>N65*(1+(Inputs!$E$29/100))</f>
        <v>3204114.6302</v>
      </c>
      <c r="P65" s="116">
        <f>O65*(1+(Inputs!$E$29/100))</f>
        <v>3204114.6302</v>
      </c>
      <c r="Q65" s="116">
        <f>P65*(1+(Inputs!$E$29/100))</f>
        <v>3204114.6302</v>
      </c>
      <c r="R65" s="116">
        <f>Q65*(1+(Inputs!$E$29/100))</f>
        <v>3204114.6302</v>
      </c>
      <c r="S65" s="116">
        <f>R65*(1+(Inputs!$E$29/100))</f>
        <v>3204114.6302</v>
      </c>
      <c r="T65" s="116">
        <f>S65*(1+(Inputs!$E$29/100))</f>
        <v>3204114.6302</v>
      </c>
      <c r="U65" s="116">
        <f>T65*(1+(Inputs!$E$29/100))</f>
        <v>3204114.6302</v>
      </c>
      <c r="V65" s="116">
        <f>U65*(1+(Inputs!$E$29/100))</f>
        <v>3204114.6302</v>
      </c>
      <c r="W65" s="130">
        <f>V65*(1+(Inputs!$E$29/100))</f>
        <v>3204114.6302</v>
      </c>
      <c r="X65" s="116">
        <f>W65*(1+(Inputs!$E$29/100))</f>
        <v>3204114.6302</v>
      </c>
      <c r="Y65" s="116">
        <f>X65*(1+(Inputs!$E$29/100))</f>
        <v>3204114.6302</v>
      </c>
      <c r="Z65" s="116">
        <f>Y65*(1+(Inputs!$E$29/100))</f>
        <v>3204114.6302</v>
      </c>
      <c r="AA65" s="116">
        <v>6179091.8866104605</v>
      </c>
      <c r="AB65" s="130">
        <v>6179091.8866104605</v>
      </c>
      <c r="AC65" s="116">
        <v>6179091.8866104605</v>
      </c>
      <c r="AD65" s="116">
        <v>6179091.8866104605</v>
      </c>
      <c r="AE65" s="116">
        <v>6179091.8866104605</v>
      </c>
      <c r="AF65" s="116">
        <v>6179091.8866104605</v>
      </c>
      <c r="AG65" s="116">
        <v>6179091.8866104605</v>
      </c>
      <c r="AH65" s="116">
        <v>6179091.8866104605</v>
      </c>
      <c r="AI65" s="116">
        <v>6179091.8866104605</v>
      </c>
      <c r="AJ65" s="116">
        <v>6179091.8866104605</v>
      </c>
      <c r="AK65" s="116">
        <v>6179091.8866104605</v>
      </c>
      <c r="AL65" s="116">
        <v>6179091.8866104605</v>
      </c>
      <c r="AM65" s="116"/>
      <c r="AN65" s="116"/>
      <c r="AO65" s="116"/>
    </row>
    <row r="66" spans="4:41">
      <c r="D66" s="7" t="s">
        <v>375</v>
      </c>
      <c r="E66" s="16" t="s">
        <v>213</v>
      </c>
      <c r="K66" s="116">
        <f>K65-Inputs!F34</f>
        <v>188489.63020000001</v>
      </c>
      <c r="L66" s="116">
        <f>L65-Inputs!G34</f>
        <v>62011.630200000014</v>
      </c>
      <c r="M66" s="116">
        <f>M65-Inputs!H34</f>
        <v>450369.0568666663</v>
      </c>
      <c r="N66" s="116"/>
      <c r="O66" s="116"/>
      <c r="P66" s="116"/>
      <c r="Q66" s="116"/>
      <c r="R66" s="116"/>
      <c r="S66" s="116"/>
      <c r="T66" s="116"/>
      <c r="U66" s="116"/>
      <c r="V66" s="116"/>
      <c r="W66" s="116"/>
      <c r="X66" s="116"/>
      <c r="Y66" s="116"/>
      <c r="Z66" s="116"/>
      <c r="AA66" s="116"/>
    </row>
    <row r="67" spans="4:41">
      <c r="D67" s="23" t="s">
        <v>217</v>
      </c>
      <c r="E67" s="16" t="s">
        <v>213</v>
      </c>
      <c r="K67" s="117">
        <f>Inputs!F35*Inputs!F34</f>
        <v>2322031.25</v>
      </c>
      <c r="L67" s="117">
        <f>Inputs!G35*Inputs!G34</f>
        <v>2639366.52</v>
      </c>
      <c r="M67" s="117">
        <f>Inputs!H35*Inputs!H34</f>
        <v>2092846.6357333336</v>
      </c>
      <c r="N67" s="117">
        <f>Inputs!I35*N65</f>
        <v>2242880.2411400001</v>
      </c>
      <c r="O67" s="117">
        <f>Inputs!J35*O65</f>
        <v>1922468.7781199999</v>
      </c>
      <c r="P67" s="117">
        <f>Inputs!$K$35*P65</f>
        <v>1281645.8520800001</v>
      </c>
      <c r="Q67" s="117">
        <f>Inputs!$K$35*Q65</f>
        <v>1281645.8520800001</v>
      </c>
      <c r="R67" s="117">
        <f>Inputs!$K$35*R65</f>
        <v>1281645.8520800001</v>
      </c>
      <c r="S67" s="117">
        <f>Inputs!$K$35*S65</f>
        <v>1281645.8520800001</v>
      </c>
      <c r="T67" s="117">
        <f>Inputs!$K$35*T65</f>
        <v>1281645.8520800001</v>
      </c>
      <c r="U67" s="117">
        <f>Inputs!$K$35*U65</f>
        <v>1281645.8520800001</v>
      </c>
      <c r="V67" s="117">
        <f>Inputs!$K$35*V65</f>
        <v>1281645.8520800001</v>
      </c>
      <c r="W67" s="117">
        <f>Inputs!$K$35*W65</f>
        <v>1281645.8520800001</v>
      </c>
      <c r="X67" s="117">
        <f>Inputs!$K$35*X65</f>
        <v>1281645.8520800001</v>
      </c>
      <c r="Y67" s="117">
        <f>Inputs!$K$35*Y65</f>
        <v>1281645.8520800001</v>
      </c>
      <c r="Z67" s="117">
        <f>Inputs!$K$35*Z65</f>
        <v>1281645.8520800001</v>
      </c>
      <c r="AA67" s="117">
        <f>Inputs!$K$35*AA65</f>
        <v>2471636.7546441844</v>
      </c>
      <c r="AB67" s="117">
        <f>Inputs!$K$35*AB65</f>
        <v>2471636.7546441844</v>
      </c>
      <c r="AC67" s="117">
        <f>Inputs!$K$35*AC65</f>
        <v>2471636.7546441844</v>
      </c>
      <c r="AD67" s="117">
        <f>Inputs!$K$35*AD65</f>
        <v>2471636.7546441844</v>
      </c>
      <c r="AE67" s="117">
        <f>Inputs!$K$35*AE65</f>
        <v>2471636.7546441844</v>
      </c>
      <c r="AF67" s="117">
        <f>Inputs!$K$35*AF65</f>
        <v>2471636.7546441844</v>
      </c>
      <c r="AG67" s="117">
        <f>Inputs!$K$35*AG65</f>
        <v>2471636.7546441844</v>
      </c>
      <c r="AH67" s="117">
        <f>Inputs!$K$35*AH65</f>
        <v>2471636.7546441844</v>
      </c>
      <c r="AI67" s="117">
        <f>Inputs!$K$35*AI65</f>
        <v>2471636.7546441844</v>
      </c>
      <c r="AJ67" s="117">
        <f>Inputs!$K$35*AJ65</f>
        <v>2471636.7546441844</v>
      </c>
      <c r="AK67" s="117">
        <f>Inputs!$K$35*AK65</f>
        <v>2471636.7546441844</v>
      </c>
      <c r="AL67" s="117">
        <f>Inputs!$K$35*AL65</f>
        <v>2471636.7546441844</v>
      </c>
    </row>
    <row r="68" spans="4:41">
      <c r="D68" s="7" t="s">
        <v>218</v>
      </c>
      <c r="E68" s="16" t="s">
        <v>213</v>
      </c>
      <c r="K68" s="117">
        <f>Inputs!F36*Inputs!F34</f>
        <v>693593.75</v>
      </c>
      <c r="L68" s="117">
        <f>Inputs!G36*Inputs!G34</f>
        <v>502736.48</v>
      </c>
      <c r="M68" s="117">
        <f>Inputs!H36*Inputs!H34</f>
        <v>660898.93760000006</v>
      </c>
      <c r="N68" s="117">
        <f>Inputs!I36*N65</f>
        <v>961234.38905999996</v>
      </c>
      <c r="O68" s="117">
        <f>Inputs!J36*O65</f>
        <v>1281645.8520800001</v>
      </c>
      <c r="P68" s="117">
        <f>Inputs!$K$36*P65</f>
        <v>1922468.7781199999</v>
      </c>
      <c r="Q68" s="117">
        <f>Inputs!$K$36*Q65</f>
        <v>1922468.7781199999</v>
      </c>
      <c r="R68" s="117">
        <f>Inputs!$K$36*R65</f>
        <v>1922468.7781199999</v>
      </c>
      <c r="S68" s="117">
        <f>Inputs!$K$36*S65</f>
        <v>1922468.7781199999</v>
      </c>
      <c r="T68" s="117">
        <f>Inputs!$K$36*T65</f>
        <v>1922468.7781199999</v>
      </c>
      <c r="U68" s="117">
        <f>Inputs!$K$36*U65</f>
        <v>1922468.7781199999</v>
      </c>
      <c r="V68" s="117">
        <f>Inputs!$K$36*V65</f>
        <v>1922468.7781199999</v>
      </c>
      <c r="W68" s="117">
        <f>Inputs!$K$36*W65</f>
        <v>1922468.7781199999</v>
      </c>
      <c r="X68" s="117">
        <f>Inputs!$K$36*X65</f>
        <v>1922468.7781199999</v>
      </c>
      <c r="Y68" s="117">
        <f>Inputs!$K$36*Y65</f>
        <v>1922468.7781199999</v>
      </c>
      <c r="Z68" s="117">
        <f>Inputs!$K$36*Z65</f>
        <v>1922468.7781199999</v>
      </c>
      <c r="AA68" s="117">
        <f>Inputs!$K$36*AA65</f>
        <v>3707455.1319662761</v>
      </c>
      <c r="AB68" s="117">
        <f>Inputs!$K$36*AB65</f>
        <v>3707455.1319662761</v>
      </c>
      <c r="AC68" s="117">
        <f>Inputs!$K$36*AC65</f>
        <v>3707455.1319662761</v>
      </c>
      <c r="AD68" s="117">
        <f>Inputs!$K$36*AD65</f>
        <v>3707455.1319662761</v>
      </c>
      <c r="AE68" s="117">
        <f>Inputs!$K$36*AE65</f>
        <v>3707455.1319662761</v>
      </c>
      <c r="AF68" s="117">
        <f>Inputs!$K$36*AF65</f>
        <v>3707455.1319662761</v>
      </c>
      <c r="AG68" s="117">
        <f>Inputs!$K$36*AG65</f>
        <v>3707455.1319662761</v>
      </c>
      <c r="AH68" s="117">
        <f>Inputs!$K$36*AH65</f>
        <v>3707455.1319662761</v>
      </c>
      <c r="AI68" s="117">
        <f>Inputs!$K$36*AI65</f>
        <v>3707455.1319662761</v>
      </c>
      <c r="AJ68" s="117">
        <f>Inputs!$K$36*AJ65</f>
        <v>3707455.1319662761</v>
      </c>
      <c r="AK68" s="117">
        <f>Inputs!$K$36*AK65</f>
        <v>3707455.1319662761</v>
      </c>
      <c r="AL68" s="117">
        <f>Inputs!$K$36*AL65</f>
        <v>3707455.1319662761</v>
      </c>
    </row>
    <row r="70" spans="4:41" ht="24" thickBot="1">
      <c r="D70" s="57" t="s">
        <v>400</v>
      </c>
    </row>
    <row r="71" spans="4:41">
      <c r="D71" s="7" t="s">
        <v>116</v>
      </c>
      <c r="E71" s="16" t="s">
        <v>118</v>
      </c>
      <c r="K71" s="105">
        <f>Inputs!E42</f>
        <v>27.73</v>
      </c>
      <c r="L71" s="105">
        <f>Inputs!F42</f>
        <v>29.5</v>
      </c>
      <c r="M71" s="105">
        <f>Inputs!G42</f>
        <v>30.24</v>
      </c>
      <c r="N71" s="105">
        <f>Inputs!H42</f>
        <v>32.06</v>
      </c>
      <c r="O71" s="105">
        <f>(1+Inputs!I47)*'Initiative 3 Model'!N71</f>
        <v>33.983600000000003</v>
      </c>
      <c r="P71" s="105">
        <f>(1+Inputs!$J$47)*'Initiative 3 Model'!O71</f>
        <v>36.022616000000006</v>
      </c>
      <c r="Q71" s="105">
        <f>(1+Inputs!$J$47)*'Initiative 3 Model'!P71</f>
        <v>38.183972960000006</v>
      </c>
      <c r="R71" s="105">
        <f>(1+Inputs!$J$47)*'Initiative 3 Model'!Q71</f>
        <v>40.475011337600009</v>
      </c>
      <c r="S71" s="105">
        <f>(1+Inputs!$J$47)*'Initiative 3 Model'!R71</f>
        <v>42.903512017856009</v>
      </c>
      <c r="T71" s="105">
        <f>(1+Inputs!$J$47)*'Initiative 3 Model'!S71</f>
        <v>45.477722738927369</v>
      </c>
      <c r="U71" s="105">
        <f>(1+Inputs!$J$47)*'Initiative 3 Model'!T71</f>
        <v>48.206386103263014</v>
      </c>
      <c r="V71" s="105">
        <f>(1+Inputs!$J$47)*'Initiative 3 Model'!U71</f>
        <v>51.098769269458799</v>
      </c>
      <c r="W71" s="105">
        <f>(1+Inputs!$J$47)*'Initiative 3 Model'!V71</f>
        <v>54.164695425626327</v>
      </c>
      <c r="X71" s="105">
        <f>(1+Inputs!$J$47)*'Initiative 3 Model'!W71</f>
        <v>57.414577151163911</v>
      </c>
      <c r="Y71" s="105">
        <f>(1+Inputs!$J$47)*'Initiative 3 Model'!X71</f>
        <v>60.859451780233748</v>
      </c>
      <c r="Z71" s="105">
        <f>(1+Inputs!$J$47)*'Initiative 3 Model'!Y71</f>
        <v>64.511018887047783</v>
      </c>
      <c r="AA71" s="105">
        <f>(1+Inputs!$J$47)*'Initiative 3 Model'!Z71</f>
        <v>68.38168002027065</v>
      </c>
      <c r="AB71" s="105">
        <f>(1+Inputs!$J$47)*'Initiative 3 Model'!AA71</f>
        <v>72.484580821486887</v>
      </c>
      <c r="AC71" s="105">
        <f>(1+Inputs!$J$47)*'Initiative 3 Model'!AB71</f>
        <v>76.83365567077611</v>
      </c>
      <c r="AD71" s="105">
        <f>(1+Inputs!$J$47)*'Initiative 3 Model'!AC71</f>
        <v>81.443675011022677</v>
      </c>
      <c r="AE71" s="105">
        <f>(1+Inputs!$J$47)*'Initiative 3 Model'!AD71</f>
        <v>86.330295511684042</v>
      </c>
      <c r="AF71" s="105">
        <f>(1+Inputs!$J$47)*'Initiative 3 Model'!AE71</f>
        <v>91.510113242385088</v>
      </c>
      <c r="AG71" s="105">
        <f>(1+Inputs!$J$47)*'Initiative 3 Model'!AF71</f>
        <v>97.0007200369282</v>
      </c>
      <c r="AH71" s="105">
        <f>(1+Inputs!$J$47)*'Initiative 3 Model'!AG71</f>
        <v>102.8207632391439</v>
      </c>
      <c r="AI71" s="105">
        <f>(1+Inputs!$J$47)*'Initiative 3 Model'!AH71</f>
        <v>108.99000903349254</v>
      </c>
      <c r="AJ71" s="105">
        <f>(1+Inputs!$J$47)*'Initiative 3 Model'!AI71</f>
        <v>115.5294095755021</v>
      </c>
      <c r="AK71" s="105">
        <f>(1+Inputs!$J$47)*'Initiative 3 Model'!AJ71</f>
        <v>122.46117415003224</v>
      </c>
      <c r="AL71" s="105">
        <f>(1+Inputs!$J$47)*'Initiative 3 Model'!AK71</f>
        <v>129.80884459903419</v>
      </c>
    </row>
    <row r="72" spans="4:41">
      <c r="D72" s="7" t="s">
        <v>238</v>
      </c>
      <c r="E72" s="16" t="s">
        <v>118</v>
      </c>
      <c r="K72" s="105">
        <f>Inputs!E44</f>
        <v>20.47</v>
      </c>
      <c r="L72" s="105">
        <f>Inputs!F44</f>
        <v>21.78</v>
      </c>
      <c r="M72" s="105">
        <f>Inputs!G44</f>
        <v>23.09</v>
      </c>
      <c r="N72" s="105">
        <f>Inputs!H44</f>
        <v>24.475000000000001</v>
      </c>
      <c r="O72" s="105">
        <f>(1+Inputs!I47)*'Initiative 3 Model'!N72</f>
        <v>25.943500000000004</v>
      </c>
      <c r="P72" s="105">
        <f>(1+Inputs!$J$47)*'Initiative 3 Model'!O72</f>
        <v>27.500110000000006</v>
      </c>
      <c r="Q72" s="105">
        <f>(1+Inputs!$J$47)*'Initiative 3 Model'!P72</f>
        <v>29.150116600000008</v>
      </c>
      <c r="R72" s="105">
        <f>(1+Inputs!$J$47)*'Initiative 3 Model'!Q72</f>
        <v>30.89912359600001</v>
      </c>
      <c r="S72" s="105">
        <f>(1+Inputs!$J$47)*'Initiative 3 Model'!R72</f>
        <v>32.753071011760014</v>
      </c>
      <c r="T72" s="105">
        <f>(1+Inputs!$J$47)*'Initiative 3 Model'!S72</f>
        <v>34.718255272465619</v>
      </c>
      <c r="U72" s="105">
        <f>(1+Inputs!$J$47)*'Initiative 3 Model'!T72</f>
        <v>36.801350588813555</v>
      </c>
      <c r="V72" s="105">
        <f>(1+Inputs!$J$47)*'Initiative 3 Model'!U72</f>
        <v>39.009431624142373</v>
      </c>
      <c r="W72" s="105">
        <f>(1+Inputs!$J$47)*'Initiative 3 Model'!V72</f>
        <v>41.349997521590915</v>
      </c>
      <c r="X72" s="105">
        <f>(1+Inputs!$J$47)*'Initiative 3 Model'!W72</f>
        <v>43.830997372886372</v>
      </c>
      <c r="Y72" s="105">
        <f>(1+Inputs!$J$47)*'Initiative 3 Model'!X72</f>
        <v>46.460857215259558</v>
      </c>
      <c r="Z72" s="105">
        <f>(1+Inputs!$J$47)*'Initiative 3 Model'!Y72</f>
        <v>49.248508648175132</v>
      </c>
      <c r="AA72" s="105">
        <f>(1+Inputs!$J$47)*'Initiative 3 Model'!Z72</f>
        <v>52.20341916706564</v>
      </c>
      <c r="AB72" s="105">
        <f>(1+Inputs!$J$47)*'Initiative 3 Model'!AA72</f>
        <v>55.335624317089582</v>
      </c>
      <c r="AC72" s="105">
        <f>(1+Inputs!$J$47)*'Initiative 3 Model'!AB72</f>
        <v>58.655761776114957</v>
      </c>
      <c r="AD72" s="105">
        <f>(1+Inputs!$J$47)*'Initiative 3 Model'!AC72</f>
        <v>62.175107482681859</v>
      </c>
      <c r="AE72" s="105">
        <f>(1+Inputs!$J$47)*'Initiative 3 Model'!AD72</f>
        <v>65.905613931642776</v>
      </c>
      <c r="AF72" s="105">
        <f>(1+Inputs!$J$47)*'Initiative 3 Model'!AE72</f>
        <v>69.859950767541349</v>
      </c>
      <c r="AG72" s="105">
        <f>(1+Inputs!$J$47)*'Initiative 3 Model'!AF72</f>
        <v>74.051547813593828</v>
      </c>
      <c r="AH72" s="105">
        <f>(1+Inputs!$J$47)*'Initiative 3 Model'!AG72</f>
        <v>78.494640682409468</v>
      </c>
      <c r="AI72" s="105">
        <f>(1+Inputs!$J$47)*'Initiative 3 Model'!AH72</f>
        <v>83.20431912335404</v>
      </c>
      <c r="AJ72" s="105">
        <f>(1+Inputs!$J$47)*'Initiative 3 Model'!AI72</f>
        <v>88.196578270755282</v>
      </c>
      <c r="AK72" s="105">
        <f>(1+Inputs!$J$47)*'Initiative 3 Model'!AJ72</f>
        <v>93.488372967000601</v>
      </c>
      <c r="AL72" s="105">
        <f>(1+Inputs!$J$47)*'Initiative 3 Model'!AK72</f>
        <v>99.097675345020647</v>
      </c>
    </row>
    <row r="73" spans="4:41">
      <c r="D73" s="7" t="s">
        <v>239</v>
      </c>
      <c r="E73" s="16" t="s">
        <v>118</v>
      </c>
      <c r="K73" s="105">
        <f>Inputs!E45</f>
        <v>3.29</v>
      </c>
      <c r="L73" s="105">
        <f>Inputs!F45</f>
        <v>3.5</v>
      </c>
      <c r="M73" s="105">
        <f>Inputs!G45</f>
        <v>3.73</v>
      </c>
      <c r="N73" s="105">
        <f>Inputs!H45</f>
        <v>3.95</v>
      </c>
      <c r="O73" s="105">
        <f>(1+Inputs!I47)*'Initiative 3 Model'!N73</f>
        <v>4.1870000000000003</v>
      </c>
      <c r="P73" s="105">
        <f>(1+Inputs!$J$47)*'Initiative 3 Model'!O73</f>
        <v>4.4382200000000003</v>
      </c>
      <c r="Q73" s="105">
        <f>(1+Inputs!$J$47)*'Initiative 3 Model'!P73</f>
        <v>4.7045132000000009</v>
      </c>
      <c r="R73" s="105">
        <f>(1+Inputs!$J$47)*'Initiative 3 Model'!Q73</f>
        <v>4.9867839920000012</v>
      </c>
      <c r="S73" s="105">
        <f>(1+Inputs!$J$47)*'Initiative 3 Model'!R73</f>
        <v>5.2859910315200018</v>
      </c>
      <c r="T73" s="105">
        <f>(1+Inputs!$J$47)*'Initiative 3 Model'!S73</f>
        <v>5.603150493411202</v>
      </c>
      <c r="U73" s="105">
        <f>(1+Inputs!$J$47)*'Initiative 3 Model'!T73</f>
        <v>5.9393395230158745</v>
      </c>
      <c r="V73" s="105">
        <f>(1+Inputs!$J$47)*'Initiative 3 Model'!U73</f>
        <v>6.2956998943968276</v>
      </c>
      <c r="W73" s="105">
        <f>(1+Inputs!$J$47)*'Initiative 3 Model'!V73</f>
        <v>6.6734418880606379</v>
      </c>
      <c r="X73" s="105">
        <f>(1+Inputs!$J$47)*'Initiative 3 Model'!W73</f>
        <v>7.0738484013442768</v>
      </c>
      <c r="Y73" s="105">
        <f>(1+Inputs!$J$47)*'Initiative 3 Model'!X73</f>
        <v>7.4982793054249335</v>
      </c>
      <c r="Z73" s="105">
        <f>(1+Inputs!$J$47)*'Initiative 3 Model'!Y73</f>
        <v>7.94817606375043</v>
      </c>
      <c r="AA73" s="105">
        <f>(1+Inputs!$J$47)*'Initiative 3 Model'!Z73</f>
        <v>8.4250666275754558</v>
      </c>
      <c r="AB73" s="105">
        <f>(1+Inputs!$J$47)*'Initiative 3 Model'!AA73</f>
        <v>8.9305706252299828</v>
      </c>
      <c r="AC73" s="105">
        <f>(1+Inputs!$J$47)*'Initiative 3 Model'!AB73</f>
        <v>9.4664048627437829</v>
      </c>
      <c r="AD73" s="105">
        <f>(1+Inputs!$J$47)*'Initiative 3 Model'!AC73</f>
        <v>10.034389154508411</v>
      </c>
      <c r="AE73" s="105">
        <f>(1+Inputs!$J$47)*'Initiative 3 Model'!AD73</f>
        <v>10.636452503778916</v>
      </c>
      <c r="AF73" s="105">
        <f>(1+Inputs!$J$47)*'Initiative 3 Model'!AE73</f>
        <v>11.274639654005652</v>
      </c>
      <c r="AG73" s="105">
        <f>(1+Inputs!$J$47)*'Initiative 3 Model'!AF73</f>
        <v>11.951118033245992</v>
      </c>
      <c r="AH73" s="105">
        <f>(1+Inputs!$J$47)*'Initiative 3 Model'!AG73</f>
        <v>12.668185115240751</v>
      </c>
      <c r="AI73" s="105">
        <f>(1+Inputs!$J$47)*'Initiative 3 Model'!AH73</f>
        <v>13.428276222155198</v>
      </c>
      <c r="AJ73" s="105">
        <f>(1+Inputs!$J$47)*'Initiative 3 Model'!AI73</f>
        <v>14.23397279548451</v>
      </c>
      <c r="AK73" s="105">
        <f>(1+Inputs!$J$47)*'Initiative 3 Model'!AJ73</f>
        <v>15.088011163213581</v>
      </c>
      <c r="AL73" s="105">
        <f>(1+Inputs!$J$47)*'Initiative 3 Model'!AK73</f>
        <v>15.993291833006397</v>
      </c>
    </row>
    <row r="74" spans="4:41">
      <c r="D74" s="7" t="s">
        <v>120</v>
      </c>
      <c r="E74" s="16" t="s">
        <v>118</v>
      </c>
      <c r="K74" s="105">
        <f>Inputs!E52</f>
        <v>7.23</v>
      </c>
      <c r="L74" s="105">
        <f>Inputs!F52</f>
        <v>7.9067280000000002</v>
      </c>
      <c r="M74" s="105">
        <f>Inputs!G52</f>
        <v>8.6467977408000003</v>
      </c>
      <c r="N74" s="105">
        <f>Inputs!H52</f>
        <v>14.73</v>
      </c>
      <c r="O74" s="105">
        <f>Inputs!I52</f>
        <v>16.108727999999999</v>
      </c>
      <c r="P74" s="105">
        <f>Inputs!J52</f>
        <v>17.616504940799999</v>
      </c>
      <c r="Q74" s="105">
        <f>P74*(1+Inputs!$J$61)</f>
        <v>19.265409803258876</v>
      </c>
      <c r="R74" s="105">
        <f>Q74*(1+Inputs!$J$61)</f>
        <v>21.068652160843904</v>
      </c>
      <c r="S74" s="105">
        <f>R74*(1+Inputs!$J$61)</f>
        <v>23.04067800309889</v>
      </c>
      <c r="T74" s="105">
        <f>S74*(1+Inputs!$J$61)</f>
        <v>25.197285464188944</v>
      </c>
      <c r="U74" s="105">
        <f>T74*(1+Inputs!$J$61)</f>
        <v>27.555751383637027</v>
      </c>
      <c r="V74" s="105">
        <f>U74*(1+Inputs!$J$61)</f>
        <v>30.134969713145448</v>
      </c>
      <c r="W74" s="105">
        <f>V74*(1+Inputs!$J$61)</f>
        <v>32.955602878295856</v>
      </c>
      <c r="X74" s="105">
        <f>W74*(1+Inputs!$J$61)</f>
        <v>36.040247307704348</v>
      </c>
      <c r="Y74" s="105">
        <f>X74*(1+Inputs!$J$61)</f>
        <v>39.413614455705471</v>
      </c>
      <c r="Z74" s="105">
        <f>Y74*(1+Inputs!$J$61)</f>
        <v>43.102728768759498</v>
      </c>
      <c r="AA74" s="105">
        <f>Z74*(1+Inputs!$J$61)</f>
        <v>47.137144181515382</v>
      </c>
      <c r="AB74" s="105">
        <f>AA74*(1+Inputs!$J$61)</f>
        <v>51.549180876905218</v>
      </c>
      <c r="AC74" s="105">
        <f>AB74*(1+Inputs!$J$61)</f>
        <v>56.374184206983543</v>
      </c>
      <c r="AD74" s="105">
        <f>AC74*(1+Inputs!$J$61)</f>
        <v>61.650807848757196</v>
      </c>
      <c r="AE74" s="105">
        <f>AD74*(1+Inputs!$J$61)</f>
        <v>67.421323463400867</v>
      </c>
      <c r="AF74" s="105">
        <f>AE74*(1+Inputs!$J$61)</f>
        <v>73.731959339575184</v>
      </c>
      <c r="AG74" s="105">
        <f>AF74*(1+Inputs!$J$61)</f>
        <v>80.633270733759417</v>
      </c>
      <c r="AH74" s="105">
        <f>AG74*(1+Inputs!$J$61)</f>
        <v>88.180544874439292</v>
      </c>
      <c r="AI74" s="105">
        <f>AH74*(1+Inputs!$J$61)</f>
        <v>96.4342438746868</v>
      </c>
      <c r="AJ74" s="105">
        <f>AI74*(1+Inputs!$J$61)</f>
        <v>105.46048910135748</v>
      </c>
      <c r="AK74" s="105">
        <f>AJ74*(1+Inputs!$J$61)</f>
        <v>115.33159088124454</v>
      </c>
      <c r="AL74" s="105">
        <f>AK74*(1+Inputs!$J$61)</f>
        <v>126.12662778772902</v>
      </c>
    </row>
    <row r="75" spans="4:41">
      <c r="D75" s="7" t="s">
        <v>122</v>
      </c>
      <c r="E75" s="16" t="s">
        <v>118</v>
      </c>
      <c r="K75" s="105">
        <f>Inputs!E54</f>
        <v>13</v>
      </c>
      <c r="L75" s="105">
        <f>Inputs!F54</f>
        <v>14.216799999999999</v>
      </c>
      <c r="M75" s="105">
        <f>Inputs!G54</f>
        <v>15.547492479999997</v>
      </c>
      <c r="N75" s="105">
        <f>Inputs!H54</f>
        <v>17.002737776127997</v>
      </c>
      <c r="O75" s="105">
        <f>Inputs!I54</f>
        <v>18.594194031973576</v>
      </c>
      <c r="P75" s="105">
        <f>Inputs!J54</f>
        <v>20.3346105933663</v>
      </c>
      <c r="Q75" s="105">
        <f>P75*(1+Inputs!$J$61)</f>
        <v>22.237930144905384</v>
      </c>
      <c r="R75" s="105">
        <f>Q75*(1+Inputs!$J$61)</f>
        <v>24.319400406468525</v>
      </c>
      <c r="S75" s="105">
        <f>R75*(1+Inputs!$J$61)</f>
        <v>26.595696284513977</v>
      </c>
      <c r="T75" s="105">
        <f>S75*(1+Inputs!$J$61)</f>
        <v>29.085053456744483</v>
      </c>
      <c r="U75" s="105">
        <f>T75*(1+Inputs!$J$61)</f>
        <v>31.807414460295764</v>
      </c>
      <c r="V75" s="105">
        <f>U75*(1+Inputs!$J$61)</f>
        <v>34.784588453779442</v>
      </c>
      <c r="W75" s="105">
        <f>V75*(1+Inputs!$J$61)</f>
        <v>38.040425933053193</v>
      </c>
      <c r="X75" s="105">
        <f>W75*(1+Inputs!$J$61)</f>
        <v>41.601009800386969</v>
      </c>
      <c r="Y75" s="105">
        <f>X75*(1+Inputs!$J$61)</f>
        <v>45.494864317703183</v>
      </c>
      <c r="Z75" s="105">
        <f>Y75*(1+Inputs!$J$61)</f>
        <v>49.753183617840193</v>
      </c>
      <c r="AA75" s="105">
        <f>Z75*(1+Inputs!$J$61)</f>
        <v>54.41008160447003</v>
      </c>
      <c r="AB75" s="105">
        <f>AA75*(1+Inputs!$J$61)</f>
        <v>59.502865242648419</v>
      </c>
      <c r="AC75" s="105">
        <f>AB75*(1+Inputs!$J$61)</f>
        <v>65.072333429360299</v>
      </c>
      <c r="AD75" s="105">
        <f>AC75*(1+Inputs!$J$61)</f>
        <v>71.16310383834842</v>
      </c>
      <c r="AE75" s="105">
        <f>AD75*(1+Inputs!$J$61)</f>
        <v>77.823970357617824</v>
      </c>
      <c r="AF75" s="105">
        <f>AE75*(1+Inputs!$J$61)</f>
        <v>85.108293983090846</v>
      </c>
      <c r="AG75" s="105">
        <f>AF75*(1+Inputs!$J$61)</f>
        <v>93.074430299908144</v>
      </c>
      <c r="AH75" s="105">
        <f>AG75*(1+Inputs!$J$61)</f>
        <v>101.78619697597954</v>
      </c>
      <c r="AI75" s="105">
        <f>AH75*(1+Inputs!$J$61)</f>
        <v>111.31338501293121</v>
      </c>
      <c r="AJ75" s="105">
        <f>AI75*(1+Inputs!$J$61)</f>
        <v>121.73231785014156</v>
      </c>
      <c r="AK75" s="105">
        <f>AJ75*(1+Inputs!$J$61)</f>
        <v>133.12646280091479</v>
      </c>
      <c r="AL75" s="105">
        <f>AK75*(1+Inputs!$J$61)</f>
        <v>145.58709971908041</v>
      </c>
    </row>
    <row r="76" spans="4:41">
      <c r="D76" s="7" t="s">
        <v>123</v>
      </c>
      <c r="E76" s="16" t="s">
        <v>118</v>
      </c>
      <c r="K76" s="105">
        <f>Inputs!E55</f>
        <v>282</v>
      </c>
      <c r="L76" s="105">
        <f>Inputs!F55</f>
        <v>304.27799999999996</v>
      </c>
      <c r="M76" s="105">
        <f>Inputs!G55</f>
        <v>332.75842079999995</v>
      </c>
      <c r="N76" s="105">
        <f>Inputs!H55</f>
        <v>363.90460898687991</v>
      </c>
      <c r="O76" s="105">
        <f>Inputs!I55</f>
        <v>397.96608038805181</v>
      </c>
      <c r="P76" s="105">
        <f>Inputs!J55</f>
        <v>435.2157055123734</v>
      </c>
      <c r="Q76" s="105">
        <f>P76*(1+Inputs!$J$62)</f>
        <v>469.59774624785086</v>
      </c>
      <c r="R76" s="105">
        <f>Q76*(1+Inputs!$J$62)</f>
        <v>506.69596820143107</v>
      </c>
      <c r="S76" s="105">
        <f>R76*(1+Inputs!$J$62)</f>
        <v>546.72494968934416</v>
      </c>
      <c r="T76" s="105">
        <f>S76*(1+Inputs!$J$62)</f>
        <v>589.91622071480231</v>
      </c>
      <c r="U76" s="105">
        <f>T76*(1+Inputs!$J$62)</f>
        <v>636.51960215127167</v>
      </c>
      <c r="V76" s="105">
        <f>U76*(1+Inputs!$J$62)</f>
        <v>686.80465072122206</v>
      </c>
      <c r="W76" s="105">
        <f>V76*(1+Inputs!$J$62)</f>
        <v>741.06221812819854</v>
      </c>
      <c r="X76" s="105">
        <f>W76*(1+Inputs!$J$62)</f>
        <v>799.60613336032623</v>
      </c>
      <c r="Y76" s="105">
        <f>X76*(1+Inputs!$J$62)</f>
        <v>862.77501789579196</v>
      </c>
      <c r="Z76" s="105">
        <f>Y76*(1+Inputs!$J$62)</f>
        <v>930.93424430955952</v>
      </c>
      <c r="AA76" s="105">
        <f>Z76*(1+Inputs!$J$62)</f>
        <v>1004.4780496100146</v>
      </c>
      <c r="AB76" s="105">
        <f>AA76*(1+Inputs!$J$62)</f>
        <v>1083.8318155292056</v>
      </c>
      <c r="AC76" s="105">
        <f>AB76*(1+Inputs!$J$62)</f>
        <v>1169.4545289560128</v>
      </c>
      <c r="AD76" s="105">
        <f>AC76*(1+Inputs!$J$62)</f>
        <v>1261.8414367435378</v>
      </c>
      <c r="AE76" s="105">
        <f>AD76*(1+Inputs!$J$62)</f>
        <v>1361.5269102462771</v>
      </c>
      <c r="AF76" s="105">
        <f>AE76*(1+Inputs!$J$62)</f>
        <v>1469.087536155733</v>
      </c>
      <c r="AG76" s="105">
        <f>AF76*(1+Inputs!$J$62)</f>
        <v>1585.1454515120358</v>
      </c>
      <c r="AH76" s="105">
        <f>AG76*(1+Inputs!$J$62)</f>
        <v>1710.3719421814867</v>
      </c>
      <c r="AI76" s="105">
        <f>AH76*(1+Inputs!$J$62)</f>
        <v>1845.4913256138241</v>
      </c>
      <c r="AJ76" s="105">
        <f>AI76*(1+Inputs!$J$62)</f>
        <v>1991.2851403373161</v>
      </c>
      <c r="AK76" s="105">
        <f>AJ76*(1+Inputs!$J$62)</f>
        <v>2148.5966664239641</v>
      </c>
      <c r="AL76" s="105">
        <f>AK76*(1+Inputs!$J$62)</f>
        <v>2318.3358030714571</v>
      </c>
    </row>
    <row r="77" spans="4:41">
      <c r="D77" s="7" t="s">
        <v>124</v>
      </c>
      <c r="E77" s="16" t="s">
        <v>118</v>
      </c>
      <c r="K77" s="105">
        <f>Inputs!E56</f>
        <v>4.0999999999999996</v>
      </c>
      <c r="L77" s="105">
        <f>Inputs!F56</f>
        <v>4.4837599999999993</v>
      </c>
      <c r="M77" s="105">
        <f>Inputs!G56</f>
        <v>4.9034399359999989</v>
      </c>
      <c r="N77" s="105">
        <f>Inputs!H56</f>
        <v>5.362401914009598</v>
      </c>
      <c r="O77" s="105">
        <f>Inputs!I56</f>
        <v>5.864322733160896</v>
      </c>
      <c r="P77" s="105">
        <f>Inputs!J56</f>
        <v>6.4132233409847554</v>
      </c>
      <c r="Q77" s="105">
        <f>P77*(1+Inputs!$J$61)</f>
        <v>7.0135010457009281</v>
      </c>
      <c r="R77" s="105">
        <f>Q77*(1+Inputs!$J$61)</f>
        <v>7.6699647435785341</v>
      </c>
      <c r="S77" s="105">
        <f>R77*(1+Inputs!$J$61)</f>
        <v>8.3878734435774849</v>
      </c>
      <c r="T77" s="105">
        <f>S77*(1+Inputs!$J$61)</f>
        <v>9.1729783978963368</v>
      </c>
      <c r="U77" s="105">
        <f>T77*(1+Inputs!$J$61)</f>
        <v>10.031569175939433</v>
      </c>
      <c r="V77" s="105">
        <f>U77*(1+Inputs!$J$61)</f>
        <v>10.970524050807363</v>
      </c>
      <c r="W77" s="105">
        <f>V77*(1+Inputs!$J$61)</f>
        <v>11.997365101962931</v>
      </c>
      <c r="X77" s="105">
        <f>W77*(1+Inputs!$J$61)</f>
        <v>13.120318475506661</v>
      </c>
      <c r="Y77" s="105">
        <f>X77*(1+Inputs!$J$61)</f>
        <v>14.348380284814082</v>
      </c>
      <c r="Z77" s="105">
        <f>Y77*(1+Inputs!$J$61)</f>
        <v>15.691388679472679</v>
      </c>
      <c r="AA77" s="105">
        <f>Z77*(1+Inputs!$J$61)</f>
        <v>17.16010265987132</v>
      </c>
      <c r="AB77" s="105">
        <f>AA77*(1+Inputs!$J$61)</f>
        <v>18.766288268835275</v>
      </c>
      <c r="AC77" s="105">
        <f>AB77*(1+Inputs!$J$61)</f>
        <v>20.522812850798257</v>
      </c>
      <c r="AD77" s="105">
        <f>AC77*(1+Inputs!$J$61)</f>
        <v>22.443748133632972</v>
      </c>
      <c r="AE77" s="105">
        <f>AD77*(1+Inputs!$J$61)</f>
        <v>24.544482958941018</v>
      </c>
      <c r="AF77" s="105">
        <f>AE77*(1+Inputs!$J$61)</f>
        <v>26.841846563897896</v>
      </c>
      <c r="AG77" s="105">
        <f>AF77*(1+Inputs!$J$61)</f>
        <v>29.354243402278737</v>
      </c>
      <c r="AH77" s="105">
        <f>AG77*(1+Inputs!$J$61)</f>
        <v>32.101800584732025</v>
      </c>
      <c r="AI77" s="105">
        <f>AH77*(1+Inputs!$J$61)</f>
        <v>35.106529119462941</v>
      </c>
      <c r="AJ77" s="105">
        <f>AI77*(1+Inputs!$J$61)</f>
        <v>38.392500245044666</v>
      </c>
      <c r="AK77" s="105">
        <f>AJ77*(1+Inputs!$J$61)</f>
        <v>41.986038267980845</v>
      </c>
      <c r="AL77" s="105">
        <f>AK77*(1+Inputs!$J$61)</f>
        <v>45.915931449863848</v>
      </c>
    </row>
    <row r="78" spans="4:41">
      <c r="D78" s="7" t="s">
        <v>125</v>
      </c>
      <c r="E78" s="16" t="s">
        <v>118</v>
      </c>
      <c r="K78">
        <f>Inputs!E57</f>
        <v>0</v>
      </c>
      <c r="L78">
        <f>Inputs!F57</f>
        <v>0</v>
      </c>
      <c r="M78">
        <f>Inputs!G57</f>
        <v>10.1</v>
      </c>
      <c r="N78" s="105">
        <f>Inputs!H57</f>
        <v>11.045359999999999</v>
      </c>
      <c r="O78" s="105">
        <f>Inputs!I57</f>
        <v>12.079205695999997</v>
      </c>
      <c r="P78" s="105">
        <f>Inputs!J57</f>
        <v>13.209819349145596</v>
      </c>
      <c r="Q78" s="105">
        <f>P78*(1+Inputs!$J$61)</f>
        <v>14.446258440225622</v>
      </c>
      <c r="R78" s="105">
        <f>Q78*(1+Inputs!$J$61)</f>
        <v>15.798428230230739</v>
      </c>
      <c r="S78" s="105">
        <f>R78*(1+Inputs!$J$61)</f>
        <v>17.277161112580334</v>
      </c>
      <c r="T78" s="105">
        <f>S78*(1+Inputs!$J$61)</f>
        <v>18.894303392717852</v>
      </c>
      <c r="U78" s="105">
        <f>T78*(1+Inputs!$J$61)</f>
        <v>20.66281019027624</v>
      </c>
      <c r="V78" s="105">
        <f>U78*(1+Inputs!$J$61)</f>
        <v>22.596849224086093</v>
      </c>
      <c r="W78" s="105">
        <f>V78*(1+Inputs!$J$61)</f>
        <v>24.71191431146055</v>
      </c>
      <c r="X78" s="105">
        <f>W78*(1+Inputs!$J$61)</f>
        <v>27.024949491013256</v>
      </c>
      <c r="Y78" s="105">
        <f>X78*(1+Inputs!$J$61)</f>
        <v>29.554484763372095</v>
      </c>
      <c r="Z78" s="105">
        <f>Y78*(1+Inputs!$J$61)</f>
        <v>32.320784537223723</v>
      </c>
      <c r="AA78" s="105">
        <f>Z78*(1+Inputs!$J$61)</f>
        <v>35.346009969907861</v>
      </c>
      <c r="AB78" s="105">
        <f>AA78*(1+Inputs!$J$61)</f>
        <v>38.654396503091235</v>
      </c>
      <c r="AC78" s="105">
        <f>AB78*(1+Inputs!$J$61)</f>
        <v>42.272448015780569</v>
      </c>
      <c r="AD78" s="105">
        <f>AC78*(1+Inputs!$J$61)</f>
        <v>46.229149150057623</v>
      </c>
      <c r="AE78" s="105">
        <f>AD78*(1+Inputs!$J$61)</f>
        <v>50.556197510503011</v>
      </c>
      <c r="AF78" s="105">
        <f>AE78*(1+Inputs!$J$61)</f>
        <v>55.288257597486087</v>
      </c>
      <c r="AG78" s="105">
        <f>AF78*(1+Inputs!$J$61)</f>
        <v>60.463238508610779</v>
      </c>
      <c r="AH78" s="105">
        <f>AG78*(1+Inputs!$J$61)</f>
        <v>66.122597633016738</v>
      </c>
      <c r="AI78" s="105">
        <f>AH78*(1+Inputs!$J$61)</f>
        <v>72.311672771467101</v>
      </c>
      <c r="AJ78" s="105">
        <f>AI78*(1+Inputs!$J$61)</f>
        <v>79.080045342876417</v>
      </c>
      <c r="AK78" s="105">
        <f>AJ78*(1+Inputs!$J$61)</f>
        <v>86.481937586969636</v>
      </c>
      <c r="AL78" s="105">
        <f>AK78*(1+Inputs!$J$61)</f>
        <v>94.576646945109985</v>
      </c>
    </row>
    <row r="79" spans="4:41">
      <c r="D79" s="7" t="s">
        <v>154</v>
      </c>
      <c r="E79" s="16" t="s">
        <v>118</v>
      </c>
      <c r="K79">
        <f>Inputs!E58</f>
        <v>0</v>
      </c>
      <c r="L79">
        <f>Inputs!F58</f>
        <v>0</v>
      </c>
      <c r="M79">
        <f>Inputs!G58</f>
        <v>0</v>
      </c>
      <c r="N79">
        <f>Inputs!H58</f>
        <v>0</v>
      </c>
      <c r="O79">
        <f>Inputs!I58</f>
        <v>0</v>
      </c>
      <c r="P79">
        <f>Inputs!J58</f>
        <v>45</v>
      </c>
      <c r="Q79" s="105">
        <f>P79*(1+Inputs!$J$61)</f>
        <v>49.211999999999996</v>
      </c>
      <c r="R79" s="105">
        <f>Q79*(1+Inputs!$J$61)</f>
        <v>53.818243199999991</v>
      </c>
      <c r="S79" s="105">
        <f>R79*(1+Inputs!$J$61)</f>
        <v>58.855630763519983</v>
      </c>
      <c r="T79" s="105">
        <f>S79*(1+Inputs!$J$61)</f>
        <v>64.364517802985446</v>
      </c>
      <c r="U79" s="105">
        <f>T79*(1+Inputs!$J$61)</f>
        <v>70.389036669344875</v>
      </c>
      <c r="V79" s="105">
        <f>U79*(1+Inputs!$J$61)</f>
        <v>76.977450501595555</v>
      </c>
      <c r="W79" s="105">
        <f>V79*(1+Inputs!$J$61)</f>
        <v>84.182539868544893</v>
      </c>
      <c r="X79" s="105">
        <f>W79*(1+Inputs!$J$61)</f>
        <v>92.062025600240688</v>
      </c>
      <c r="Y79" s="105">
        <f>X79*(1+Inputs!$J$61)</f>
        <v>100.67903119642321</v>
      </c>
      <c r="Z79" s="105">
        <f>Y79*(1+Inputs!$J$61)</f>
        <v>110.10258851640842</v>
      </c>
      <c r="AA79" s="105">
        <f>Z79*(1+Inputs!$J$61)</f>
        <v>120.40819080154424</v>
      </c>
      <c r="AB79" s="105">
        <f>AA79*(1+Inputs!$J$61)</f>
        <v>131.67839746056876</v>
      </c>
      <c r="AC79" s="105">
        <f>AB79*(1+Inputs!$J$61)</f>
        <v>144.00349546287799</v>
      </c>
      <c r="AD79" s="105">
        <f>AC79*(1+Inputs!$J$61)</f>
        <v>157.48222263820335</v>
      </c>
      <c r="AE79" s="105">
        <f>AD79*(1+Inputs!$J$61)</f>
        <v>172.22255867713918</v>
      </c>
      <c r="AF79" s="105">
        <f>AE79*(1+Inputs!$J$61)</f>
        <v>188.34259016931938</v>
      </c>
      <c r="AG79" s="105">
        <f>AF79*(1+Inputs!$J$61)</f>
        <v>205.97145660916766</v>
      </c>
      <c r="AH79" s="105">
        <f>AG79*(1+Inputs!$J$61)</f>
        <v>225.25038494778573</v>
      </c>
      <c r="AI79" s="105">
        <f>AH79*(1+Inputs!$J$61)</f>
        <v>246.33382097889844</v>
      </c>
      <c r="AJ79" s="105">
        <f>AI79*(1+Inputs!$J$61)</f>
        <v>269.39066662252333</v>
      </c>
      <c r="AK79" s="105">
        <f>AJ79*(1+Inputs!$J$61)</f>
        <v>294.60563301839147</v>
      </c>
      <c r="AL79" s="105">
        <f>AK79*(1+Inputs!$J$61)</f>
        <v>322.18072026891286</v>
      </c>
    </row>
    <row r="80" spans="4:41">
      <c r="D80" s="7" t="s">
        <v>423</v>
      </c>
      <c r="E80" s="16" t="s">
        <v>118</v>
      </c>
      <c r="O80">
        <f>Inputs!I59</f>
        <v>0</v>
      </c>
      <c r="P80">
        <f>Inputs!J59</f>
        <v>0</v>
      </c>
      <c r="Q80" s="105">
        <f>P80*(1+Inputs!$J$61)</f>
        <v>0</v>
      </c>
      <c r="R80" s="105">
        <f>Q80*(1+Inputs!$J$61)</f>
        <v>0</v>
      </c>
      <c r="S80" s="105">
        <f>R80*(1+Inputs!$J$61)</f>
        <v>0</v>
      </c>
      <c r="T80" s="105">
        <f>S80*(1+Inputs!$J$61)</f>
        <v>0</v>
      </c>
      <c r="U80" s="105">
        <f>T80*(1+Inputs!$J$61)</f>
        <v>0</v>
      </c>
      <c r="V80" s="105">
        <f>U80*(1+Inputs!$J$61)</f>
        <v>0</v>
      </c>
      <c r="W80" s="105">
        <f>V80*(1+Inputs!$J$61)</f>
        <v>0</v>
      </c>
      <c r="X80" s="105">
        <f>W80*(1+Inputs!$J$61)</f>
        <v>0</v>
      </c>
      <c r="Y80" s="105">
        <f>X80*(1+Inputs!$J$61)</f>
        <v>0</v>
      </c>
      <c r="Z80" s="105">
        <f>Y80*(1+Inputs!$J$61)</f>
        <v>0</v>
      </c>
      <c r="AA80" s="105">
        <f>Z80*(1+Inputs!$J$61)</f>
        <v>0</v>
      </c>
      <c r="AB80" s="105">
        <f>Inputs!E190</f>
        <v>11.33</v>
      </c>
      <c r="AC80" s="105">
        <f>AB80*(1+Inputs!$J$61)</f>
        <v>12.390488</v>
      </c>
      <c r="AD80" s="105">
        <f>AC80*(1+Inputs!$J$61)</f>
        <v>13.550237676799998</v>
      </c>
      <c r="AE80" s="105">
        <f>AD80*(1+Inputs!$J$61)</f>
        <v>14.818539923348476</v>
      </c>
      <c r="AF80" s="105">
        <f>AE80*(1+Inputs!$J$61)</f>
        <v>16.205555260173892</v>
      </c>
      <c r="AG80" s="105">
        <f>AF80*(1+Inputs!$J$61)</f>
        <v>17.722395232526168</v>
      </c>
      <c r="AH80" s="105">
        <f>AG80*(1+Inputs!$J$61)</f>
        <v>19.381211426290616</v>
      </c>
      <c r="AI80" s="105">
        <f>AH80*(1+Inputs!$J$61)</f>
        <v>21.195292815791415</v>
      </c>
      <c r="AJ80" s="105">
        <f>AI80*(1+Inputs!$J$61)</f>
        <v>23.179172223349489</v>
      </c>
      <c r="AK80" s="105">
        <f>AJ80*(1+Inputs!$J$61)</f>
        <v>25.348742743454999</v>
      </c>
      <c r="AL80" s="105">
        <f>AK80*(1+Inputs!$J$61)</f>
        <v>27.721385064242384</v>
      </c>
    </row>
    <row r="81" spans="4:40">
      <c r="D81" s="7" t="s">
        <v>401</v>
      </c>
      <c r="E81" s="16" t="s">
        <v>246</v>
      </c>
      <c r="K81">
        <f>(1-Inputs!E24)*'Initiative 3 Model'!L81</f>
        <v>1767200000</v>
      </c>
      <c r="L81">
        <f>(1-Inputs!F24)*'Initiative 3 Model'!M81</f>
        <v>1880000000</v>
      </c>
      <c r="M81">
        <f>Inputs!G27</f>
        <v>2000000000</v>
      </c>
      <c r="N81">
        <f>M81*(1+Inputs!H24)</f>
        <v>2120000000</v>
      </c>
      <c r="O81">
        <f>N81*(1+Inputs!I24)</f>
        <v>2247200000</v>
      </c>
      <c r="P81">
        <f>O81*(1+Inputs!$J$24)</f>
        <v>2382032000</v>
      </c>
      <c r="Q81">
        <f>P81*(1+Inputs!$J$24)</f>
        <v>2524953920</v>
      </c>
      <c r="R81">
        <f>Q81*(1+Inputs!$J$24)</f>
        <v>2676451155.2000003</v>
      </c>
      <c r="S81">
        <f>R81*(1+Inputs!$J$24)</f>
        <v>2837038224.5120006</v>
      </c>
      <c r="T81">
        <f>S81*(1+Inputs!$J$24)</f>
        <v>3007260517.9827209</v>
      </c>
      <c r="U81">
        <f>T81*(1+Inputs!$J$24)</f>
        <v>3187696149.0616841</v>
      </c>
      <c r="V81">
        <f>U81*(1+Inputs!$J$24)</f>
        <v>3378957918.0053854</v>
      </c>
      <c r="W81">
        <f>V81*(1+Inputs!$J$24)</f>
        <v>3581695393.0857086</v>
      </c>
      <c r="X81">
        <f>W81*(1+Inputs!$J$24)</f>
        <v>3796597116.6708512</v>
      </c>
      <c r="Y81">
        <f>X81*(1+Inputs!$J$24)</f>
        <v>4024392943.6711025</v>
      </c>
      <c r="Z81">
        <f>Y81*(1+Inputs!$J$24)</f>
        <v>4265856520.291369</v>
      </c>
      <c r="AA81">
        <f>Z81*(1+Inputs!$J$24)</f>
        <v>4521807911.5088511</v>
      </c>
      <c r="AB81">
        <f>AA81*(1+Inputs!$J$24)</f>
        <v>4793116386.1993828</v>
      </c>
      <c r="AC81">
        <f>AB81*(1+Inputs!$J$24)</f>
        <v>5080703369.3713465</v>
      </c>
      <c r="AD81">
        <f>AC81*(1+Inputs!$J$24)</f>
        <v>5385545571.5336275</v>
      </c>
      <c r="AE81">
        <f>AD81*(1+Inputs!$J$24)</f>
        <v>5708678305.8256454</v>
      </c>
      <c r="AF81">
        <f>AE81*(1+Inputs!$J$24)</f>
        <v>6051199004.1751842</v>
      </c>
      <c r="AG81">
        <f>AF81*(1+Inputs!$J$24)</f>
        <v>6414270944.4256954</v>
      </c>
      <c r="AH81">
        <f>AG81*(1+Inputs!$J$24)</f>
        <v>6799127201.0912371</v>
      </c>
      <c r="AI81">
        <f>AH81*(1+Inputs!$J$24)</f>
        <v>7207074833.1567116</v>
      </c>
      <c r="AJ81">
        <f>AI81*(1+Inputs!$J$24)</f>
        <v>7639499323.1461143</v>
      </c>
      <c r="AK81">
        <f>AJ81*(1+Inputs!$J$24)</f>
        <v>8097869282.5348816</v>
      </c>
      <c r="AL81">
        <f>AK81*(1+Inputs!$J$24)</f>
        <v>8583741439.4869747</v>
      </c>
    </row>
    <row r="83" spans="4:40" ht="24" thickBot="1">
      <c r="D83" s="57" t="s">
        <v>197</v>
      </c>
    </row>
    <row r="84" spans="4:40" ht="18">
      <c r="D84" s="15" t="s">
        <v>143</v>
      </c>
    </row>
    <row r="85" spans="4:40">
      <c r="D85" t="s">
        <v>190</v>
      </c>
      <c r="E85" s="16" t="s">
        <v>211</v>
      </c>
      <c r="K85" s="69">
        <f>SUM(K86:K90)</f>
        <v>4164940</v>
      </c>
      <c r="L85" s="69">
        <f t="shared" ref="L85:AK85" si="31">SUM(L86:L90)</f>
        <v>4195578.0786803216</v>
      </c>
      <c r="M85" s="69">
        <f t="shared" si="31"/>
        <v>4514988.1311923796</v>
      </c>
      <c r="N85" s="69">
        <f t="shared" si="31"/>
        <v>11125687.278505856</v>
      </c>
      <c r="O85" s="69">
        <f t="shared" si="31"/>
        <v>8306489.7706249347</v>
      </c>
      <c r="P85" s="69">
        <f t="shared" si="31"/>
        <v>9083977.2131554279</v>
      </c>
      <c r="Q85" s="69">
        <f t="shared" si="31"/>
        <v>11671110.50111958</v>
      </c>
      <c r="R85" s="69">
        <f t="shared" si="31"/>
        <v>12763526.444024369</v>
      </c>
      <c r="S85" s="69">
        <f t="shared" si="31"/>
        <v>16592319.490160089</v>
      </c>
      <c r="T85" s="69">
        <f t="shared" si="31"/>
        <v>18145360.594439071</v>
      </c>
      <c r="U85" s="69">
        <f t="shared" si="31"/>
        <v>19843766.346078567</v>
      </c>
      <c r="V85" s="69">
        <f t="shared" si="31"/>
        <v>21701142.876071516</v>
      </c>
      <c r="W85" s="69">
        <f t="shared" si="31"/>
        <v>23732369.849271808</v>
      </c>
      <c r="X85" s="69">
        <f t="shared" si="31"/>
        <v>25953719.667163648</v>
      </c>
      <c r="Y85" s="69">
        <f t="shared" si="31"/>
        <v>28382987.828010164</v>
      </c>
      <c r="Z85" s="69">
        <f t="shared" si="31"/>
        <v>31039635.488711908</v>
      </c>
      <c r="AA85" s="69">
        <f t="shared" si="31"/>
        <v>33944945.37045534</v>
      </c>
      <c r="AB85" s="69">
        <f t="shared" si="31"/>
        <v>37122192.25712996</v>
      </c>
      <c r="AC85" s="69">
        <f t="shared" si="31"/>
        <v>47623666.92895139</v>
      </c>
      <c r="AD85" s="69">
        <f t="shared" si="31"/>
        <v>51194583.875646576</v>
      </c>
      <c r="AE85" s="69">
        <f t="shared" si="31"/>
        <v>55046539.151881166</v>
      </c>
      <c r="AF85" s="69">
        <f t="shared" si="31"/>
        <v>59202645.975499749</v>
      </c>
      <c r="AG85" s="69">
        <f t="shared" si="31"/>
        <v>63687989.443349183</v>
      </c>
      <c r="AH85" s="69">
        <f t="shared" si="31"/>
        <v>68529799.60806188</v>
      </c>
      <c r="AI85" s="69">
        <f t="shared" si="31"/>
        <v>73757640.065360606</v>
      </c>
      <c r="AJ85" s="69">
        <f t="shared" si="31"/>
        <v>79403613.462301522</v>
      </c>
      <c r="AK85" s="69">
        <f t="shared" si="31"/>
        <v>85502585.466405511</v>
      </c>
      <c r="AL85" s="69">
        <f>SUM(AL86:AL90)</f>
        <v>92092428.877135605</v>
      </c>
    </row>
    <row r="86" spans="4:40">
      <c r="D86" t="s">
        <v>189</v>
      </c>
      <c r="E86" s="16" t="s">
        <v>211</v>
      </c>
      <c r="K86" s="65">
        <f>K27*K71</f>
        <v>3746323</v>
      </c>
      <c r="L86" s="65">
        <f t="shared" ref="L86:AK86" si="32">L27*L71</f>
        <v>3763296.7631000001</v>
      </c>
      <c r="M86" s="65">
        <f t="shared" si="32"/>
        <v>4022098.7544460809</v>
      </c>
      <c r="N86" s="65">
        <f t="shared" si="32"/>
        <v>7623200.1314147841</v>
      </c>
      <c r="O86" s="65">
        <f t="shared" si="32"/>
        <v>0</v>
      </c>
      <c r="P86" s="65">
        <f t="shared" si="32"/>
        <v>0</v>
      </c>
      <c r="Q86" s="65">
        <f t="shared" si="32"/>
        <v>0</v>
      </c>
      <c r="R86" s="65">
        <f t="shared" si="32"/>
        <v>0</v>
      </c>
      <c r="S86" s="65">
        <f t="shared" si="32"/>
        <v>0</v>
      </c>
      <c r="T86" s="65">
        <f t="shared" si="32"/>
        <v>0</v>
      </c>
      <c r="U86" s="65">
        <f t="shared" si="32"/>
        <v>0</v>
      </c>
      <c r="V86" s="65">
        <f t="shared" si="32"/>
        <v>0</v>
      </c>
      <c r="W86" s="65">
        <f t="shared" si="32"/>
        <v>0</v>
      </c>
      <c r="X86" s="65">
        <f t="shared" si="32"/>
        <v>0</v>
      </c>
      <c r="Y86" s="65">
        <f t="shared" si="32"/>
        <v>0</v>
      </c>
      <c r="Z86" s="65">
        <f t="shared" si="32"/>
        <v>0</v>
      </c>
      <c r="AA86" s="65">
        <f t="shared" si="32"/>
        <v>0</v>
      </c>
      <c r="AB86" s="65">
        <f t="shared" si="32"/>
        <v>0</v>
      </c>
      <c r="AC86" s="65">
        <f t="shared" si="32"/>
        <v>26388639.221864831</v>
      </c>
      <c r="AD86" s="65">
        <f t="shared" si="32"/>
        <v>27971957.57517672</v>
      </c>
      <c r="AE86" s="65">
        <f t="shared" si="32"/>
        <v>29650275.029687326</v>
      </c>
      <c r="AF86" s="65">
        <f t="shared" si="32"/>
        <v>31429291.531468567</v>
      </c>
      <c r="AG86" s="65">
        <f t="shared" si="32"/>
        <v>33315049.023356684</v>
      </c>
      <c r="AH86" s="65">
        <f t="shared" si="32"/>
        <v>35313951.964758083</v>
      </c>
      <c r="AI86" s="65">
        <f t="shared" si="32"/>
        <v>37432789.082643576</v>
      </c>
      <c r="AJ86" s="65">
        <f t="shared" si="32"/>
        <v>39678756.427602187</v>
      </c>
      <c r="AK86" s="65">
        <f t="shared" si="32"/>
        <v>42059481.813258328</v>
      </c>
      <c r="AL86" s="65">
        <f>AL27*AL71</f>
        <v>44583050.722053833</v>
      </c>
    </row>
    <row r="87" spans="4:40">
      <c r="D87" t="s">
        <v>144</v>
      </c>
      <c r="E87" s="16" t="s">
        <v>211</v>
      </c>
      <c r="K87" s="65">
        <f>K28*K74</f>
        <v>418617</v>
      </c>
      <c r="L87" s="65">
        <f t="shared" ref="L87:AK87" si="33">L28*L74</f>
        <v>432281.31558032165</v>
      </c>
      <c r="M87" s="65">
        <f t="shared" si="33"/>
        <v>492889.37674629915</v>
      </c>
      <c r="N87" s="65">
        <f t="shared" si="33"/>
        <v>3502487.1470910721</v>
      </c>
      <c r="O87" s="65">
        <f t="shared" si="33"/>
        <v>8306489.7706249347</v>
      </c>
      <c r="P87" s="65">
        <f t="shared" si="33"/>
        <v>9083977.2131554279</v>
      </c>
      <c r="Q87" s="65">
        <f t="shared" si="33"/>
        <v>11671110.50111958</v>
      </c>
      <c r="R87" s="65">
        <f t="shared" si="33"/>
        <v>12763526.444024369</v>
      </c>
      <c r="S87" s="65">
        <f t="shared" si="33"/>
        <v>16592319.490160089</v>
      </c>
      <c r="T87" s="65">
        <f t="shared" si="33"/>
        <v>18145360.594439071</v>
      </c>
      <c r="U87" s="65">
        <f t="shared" si="33"/>
        <v>19843766.346078567</v>
      </c>
      <c r="V87" s="65">
        <f t="shared" si="33"/>
        <v>21701142.876071516</v>
      </c>
      <c r="W87" s="65">
        <f t="shared" si="33"/>
        <v>23732369.849271808</v>
      </c>
      <c r="X87" s="65">
        <f t="shared" si="33"/>
        <v>25953719.667163648</v>
      </c>
      <c r="Y87" s="65">
        <f t="shared" si="33"/>
        <v>28382987.828010164</v>
      </c>
      <c r="Z87" s="65">
        <f t="shared" si="33"/>
        <v>31039635.488711908</v>
      </c>
      <c r="AA87" s="65">
        <f t="shared" si="33"/>
        <v>33944945.37045534</v>
      </c>
      <c r="AB87" s="65">
        <f t="shared" si="33"/>
        <v>37122192.25712996</v>
      </c>
      <c r="AC87" s="65">
        <f t="shared" si="33"/>
        <v>21235027.707086559</v>
      </c>
      <c r="AD87" s="65">
        <f t="shared" si="33"/>
        <v>23222626.30046986</v>
      </c>
      <c r="AE87" s="65">
        <f t="shared" si="33"/>
        <v>25396264.122193839</v>
      </c>
      <c r="AF87" s="65">
        <f t="shared" si="33"/>
        <v>27773354.444031179</v>
      </c>
      <c r="AG87" s="65">
        <f t="shared" si="33"/>
        <v>30372940.419992499</v>
      </c>
      <c r="AH87" s="65">
        <f t="shared" si="33"/>
        <v>33215847.643303793</v>
      </c>
      <c r="AI87" s="65">
        <f t="shared" si="33"/>
        <v>36324850.982717022</v>
      </c>
      <c r="AJ87" s="65">
        <f t="shared" si="33"/>
        <v>39724857.034699336</v>
      </c>
      <c r="AK87" s="65">
        <f t="shared" si="33"/>
        <v>43443103.653147191</v>
      </c>
      <c r="AL87" s="65">
        <f>AL28*AL74</f>
        <v>47509378.155081764</v>
      </c>
      <c r="AM87" s="65">
        <f>SUM(M87:AL87)</f>
        <v>630497170.68297684</v>
      </c>
    </row>
    <row r="88" spans="4:40">
      <c r="D88" t="s">
        <v>125</v>
      </c>
      <c r="E88" s="16" t="s">
        <v>211</v>
      </c>
      <c r="K88" s="65">
        <f>K78*K29</f>
        <v>0</v>
      </c>
      <c r="L88" s="65">
        <f t="shared" ref="L88:AK88" si="34">L78*L29</f>
        <v>0</v>
      </c>
      <c r="M88" s="65">
        <f t="shared" si="34"/>
        <v>0</v>
      </c>
      <c r="N88" s="65">
        <f t="shared" si="34"/>
        <v>0</v>
      </c>
      <c r="O88" s="65">
        <f t="shared" si="34"/>
        <v>0</v>
      </c>
      <c r="P88" s="65">
        <f t="shared" si="34"/>
        <v>0</v>
      </c>
      <c r="Q88" s="65">
        <f t="shared" si="34"/>
        <v>0</v>
      </c>
      <c r="R88" s="65">
        <f t="shared" si="34"/>
        <v>0</v>
      </c>
      <c r="S88" s="65">
        <f t="shared" si="34"/>
        <v>0</v>
      </c>
      <c r="T88" s="65">
        <f t="shared" si="34"/>
        <v>0</v>
      </c>
      <c r="U88" s="65">
        <f t="shared" si="34"/>
        <v>0</v>
      </c>
      <c r="V88" s="65">
        <f t="shared" si="34"/>
        <v>0</v>
      </c>
      <c r="W88" s="65">
        <f t="shared" si="34"/>
        <v>0</v>
      </c>
      <c r="X88" s="65">
        <f t="shared" si="34"/>
        <v>0</v>
      </c>
      <c r="Y88" s="65">
        <f t="shared" si="34"/>
        <v>0</v>
      </c>
      <c r="Z88" s="65">
        <f t="shared" si="34"/>
        <v>0</v>
      </c>
      <c r="AA88" s="65">
        <f t="shared" si="34"/>
        <v>0</v>
      </c>
      <c r="AB88" s="65">
        <f t="shared" si="34"/>
        <v>0</v>
      </c>
      <c r="AC88" s="65">
        <f t="shared" si="34"/>
        <v>0</v>
      </c>
      <c r="AD88" s="65">
        <f t="shared" si="34"/>
        <v>0</v>
      </c>
      <c r="AE88" s="65">
        <f t="shared" si="34"/>
        <v>0</v>
      </c>
      <c r="AF88" s="65">
        <f t="shared" si="34"/>
        <v>0</v>
      </c>
      <c r="AG88" s="65">
        <f t="shared" si="34"/>
        <v>0</v>
      </c>
      <c r="AH88" s="65">
        <f t="shared" si="34"/>
        <v>0</v>
      </c>
      <c r="AI88" s="65">
        <f t="shared" si="34"/>
        <v>0</v>
      </c>
      <c r="AJ88" s="65">
        <f t="shared" si="34"/>
        <v>0</v>
      </c>
      <c r="AK88" s="65">
        <f t="shared" si="34"/>
        <v>0</v>
      </c>
      <c r="AL88" s="65">
        <f>AL78*AL29</f>
        <v>0</v>
      </c>
      <c r="AM88" s="65">
        <f t="shared" ref="AM88:AM90" si="35">SUM(M88:AL88)</f>
        <v>0</v>
      </c>
    </row>
    <row r="89" spans="4:40">
      <c r="D89" t="s">
        <v>154</v>
      </c>
      <c r="E89" s="16" t="s">
        <v>211</v>
      </c>
      <c r="K89" s="65">
        <f>K30*K79</f>
        <v>0</v>
      </c>
      <c r="L89" s="65">
        <f t="shared" ref="L89:AK89" si="36">L30*L79</f>
        <v>0</v>
      </c>
      <c r="M89" s="65">
        <f t="shared" si="36"/>
        <v>0</v>
      </c>
      <c r="N89" s="65">
        <f t="shared" si="36"/>
        <v>0</v>
      </c>
      <c r="O89" s="65">
        <f t="shared" si="36"/>
        <v>0</v>
      </c>
      <c r="P89" s="65">
        <f t="shared" si="36"/>
        <v>0</v>
      </c>
      <c r="Q89" s="65">
        <f t="shared" si="36"/>
        <v>0</v>
      </c>
      <c r="R89" s="65">
        <f t="shared" si="36"/>
        <v>0</v>
      </c>
      <c r="S89" s="65">
        <f t="shared" si="36"/>
        <v>0</v>
      </c>
      <c r="T89" s="65">
        <f t="shared" si="36"/>
        <v>0</v>
      </c>
      <c r="U89" s="65">
        <f t="shared" si="36"/>
        <v>0</v>
      </c>
      <c r="V89" s="65">
        <f t="shared" si="36"/>
        <v>0</v>
      </c>
      <c r="W89" s="65">
        <f t="shared" si="36"/>
        <v>0</v>
      </c>
      <c r="X89" s="65">
        <f t="shared" si="36"/>
        <v>0</v>
      </c>
      <c r="Y89" s="65">
        <f t="shared" si="36"/>
        <v>0</v>
      </c>
      <c r="Z89" s="65">
        <f t="shared" si="36"/>
        <v>0</v>
      </c>
      <c r="AA89" s="65">
        <f t="shared" si="36"/>
        <v>0</v>
      </c>
      <c r="AB89" s="65">
        <f t="shared" si="36"/>
        <v>0</v>
      </c>
      <c r="AC89" s="65">
        <f t="shared" si="36"/>
        <v>0</v>
      </c>
      <c r="AD89" s="65">
        <f t="shared" si="36"/>
        <v>0</v>
      </c>
      <c r="AE89" s="65">
        <f t="shared" si="36"/>
        <v>0</v>
      </c>
      <c r="AF89" s="65">
        <f t="shared" si="36"/>
        <v>0</v>
      </c>
      <c r="AG89" s="65">
        <f t="shared" si="36"/>
        <v>0</v>
      </c>
      <c r="AH89" s="65">
        <f t="shared" si="36"/>
        <v>0</v>
      </c>
      <c r="AI89" s="65">
        <f t="shared" si="36"/>
        <v>0</v>
      </c>
      <c r="AJ89" s="65">
        <f t="shared" si="36"/>
        <v>0</v>
      </c>
      <c r="AK89" s="65">
        <f t="shared" si="36"/>
        <v>0</v>
      </c>
      <c r="AL89" s="65">
        <f>AL30*AL79</f>
        <v>0</v>
      </c>
      <c r="AM89" s="65">
        <f t="shared" si="35"/>
        <v>0</v>
      </c>
    </row>
    <row r="90" spans="4:40">
      <c r="D90" t="s">
        <v>423</v>
      </c>
      <c r="E90" s="16" t="s">
        <v>211</v>
      </c>
      <c r="K90" s="65">
        <f>K80*K31</f>
        <v>0</v>
      </c>
      <c r="L90" s="65">
        <f t="shared" ref="L90:AK90" si="37">L80*L31</f>
        <v>0</v>
      </c>
      <c r="M90" s="65">
        <f t="shared" si="37"/>
        <v>0</v>
      </c>
      <c r="N90" s="65">
        <f t="shared" si="37"/>
        <v>0</v>
      </c>
      <c r="O90" s="65">
        <f t="shared" si="37"/>
        <v>0</v>
      </c>
      <c r="P90" s="65">
        <f t="shared" si="37"/>
        <v>0</v>
      </c>
      <c r="Q90" s="65">
        <f t="shared" si="37"/>
        <v>0</v>
      </c>
      <c r="R90" s="65">
        <f t="shared" si="37"/>
        <v>0</v>
      </c>
      <c r="S90" s="65">
        <f t="shared" si="37"/>
        <v>0</v>
      </c>
      <c r="T90" s="65">
        <f t="shared" si="37"/>
        <v>0</v>
      </c>
      <c r="U90" s="65">
        <f t="shared" si="37"/>
        <v>0</v>
      </c>
      <c r="V90" s="65">
        <f t="shared" si="37"/>
        <v>0</v>
      </c>
      <c r="W90" s="65">
        <f t="shared" si="37"/>
        <v>0</v>
      </c>
      <c r="X90" s="65">
        <f t="shared" si="37"/>
        <v>0</v>
      </c>
      <c r="Y90" s="65">
        <f t="shared" si="37"/>
        <v>0</v>
      </c>
      <c r="Z90" s="65">
        <f t="shared" si="37"/>
        <v>0</v>
      </c>
      <c r="AA90" s="65">
        <f t="shared" si="37"/>
        <v>0</v>
      </c>
      <c r="AB90" s="65">
        <f t="shared" si="37"/>
        <v>0</v>
      </c>
      <c r="AC90" s="65">
        <f t="shared" si="37"/>
        <v>0</v>
      </c>
      <c r="AD90" s="65">
        <f t="shared" si="37"/>
        <v>0</v>
      </c>
      <c r="AE90" s="65">
        <f t="shared" si="37"/>
        <v>0</v>
      </c>
      <c r="AF90" s="65">
        <f t="shared" si="37"/>
        <v>0</v>
      </c>
      <c r="AG90" s="65">
        <f t="shared" si="37"/>
        <v>0</v>
      </c>
      <c r="AH90" s="65">
        <f t="shared" si="37"/>
        <v>0</v>
      </c>
      <c r="AI90" s="65">
        <f t="shared" si="37"/>
        <v>0</v>
      </c>
      <c r="AJ90" s="65">
        <f t="shared" si="37"/>
        <v>0</v>
      </c>
      <c r="AK90" s="65">
        <f t="shared" si="37"/>
        <v>0</v>
      </c>
      <c r="AL90" s="65">
        <f>AL80*AL31</f>
        <v>0</v>
      </c>
      <c r="AM90" s="65">
        <f t="shared" si="35"/>
        <v>0</v>
      </c>
      <c r="AN90" s="65">
        <f>SUM(AM87:AM90)</f>
        <v>630497170.68297684</v>
      </c>
    </row>
    <row r="91" spans="4:40">
      <c r="D91" t="s">
        <v>528</v>
      </c>
      <c r="E91" s="16" t="s">
        <v>211</v>
      </c>
      <c r="K91" s="65">
        <f>SUM(K87:K90)</f>
        <v>418617</v>
      </c>
      <c r="L91" s="65">
        <f t="shared" ref="L91:AL91" si="38">SUM(L87:L90)</f>
        <v>432281.31558032165</v>
      </c>
      <c r="M91" s="65">
        <f t="shared" si="38"/>
        <v>492889.37674629915</v>
      </c>
      <c r="N91" s="65">
        <f t="shared" si="38"/>
        <v>3502487.1470910721</v>
      </c>
      <c r="O91" s="65">
        <f t="shared" si="38"/>
        <v>8306489.7706249347</v>
      </c>
      <c r="P91" s="65">
        <f t="shared" si="38"/>
        <v>9083977.2131554279</v>
      </c>
      <c r="Q91" s="65">
        <f t="shared" si="38"/>
        <v>11671110.50111958</v>
      </c>
      <c r="R91" s="65">
        <f t="shared" si="38"/>
        <v>12763526.444024369</v>
      </c>
      <c r="S91" s="65">
        <f t="shared" si="38"/>
        <v>16592319.490160089</v>
      </c>
      <c r="T91" s="65">
        <f t="shared" si="38"/>
        <v>18145360.594439071</v>
      </c>
      <c r="U91" s="65">
        <f t="shared" si="38"/>
        <v>19843766.346078567</v>
      </c>
      <c r="V91" s="65">
        <f t="shared" si="38"/>
        <v>21701142.876071516</v>
      </c>
      <c r="W91" s="65">
        <f t="shared" si="38"/>
        <v>23732369.849271808</v>
      </c>
      <c r="X91" s="65">
        <f t="shared" si="38"/>
        <v>25953719.667163648</v>
      </c>
      <c r="Y91" s="65">
        <f t="shared" si="38"/>
        <v>28382987.828010164</v>
      </c>
      <c r="Z91" s="65">
        <f t="shared" si="38"/>
        <v>31039635.488711908</v>
      </c>
      <c r="AA91" s="65">
        <f t="shared" si="38"/>
        <v>33944945.37045534</v>
      </c>
      <c r="AB91" s="65">
        <f t="shared" si="38"/>
        <v>37122192.25712996</v>
      </c>
      <c r="AC91" s="65">
        <f t="shared" si="38"/>
        <v>21235027.707086559</v>
      </c>
      <c r="AD91" s="65">
        <f t="shared" si="38"/>
        <v>23222626.30046986</v>
      </c>
      <c r="AE91" s="65">
        <f t="shared" si="38"/>
        <v>25396264.122193839</v>
      </c>
      <c r="AF91" s="65">
        <f t="shared" si="38"/>
        <v>27773354.444031179</v>
      </c>
      <c r="AG91" s="65">
        <f t="shared" si="38"/>
        <v>30372940.419992499</v>
      </c>
      <c r="AH91" s="65">
        <f t="shared" si="38"/>
        <v>33215847.643303793</v>
      </c>
      <c r="AI91" s="65">
        <f t="shared" si="38"/>
        <v>36324850.982717022</v>
      </c>
      <c r="AJ91" s="65">
        <f t="shared" si="38"/>
        <v>39724857.034699336</v>
      </c>
      <c r="AK91" s="65">
        <f t="shared" si="38"/>
        <v>43443103.653147191</v>
      </c>
      <c r="AL91" s="65">
        <f t="shared" si="38"/>
        <v>47509378.155081764</v>
      </c>
      <c r="AM91" s="65"/>
      <c r="AN91" s="65"/>
    </row>
    <row r="92" spans="4:40" ht="18">
      <c r="D92" s="15" t="s">
        <v>212</v>
      </c>
      <c r="E92" s="16"/>
      <c r="K92" s="70">
        <f>SUM(K93:K96)</f>
        <v>3539306.375</v>
      </c>
      <c r="L92" s="70">
        <f t="shared" ref="L92:AK92" si="39">SUM(L93:L96)</f>
        <v>3615442.7379177581</v>
      </c>
      <c r="M92" s="70">
        <f t="shared" si="39"/>
        <v>4122346.3830767944</v>
      </c>
      <c r="N92" s="70">
        <f t="shared" si="39"/>
        <v>11283241.373082571</v>
      </c>
      <c r="O92" s="70">
        <f t="shared" si="39"/>
        <v>13379653.530326771</v>
      </c>
      <c r="P92" s="70">
        <f t="shared" si="39"/>
        <v>14631989.100765355</v>
      </c>
      <c r="Q92" s="70">
        <f t="shared" si="39"/>
        <v>18559175.457791578</v>
      </c>
      <c r="R92" s="70">
        <f t="shared" si="39"/>
        <v>20078256.246467352</v>
      </c>
      <c r="S92" s="70">
        <f t="shared" si="39"/>
        <v>25772655.80715774</v>
      </c>
      <c r="T92" s="70">
        <f t="shared" si="39"/>
        <v>27883194.69157258</v>
      </c>
      <c r="U92" s="70">
        <f t="shared" si="39"/>
        <v>30167439.261336971</v>
      </c>
      <c r="V92" s="70">
        <f t="shared" si="39"/>
        <v>32639764.949015327</v>
      </c>
      <c r="W92" s="70">
        <f t="shared" si="39"/>
        <v>35315743.937512942</v>
      </c>
      <c r="X92" s="70">
        <f t="shared" si="39"/>
        <v>38212245.421486251</v>
      </c>
      <c r="Y92" s="70">
        <f t="shared" si="39"/>
        <v>41347544.324621797</v>
      </c>
      <c r="Z92" s="70">
        <f t="shared" si="39"/>
        <v>44741439.190893903</v>
      </c>
      <c r="AA92" s="70">
        <f t="shared" si="39"/>
        <v>48415380.029330589</v>
      </c>
      <c r="AB92" s="70">
        <f t="shared" si="39"/>
        <v>52392606.958528303</v>
      </c>
      <c r="AC92" s="70">
        <f t="shared" si="39"/>
        <v>56698300.569616668</v>
      </c>
      <c r="AD92" s="70">
        <f t="shared" si="39"/>
        <v>61359745.005084746</v>
      </c>
      <c r="AE92" s="70">
        <f t="shared" si="39"/>
        <v>66406504.836382627</v>
      </c>
      <c r="AF92" s="70">
        <f t="shared" si="39"/>
        <v>71870616.916096941</v>
      </c>
      <c r="AG92" s="70">
        <f t="shared" si="39"/>
        <v>77786798.481407776</v>
      </c>
      <c r="AH92" s="70">
        <f t="shared" si="39"/>
        <v>84192672.895166889</v>
      </c>
      <c r="AI92" s="70">
        <f t="shared" si="39"/>
        <v>91129014.53004989</v>
      </c>
      <c r="AJ92" s="70">
        <f t="shared" si="39"/>
        <v>98640014.4306577</v>
      </c>
      <c r="AK92" s="70">
        <f t="shared" si="39"/>
        <v>106773568.52906939</v>
      </c>
      <c r="AL92" s="70">
        <f>SUM(AL93:AL96)</f>
        <v>115581590.3421609</v>
      </c>
    </row>
    <row r="93" spans="4:40">
      <c r="D93" s="7" t="s">
        <v>122</v>
      </c>
      <c r="E93" s="16" t="s">
        <v>211</v>
      </c>
      <c r="K93" s="65">
        <f>K47*K75</f>
        <v>634463.375</v>
      </c>
      <c r="L93" s="65">
        <f t="shared" ref="L93:AL94" si="40">L47*L75</f>
        <v>655173.25486669422</v>
      </c>
      <c r="M93" s="65">
        <f t="shared" si="40"/>
        <v>747031.91096420691</v>
      </c>
      <c r="N93" s="65">
        <f t="shared" si="40"/>
        <v>2044695.0793380849</v>
      </c>
      <c r="O93" s="65">
        <f t="shared" si="40"/>
        <v>2424596.8717793724</v>
      </c>
      <c r="P93" s="65">
        <f t="shared" si="40"/>
        <v>2651539.1389779216</v>
      </c>
      <c r="Q93" s="65">
        <f t="shared" si="40"/>
        <v>3406702.324642356</v>
      </c>
      <c r="R93" s="65">
        <f t="shared" si="40"/>
        <v>3725569.66222888</v>
      </c>
      <c r="S93" s="65">
        <f t="shared" si="40"/>
        <v>4843163.2425136184</v>
      </c>
      <c r="T93" s="65">
        <f t="shared" si="40"/>
        <v>5296483.3220128929</v>
      </c>
      <c r="U93" s="65">
        <f t="shared" si="40"/>
        <v>5792234.1609532991</v>
      </c>
      <c r="V93" s="65">
        <f t="shared" si="40"/>
        <v>6334387.278418527</v>
      </c>
      <c r="W93" s="65">
        <f t="shared" si="40"/>
        <v>6927285.9276785003</v>
      </c>
      <c r="X93" s="65">
        <f t="shared" si="40"/>
        <v>7575679.8905092077</v>
      </c>
      <c r="Y93" s="65">
        <f t="shared" si="40"/>
        <v>8284763.528260868</v>
      </c>
      <c r="Z93" s="65">
        <f t="shared" si="40"/>
        <v>9060217.3945060838</v>
      </c>
      <c r="AA93" s="65">
        <f t="shared" si="40"/>
        <v>9908253.7426318526</v>
      </c>
      <c r="AB93" s="65">
        <f t="shared" si="40"/>
        <v>10835666.292942192</v>
      </c>
      <c r="AC93" s="65">
        <f t="shared" si="40"/>
        <v>11849884.657961581</v>
      </c>
      <c r="AD93" s="65">
        <f t="shared" si="40"/>
        <v>12959033.861946784</v>
      </c>
      <c r="AE93" s="65">
        <f t="shared" si="40"/>
        <v>14171999.431425001</v>
      </c>
      <c r="AF93" s="65">
        <f t="shared" si="40"/>
        <v>15498498.578206381</v>
      </c>
      <c r="AG93" s="65">
        <f t="shared" si="40"/>
        <v>16949158.045126498</v>
      </c>
      <c r="AH93" s="65">
        <f t="shared" si="40"/>
        <v>18535599.238150336</v>
      </c>
      <c r="AI93" s="65">
        <f t="shared" si="40"/>
        <v>20270531.326841202</v>
      </c>
      <c r="AJ93" s="65">
        <f t="shared" si="40"/>
        <v>22167853.059033539</v>
      </c>
      <c r="AK93" s="65">
        <f t="shared" si="40"/>
        <v>24242764.105359074</v>
      </c>
      <c r="AL93" s="65">
        <f t="shared" si="40"/>
        <v>26511886.825620685</v>
      </c>
    </row>
    <row r="94" spans="4:40">
      <c r="D94" s="7" t="s">
        <v>123</v>
      </c>
      <c r="E94" s="16" t="s">
        <v>211</v>
      </c>
      <c r="K94" s="65">
        <f>K48*K76</f>
        <v>2857365</v>
      </c>
      <c r="L94" s="65">
        <f t="shared" si="40"/>
        <v>2911241.7266505295</v>
      </c>
      <c r="M94" s="65">
        <f t="shared" si="40"/>
        <v>3319412.7723986227</v>
      </c>
      <c r="N94" s="65">
        <f t="shared" si="40"/>
        <v>9085538.1977660321</v>
      </c>
      <c r="O94" s="65">
        <f t="shared" si="40"/>
        <v>10773619.849404017</v>
      </c>
      <c r="P94" s="65">
        <f t="shared" si="40"/>
        <v>11782030.667308232</v>
      </c>
      <c r="Q94" s="65">
        <f t="shared" si="40"/>
        <v>14935481.792706767</v>
      </c>
      <c r="R94" s="65">
        <f t="shared" si="40"/>
        <v>16115384.854330601</v>
      </c>
      <c r="S94" s="65">
        <f t="shared" si="40"/>
        <v>20669979.392816875</v>
      </c>
      <c r="T94" s="65">
        <f t="shared" si="40"/>
        <v>22302907.764849409</v>
      </c>
      <c r="U94" s="65">
        <f t="shared" si="40"/>
        <v>24064837.478272513</v>
      </c>
      <c r="V94" s="65">
        <f t="shared" si="40"/>
        <v>25965959.639056038</v>
      </c>
      <c r="W94" s="65">
        <f t="shared" si="40"/>
        <v>28017270.450541463</v>
      </c>
      <c r="X94" s="65">
        <f t="shared" si="40"/>
        <v>30230634.816134237</v>
      </c>
      <c r="Y94" s="65">
        <f t="shared" si="40"/>
        <v>32618854.966608841</v>
      </c>
      <c r="Z94" s="65">
        <f t="shared" si="40"/>
        <v>35195744.508970939</v>
      </c>
      <c r="AA94" s="65">
        <f t="shared" si="40"/>
        <v>37976208.325179636</v>
      </c>
      <c r="AB94" s="65">
        <f t="shared" si="40"/>
        <v>40976328.782868825</v>
      </c>
      <c r="AC94" s="65">
        <f t="shared" si="40"/>
        <v>44213458.756715462</v>
      </c>
      <c r="AD94" s="65">
        <f t="shared" si="40"/>
        <v>47706321.998495981</v>
      </c>
      <c r="AE94" s="65">
        <f t="shared" si="40"/>
        <v>51475121.436377153</v>
      </c>
      <c r="AF94" s="65">
        <f t="shared" si="40"/>
        <v>55541656.029850952</v>
      </c>
      <c r="AG94" s="65">
        <f t="shared" si="40"/>
        <v>59929446.856209174</v>
      </c>
      <c r="AH94" s="65">
        <f t="shared" si="40"/>
        <v>64663873.157849699</v>
      </c>
      <c r="AI94" s="65">
        <f t="shared" si="40"/>
        <v>69772319.137319818</v>
      </c>
      <c r="AJ94" s="65">
        <f t="shared" si="40"/>
        <v>75284332.349168092</v>
      </c>
      <c r="AK94" s="65">
        <f t="shared" si="40"/>
        <v>81231794.604752362</v>
      </c>
      <c r="AL94" s="65">
        <f t="shared" si="40"/>
        <v>87649106.37852779</v>
      </c>
    </row>
    <row r="95" spans="4:40">
      <c r="D95" s="63" t="s">
        <v>124</v>
      </c>
      <c r="E95" s="16" t="s">
        <v>211</v>
      </c>
      <c r="K95" s="65">
        <f>K77*K50</f>
        <v>47477.999999999993</v>
      </c>
      <c r="L95" s="65">
        <f t="shared" ref="L95:AL95" si="41">L77*L50</f>
        <v>49027.756400534403</v>
      </c>
      <c r="M95" s="65">
        <f t="shared" si="41"/>
        <v>55901.699713964757</v>
      </c>
      <c r="N95" s="65">
        <f t="shared" si="41"/>
        <v>153008.09597845364</v>
      </c>
      <c r="O95" s="65">
        <f t="shared" si="41"/>
        <v>181436.80914338207</v>
      </c>
      <c r="P95" s="65">
        <f t="shared" si="41"/>
        <v>198419.2944792026</v>
      </c>
      <c r="Q95" s="65">
        <f t="shared" si="41"/>
        <v>216991.34044245596</v>
      </c>
      <c r="R95" s="65">
        <f t="shared" si="41"/>
        <v>237301.7299078698</v>
      </c>
      <c r="S95" s="65">
        <f t="shared" si="41"/>
        <v>259513.17182724643</v>
      </c>
      <c r="T95" s="65">
        <f t="shared" si="41"/>
        <v>283803.60471027665</v>
      </c>
      <c r="U95" s="65">
        <f t="shared" si="41"/>
        <v>310367.62211115856</v>
      </c>
      <c r="V95" s="65">
        <f t="shared" si="41"/>
        <v>339418.03154076292</v>
      </c>
      <c r="W95" s="65">
        <f t="shared" si="41"/>
        <v>371187.55929297832</v>
      </c>
      <c r="X95" s="65">
        <f t="shared" si="41"/>
        <v>405930.7148428011</v>
      </c>
      <c r="Y95" s="65">
        <f t="shared" si="41"/>
        <v>443925.82975208719</v>
      </c>
      <c r="Z95" s="65">
        <f t="shared" si="41"/>
        <v>485477.28741688252</v>
      </c>
      <c r="AA95" s="65">
        <f t="shared" si="41"/>
        <v>530917.96151910268</v>
      </c>
      <c r="AB95" s="65">
        <f t="shared" si="41"/>
        <v>580611.88271729066</v>
      </c>
      <c r="AC95" s="65">
        <f t="shared" si="41"/>
        <v>634957.15493962902</v>
      </c>
      <c r="AD95" s="65">
        <f t="shared" si="41"/>
        <v>694389.14464197832</v>
      </c>
      <c r="AE95" s="65">
        <f t="shared" si="41"/>
        <v>759383.96858046739</v>
      </c>
      <c r="AF95" s="65">
        <f t="shared" si="41"/>
        <v>830462.30803959921</v>
      </c>
      <c r="AG95" s="65">
        <f t="shared" si="41"/>
        <v>908193.58007210563</v>
      </c>
      <c r="AH95" s="65">
        <f t="shared" si="41"/>
        <v>993200.49916685466</v>
      </c>
      <c r="AI95" s="65">
        <f t="shared" si="41"/>
        <v>1086164.0658888721</v>
      </c>
      <c r="AJ95" s="65">
        <f t="shared" si="41"/>
        <v>1187829.0224560704</v>
      </c>
      <c r="AK95" s="65">
        <f t="shared" si="41"/>
        <v>1299009.8189579586</v>
      </c>
      <c r="AL95" s="65">
        <f t="shared" si="41"/>
        <v>1420597.1380124234</v>
      </c>
    </row>
    <row r="96" spans="4:40">
      <c r="D96" s="7" t="s">
        <v>233</v>
      </c>
      <c r="E96" s="16" t="s">
        <v>211</v>
      </c>
      <c r="W96"/>
      <c r="AB96"/>
    </row>
    <row r="97" spans="4:40" ht="18">
      <c r="D97" s="15" t="s">
        <v>234</v>
      </c>
      <c r="K97" s="69">
        <f>SUM(K98:K99)</f>
        <v>1742558.4</v>
      </c>
      <c r="L97" s="69">
        <f t="shared" ref="L97:AK97" si="42">SUM(L98:L99)</f>
        <v>1750689.2990336004</v>
      </c>
      <c r="M97" s="69">
        <f t="shared" si="42"/>
        <v>1936490.0635776964</v>
      </c>
      <c r="N97" s="69">
        <f t="shared" si="42"/>
        <v>5423644.0497468477</v>
      </c>
      <c r="O97" s="69">
        <f t="shared" si="42"/>
        <v>6896688.4326810278</v>
      </c>
      <c r="P97" s="69">
        <f t="shared" si="42"/>
        <v>7310489.7386418898</v>
      </c>
      <c r="Q97" s="69">
        <f t="shared" si="42"/>
        <v>10648675.065098453</v>
      </c>
      <c r="R97" s="69">
        <f t="shared" si="42"/>
        <v>11287595.569004361</v>
      </c>
      <c r="S97" s="69">
        <f t="shared" si="42"/>
        <v>16096228.569996506</v>
      </c>
      <c r="T97" s="69">
        <f t="shared" si="42"/>
        <v>17062002.284196295</v>
      </c>
      <c r="U97" s="69">
        <f t="shared" si="42"/>
        <v>18085722.421248075</v>
      </c>
      <c r="V97" s="69">
        <f t="shared" si="42"/>
        <v>19170865.766522963</v>
      </c>
      <c r="W97" s="69">
        <f t="shared" si="42"/>
        <v>20321117.712514341</v>
      </c>
      <c r="X97" s="69">
        <f t="shared" si="42"/>
        <v>21540384.775265198</v>
      </c>
      <c r="Y97" s="69">
        <f t="shared" si="42"/>
        <v>22832807.861781113</v>
      </c>
      <c r="Z97" s="69">
        <f t="shared" si="42"/>
        <v>24202776.33348798</v>
      </c>
      <c r="AA97" s="69">
        <f t="shared" si="42"/>
        <v>25654942.913497262</v>
      </c>
      <c r="AB97" s="69">
        <f t="shared" si="42"/>
        <v>27194239.4883071</v>
      </c>
      <c r="AC97" s="69">
        <f t="shared" si="42"/>
        <v>28825893.857605524</v>
      </c>
      <c r="AD97" s="69">
        <f t="shared" si="42"/>
        <v>30555447.489061855</v>
      </c>
      <c r="AE97" s="69">
        <f t="shared" si="42"/>
        <v>32388774.338405572</v>
      </c>
      <c r="AF97" s="69">
        <f t="shared" si="42"/>
        <v>34332100.798709907</v>
      </c>
      <c r="AG97" s="69">
        <f t="shared" si="42"/>
        <v>36392026.846632503</v>
      </c>
      <c r="AH97" s="69">
        <f t="shared" si="42"/>
        <v>38575548.45743046</v>
      </c>
      <c r="AI97" s="69">
        <f t="shared" si="42"/>
        <v>40890081.364876293</v>
      </c>
      <c r="AJ97" s="69">
        <f t="shared" si="42"/>
        <v>43343486.246768862</v>
      </c>
      <c r="AK97" s="69">
        <f t="shared" si="42"/>
        <v>45944095.421575002</v>
      </c>
      <c r="AL97" s="69">
        <f>SUM(AL98:AL99)</f>
        <v>48700741.146869503</v>
      </c>
    </row>
    <row r="98" spans="4:40">
      <c r="D98" s="7" t="s">
        <v>236</v>
      </c>
      <c r="E98" s="16" t="s">
        <v>211</v>
      </c>
      <c r="K98" s="65">
        <f t="shared" ref="K98:AK98" si="43">K59*K72</f>
        <v>1501269.7999999998</v>
      </c>
      <c r="L98" s="65">
        <f t="shared" si="43"/>
        <v>1508307.4736136002</v>
      </c>
      <c r="M98" s="65">
        <f t="shared" si="43"/>
        <v>1667172.0942583524</v>
      </c>
      <c r="N98" s="65">
        <f t="shared" si="43"/>
        <v>4669962.6426580157</v>
      </c>
      <c r="O98" s="65">
        <f t="shared" si="43"/>
        <v>5938309.5651668655</v>
      </c>
      <c r="P98" s="65">
        <f t="shared" si="43"/>
        <v>6294608.1390768783</v>
      </c>
      <c r="Q98" s="65">
        <f t="shared" si="43"/>
        <v>9168911.9513908401</v>
      </c>
      <c r="R98" s="65">
        <f t="shared" si="43"/>
        <v>9719046.6684742905</v>
      </c>
      <c r="S98" s="65">
        <f t="shared" si="43"/>
        <v>13859461.539161459</v>
      </c>
      <c r="T98" s="65">
        <f t="shared" si="43"/>
        <v>14691029.231511148</v>
      </c>
      <c r="U98" s="65">
        <f t="shared" si="43"/>
        <v>15572490.985401817</v>
      </c>
      <c r="V98" s="65">
        <f t="shared" si="43"/>
        <v>16506840.444525927</v>
      </c>
      <c r="W98" s="65">
        <f t="shared" si="43"/>
        <v>17497250.871197484</v>
      </c>
      <c r="X98" s="65">
        <f t="shared" si="43"/>
        <v>18547085.923469331</v>
      </c>
      <c r="Y98" s="65">
        <f t="shared" si="43"/>
        <v>19659911.078877494</v>
      </c>
      <c r="Z98" s="65">
        <f t="shared" si="43"/>
        <v>20839505.743610144</v>
      </c>
      <c r="AA98" s="65">
        <f t="shared" si="43"/>
        <v>22089876.088226754</v>
      </c>
      <c r="AB98" s="65">
        <f t="shared" si="43"/>
        <v>23415268.653520361</v>
      </c>
      <c r="AC98" s="65">
        <f t="shared" si="43"/>
        <v>24820184.77273158</v>
      </c>
      <c r="AD98" s="65">
        <f t="shared" si="43"/>
        <v>26309395.859095477</v>
      </c>
      <c r="AE98" s="65">
        <f t="shared" si="43"/>
        <v>27887959.610641208</v>
      </c>
      <c r="AF98" s="65">
        <f t="shared" si="43"/>
        <v>29561237.187279683</v>
      </c>
      <c r="AG98" s="65">
        <f t="shared" si="43"/>
        <v>31334911.418516465</v>
      </c>
      <c r="AH98" s="65">
        <f t="shared" si="43"/>
        <v>33215006.103627458</v>
      </c>
      <c r="AI98" s="65">
        <f t="shared" si="43"/>
        <v>35207906.469845109</v>
      </c>
      <c r="AJ98" s="65">
        <f t="shared" si="43"/>
        <v>37320380.85803581</v>
      </c>
      <c r="AK98" s="65">
        <f t="shared" si="43"/>
        <v>39559603.709517963</v>
      </c>
      <c r="AL98" s="65">
        <f>AL59*AL72</f>
        <v>41933179.932089046</v>
      </c>
    </row>
    <row r="99" spans="4:40">
      <c r="D99" s="7" t="s">
        <v>237</v>
      </c>
      <c r="E99" s="16" t="s">
        <v>211</v>
      </c>
      <c r="K99" s="106">
        <f t="shared" ref="K99:AL99" si="44">K59*K73</f>
        <v>241288.6</v>
      </c>
      <c r="L99" s="106">
        <f t="shared" si="44"/>
        <v>242381.82542000004</v>
      </c>
      <c r="M99" s="106">
        <f t="shared" si="44"/>
        <v>269317.96931934403</v>
      </c>
      <c r="N99" s="106">
        <f t="shared" si="44"/>
        <v>753681.407088832</v>
      </c>
      <c r="O99" s="106">
        <f t="shared" si="44"/>
        <v>958378.86751416209</v>
      </c>
      <c r="P99" s="106">
        <f t="shared" si="44"/>
        <v>1015881.5995650118</v>
      </c>
      <c r="Q99" s="106">
        <f t="shared" si="44"/>
        <v>1479763.1137076125</v>
      </c>
      <c r="R99" s="106">
        <f t="shared" si="44"/>
        <v>1568548.9005300694</v>
      </c>
      <c r="S99" s="106">
        <f t="shared" si="44"/>
        <v>2236767.0308350464</v>
      </c>
      <c r="T99" s="106">
        <f t="shared" si="44"/>
        <v>2370973.052685149</v>
      </c>
      <c r="U99" s="106">
        <f t="shared" si="44"/>
        <v>2513231.4358462584</v>
      </c>
      <c r="V99" s="106">
        <f t="shared" si="44"/>
        <v>2664025.3219970339</v>
      </c>
      <c r="W99" s="106">
        <f t="shared" si="44"/>
        <v>2823866.8413168564</v>
      </c>
      <c r="X99" s="106">
        <f t="shared" si="44"/>
        <v>2993298.851795868</v>
      </c>
      <c r="Y99" s="106">
        <f t="shared" si="44"/>
        <v>3172896.78290362</v>
      </c>
      <c r="Z99" s="106">
        <f t="shared" si="44"/>
        <v>3363270.5898778373</v>
      </c>
      <c r="AA99" s="106">
        <f t="shared" si="44"/>
        <v>3565066.8252705075</v>
      </c>
      <c r="AB99" s="106">
        <f t="shared" si="44"/>
        <v>3778970.8347867378</v>
      </c>
      <c r="AC99" s="106">
        <f t="shared" si="44"/>
        <v>4005709.0848739427</v>
      </c>
      <c r="AD99" s="106">
        <f t="shared" si="44"/>
        <v>4246051.6299663791</v>
      </c>
      <c r="AE99" s="106">
        <f t="shared" si="44"/>
        <v>4500814.7277643625</v>
      </c>
      <c r="AF99" s="106">
        <f t="shared" si="44"/>
        <v>4770863.611430225</v>
      </c>
      <c r="AG99" s="106">
        <f t="shared" si="44"/>
        <v>5057115.4281160384</v>
      </c>
      <c r="AH99" s="106">
        <f t="shared" si="44"/>
        <v>5360542.3538030013</v>
      </c>
      <c r="AI99" s="106">
        <f t="shared" si="44"/>
        <v>5682174.8950311812</v>
      </c>
      <c r="AJ99" s="106">
        <f t="shared" si="44"/>
        <v>6023105.3887330526</v>
      </c>
      <c r="AK99" s="106">
        <f t="shared" si="44"/>
        <v>6384491.7120570363</v>
      </c>
      <c r="AL99" s="106">
        <f t="shared" si="44"/>
        <v>6767561.2147804592</v>
      </c>
    </row>
    <row r="100" spans="4:40" ht="18">
      <c r="D100" s="15" t="s">
        <v>428</v>
      </c>
      <c r="K100" s="69">
        <f>SUM(K101)</f>
        <v>0</v>
      </c>
      <c r="L100" s="69">
        <f t="shared" ref="L100:AK100" si="45">SUM(L101)</f>
        <v>0</v>
      </c>
      <c r="M100" s="69">
        <f t="shared" si="45"/>
        <v>0</v>
      </c>
      <c r="N100" s="69">
        <f t="shared" si="45"/>
        <v>0</v>
      </c>
      <c r="O100" s="69">
        <f t="shared" si="45"/>
        <v>0</v>
      </c>
      <c r="P100" s="69">
        <f t="shared" si="45"/>
        <v>0</v>
      </c>
      <c r="Q100" s="69">
        <f t="shared" si="45"/>
        <v>50000</v>
      </c>
      <c r="R100" s="69">
        <f t="shared" si="45"/>
        <v>50000</v>
      </c>
      <c r="S100" s="69">
        <f t="shared" si="45"/>
        <v>50000</v>
      </c>
      <c r="T100" s="69">
        <f t="shared" si="45"/>
        <v>50000</v>
      </c>
      <c r="U100" s="69">
        <f t="shared" si="45"/>
        <v>50000</v>
      </c>
      <c r="V100" s="69">
        <f t="shared" si="45"/>
        <v>50000</v>
      </c>
      <c r="W100" s="69">
        <f t="shared" si="45"/>
        <v>50000</v>
      </c>
      <c r="X100" s="69">
        <f t="shared" si="45"/>
        <v>50000</v>
      </c>
      <c r="Y100" s="69">
        <f t="shared" si="45"/>
        <v>50000</v>
      </c>
      <c r="Z100" s="69">
        <f t="shared" si="45"/>
        <v>50000</v>
      </c>
      <c r="AA100" s="69">
        <f t="shared" si="45"/>
        <v>50000</v>
      </c>
      <c r="AB100" s="69">
        <f t="shared" si="45"/>
        <v>50000</v>
      </c>
      <c r="AC100" s="69">
        <f t="shared" si="45"/>
        <v>50000</v>
      </c>
      <c r="AD100" s="69">
        <f t="shared" si="45"/>
        <v>50000</v>
      </c>
      <c r="AE100" s="69">
        <f t="shared" si="45"/>
        <v>50000</v>
      </c>
      <c r="AF100" s="69">
        <f t="shared" si="45"/>
        <v>50000</v>
      </c>
      <c r="AG100" s="69">
        <f t="shared" si="45"/>
        <v>50000</v>
      </c>
      <c r="AH100" s="69">
        <f t="shared" si="45"/>
        <v>50000</v>
      </c>
      <c r="AI100" s="69">
        <f t="shared" si="45"/>
        <v>50000</v>
      </c>
      <c r="AJ100" s="69">
        <f t="shared" si="45"/>
        <v>50000</v>
      </c>
      <c r="AK100" s="69">
        <f t="shared" si="45"/>
        <v>50000</v>
      </c>
      <c r="AL100" s="69">
        <f>SUM(AL101)</f>
        <v>50000</v>
      </c>
    </row>
    <row r="101" spans="4:40">
      <c r="D101" s="7" t="s">
        <v>429</v>
      </c>
      <c r="E101" s="16" t="s">
        <v>211</v>
      </c>
      <c r="K101" s="65">
        <f>K61*K74</f>
        <v>0</v>
      </c>
      <c r="L101" s="65">
        <f t="shared" ref="L101:P101" si="46">L61*L74</f>
        <v>0</v>
      </c>
      <c r="M101" s="65">
        <f t="shared" si="46"/>
        <v>0</v>
      </c>
      <c r="N101" s="65">
        <f t="shared" si="46"/>
        <v>0</v>
      </c>
      <c r="O101" s="65">
        <f t="shared" si="46"/>
        <v>0</v>
      </c>
      <c r="P101" s="65">
        <f t="shared" si="46"/>
        <v>0</v>
      </c>
      <c r="Q101" s="65">
        <f>Inputs!$E$200</f>
        <v>50000</v>
      </c>
      <c r="R101" s="65">
        <f>Inputs!$E$200</f>
        <v>50000</v>
      </c>
      <c r="S101" s="65">
        <f>Inputs!$E$200</f>
        <v>50000</v>
      </c>
      <c r="T101" s="65">
        <f>Inputs!$E$200</f>
        <v>50000</v>
      </c>
      <c r="U101" s="65">
        <f>Inputs!$E$200</f>
        <v>50000</v>
      </c>
      <c r="V101" s="65">
        <f>Inputs!$E$200</f>
        <v>50000</v>
      </c>
      <c r="W101" s="65">
        <f>Inputs!$E$200</f>
        <v>50000</v>
      </c>
      <c r="X101" s="65">
        <f>Inputs!$E$200</f>
        <v>50000</v>
      </c>
      <c r="Y101" s="65">
        <f>Inputs!$E$200</f>
        <v>50000</v>
      </c>
      <c r="Z101" s="65">
        <f>Inputs!$E$200</f>
        <v>50000</v>
      </c>
      <c r="AA101" s="65">
        <f>Inputs!$E$200</f>
        <v>50000</v>
      </c>
      <c r="AB101" s="65">
        <f>Inputs!$E$200</f>
        <v>50000</v>
      </c>
      <c r="AC101" s="65">
        <f>Inputs!$E$200</f>
        <v>50000</v>
      </c>
      <c r="AD101" s="65">
        <f>Inputs!$E$200</f>
        <v>50000</v>
      </c>
      <c r="AE101" s="65">
        <f>Inputs!$E$200</f>
        <v>50000</v>
      </c>
      <c r="AF101" s="65">
        <f>Inputs!$E$200</f>
        <v>50000</v>
      </c>
      <c r="AG101" s="65">
        <f>Inputs!$E$200</f>
        <v>50000</v>
      </c>
      <c r="AH101" s="65">
        <f>Inputs!$E$200</f>
        <v>50000</v>
      </c>
      <c r="AI101" s="65">
        <f>Inputs!$E$200</f>
        <v>50000</v>
      </c>
      <c r="AJ101" s="65">
        <f>Inputs!$E$200</f>
        <v>50000</v>
      </c>
      <c r="AK101" s="65">
        <f>Inputs!$E$200</f>
        <v>50000</v>
      </c>
      <c r="AL101" s="65">
        <f>Inputs!$E$200</f>
        <v>50000</v>
      </c>
    </row>
    <row r="102" spans="4:40">
      <c r="D102" s="23" t="s">
        <v>338</v>
      </c>
      <c r="E102" s="16" t="s">
        <v>211</v>
      </c>
      <c r="K102" s="70">
        <f>K97+K100+K92+K85</f>
        <v>9446804.7750000004</v>
      </c>
      <c r="L102" s="70">
        <f t="shared" ref="L102:AK102" si="47">L97+L100+L92+L85</f>
        <v>9561710.1156316809</v>
      </c>
      <c r="M102" s="70">
        <f t="shared" si="47"/>
        <v>10573824.57784687</v>
      </c>
      <c r="N102" s="70">
        <f t="shared" si="47"/>
        <v>27832572.701335274</v>
      </c>
      <c r="O102" s="70">
        <f t="shared" si="47"/>
        <v>28582831.733632736</v>
      </c>
      <c r="P102" s="70">
        <f t="shared" si="47"/>
        <v>31026456.052562669</v>
      </c>
      <c r="Q102" s="70">
        <f t="shared" si="47"/>
        <v>40928961.024009615</v>
      </c>
      <c r="R102" s="70">
        <f t="shared" si="47"/>
        <v>44179378.259496078</v>
      </c>
      <c r="S102" s="70">
        <f t="shared" si="47"/>
        <v>58511203.867314339</v>
      </c>
      <c r="T102" s="70">
        <f t="shared" si="47"/>
        <v>63140557.570207953</v>
      </c>
      <c r="U102" s="70">
        <f t="shared" si="47"/>
        <v>68146928.028663605</v>
      </c>
      <c r="V102" s="70">
        <f t="shared" si="47"/>
        <v>73561773.591609806</v>
      </c>
      <c r="W102" s="70">
        <f t="shared" si="47"/>
        <v>79419231.499299094</v>
      </c>
      <c r="X102" s="70">
        <f t="shared" si="47"/>
        <v>85756349.863915086</v>
      </c>
      <c r="Y102" s="70">
        <f t="shared" si="47"/>
        <v>92613340.014413074</v>
      </c>
      <c r="Z102" s="70">
        <f t="shared" si="47"/>
        <v>100033851.01309378</v>
      </c>
      <c r="AA102" s="70">
        <f t="shared" si="47"/>
        <v>108065268.31328319</v>
      </c>
      <c r="AB102" s="70">
        <f t="shared" si="47"/>
        <v>116759038.70396537</v>
      </c>
      <c r="AC102" s="70">
        <f t="shared" si="47"/>
        <v>133197861.35617357</v>
      </c>
      <c r="AD102" s="70">
        <f t="shared" si="47"/>
        <v>143159776.36979318</v>
      </c>
      <c r="AE102" s="70">
        <f t="shared" si="47"/>
        <v>153891818.32666937</v>
      </c>
      <c r="AF102" s="70">
        <f t="shared" si="47"/>
        <v>165455363.6903066</v>
      </c>
      <c r="AG102" s="70">
        <f t="shared" si="47"/>
        <v>177916814.77138945</v>
      </c>
      <c r="AH102" s="70">
        <f t="shared" si="47"/>
        <v>191348020.96065924</v>
      </c>
      <c r="AI102" s="70">
        <f t="shared" si="47"/>
        <v>205826735.9602868</v>
      </c>
      <c r="AJ102" s="70">
        <f t="shared" si="47"/>
        <v>221437114.1397281</v>
      </c>
      <c r="AK102" s="70">
        <f t="shared" si="47"/>
        <v>238270249.41704991</v>
      </c>
      <c r="AL102" s="70">
        <f>AL97+AL100+AL92+AL85</f>
        <v>256424760.366166</v>
      </c>
    </row>
    <row r="103" spans="4:40" s="110" customFormat="1">
      <c r="D103" s="143" t="s">
        <v>468</v>
      </c>
      <c r="E103" s="112" t="s">
        <v>211</v>
      </c>
      <c r="K103" s="144">
        <f>K85+K97</f>
        <v>5907498.4000000004</v>
      </c>
      <c r="L103" s="144">
        <f>L85+L97</f>
        <v>5946267.3777139224</v>
      </c>
      <c r="M103" s="144">
        <f t="shared" ref="M103:AK103" si="48">M85+M97</f>
        <v>6451478.1947700763</v>
      </c>
      <c r="N103" s="144">
        <f t="shared" si="48"/>
        <v>16549331.328252703</v>
      </c>
      <c r="O103" s="144">
        <f t="shared" si="48"/>
        <v>15203178.203305963</v>
      </c>
      <c r="P103" s="144">
        <f t="shared" si="48"/>
        <v>16394466.951797318</v>
      </c>
      <c r="Q103" s="144">
        <f t="shared" si="48"/>
        <v>22319785.566218033</v>
      </c>
      <c r="R103" s="144">
        <f t="shared" si="48"/>
        <v>24051122.01302873</v>
      </c>
      <c r="S103" s="144">
        <f t="shared" si="48"/>
        <v>32688548.060156595</v>
      </c>
      <c r="T103" s="144">
        <f t="shared" si="48"/>
        <v>35207362.878635362</v>
      </c>
      <c r="U103" s="144">
        <f t="shared" si="48"/>
        <v>37929488.767326638</v>
      </c>
      <c r="V103" s="144">
        <f t="shared" si="48"/>
        <v>40872008.642594479</v>
      </c>
      <c r="W103" s="144">
        <f t="shared" si="48"/>
        <v>44053487.561786145</v>
      </c>
      <c r="X103" s="144">
        <f t="shared" si="48"/>
        <v>47494104.442428842</v>
      </c>
      <c r="Y103" s="144">
        <f t="shared" si="48"/>
        <v>51215795.689791277</v>
      </c>
      <c r="Z103" s="144">
        <f t="shared" si="48"/>
        <v>55242411.822199889</v>
      </c>
      <c r="AA103" s="144">
        <f t="shared" si="48"/>
        <v>59599888.283952601</v>
      </c>
      <c r="AB103" s="144">
        <f t="shared" si="48"/>
        <v>64316431.745437056</v>
      </c>
      <c r="AC103" s="144">
        <f t="shared" si="48"/>
        <v>76449560.786556914</v>
      </c>
      <c r="AD103" s="144">
        <f t="shared" si="48"/>
        <v>81750031.364708424</v>
      </c>
      <c r="AE103" s="144">
        <f t="shared" si="48"/>
        <v>87435313.490286738</v>
      </c>
      <c r="AF103" s="144">
        <f t="shared" si="48"/>
        <v>93534746.774209648</v>
      </c>
      <c r="AG103" s="144">
        <f t="shared" si="48"/>
        <v>100080016.28998169</v>
      </c>
      <c r="AH103" s="144">
        <f t="shared" si="48"/>
        <v>107105348.06549233</v>
      </c>
      <c r="AI103" s="144">
        <f t="shared" si="48"/>
        <v>114647721.43023691</v>
      </c>
      <c r="AJ103" s="144">
        <f t="shared" si="48"/>
        <v>122747099.70907038</v>
      </c>
      <c r="AK103" s="144">
        <f t="shared" si="48"/>
        <v>131446680.88798052</v>
      </c>
      <c r="AL103" s="144">
        <f>AL85+AL97</f>
        <v>140793170.02400512</v>
      </c>
      <c r="AM103" s="122">
        <f>SUM(M103:AL103)/10^6</f>
        <v>1625.5785789742104</v>
      </c>
      <c r="AN103" s="122">
        <f>'BaU Model'!AM92-'Initiative 3 Model'!AM103</f>
        <v>-21.775333566477912</v>
      </c>
    </row>
    <row r="105" spans="4:40">
      <c r="D105" s="110" t="s">
        <v>241</v>
      </c>
      <c r="E105" s="112" t="s">
        <v>337</v>
      </c>
      <c r="F105" s="110"/>
      <c r="G105" s="110"/>
      <c r="H105" s="110"/>
      <c r="I105" s="110"/>
      <c r="J105" s="110"/>
      <c r="K105" s="113">
        <f t="shared" ref="K105:AL105" si="49">K102/K26</f>
        <v>48.947175000000001</v>
      </c>
      <c r="L105" s="113">
        <f t="shared" si="49"/>
        <v>52.467112299999997</v>
      </c>
      <c r="M105" s="113">
        <f t="shared" si="49"/>
        <v>55.649234971279995</v>
      </c>
      <c r="N105" s="113">
        <f t="shared" si="49"/>
        <v>58.526095696191916</v>
      </c>
      <c r="O105" s="113">
        <f t="shared" si="49"/>
        <v>55.430521746398021</v>
      </c>
      <c r="P105" s="113">
        <f t="shared" si="49"/>
        <v>60.169428381428531</v>
      </c>
      <c r="Q105" s="113">
        <f t="shared" si="49"/>
        <v>67.561112275778328</v>
      </c>
      <c r="R105" s="113">
        <f t="shared" si="49"/>
        <v>72.92655030048175</v>
      </c>
      <c r="S105" s="113">
        <f t="shared" si="49"/>
        <v>81.250714143972701</v>
      </c>
      <c r="T105" s="113">
        <f t="shared" si="49"/>
        <v>87.679197400583149</v>
      </c>
      <c r="U105" s="113">
        <f t="shared" si="49"/>
        <v>94.631219374720672</v>
      </c>
      <c r="V105" s="113">
        <f t="shared" si="49"/>
        <v>102.15046423535277</v>
      </c>
      <c r="W105" s="113">
        <f t="shared" si="49"/>
        <v>110.2843361540927</v>
      </c>
      <c r="X105" s="113">
        <f t="shared" si="49"/>
        <v>119.08428144162362</v>
      </c>
      <c r="Y105" s="113">
        <f t="shared" si="49"/>
        <v>128.6061389626133</v>
      </c>
      <c r="Z105" s="113">
        <f t="shared" si="49"/>
        <v>138.91052133907672</v>
      </c>
      <c r="AA105" s="113">
        <f t="shared" si="49"/>
        <v>150.06322967692688</v>
      </c>
      <c r="AB105" s="113">
        <f t="shared" si="49"/>
        <v>162.13570479551262</v>
      </c>
      <c r="AC105" s="113">
        <f t="shared" si="49"/>
        <v>184.96323169458171</v>
      </c>
      <c r="AD105" s="113">
        <f t="shared" si="49"/>
        <v>198.79669700720214</v>
      </c>
      <c r="AE105" s="113">
        <f t="shared" si="49"/>
        <v>213.69958766036095</v>
      </c>
      <c r="AF105" s="113">
        <f t="shared" si="49"/>
        <v>229.7571331684376</v>
      </c>
      <c r="AG105" s="113">
        <f t="shared" si="49"/>
        <v>247.06154211384589</v>
      </c>
      <c r="AH105" s="113">
        <f t="shared" si="49"/>
        <v>265.71258708581132</v>
      </c>
      <c r="AI105" s="113">
        <f t="shared" si="49"/>
        <v>285.81823960792519</v>
      </c>
      <c r="AJ105" s="113">
        <f t="shared" si="49"/>
        <v>307.49535939533098</v>
      </c>
      <c r="AK105" s="113">
        <f t="shared" si="49"/>
        <v>330.87044266427273</v>
      </c>
      <c r="AL105" s="113">
        <f t="shared" si="49"/>
        <v>356.08043463256752</v>
      </c>
    </row>
    <row r="106" spans="4:40">
      <c r="D106" s="7" t="s">
        <v>241</v>
      </c>
      <c r="E106" s="16" t="s">
        <v>320</v>
      </c>
      <c r="K106" s="65">
        <f>(K97+K92+K85)/Inputs!F34</f>
        <v>3.1326192000000002</v>
      </c>
      <c r="L106" s="65">
        <f>(L97+L92+L85)/Inputs!G34</f>
        <v>3.0430925134000004</v>
      </c>
      <c r="M106" s="65">
        <f>(M97+M92+M85)/Inputs!H34</f>
        <v>3.8397972130183198</v>
      </c>
      <c r="N106" s="65">
        <f t="shared" ref="N106:AL106" si="50">(N97+N92+N85)/N65</f>
        <v>8.6865096644803792</v>
      </c>
      <c r="O106" s="65">
        <f t="shared" si="50"/>
        <v>8.9206645306096934</v>
      </c>
      <c r="P106" s="65">
        <f t="shared" si="50"/>
        <v>9.6833164956479738</v>
      </c>
      <c r="Q106" s="65">
        <f t="shared" si="50"/>
        <v>12.758270455966166</v>
      </c>
      <c r="R106" s="65">
        <f t="shared" si="50"/>
        <v>13.772721438727531</v>
      </c>
      <c r="S106" s="65">
        <f t="shared" si="50"/>
        <v>18.245665531530999</v>
      </c>
      <c r="T106" s="65">
        <f t="shared" si="50"/>
        <v>19.690480788532167</v>
      </c>
      <c r="U106" s="65">
        <f t="shared" si="50"/>
        <v>21.252962483559152</v>
      </c>
      <c r="V106" s="65">
        <f t="shared" si="50"/>
        <v>22.942928726311273</v>
      </c>
      <c r="W106" s="65">
        <f t="shared" si="50"/>
        <v>24.771033704978553</v>
      </c>
      <c r="X106" s="65">
        <f t="shared" si="50"/>
        <v>26.748840087086808</v>
      </c>
      <c r="Y106" s="65">
        <f t="shared" si="50"/>
        <v>28.888897775993517</v>
      </c>
      <c r="Z106" s="65">
        <f t="shared" si="50"/>
        <v>31.204829587152698</v>
      </c>
      <c r="AA106" s="65">
        <f t="shared" si="50"/>
        <v>17.480767448586192</v>
      </c>
      <c r="AB106" s="65">
        <f t="shared" si="50"/>
        <v>18.887733156527972</v>
      </c>
      <c r="AC106" s="65">
        <f t="shared" si="50"/>
        <v>21.548127750728725</v>
      </c>
      <c r="AD106" s="65">
        <f t="shared" si="50"/>
        <v>23.160325011495502</v>
      </c>
      <c r="AE106" s="65">
        <f t="shared" si="50"/>
        <v>24.897156596753454</v>
      </c>
      <c r="AF106" s="65">
        <f t="shared" si="50"/>
        <v>26.768555432672112</v>
      </c>
      <c r="AG106" s="65">
        <f t="shared" si="50"/>
        <v>28.785267808820084</v>
      </c>
      <c r="AH106" s="65">
        <f t="shared" si="50"/>
        <v>30.958921548841982</v>
      </c>
      <c r="AI106" s="65">
        <f t="shared" si="50"/>
        <v>33.302100006990763</v>
      </c>
      <c r="AJ106" s="65">
        <f t="shared" si="50"/>
        <v>35.828422396413004</v>
      </c>
      <c r="AK106" s="65">
        <f t="shared" si="50"/>
        <v>38.552630999589418</v>
      </c>
      <c r="AL106" s="65">
        <f t="shared" si="50"/>
        <v>41.490685859795541</v>
      </c>
      <c r="AN106" s="65">
        <f>'BaU Model'!AM92-'Initiative 3 Model'!AM103</f>
        <v>-21.775333566477912</v>
      </c>
    </row>
    <row r="107" spans="4:40">
      <c r="D107" s="7"/>
      <c r="E107" s="7"/>
      <c r="K107" s="65"/>
    </row>
    <row r="108" spans="4:40">
      <c r="D108" s="7" t="s">
        <v>469</v>
      </c>
      <c r="E108" s="7" t="s">
        <v>337</v>
      </c>
      <c r="K108" s="65">
        <f>K103/K26</f>
        <v>30.608800000000002</v>
      </c>
      <c r="L108" s="65">
        <f t="shared" ref="L108:AK108" si="51">L103/L26</f>
        <v>32.628418400000001</v>
      </c>
      <c r="M108" s="65">
        <f t="shared" si="51"/>
        <v>33.953639322240001</v>
      </c>
      <c r="N108" s="65">
        <f t="shared" si="51"/>
        <v>34.799792294401783</v>
      </c>
      <c r="O108" s="65">
        <f t="shared" si="51"/>
        <v>29.483436346200332</v>
      </c>
      <c r="P108" s="65">
        <f t="shared" si="51"/>
        <v>31.79369578777235</v>
      </c>
      <c r="Q108" s="65">
        <f t="shared" si="51"/>
        <v>36.843093518204981</v>
      </c>
      <c r="R108" s="65">
        <f t="shared" si="51"/>
        <v>39.700996898686775</v>
      </c>
      <c r="S108" s="65">
        <f t="shared" si="51"/>
        <v>45.39246671868564</v>
      </c>
      <c r="T108" s="65">
        <f t="shared" si="51"/>
        <v>48.890181502710895</v>
      </c>
      <c r="U108" s="65">
        <f t="shared" si="51"/>
        <v>52.6702211844703</v>
      </c>
      <c r="V108" s="65">
        <f t="shared" si="51"/>
        <v>56.756307702028721</v>
      </c>
      <c r="W108" s="65">
        <f t="shared" si="51"/>
        <v>61.174221146512124</v>
      </c>
      <c r="X108" s="65">
        <f t="shared" si="51"/>
        <v>65.951982672013585</v>
      </c>
      <c r="Y108" s="65">
        <f t="shared" si="51"/>
        <v>71.12005394187328</v>
      </c>
      <c r="Z108" s="65">
        <f t="shared" si="51"/>
        <v>76.711554624097374</v>
      </c>
      <c r="AA108" s="65">
        <f t="shared" si="51"/>
        <v>82.762499588173526</v>
      </c>
      <c r="AB108" s="65">
        <f t="shared" si="51"/>
        <v>89.312057607962856</v>
      </c>
      <c r="AC108" s="65">
        <f t="shared" si="51"/>
        <v>106.16054702936523</v>
      </c>
      <c r="AD108" s="65">
        <f t="shared" si="51"/>
        <v>113.52096676625098</v>
      </c>
      <c r="AE108" s="65">
        <f t="shared" si="51"/>
        <v>121.41574934260551</v>
      </c>
      <c r="AF108" s="65">
        <f t="shared" si="51"/>
        <v>129.8856367733288</v>
      </c>
      <c r="AG108" s="65">
        <f t="shared" si="51"/>
        <v>138.97462806510313</v>
      </c>
      <c r="AH108" s="65">
        <f t="shared" si="51"/>
        <v>148.73025068317494</v>
      </c>
      <c r="AI108" s="65">
        <f t="shared" si="51"/>
        <v>159.20385542416903</v>
      </c>
      <c r="AJ108" s="65">
        <f t="shared" si="51"/>
        <v>170.45093676554302</v>
      </c>
      <c r="AK108" s="65">
        <f t="shared" si="51"/>
        <v>182.53148094888996</v>
      </c>
      <c r="AL108" s="65">
        <f>AL103/AL26</f>
        <v>195.51034425792375</v>
      </c>
    </row>
    <row r="110" spans="4:40" ht="24" thickBot="1">
      <c r="D110" s="57" t="s">
        <v>198</v>
      </c>
    </row>
    <row r="112" spans="4:40" ht="18">
      <c r="D112" s="15" t="s">
        <v>248</v>
      </c>
    </row>
    <row r="113" spans="4:38" ht="15">
      <c r="D113" s="4" t="s">
        <v>250</v>
      </c>
      <c r="E113" s="7"/>
      <c r="M113" s="7"/>
    </row>
    <row r="114" spans="4:38">
      <c r="D114" s="3" t="s">
        <v>134</v>
      </c>
      <c r="E114" s="7"/>
      <c r="M114" s="7"/>
    </row>
    <row r="115" spans="4:38">
      <c r="D115" s="7" t="s">
        <v>299</v>
      </c>
      <c r="E115" s="16" t="s">
        <v>169</v>
      </c>
      <c r="K115" t="str">
        <f>Inputs!E73</f>
        <v>Good</v>
      </c>
      <c r="L115" t="str">
        <f>Inputs!F73</f>
        <v>Good</v>
      </c>
      <c r="M115" t="str">
        <f>Inputs!G73</f>
        <v>Good</v>
      </c>
      <c r="N115" t="str">
        <f>Inputs!H73</f>
        <v>Good</v>
      </c>
      <c r="O115" t="str">
        <f>Inputs!I73</f>
        <v>Good</v>
      </c>
      <c r="P115" t="str">
        <f>Inputs!J73</f>
        <v>Good</v>
      </c>
      <c r="Q115" t="str">
        <f>P115</f>
        <v>Good</v>
      </c>
      <c r="R115" t="str">
        <f t="shared" ref="R115:AL115" si="52">Q115</f>
        <v>Good</v>
      </c>
      <c r="S115" t="str">
        <f t="shared" si="52"/>
        <v>Good</v>
      </c>
      <c r="T115" t="str">
        <f t="shared" si="52"/>
        <v>Good</v>
      </c>
      <c r="U115" t="str">
        <f t="shared" si="52"/>
        <v>Good</v>
      </c>
      <c r="V115" t="str">
        <f t="shared" si="52"/>
        <v>Good</v>
      </c>
      <c r="W115" t="str">
        <f t="shared" si="52"/>
        <v>Good</v>
      </c>
      <c r="X115" t="str">
        <f t="shared" si="52"/>
        <v>Good</v>
      </c>
      <c r="Y115" t="str">
        <f t="shared" si="52"/>
        <v>Good</v>
      </c>
      <c r="Z115" t="str">
        <f t="shared" si="52"/>
        <v>Good</v>
      </c>
      <c r="AA115" t="str">
        <f t="shared" si="52"/>
        <v>Good</v>
      </c>
      <c r="AB115" t="str">
        <f t="shared" si="52"/>
        <v>Good</v>
      </c>
      <c r="AC115" t="str">
        <f t="shared" si="52"/>
        <v>Good</v>
      </c>
      <c r="AD115" t="str">
        <f t="shared" si="52"/>
        <v>Good</v>
      </c>
      <c r="AE115" t="str">
        <f t="shared" si="52"/>
        <v>Good</v>
      </c>
      <c r="AF115" t="str">
        <f t="shared" si="52"/>
        <v>Good</v>
      </c>
      <c r="AG115" t="str">
        <f t="shared" si="52"/>
        <v>Good</v>
      </c>
      <c r="AH115" t="str">
        <f t="shared" si="52"/>
        <v>Good</v>
      </c>
      <c r="AI115" t="str">
        <f t="shared" si="52"/>
        <v>Good</v>
      </c>
      <c r="AJ115" t="str">
        <f t="shared" si="52"/>
        <v>Good</v>
      </c>
      <c r="AK115" t="str">
        <f t="shared" si="52"/>
        <v>Good</v>
      </c>
      <c r="AL115" t="str">
        <f t="shared" si="52"/>
        <v>Good</v>
      </c>
    </row>
    <row r="116" spans="4:38">
      <c r="D116" s="7" t="s">
        <v>300</v>
      </c>
      <c r="E116" s="16" t="s">
        <v>303</v>
      </c>
      <c r="K116">
        <f>INDEX('Availability Model'!$C$4:$T$8, MATCH($K$115,'Availability Model'!$B$4:$B$8, 0), MATCH($K$10, 'Availability Model'!$C$1:$T$1, 0))</f>
        <v>1</v>
      </c>
      <c r="L116">
        <f>INDEX('Availability Model'!$C$4:$T$8, MATCH($K$115,'Availability Model'!$B$4:$B$8, 0), MATCH($K$10, 'Availability Model'!$C$1:$T$1, 0))</f>
        <v>1</v>
      </c>
      <c r="M116">
        <f>INDEX('Availability Model'!$C$4:$T$8, MATCH($K$115,'Availability Model'!$B$4:$B$8, 0), MATCH($K$10, 'Availability Model'!$C$1:$T$1, 0))</f>
        <v>1</v>
      </c>
      <c r="N116">
        <f>INDEX('Availability Model'!$C$4:$T$8, MATCH($K$115,'Availability Model'!$B$4:$B$8, 0), MATCH($K$10, 'Availability Model'!$C$1:$T$1, 0))</f>
        <v>1</v>
      </c>
      <c r="O116">
        <f>INDEX('Availability Model'!$C$4:$T$8, MATCH($K$115,'Availability Model'!$B$4:$B$8, 0), MATCH($K$10, 'Availability Model'!$C$1:$T$1, 0))</f>
        <v>1</v>
      </c>
      <c r="P116">
        <f>INDEX('Availability Model'!$C$4:$T$8, MATCH($K$115,'Availability Model'!$B$4:$B$8, 0), MATCH($K$10, 'Availability Model'!$C$1:$T$1, 0))</f>
        <v>1</v>
      </c>
      <c r="Q116">
        <f>INDEX('Availability Model'!$C$4:$T$8, MATCH($K$115,'Availability Model'!$B$4:$B$8, 0), MATCH($K$10, 'Availability Model'!$C$1:$T$1, 0))</f>
        <v>1</v>
      </c>
      <c r="R116">
        <f>INDEX('Availability Model'!$C$4:$T$8, MATCH($K$115,'Availability Model'!$B$4:$B$8, 0), MATCH($K$10, 'Availability Model'!$C$1:$T$1, 0))</f>
        <v>1</v>
      </c>
      <c r="S116">
        <f>INDEX('Availability Model'!$C$4:$T$8, MATCH($K$115,'Availability Model'!$B$4:$B$8, 0), MATCH($K$10, 'Availability Model'!$C$1:$T$1, 0))</f>
        <v>1</v>
      </c>
      <c r="T116">
        <f>INDEX('Availability Model'!$C$4:$T$8, MATCH($K$115,'Availability Model'!$B$4:$B$8, 0), MATCH($K$10, 'Availability Model'!$C$1:$T$1, 0))</f>
        <v>1</v>
      </c>
      <c r="U116">
        <f>INDEX('Availability Model'!$C$4:$T$8, MATCH($K$115,'Availability Model'!$B$4:$B$8, 0), MATCH($K$10, 'Availability Model'!$C$1:$T$1, 0))</f>
        <v>1</v>
      </c>
      <c r="V116">
        <f>INDEX('Availability Model'!$C$4:$T$8, MATCH($K$115,'Availability Model'!$B$4:$B$8, 0), MATCH($K$10, 'Availability Model'!$C$1:$T$1, 0))</f>
        <v>1</v>
      </c>
      <c r="W116">
        <f>INDEX('Availability Model'!$C$4:$T$8, MATCH($K$115,'Availability Model'!$B$4:$B$8, 0), MATCH($K$10, 'Availability Model'!$C$1:$T$1, 0))</f>
        <v>1</v>
      </c>
      <c r="X116">
        <f>INDEX('Availability Model'!$C$4:$T$8, MATCH($K$115,'Availability Model'!$B$4:$B$8, 0), MATCH($K$10, 'Availability Model'!$C$1:$T$1, 0))</f>
        <v>1</v>
      </c>
      <c r="Y116">
        <f>INDEX('Availability Model'!$C$4:$T$8, MATCH($K$115,'Availability Model'!$B$4:$B$8, 0), MATCH($K$10, 'Availability Model'!$C$1:$T$1, 0))</f>
        <v>1</v>
      </c>
      <c r="Z116">
        <f>INDEX('Availability Model'!$C$4:$T$8, MATCH($K$115,'Availability Model'!$B$4:$B$8, 0), MATCH($K$10, 'Availability Model'!$C$1:$T$1, 0))</f>
        <v>1</v>
      </c>
      <c r="AA116">
        <f>INDEX('Availability Model'!$C$4:$T$8, MATCH($K$115,'Availability Model'!$B$4:$B$8, 0), MATCH($K$10, 'Availability Model'!$C$1:$T$1, 0))</f>
        <v>1</v>
      </c>
      <c r="AB116">
        <f>INDEX('Availability Model'!$C$4:$T$8, MATCH($K$115,'Availability Model'!$B$4:$B$8, 0), MATCH($K$10, 'Availability Model'!$C$1:$T$1, 0))</f>
        <v>1</v>
      </c>
      <c r="AC116">
        <f>INDEX('Availability Model'!$C$4:$T$8, MATCH($K$115,'Availability Model'!$B$4:$B$8, 0), MATCH($K$10, 'Availability Model'!$C$1:$T$1, 0))</f>
        <v>1</v>
      </c>
      <c r="AD116">
        <f>INDEX('Availability Model'!$C$4:$T$8, MATCH($K$115,'Availability Model'!$B$4:$B$8, 0), MATCH($K$10, 'Availability Model'!$C$1:$T$1, 0))</f>
        <v>1</v>
      </c>
      <c r="AE116">
        <f>INDEX('Availability Model'!$C$4:$T$8, MATCH($K$115,'Availability Model'!$B$4:$B$8, 0), MATCH($K$10, 'Availability Model'!$C$1:$T$1, 0))</f>
        <v>1</v>
      </c>
      <c r="AF116">
        <f>INDEX('Availability Model'!$C$4:$T$8, MATCH($K$115,'Availability Model'!$B$4:$B$8, 0), MATCH($K$10, 'Availability Model'!$C$1:$T$1, 0))</f>
        <v>1</v>
      </c>
      <c r="AG116">
        <f>INDEX('Availability Model'!$C$4:$T$8, MATCH($K$115,'Availability Model'!$B$4:$B$8, 0), MATCH($K$10, 'Availability Model'!$C$1:$T$1, 0))</f>
        <v>1</v>
      </c>
      <c r="AH116">
        <f>INDEX('Availability Model'!$C$4:$T$8, MATCH($K$115,'Availability Model'!$B$4:$B$8, 0), MATCH($K$10, 'Availability Model'!$C$1:$T$1, 0))</f>
        <v>1</v>
      </c>
      <c r="AI116">
        <f>INDEX('Availability Model'!$C$4:$T$8, MATCH($K$115,'Availability Model'!$B$4:$B$8, 0), MATCH($K$10, 'Availability Model'!$C$1:$T$1, 0))</f>
        <v>1</v>
      </c>
      <c r="AJ116">
        <f>INDEX('Availability Model'!$C$4:$T$8, MATCH($K$115,'Availability Model'!$B$4:$B$8, 0), MATCH($K$10, 'Availability Model'!$C$1:$T$1, 0))</f>
        <v>1</v>
      </c>
      <c r="AK116">
        <f>INDEX('Availability Model'!$C$4:$T$8, MATCH($K$115,'Availability Model'!$B$4:$B$8, 0), MATCH($K$10, 'Availability Model'!$C$1:$T$1, 0))</f>
        <v>1</v>
      </c>
      <c r="AL116">
        <f>INDEX('Availability Model'!$C$4:$T$8, MATCH($K$115,'Availability Model'!$B$4:$B$8, 0), MATCH($K$10, 'Availability Model'!$C$1:$T$1, 0))</f>
        <v>1</v>
      </c>
    </row>
    <row r="117" spans="4:38">
      <c r="D117" s="7" t="s">
        <v>301</v>
      </c>
      <c r="E117" s="16" t="s">
        <v>106</v>
      </c>
      <c r="K117">
        <f>K116*INDEX('Availability Model'!$C$11:$T$15, MATCH($K$115,'Availability Model'!$B$11:$B$15, 0), MATCH($K$10, 'Availability Model'!$C$1:$T$1, 0))</f>
        <v>0.5</v>
      </c>
      <c r="L117">
        <f>L116*INDEX('Availability Model'!$C$11:$T$15, MATCH($K$115,'Availability Model'!$B$11:$B$15, 0), MATCH($K$10, 'Availability Model'!$C$1:$T$1, 0))</f>
        <v>0.5</v>
      </c>
      <c r="M117">
        <f>M116*INDEX('Availability Model'!$C$11:$T$15, MATCH($K$115,'Availability Model'!$B$11:$B$15, 0), MATCH($K$10, 'Availability Model'!$C$1:$T$1, 0))</f>
        <v>0.5</v>
      </c>
      <c r="N117">
        <f>N116*INDEX('Availability Model'!$C$11:$T$15, MATCH($K$115,'Availability Model'!$B$11:$B$15, 0), MATCH($K$10, 'Availability Model'!$C$1:$T$1, 0))</f>
        <v>0.5</v>
      </c>
      <c r="O117">
        <f>O116*INDEX('Availability Model'!$C$11:$T$15, MATCH($K$115,'Availability Model'!$B$11:$B$15, 0), MATCH($K$10, 'Availability Model'!$C$1:$T$1, 0))</f>
        <v>0.5</v>
      </c>
      <c r="P117">
        <f>P116*INDEX('Availability Model'!$C$11:$T$15, MATCH($K$115,'Availability Model'!$B$11:$B$15, 0), MATCH($K$10, 'Availability Model'!$C$1:$T$1, 0))</f>
        <v>0.5</v>
      </c>
      <c r="Q117">
        <f>Q116*INDEX('Availability Model'!$C$11:$T$15, MATCH($K$115,'Availability Model'!$B$11:$B$15, 0), MATCH($K$10, 'Availability Model'!$C$1:$T$1, 0))</f>
        <v>0.5</v>
      </c>
      <c r="R117">
        <f>R116*INDEX('Availability Model'!$C$11:$T$15, MATCH($K$115,'Availability Model'!$B$11:$B$15, 0), MATCH($K$10, 'Availability Model'!$C$1:$T$1, 0))</f>
        <v>0.5</v>
      </c>
      <c r="S117">
        <f>S116*INDEX('Availability Model'!$C$11:$T$15, MATCH($K$115,'Availability Model'!$B$11:$B$15, 0), MATCH($K$10, 'Availability Model'!$C$1:$T$1, 0))</f>
        <v>0.5</v>
      </c>
      <c r="T117">
        <f>T116*INDEX('Availability Model'!$C$11:$T$15, MATCH($K$115,'Availability Model'!$B$11:$B$15, 0), MATCH($K$10, 'Availability Model'!$C$1:$T$1, 0))</f>
        <v>0.5</v>
      </c>
      <c r="U117">
        <f>U116*INDEX('Availability Model'!$C$11:$T$15, MATCH($K$115,'Availability Model'!$B$11:$B$15, 0), MATCH($K$10, 'Availability Model'!$C$1:$T$1, 0))</f>
        <v>0.5</v>
      </c>
      <c r="V117">
        <f>V116*INDEX('Availability Model'!$C$11:$T$15, MATCH($K$115,'Availability Model'!$B$11:$B$15, 0), MATCH($K$10, 'Availability Model'!$C$1:$T$1, 0))</f>
        <v>0.5</v>
      </c>
      <c r="W117">
        <f>W116*INDEX('Availability Model'!$C$11:$T$15, MATCH($K$115,'Availability Model'!$B$11:$B$15, 0), MATCH($K$10, 'Availability Model'!$C$1:$T$1, 0))</f>
        <v>0.5</v>
      </c>
      <c r="X117">
        <f>X116*INDEX('Availability Model'!$C$11:$T$15, MATCH($K$115,'Availability Model'!$B$11:$B$15, 0), MATCH($K$10, 'Availability Model'!$C$1:$T$1, 0))</f>
        <v>0.5</v>
      </c>
      <c r="Y117">
        <f>Y116*INDEX('Availability Model'!$C$11:$T$15, MATCH($K$115,'Availability Model'!$B$11:$B$15, 0), MATCH($K$10, 'Availability Model'!$C$1:$T$1, 0))</f>
        <v>0.5</v>
      </c>
      <c r="Z117">
        <f>Z116*INDEX('Availability Model'!$C$11:$T$15, MATCH($K$115,'Availability Model'!$B$11:$B$15, 0), MATCH($K$10, 'Availability Model'!$C$1:$T$1, 0))</f>
        <v>0.5</v>
      </c>
      <c r="AA117">
        <f>AA116*INDEX('Availability Model'!$C$11:$T$15, MATCH($K$115,'Availability Model'!$B$11:$B$15, 0), MATCH($K$10, 'Availability Model'!$C$1:$T$1, 0))</f>
        <v>0.5</v>
      </c>
      <c r="AB117">
        <f>AB116*INDEX('Availability Model'!$C$11:$T$15, MATCH($K$115,'Availability Model'!$B$11:$B$15, 0), MATCH($K$10, 'Availability Model'!$C$1:$T$1, 0))</f>
        <v>0.5</v>
      </c>
      <c r="AC117">
        <f>AC116*INDEX('Availability Model'!$C$11:$T$15, MATCH($K$115,'Availability Model'!$B$11:$B$15, 0), MATCH($K$10, 'Availability Model'!$C$1:$T$1, 0))</f>
        <v>0.5</v>
      </c>
      <c r="AD117">
        <f>AD116*INDEX('Availability Model'!$C$11:$T$15, MATCH($K$115,'Availability Model'!$B$11:$B$15, 0), MATCH($K$10, 'Availability Model'!$C$1:$T$1, 0))</f>
        <v>0.5</v>
      </c>
      <c r="AE117">
        <f>AE116*INDEX('Availability Model'!$C$11:$T$15, MATCH($K$115,'Availability Model'!$B$11:$B$15, 0), MATCH($K$10, 'Availability Model'!$C$1:$T$1, 0))</f>
        <v>0.5</v>
      </c>
      <c r="AF117">
        <f>AF116*INDEX('Availability Model'!$C$11:$T$15, MATCH($K$115,'Availability Model'!$B$11:$B$15, 0), MATCH($K$10, 'Availability Model'!$C$1:$T$1, 0))</f>
        <v>0.5</v>
      </c>
      <c r="AG117">
        <f>AG116*INDEX('Availability Model'!$C$11:$T$15, MATCH($K$115,'Availability Model'!$B$11:$B$15, 0), MATCH($K$10, 'Availability Model'!$C$1:$T$1, 0))</f>
        <v>0.5</v>
      </c>
      <c r="AH117">
        <f>AH116*INDEX('Availability Model'!$C$11:$T$15, MATCH($K$115,'Availability Model'!$B$11:$B$15, 0), MATCH($K$10, 'Availability Model'!$C$1:$T$1, 0))</f>
        <v>0.5</v>
      </c>
      <c r="AI117">
        <f>AI116*INDEX('Availability Model'!$C$11:$T$15, MATCH($K$115,'Availability Model'!$B$11:$B$15, 0), MATCH($K$10, 'Availability Model'!$C$1:$T$1, 0))</f>
        <v>0.5</v>
      </c>
      <c r="AJ117">
        <f>AJ116*INDEX('Availability Model'!$C$11:$T$15, MATCH($K$115,'Availability Model'!$B$11:$B$15, 0), MATCH($K$10, 'Availability Model'!$C$1:$T$1, 0))</f>
        <v>0.5</v>
      </c>
      <c r="AK117">
        <f>AK116*INDEX('Availability Model'!$C$11:$T$15, MATCH($K$115,'Availability Model'!$B$11:$B$15, 0), MATCH($K$10, 'Availability Model'!$C$1:$T$1, 0))</f>
        <v>0.5</v>
      </c>
      <c r="AL117">
        <f>AL116*INDEX('Availability Model'!$C$11:$T$15, MATCH($K$115,'Availability Model'!$B$11:$B$15, 0), MATCH($K$10, 'Availability Model'!$C$1:$T$1, 0))</f>
        <v>0.5</v>
      </c>
    </row>
    <row r="118" spans="4:38">
      <c r="D118" s="7" t="s">
        <v>302</v>
      </c>
      <c r="E118" s="16" t="s">
        <v>106</v>
      </c>
      <c r="K118" s="65">
        <f t="shared" ref="K118:AL118" si="53">K22</f>
        <v>1.8129533678756478</v>
      </c>
      <c r="L118" s="65">
        <f t="shared" si="53"/>
        <v>1.9066551166747128</v>
      </c>
      <c r="M118" s="65">
        <f t="shared" si="53"/>
        <v>1.8367738032705883</v>
      </c>
      <c r="N118" s="65">
        <f t="shared" si="53"/>
        <v>1.8815339776532183</v>
      </c>
      <c r="O118" s="65">
        <f t="shared" si="53"/>
        <v>2.274116334125547</v>
      </c>
      <c r="P118" s="65">
        <f t="shared" si="53"/>
        <v>2.277607063808083</v>
      </c>
      <c r="Q118" s="65">
        <f t="shared" si="53"/>
        <v>2.4761314028268004</v>
      </c>
      <c r="R118" s="65">
        <f t="shared" si="53"/>
        <v>2.4761314028268004</v>
      </c>
      <c r="S118" s="65">
        <f t="shared" si="53"/>
        <v>2.2417869796016316</v>
      </c>
      <c r="T118" s="65">
        <f t="shared" si="53"/>
        <v>2.2451891357101292</v>
      </c>
      <c r="U118" s="65">
        <f t="shared" si="53"/>
        <v>2.2417869796016316</v>
      </c>
      <c r="V118" s="65">
        <f t="shared" si="53"/>
        <v>2.2417869796016316</v>
      </c>
      <c r="W118" s="65">
        <f t="shared" si="53"/>
        <v>2.2417869796016316</v>
      </c>
      <c r="X118" s="65">
        <f t="shared" si="53"/>
        <v>2.2451891357101292</v>
      </c>
      <c r="Y118" s="65">
        <f t="shared" si="53"/>
        <v>2.2417869796016316</v>
      </c>
      <c r="Z118" s="65">
        <f t="shared" si="53"/>
        <v>2.2417869796016316</v>
      </c>
      <c r="AA118" s="65">
        <f t="shared" si="53"/>
        <v>2.2417869796016316</v>
      </c>
      <c r="AB118" s="65">
        <f t="shared" si="53"/>
        <v>2.2451891357101292</v>
      </c>
      <c r="AC118" s="65">
        <f t="shared" si="53"/>
        <v>1.7648580665195435</v>
      </c>
      <c r="AD118" s="65">
        <f t="shared" si="53"/>
        <v>1.7648580665195435</v>
      </c>
      <c r="AE118" s="65">
        <f t="shared" si="53"/>
        <v>1.7648580665195435</v>
      </c>
      <c r="AF118" s="65">
        <f t="shared" si="53"/>
        <v>1.7682602226280411</v>
      </c>
      <c r="AG118" s="65">
        <f t="shared" si="53"/>
        <v>1.7648580665195435</v>
      </c>
      <c r="AH118" s="65">
        <f t="shared" si="53"/>
        <v>1.7648580665195435</v>
      </c>
      <c r="AI118" s="65">
        <f t="shared" si="53"/>
        <v>1.7648580665195435</v>
      </c>
      <c r="AJ118" s="65">
        <f t="shared" si="53"/>
        <v>1.7682602226280411</v>
      </c>
      <c r="AK118" s="65">
        <f t="shared" si="53"/>
        <v>1.7648580665195435</v>
      </c>
      <c r="AL118" s="65">
        <f t="shared" si="53"/>
        <v>1.7648580665195435</v>
      </c>
    </row>
    <row r="119" spans="4:38">
      <c r="D119" s="7" t="s">
        <v>304</v>
      </c>
      <c r="E119" s="16" t="s">
        <v>106</v>
      </c>
      <c r="K119">
        <f>IF((K117-K118)&gt;0, K117-K118,0)</f>
        <v>0</v>
      </c>
      <c r="L119">
        <f t="shared" ref="L119:AL119" si="54">IF((L117-L118)&gt;0, L117-L118,0)</f>
        <v>0</v>
      </c>
      <c r="M119">
        <f t="shared" si="54"/>
        <v>0</v>
      </c>
      <c r="N119">
        <f t="shared" si="54"/>
        <v>0</v>
      </c>
      <c r="O119">
        <f t="shared" si="54"/>
        <v>0</v>
      </c>
      <c r="P119">
        <f t="shared" si="54"/>
        <v>0</v>
      </c>
      <c r="Q119">
        <f t="shared" si="54"/>
        <v>0</v>
      </c>
      <c r="R119">
        <f t="shared" si="54"/>
        <v>0</v>
      </c>
      <c r="S119">
        <f t="shared" si="54"/>
        <v>0</v>
      </c>
      <c r="T119">
        <f t="shared" si="54"/>
        <v>0</v>
      </c>
      <c r="U119">
        <f t="shared" si="54"/>
        <v>0</v>
      </c>
      <c r="V119">
        <f t="shared" si="54"/>
        <v>0</v>
      </c>
      <c r="W119">
        <f t="shared" si="54"/>
        <v>0</v>
      </c>
      <c r="X119">
        <f t="shared" si="54"/>
        <v>0</v>
      </c>
      <c r="Y119">
        <f t="shared" si="54"/>
        <v>0</v>
      </c>
      <c r="Z119">
        <f t="shared" si="54"/>
        <v>0</v>
      </c>
      <c r="AA119">
        <f t="shared" si="54"/>
        <v>0</v>
      </c>
      <c r="AB119">
        <f t="shared" si="54"/>
        <v>0</v>
      </c>
      <c r="AC119">
        <f t="shared" si="54"/>
        <v>0</v>
      </c>
      <c r="AD119">
        <f t="shared" si="54"/>
        <v>0</v>
      </c>
      <c r="AE119">
        <f t="shared" si="54"/>
        <v>0</v>
      </c>
      <c r="AF119">
        <f t="shared" si="54"/>
        <v>0</v>
      </c>
      <c r="AG119">
        <f t="shared" si="54"/>
        <v>0</v>
      </c>
      <c r="AH119">
        <f t="shared" si="54"/>
        <v>0</v>
      </c>
      <c r="AI119">
        <f t="shared" si="54"/>
        <v>0</v>
      </c>
      <c r="AJ119">
        <f t="shared" si="54"/>
        <v>0</v>
      </c>
      <c r="AK119">
        <f t="shared" si="54"/>
        <v>0</v>
      </c>
      <c r="AL119">
        <f t="shared" si="54"/>
        <v>0</v>
      </c>
    </row>
    <row r="120" spans="4:38">
      <c r="D120" s="7"/>
      <c r="E120" s="7"/>
      <c r="M120" s="7"/>
    </row>
    <row r="121" spans="4:38">
      <c r="D121" s="3" t="s">
        <v>297</v>
      </c>
      <c r="M121" s="7"/>
    </row>
    <row r="122" spans="4:38">
      <c r="D122" s="7" t="s">
        <v>299</v>
      </c>
      <c r="E122" s="16" t="s">
        <v>169</v>
      </c>
      <c r="K122" t="str">
        <f>Inputs!E74</f>
        <v>Very Poor</v>
      </c>
      <c r="L122" t="str">
        <f>Inputs!F74</f>
        <v>Very Poor</v>
      </c>
      <c r="M122" t="str">
        <f>Inputs!G74</f>
        <v>Very Poor</v>
      </c>
      <c r="N122" t="str">
        <f>Inputs!H74</f>
        <v>Very Poor</v>
      </c>
      <c r="O122" t="str">
        <f>Inputs!I74</f>
        <v>Very Poor</v>
      </c>
      <c r="P122" t="str">
        <f>Inputs!J74</f>
        <v>Very Poor</v>
      </c>
      <c r="Q122" t="str">
        <f>P122</f>
        <v>Very Poor</v>
      </c>
      <c r="R122" t="str">
        <f t="shared" ref="R122:AL122" si="55">Q122</f>
        <v>Very Poor</v>
      </c>
      <c r="S122" t="str">
        <f t="shared" si="55"/>
        <v>Very Poor</v>
      </c>
      <c r="T122" t="str">
        <f t="shared" si="55"/>
        <v>Very Poor</v>
      </c>
      <c r="U122" t="str">
        <f t="shared" si="55"/>
        <v>Very Poor</v>
      </c>
      <c r="V122" t="str">
        <f t="shared" si="55"/>
        <v>Very Poor</v>
      </c>
      <c r="W122" t="str">
        <f t="shared" si="55"/>
        <v>Very Poor</v>
      </c>
      <c r="X122" t="str">
        <f t="shared" si="55"/>
        <v>Very Poor</v>
      </c>
      <c r="Y122" t="str">
        <f t="shared" si="55"/>
        <v>Very Poor</v>
      </c>
      <c r="Z122" t="str">
        <f t="shared" si="55"/>
        <v>Very Poor</v>
      </c>
      <c r="AA122" t="str">
        <f t="shared" si="55"/>
        <v>Very Poor</v>
      </c>
      <c r="AB122" t="str">
        <f t="shared" si="55"/>
        <v>Very Poor</v>
      </c>
      <c r="AC122" t="str">
        <f t="shared" si="55"/>
        <v>Very Poor</v>
      </c>
      <c r="AD122" t="str">
        <f t="shared" si="55"/>
        <v>Very Poor</v>
      </c>
      <c r="AE122" t="str">
        <f t="shared" si="55"/>
        <v>Very Poor</v>
      </c>
      <c r="AF122" t="str">
        <f t="shared" si="55"/>
        <v>Very Poor</v>
      </c>
      <c r="AG122" t="str">
        <f t="shared" si="55"/>
        <v>Very Poor</v>
      </c>
      <c r="AH122" t="str">
        <f t="shared" si="55"/>
        <v>Very Poor</v>
      </c>
      <c r="AI122" t="str">
        <f t="shared" si="55"/>
        <v>Very Poor</v>
      </c>
      <c r="AJ122" t="str">
        <f t="shared" si="55"/>
        <v>Very Poor</v>
      </c>
      <c r="AK122" t="str">
        <f t="shared" si="55"/>
        <v>Very Poor</v>
      </c>
      <c r="AL122" t="str">
        <f t="shared" si="55"/>
        <v>Very Poor</v>
      </c>
    </row>
    <row r="123" spans="4:38">
      <c r="D123" s="7" t="s">
        <v>300</v>
      </c>
      <c r="E123" s="16" t="s">
        <v>303</v>
      </c>
      <c r="K123">
        <f>INDEX('Availability Model'!$C$18:$T$22, MATCH($K$122,'Availability Model'!$B$18:$B$22, 0), MATCH($K$10, 'Availability Model'!$C$1:$T$1, 0))</f>
        <v>3</v>
      </c>
      <c r="L123">
        <f>INDEX('Availability Model'!$C$18:$T$22, MATCH($K$122,'Availability Model'!$B$18:$B$22, 0), MATCH($K$10, 'Availability Model'!$C$1:$T$1, 0))</f>
        <v>3</v>
      </c>
      <c r="M123">
        <f>INDEX('Availability Model'!$C$18:$T$22, MATCH($K$122,'Availability Model'!$B$18:$B$22, 0), MATCH($K$10, 'Availability Model'!$C$1:$T$1, 0))</f>
        <v>3</v>
      </c>
      <c r="N123">
        <f>INDEX('Availability Model'!$C$18:$T$22, MATCH($K$122,'Availability Model'!$B$18:$B$22, 0), MATCH($K$10, 'Availability Model'!$C$1:$T$1, 0))</f>
        <v>3</v>
      </c>
      <c r="O123">
        <f>INDEX('Availability Model'!$C$18:$T$22, MATCH($K$122,'Availability Model'!$B$18:$B$22, 0), MATCH($K$10, 'Availability Model'!$C$1:$T$1, 0))</f>
        <v>3</v>
      </c>
      <c r="P123">
        <f>INDEX('Availability Model'!$C$18:$T$22, MATCH($K$122,'Availability Model'!$B$18:$B$22, 0), MATCH($K$10, 'Availability Model'!$C$1:$T$1, 0))</f>
        <v>3</v>
      </c>
      <c r="Q123">
        <f>INDEX('Availability Model'!$C$18:$T$22, MATCH($K$122,'Availability Model'!$B$18:$B$22, 0), MATCH($K$10, 'Availability Model'!$C$1:$T$1, 0))</f>
        <v>3</v>
      </c>
      <c r="R123">
        <f>INDEX('Availability Model'!$C$18:$T$22, MATCH($K$122,'Availability Model'!$B$18:$B$22, 0), MATCH($K$10, 'Availability Model'!$C$1:$T$1, 0))</f>
        <v>3</v>
      </c>
      <c r="S123">
        <f>INDEX('Availability Model'!$C$18:$T$22, MATCH($K$122,'Availability Model'!$B$18:$B$22, 0), MATCH($K$10, 'Availability Model'!$C$1:$T$1, 0))</f>
        <v>3</v>
      </c>
      <c r="T123">
        <f>INDEX('Availability Model'!$C$18:$T$22, MATCH($K$122,'Availability Model'!$B$18:$B$22, 0), MATCH($K$10, 'Availability Model'!$C$1:$T$1, 0))</f>
        <v>3</v>
      </c>
      <c r="U123">
        <f>INDEX('Availability Model'!$C$18:$T$22, MATCH($K$122,'Availability Model'!$B$18:$B$22, 0), MATCH($K$10, 'Availability Model'!$C$1:$T$1, 0))</f>
        <v>3</v>
      </c>
      <c r="V123">
        <f>INDEX('Availability Model'!$C$18:$T$22, MATCH($K$122,'Availability Model'!$B$18:$B$22, 0), MATCH($K$10, 'Availability Model'!$C$1:$T$1, 0))</f>
        <v>3</v>
      </c>
      <c r="W123">
        <f>INDEX('Availability Model'!$C$18:$T$22, MATCH($K$122,'Availability Model'!$B$18:$B$22, 0), MATCH($K$10, 'Availability Model'!$C$1:$T$1, 0))</f>
        <v>3</v>
      </c>
      <c r="X123">
        <f>INDEX('Availability Model'!$C$18:$T$22, MATCH($K$122,'Availability Model'!$B$18:$B$22, 0), MATCH($K$10, 'Availability Model'!$C$1:$T$1, 0))</f>
        <v>3</v>
      </c>
      <c r="Y123">
        <f>INDEX('Availability Model'!$C$18:$T$22, MATCH($K$122,'Availability Model'!$B$18:$B$22, 0), MATCH($K$10, 'Availability Model'!$C$1:$T$1, 0))</f>
        <v>3</v>
      </c>
      <c r="Z123">
        <f>INDEX('Availability Model'!$C$18:$T$22, MATCH($K$122,'Availability Model'!$B$18:$B$22, 0), MATCH($K$10, 'Availability Model'!$C$1:$T$1, 0))</f>
        <v>3</v>
      </c>
      <c r="AA123">
        <f>INDEX('Availability Model'!$C$18:$T$22, MATCH($K$122,'Availability Model'!$B$18:$B$22, 0), MATCH($K$10, 'Availability Model'!$C$1:$T$1, 0))</f>
        <v>3</v>
      </c>
      <c r="AB123">
        <f>INDEX('Availability Model'!$C$18:$T$22, MATCH($K$122,'Availability Model'!$B$18:$B$22, 0), MATCH($K$10, 'Availability Model'!$C$1:$T$1, 0))</f>
        <v>3</v>
      </c>
      <c r="AC123">
        <f>INDEX('Availability Model'!$C$18:$T$22, MATCH($K$122,'Availability Model'!$B$18:$B$22, 0), MATCH($K$10, 'Availability Model'!$C$1:$T$1, 0))</f>
        <v>3</v>
      </c>
      <c r="AD123">
        <f>INDEX('Availability Model'!$C$18:$T$22, MATCH($K$122,'Availability Model'!$B$18:$B$22, 0), MATCH($K$10, 'Availability Model'!$C$1:$T$1, 0))</f>
        <v>3</v>
      </c>
      <c r="AE123">
        <f>INDEX('Availability Model'!$C$18:$T$22, MATCH($K$122,'Availability Model'!$B$18:$B$22, 0), MATCH($K$10, 'Availability Model'!$C$1:$T$1, 0))</f>
        <v>3</v>
      </c>
      <c r="AF123">
        <f>INDEX('Availability Model'!$C$18:$T$22, MATCH($K$122,'Availability Model'!$B$18:$B$22, 0), MATCH($K$10, 'Availability Model'!$C$1:$T$1, 0))</f>
        <v>3</v>
      </c>
      <c r="AG123">
        <f>INDEX('Availability Model'!$C$18:$T$22, MATCH($K$122,'Availability Model'!$B$18:$B$22, 0), MATCH($K$10, 'Availability Model'!$C$1:$T$1, 0))</f>
        <v>3</v>
      </c>
      <c r="AH123">
        <f>INDEX('Availability Model'!$C$18:$T$22, MATCH($K$122,'Availability Model'!$B$18:$B$22, 0), MATCH($K$10, 'Availability Model'!$C$1:$T$1, 0))</f>
        <v>3</v>
      </c>
      <c r="AI123">
        <f>INDEX('Availability Model'!$C$18:$T$22, MATCH($K$122,'Availability Model'!$B$18:$B$22, 0), MATCH($K$10, 'Availability Model'!$C$1:$T$1, 0))</f>
        <v>3</v>
      </c>
      <c r="AJ123">
        <f>INDEX('Availability Model'!$C$18:$T$22, MATCH($K$122,'Availability Model'!$B$18:$B$22, 0), MATCH($K$10, 'Availability Model'!$C$1:$T$1, 0))</f>
        <v>3</v>
      </c>
      <c r="AK123">
        <f>INDEX('Availability Model'!$C$18:$T$22, MATCH($K$122,'Availability Model'!$B$18:$B$22, 0), MATCH($K$10, 'Availability Model'!$C$1:$T$1, 0))</f>
        <v>3</v>
      </c>
      <c r="AL123">
        <f>INDEX('Availability Model'!$C$18:$T$22, MATCH($K$122,'Availability Model'!$B$18:$B$22, 0), MATCH($K$10, 'Availability Model'!$C$1:$T$1, 0))</f>
        <v>3</v>
      </c>
    </row>
    <row r="124" spans="4:38">
      <c r="D124" s="7" t="s">
        <v>301</v>
      </c>
      <c r="E124" s="16" t="s">
        <v>106</v>
      </c>
      <c r="K124">
        <f>K123*INDEX('Availability Model'!$C$25:$T$30, MATCH($K$122,'Availability Model'!$B$25:$B$30, 0), MATCH($K$10, 'Availability Model'!$C$1:$T$1, 0))</f>
        <v>9</v>
      </c>
      <c r="L124">
        <f>L123*INDEX('Availability Model'!$C$25:$T$30, MATCH($K$122,'Availability Model'!$B$25:$B$30, 0), MATCH($K$10, 'Availability Model'!$C$1:$T$1, 0))</f>
        <v>9</v>
      </c>
      <c r="M124">
        <f>M123*INDEX('Availability Model'!$C$25:$T$30, MATCH($K$122,'Availability Model'!$B$25:$B$30, 0), MATCH($K$10, 'Availability Model'!$C$1:$T$1, 0))</f>
        <v>9</v>
      </c>
      <c r="N124">
        <f>N123*INDEX('Availability Model'!$C$25:$T$30, MATCH($K$122,'Availability Model'!$B$25:$B$30, 0), MATCH($K$10, 'Availability Model'!$C$1:$T$1, 0))</f>
        <v>9</v>
      </c>
      <c r="O124">
        <f>O123*INDEX('Availability Model'!$C$25:$T$30, MATCH($K$122,'Availability Model'!$B$25:$B$30, 0), MATCH($K$10, 'Availability Model'!$C$1:$T$1, 0))</f>
        <v>9</v>
      </c>
      <c r="P124">
        <f>P123*INDEX('Availability Model'!$C$25:$T$30, MATCH($K$122,'Availability Model'!$B$25:$B$30, 0), MATCH($K$10, 'Availability Model'!$C$1:$T$1, 0))</f>
        <v>9</v>
      </c>
      <c r="Q124">
        <f>Q123*INDEX('Availability Model'!$C$25:$T$30, MATCH($K$122,'Availability Model'!$B$25:$B$30, 0), MATCH($K$10, 'Availability Model'!$C$1:$T$1, 0))</f>
        <v>9</v>
      </c>
      <c r="R124">
        <f>R123*INDEX('Availability Model'!$C$25:$T$30, MATCH($K$122,'Availability Model'!$B$25:$B$30, 0), MATCH($K$10, 'Availability Model'!$C$1:$T$1, 0))</f>
        <v>9</v>
      </c>
      <c r="S124">
        <f>S123*INDEX('Availability Model'!$C$25:$T$30, MATCH($K$122,'Availability Model'!$B$25:$B$30, 0), MATCH($K$10, 'Availability Model'!$C$1:$T$1, 0))</f>
        <v>9</v>
      </c>
      <c r="T124">
        <f>T123*INDEX('Availability Model'!$C$25:$T$30, MATCH($K$122,'Availability Model'!$B$25:$B$30, 0), MATCH($K$10, 'Availability Model'!$C$1:$T$1, 0))</f>
        <v>9</v>
      </c>
      <c r="U124">
        <f>U123*INDEX('Availability Model'!$C$25:$T$30, MATCH($K$122,'Availability Model'!$B$25:$B$30, 0), MATCH($K$10, 'Availability Model'!$C$1:$T$1, 0))</f>
        <v>9</v>
      </c>
      <c r="V124">
        <f>V123*INDEX('Availability Model'!$C$25:$T$30, MATCH($K$122,'Availability Model'!$B$25:$B$30, 0), MATCH($K$10, 'Availability Model'!$C$1:$T$1, 0))</f>
        <v>9</v>
      </c>
      <c r="W124">
        <f>W123*INDEX('Availability Model'!$C$25:$T$30, MATCH($K$122,'Availability Model'!$B$25:$B$30, 0), MATCH($K$10, 'Availability Model'!$C$1:$T$1, 0))</f>
        <v>9</v>
      </c>
      <c r="X124">
        <f>X123*INDEX('Availability Model'!$C$25:$T$30, MATCH($K$122,'Availability Model'!$B$25:$B$30, 0), MATCH($K$10, 'Availability Model'!$C$1:$T$1, 0))</f>
        <v>9</v>
      </c>
      <c r="Y124">
        <f>Y123*INDEX('Availability Model'!$C$25:$T$30, MATCH($K$122,'Availability Model'!$B$25:$B$30, 0), MATCH($K$10, 'Availability Model'!$C$1:$T$1, 0))</f>
        <v>9</v>
      </c>
      <c r="Z124">
        <f>Z123*INDEX('Availability Model'!$C$25:$T$30, MATCH($K$122,'Availability Model'!$B$25:$B$30, 0), MATCH($K$10, 'Availability Model'!$C$1:$T$1, 0))</f>
        <v>9</v>
      </c>
      <c r="AA124">
        <f>AA123*INDEX('Availability Model'!$C$25:$T$30, MATCH($K$122,'Availability Model'!$B$25:$B$30, 0), MATCH($K$10, 'Availability Model'!$C$1:$T$1, 0))</f>
        <v>9</v>
      </c>
      <c r="AB124">
        <f>AB123*INDEX('Availability Model'!$C$25:$T$30, MATCH($K$122,'Availability Model'!$B$25:$B$30, 0), MATCH($K$10, 'Availability Model'!$C$1:$T$1, 0))</f>
        <v>9</v>
      </c>
      <c r="AC124">
        <f>AC123*INDEX('Availability Model'!$C$25:$T$30, MATCH($K$122,'Availability Model'!$B$25:$B$30, 0), MATCH($K$10, 'Availability Model'!$C$1:$T$1, 0))</f>
        <v>9</v>
      </c>
      <c r="AD124">
        <f>AD123*INDEX('Availability Model'!$C$25:$T$30, MATCH($K$122,'Availability Model'!$B$25:$B$30, 0), MATCH($K$10, 'Availability Model'!$C$1:$T$1, 0))</f>
        <v>9</v>
      </c>
      <c r="AE124">
        <f>AE123*INDEX('Availability Model'!$C$25:$T$30, MATCH($K$122,'Availability Model'!$B$25:$B$30, 0), MATCH($K$10, 'Availability Model'!$C$1:$T$1, 0))</f>
        <v>9</v>
      </c>
      <c r="AF124">
        <f>AF123*INDEX('Availability Model'!$C$25:$T$30, MATCH($K$122,'Availability Model'!$B$25:$B$30, 0), MATCH($K$10, 'Availability Model'!$C$1:$T$1, 0))</f>
        <v>9</v>
      </c>
      <c r="AG124">
        <f>AG123*INDEX('Availability Model'!$C$25:$T$30, MATCH($K$122,'Availability Model'!$B$25:$B$30, 0), MATCH($K$10, 'Availability Model'!$C$1:$T$1, 0))</f>
        <v>9</v>
      </c>
      <c r="AH124">
        <f>AH123*INDEX('Availability Model'!$C$25:$T$30, MATCH($K$122,'Availability Model'!$B$25:$B$30, 0), MATCH($K$10, 'Availability Model'!$C$1:$T$1, 0))</f>
        <v>9</v>
      </c>
      <c r="AI124">
        <f>AI123*INDEX('Availability Model'!$C$25:$T$30, MATCH($K$122,'Availability Model'!$B$25:$B$30, 0), MATCH($K$10, 'Availability Model'!$C$1:$T$1, 0))</f>
        <v>9</v>
      </c>
      <c r="AJ124">
        <f>AJ123*INDEX('Availability Model'!$C$25:$T$30, MATCH($K$122,'Availability Model'!$B$25:$B$30, 0), MATCH($K$10, 'Availability Model'!$C$1:$T$1, 0))</f>
        <v>9</v>
      </c>
      <c r="AK124">
        <f>AK123*INDEX('Availability Model'!$C$25:$T$30, MATCH($K$122,'Availability Model'!$B$25:$B$30, 0), MATCH($K$10, 'Availability Model'!$C$1:$T$1, 0))</f>
        <v>9</v>
      </c>
      <c r="AL124">
        <f>AL123*INDEX('Availability Model'!$C$25:$T$30, MATCH($K$122,'Availability Model'!$B$25:$B$30, 0), MATCH($K$10, 'Availability Model'!$C$1:$T$1, 0))</f>
        <v>9</v>
      </c>
    </row>
    <row r="125" spans="4:38">
      <c r="D125" s="7" t="s">
        <v>302</v>
      </c>
      <c r="E125" s="16" t="s">
        <v>106</v>
      </c>
      <c r="K125" s="65">
        <f>K118</f>
        <v>1.8129533678756478</v>
      </c>
      <c r="L125" s="65">
        <f t="shared" ref="L125:AL125" si="56">L118</f>
        <v>1.9066551166747128</v>
      </c>
      <c r="M125" s="65">
        <f t="shared" si="56"/>
        <v>1.8367738032705883</v>
      </c>
      <c r="N125" s="65">
        <f t="shared" si="56"/>
        <v>1.8815339776532183</v>
      </c>
      <c r="O125" s="65">
        <f t="shared" si="56"/>
        <v>2.274116334125547</v>
      </c>
      <c r="P125" s="65">
        <f t="shared" si="56"/>
        <v>2.277607063808083</v>
      </c>
      <c r="Q125" s="65">
        <f t="shared" si="56"/>
        <v>2.4761314028268004</v>
      </c>
      <c r="R125" s="65">
        <f t="shared" si="56"/>
        <v>2.4761314028268004</v>
      </c>
      <c r="S125" s="65">
        <f t="shared" si="56"/>
        <v>2.2417869796016316</v>
      </c>
      <c r="T125" s="65">
        <f t="shared" si="56"/>
        <v>2.2451891357101292</v>
      </c>
      <c r="U125" s="65">
        <f t="shared" si="56"/>
        <v>2.2417869796016316</v>
      </c>
      <c r="V125" s="65">
        <f t="shared" si="56"/>
        <v>2.2417869796016316</v>
      </c>
      <c r="W125" s="65">
        <f t="shared" si="56"/>
        <v>2.2417869796016316</v>
      </c>
      <c r="X125" s="65">
        <f t="shared" si="56"/>
        <v>2.2451891357101292</v>
      </c>
      <c r="Y125" s="65">
        <f t="shared" si="56"/>
        <v>2.2417869796016316</v>
      </c>
      <c r="Z125" s="65">
        <f t="shared" si="56"/>
        <v>2.2417869796016316</v>
      </c>
      <c r="AA125" s="65">
        <f t="shared" si="56"/>
        <v>2.2417869796016316</v>
      </c>
      <c r="AB125" s="65">
        <f t="shared" si="56"/>
        <v>2.2451891357101292</v>
      </c>
      <c r="AC125" s="65">
        <f t="shared" si="56"/>
        <v>1.7648580665195435</v>
      </c>
      <c r="AD125" s="65">
        <f t="shared" si="56"/>
        <v>1.7648580665195435</v>
      </c>
      <c r="AE125" s="65">
        <f t="shared" si="56"/>
        <v>1.7648580665195435</v>
      </c>
      <c r="AF125" s="65">
        <f t="shared" si="56"/>
        <v>1.7682602226280411</v>
      </c>
      <c r="AG125" s="65">
        <f t="shared" si="56"/>
        <v>1.7648580665195435</v>
      </c>
      <c r="AH125" s="65">
        <f t="shared" si="56"/>
        <v>1.7648580665195435</v>
      </c>
      <c r="AI125" s="65">
        <f t="shared" si="56"/>
        <v>1.7648580665195435</v>
      </c>
      <c r="AJ125" s="65">
        <f t="shared" si="56"/>
        <v>1.7682602226280411</v>
      </c>
      <c r="AK125" s="65">
        <f t="shared" si="56"/>
        <v>1.7648580665195435</v>
      </c>
      <c r="AL125" s="65">
        <f t="shared" si="56"/>
        <v>1.7648580665195435</v>
      </c>
    </row>
    <row r="126" spans="4:38">
      <c r="D126" s="7" t="s">
        <v>304</v>
      </c>
      <c r="E126" s="16" t="s">
        <v>106</v>
      </c>
      <c r="K126" s="140">
        <f>ROUND(K124-K125,0)</f>
        <v>7</v>
      </c>
      <c r="L126" s="140">
        <f t="shared" ref="L126:AL126" si="57">ROUND(L124-L125,0)</f>
        <v>7</v>
      </c>
      <c r="M126" s="140">
        <f t="shared" si="57"/>
        <v>7</v>
      </c>
      <c r="N126" s="140">
        <f t="shared" si="57"/>
        <v>7</v>
      </c>
      <c r="O126" s="140">
        <f t="shared" si="57"/>
        <v>7</v>
      </c>
      <c r="P126" s="140">
        <f t="shared" si="57"/>
        <v>7</v>
      </c>
      <c r="Q126" s="140">
        <f t="shared" si="57"/>
        <v>7</v>
      </c>
      <c r="R126" s="140">
        <f t="shared" si="57"/>
        <v>7</v>
      </c>
      <c r="S126" s="140">
        <f t="shared" si="57"/>
        <v>7</v>
      </c>
      <c r="T126" s="140">
        <f t="shared" si="57"/>
        <v>7</v>
      </c>
      <c r="U126" s="140">
        <f t="shared" si="57"/>
        <v>7</v>
      </c>
      <c r="V126" s="140">
        <f t="shared" si="57"/>
        <v>7</v>
      </c>
      <c r="W126" s="140">
        <f t="shared" si="57"/>
        <v>7</v>
      </c>
      <c r="X126" s="140">
        <f t="shared" si="57"/>
        <v>7</v>
      </c>
      <c r="Y126" s="140">
        <f t="shared" si="57"/>
        <v>7</v>
      </c>
      <c r="Z126" s="140">
        <f t="shared" si="57"/>
        <v>7</v>
      </c>
      <c r="AA126" s="140">
        <f t="shared" si="57"/>
        <v>7</v>
      </c>
      <c r="AB126" s="140">
        <f t="shared" si="57"/>
        <v>7</v>
      </c>
      <c r="AC126" s="140">
        <f t="shared" si="57"/>
        <v>7</v>
      </c>
      <c r="AD126" s="140">
        <f t="shared" si="57"/>
        <v>7</v>
      </c>
      <c r="AE126" s="140">
        <f t="shared" si="57"/>
        <v>7</v>
      </c>
      <c r="AF126" s="140">
        <f t="shared" si="57"/>
        <v>7</v>
      </c>
      <c r="AG126" s="140">
        <f t="shared" si="57"/>
        <v>7</v>
      </c>
      <c r="AH126" s="140">
        <f t="shared" si="57"/>
        <v>7</v>
      </c>
      <c r="AI126" s="140">
        <f t="shared" si="57"/>
        <v>7</v>
      </c>
      <c r="AJ126" s="140">
        <f t="shared" si="57"/>
        <v>7</v>
      </c>
      <c r="AK126" s="140">
        <f t="shared" si="57"/>
        <v>7</v>
      </c>
      <c r="AL126" s="140">
        <f t="shared" si="57"/>
        <v>7</v>
      </c>
    </row>
    <row r="127" spans="4:38">
      <c r="D127" s="7"/>
      <c r="E127" s="16"/>
    </row>
    <row r="128" spans="4:38">
      <c r="D128" s="3" t="s">
        <v>298</v>
      </c>
    </row>
    <row r="129" spans="4:38">
      <c r="D129" s="7" t="s">
        <v>299</v>
      </c>
      <c r="E129" s="16" t="s">
        <v>169</v>
      </c>
      <c r="K129" t="str">
        <f>Inputs!E75</f>
        <v>Average</v>
      </c>
      <c r="L129" t="str">
        <f>Inputs!F75</f>
        <v>Average</v>
      </c>
      <c r="M129" t="str">
        <f>Inputs!G75</f>
        <v>Average</v>
      </c>
      <c r="N129" t="str">
        <f>Inputs!H75</f>
        <v>Average</v>
      </c>
      <c r="O129" t="str">
        <f>Inputs!I75</f>
        <v>Average</v>
      </c>
      <c r="P129" t="str">
        <f>Inputs!J75</f>
        <v>Average</v>
      </c>
      <c r="Q129" t="str">
        <f>P129</f>
        <v>Average</v>
      </c>
      <c r="R129" t="str">
        <f t="shared" ref="R129:AL129" si="58">Q129</f>
        <v>Average</v>
      </c>
      <c r="S129" t="str">
        <f t="shared" si="58"/>
        <v>Average</v>
      </c>
      <c r="T129" t="str">
        <f t="shared" si="58"/>
        <v>Average</v>
      </c>
      <c r="U129" t="str">
        <f t="shared" si="58"/>
        <v>Average</v>
      </c>
      <c r="V129" t="str">
        <f t="shared" si="58"/>
        <v>Average</v>
      </c>
      <c r="W129" t="str">
        <f t="shared" si="58"/>
        <v>Average</v>
      </c>
      <c r="X129" t="str">
        <f t="shared" si="58"/>
        <v>Average</v>
      </c>
      <c r="Y129" t="str">
        <f t="shared" si="58"/>
        <v>Average</v>
      </c>
      <c r="Z129" t="str">
        <f t="shared" si="58"/>
        <v>Average</v>
      </c>
      <c r="AA129" t="str">
        <f t="shared" si="58"/>
        <v>Average</v>
      </c>
      <c r="AB129" t="str">
        <f t="shared" si="58"/>
        <v>Average</v>
      </c>
      <c r="AC129" t="str">
        <f t="shared" si="58"/>
        <v>Average</v>
      </c>
      <c r="AD129" t="str">
        <f t="shared" si="58"/>
        <v>Average</v>
      </c>
      <c r="AE129" t="str">
        <f t="shared" si="58"/>
        <v>Average</v>
      </c>
      <c r="AF129" t="str">
        <f t="shared" si="58"/>
        <v>Average</v>
      </c>
      <c r="AG129" t="str">
        <f t="shared" si="58"/>
        <v>Average</v>
      </c>
      <c r="AH129" t="str">
        <f t="shared" si="58"/>
        <v>Average</v>
      </c>
      <c r="AI129" t="str">
        <f t="shared" si="58"/>
        <v>Average</v>
      </c>
      <c r="AJ129" t="str">
        <f t="shared" si="58"/>
        <v>Average</v>
      </c>
      <c r="AK129" t="str">
        <f t="shared" si="58"/>
        <v>Average</v>
      </c>
      <c r="AL129" t="str">
        <f t="shared" si="58"/>
        <v>Average</v>
      </c>
    </row>
    <row r="130" spans="4:38">
      <c r="D130" s="7" t="s">
        <v>300</v>
      </c>
      <c r="E130" s="16" t="s">
        <v>303</v>
      </c>
      <c r="K130">
        <f>INDEX('Availability Model'!$C$32:$T$36, MATCH($K$129,'Availability Model'!$B$32:$B$36, 0), MATCH($K$10, 'Availability Model'!$C$1:$T$1, 0))</f>
        <v>2</v>
      </c>
      <c r="L130">
        <f>INDEX('Availability Model'!$C$32:$T$36, MATCH($K$129,'Availability Model'!$B$32:$B$36, 0), MATCH($K$10, 'Availability Model'!$C$1:$T$1, 0))</f>
        <v>2</v>
      </c>
      <c r="M130">
        <f>INDEX('Availability Model'!$C$32:$T$36, MATCH($K$129,'Availability Model'!$B$32:$B$36, 0), MATCH($K$10, 'Availability Model'!$C$1:$T$1, 0))</f>
        <v>2</v>
      </c>
      <c r="N130">
        <f>INDEX('Availability Model'!$C$32:$T$36, MATCH($K$129,'Availability Model'!$B$32:$B$36, 0), MATCH($K$10, 'Availability Model'!$C$1:$T$1, 0))</f>
        <v>2</v>
      </c>
      <c r="O130">
        <f>INDEX('Availability Model'!$C$32:$T$36, MATCH($K$129,'Availability Model'!$B$32:$B$36, 0), MATCH($K$10, 'Availability Model'!$C$1:$T$1, 0))</f>
        <v>2</v>
      </c>
      <c r="P130">
        <f>INDEX('Availability Model'!$C$32:$T$36, MATCH($K$129,'Availability Model'!$B$32:$B$36, 0), MATCH($K$10, 'Availability Model'!$C$1:$T$1, 0))</f>
        <v>2</v>
      </c>
      <c r="Q130">
        <f>INDEX('Availability Model'!$C$32:$T$36, MATCH($K$129,'Availability Model'!$B$32:$B$36, 0), MATCH($K$10, 'Availability Model'!$C$1:$T$1, 0))</f>
        <v>2</v>
      </c>
      <c r="R130">
        <f>INDEX('Availability Model'!$C$32:$T$36, MATCH($K$129,'Availability Model'!$B$32:$B$36, 0), MATCH($K$10, 'Availability Model'!$C$1:$T$1, 0))</f>
        <v>2</v>
      </c>
      <c r="S130">
        <f>INDEX('Availability Model'!$C$32:$T$36, MATCH($K$129,'Availability Model'!$B$32:$B$36, 0), MATCH($K$10, 'Availability Model'!$C$1:$T$1, 0))</f>
        <v>2</v>
      </c>
      <c r="T130">
        <f>INDEX('Availability Model'!$C$32:$T$36, MATCH($K$129,'Availability Model'!$B$32:$B$36, 0), MATCH($K$10, 'Availability Model'!$C$1:$T$1, 0))</f>
        <v>2</v>
      </c>
      <c r="U130">
        <f>INDEX('Availability Model'!$C$32:$T$36, MATCH($K$129,'Availability Model'!$B$32:$B$36, 0), MATCH($K$10, 'Availability Model'!$C$1:$T$1, 0))</f>
        <v>2</v>
      </c>
      <c r="V130">
        <f>INDEX('Availability Model'!$C$32:$T$36, MATCH($K$129,'Availability Model'!$B$32:$B$36, 0), MATCH($K$10, 'Availability Model'!$C$1:$T$1, 0))</f>
        <v>2</v>
      </c>
      <c r="W130">
        <f>INDEX('Availability Model'!$C$32:$T$36, MATCH($K$129,'Availability Model'!$B$32:$B$36, 0), MATCH($K$10, 'Availability Model'!$C$1:$T$1, 0))</f>
        <v>2</v>
      </c>
      <c r="X130">
        <f>INDEX('Availability Model'!$C$32:$T$36, MATCH($K$129,'Availability Model'!$B$32:$B$36, 0), MATCH($K$10, 'Availability Model'!$C$1:$T$1, 0))</f>
        <v>2</v>
      </c>
      <c r="Y130">
        <f>INDEX('Availability Model'!$C$32:$T$36, MATCH($K$129,'Availability Model'!$B$32:$B$36, 0), MATCH($K$10, 'Availability Model'!$C$1:$T$1, 0))</f>
        <v>2</v>
      </c>
      <c r="Z130">
        <f>INDEX('Availability Model'!$C$32:$T$36, MATCH($K$129,'Availability Model'!$B$32:$B$36, 0), MATCH($K$10, 'Availability Model'!$C$1:$T$1, 0))</f>
        <v>2</v>
      </c>
      <c r="AA130">
        <f>INDEX('Availability Model'!$C$32:$T$36, MATCH($K$129,'Availability Model'!$B$32:$B$36, 0), MATCH($K$10, 'Availability Model'!$C$1:$T$1, 0))</f>
        <v>2</v>
      </c>
      <c r="AB130">
        <f>INDEX('Availability Model'!$C$32:$T$36, MATCH($K$129,'Availability Model'!$B$32:$B$36, 0), MATCH($K$10, 'Availability Model'!$C$1:$T$1, 0))</f>
        <v>2</v>
      </c>
      <c r="AC130">
        <f>INDEX('Availability Model'!$C$32:$T$36, MATCH($K$129,'Availability Model'!$B$32:$B$36, 0), MATCH($K$10, 'Availability Model'!$C$1:$T$1, 0))</f>
        <v>2</v>
      </c>
      <c r="AD130">
        <f>INDEX('Availability Model'!$C$32:$T$36, MATCH($K$129,'Availability Model'!$B$32:$B$36, 0), MATCH($K$10, 'Availability Model'!$C$1:$T$1, 0))</f>
        <v>2</v>
      </c>
      <c r="AE130">
        <f>INDEX('Availability Model'!$C$32:$T$36, MATCH($K$129,'Availability Model'!$B$32:$B$36, 0), MATCH($K$10, 'Availability Model'!$C$1:$T$1, 0))</f>
        <v>2</v>
      </c>
      <c r="AF130">
        <f>INDEX('Availability Model'!$C$32:$T$36, MATCH($K$129,'Availability Model'!$B$32:$B$36, 0), MATCH($K$10, 'Availability Model'!$C$1:$T$1, 0))</f>
        <v>2</v>
      </c>
      <c r="AG130">
        <f>INDEX('Availability Model'!$C$32:$T$36, MATCH($K$129,'Availability Model'!$B$32:$B$36, 0), MATCH($K$10, 'Availability Model'!$C$1:$T$1, 0))</f>
        <v>2</v>
      </c>
      <c r="AH130">
        <f>INDEX('Availability Model'!$C$32:$T$36, MATCH($K$129,'Availability Model'!$B$32:$B$36, 0), MATCH($K$10, 'Availability Model'!$C$1:$T$1, 0))</f>
        <v>2</v>
      </c>
      <c r="AI130">
        <f>INDEX('Availability Model'!$C$32:$T$36, MATCH($K$129,'Availability Model'!$B$32:$B$36, 0), MATCH($K$10, 'Availability Model'!$C$1:$T$1, 0))</f>
        <v>2</v>
      </c>
      <c r="AJ130">
        <f>INDEX('Availability Model'!$C$32:$T$36, MATCH($K$129,'Availability Model'!$B$32:$B$36, 0), MATCH($K$10, 'Availability Model'!$C$1:$T$1, 0))</f>
        <v>2</v>
      </c>
      <c r="AK130">
        <f>INDEX('Availability Model'!$C$32:$T$36, MATCH($K$129,'Availability Model'!$B$32:$B$36, 0), MATCH($K$10, 'Availability Model'!$C$1:$T$1, 0))</f>
        <v>2</v>
      </c>
      <c r="AL130">
        <f>INDEX('Availability Model'!$C$32:$T$36, MATCH($K$129,'Availability Model'!$B$32:$B$36, 0), MATCH($K$10, 'Availability Model'!$C$1:$T$1, 0))</f>
        <v>2</v>
      </c>
    </row>
    <row r="131" spans="4:38">
      <c r="D131" s="7" t="s">
        <v>301</v>
      </c>
      <c r="E131" s="16" t="s">
        <v>106</v>
      </c>
      <c r="K131">
        <f>K130*INDEX('Availability Model'!$C$39:$T$43, MATCH($K$129,'Availability Model'!$B$39:$B$43, 0), MATCH($K$10, 'Availability Model'!$C$1:$T$1, 0))</f>
        <v>6</v>
      </c>
      <c r="L131">
        <f>L130*INDEX('Availability Model'!$C$39:$T$43, MATCH($K$129,'Availability Model'!$B$39:$B$43, 0), MATCH($K$10, 'Availability Model'!$C$1:$T$1, 0))</f>
        <v>6</v>
      </c>
      <c r="M131">
        <f>M130*INDEX('Availability Model'!$C$39:$T$43, MATCH($K$129,'Availability Model'!$B$39:$B$43, 0), MATCH($K$10, 'Availability Model'!$C$1:$T$1, 0))</f>
        <v>6</v>
      </c>
      <c r="N131">
        <f>N130*INDEX('Availability Model'!$C$39:$T$43, MATCH($K$129,'Availability Model'!$B$39:$B$43, 0), MATCH($K$10, 'Availability Model'!$C$1:$T$1, 0))</f>
        <v>6</v>
      </c>
      <c r="O131">
        <f>O130*INDEX('Availability Model'!$C$39:$T$43, MATCH($K$129,'Availability Model'!$B$39:$B$43, 0), MATCH($K$10, 'Availability Model'!$C$1:$T$1, 0))</f>
        <v>6</v>
      </c>
      <c r="P131">
        <f>P130*INDEX('Availability Model'!$C$39:$T$43, MATCH($K$129,'Availability Model'!$B$39:$B$43, 0), MATCH($K$10, 'Availability Model'!$C$1:$T$1, 0))</f>
        <v>6</v>
      </c>
      <c r="Q131">
        <f>Q130*INDEX('Availability Model'!$C$39:$T$43, MATCH($K$129,'Availability Model'!$B$39:$B$43, 0), MATCH($K$10, 'Availability Model'!$C$1:$T$1, 0))</f>
        <v>6</v>
      </c>
      <c r="R131">
        <f>R130*INDEX('Availability Model'!$C$39:$T$43, MATCH($K$129,'Availability Model'!$B$39:$B$43, 0), MATCH($K$10, 'Availability Model'!$C$1:$T$1, 0))</f>
        <v>6</v>
      </c>
      <c r="S131">
        <f>S130*INDEX('Availability Model'!$C$39:$T$43, MATCH($K$129,'Availability Model'!$B$39:$B$43, 0), MATCH($K$10, 'Availability Model'!$C$1:$T$1, 0))</f>
        <v>6</v>
      </c>
      <c r="T131">
        <f>T130*INDEX('Availability Model'!$C$39:$T$43, MATCH($K$129,'Availability Model'!$B$39:$B$43, 0), MATCH($K$10, 'Availability Model'!$C$1:$T$1, 0))</f>
        <v>6</v>
      </c>
      <c r="U131">
        <f>U130*INDEX('Availability Model'!$C$39:$T$43, MATCH($K$129,'Availability Model'!$B$39:$B$43, 0), MATCH($K$10, 'Availability Model'!$C$1:$T$1, 0))</f>
        <v>6</v>
      </c>
      <c r="V131">
        <f>V130*INDEX('Availability Model'!$C$39:$T$43, MATCH($K$129,'Availability Model'!$B$39:$B$43, 0), MATCH($K$10, 'Availability Model'!$C$1:$T$1, 0))</f>
        <v>6</v>
      </c>
      <c r="W131">
        <f>W130*INDEX('Availability Model'!$C$39:$T$43, MATCH($K$129,'Availability Model'!$B$39:$B$43, 0), MATCH($K$10, 'Availability Model'!$C$1:$T$1, 0))</f>
        <v>6</v>
      </c>
      <c r="X131">
        <f>X130*INDEX('Availability Model'!$C$39:$T$43, MATCH($K$129,'Availability Model'!$B$39:$B$43, 0), MATCH($K$10, 'Availability Model'!$C$1:$T$1, 0))</f>
        <v>6</v>
      </c>
      <c r="Y131">
        <f>Y130*INDEX('Availability Model'!$C$39:$T$43, MATCH($K$129,'Availability Model'!$B$39:$B$43, 0), MATCH($K$10, 'Availability Model'!$C$1:$T$1, 0))</f>
        <v>6</v>
      </c>
      <c r="Z131">
        <f>Z130*INDEX('Availability Model'!$C$39:$T$43, MATCH($K$129,'Availability Model'!$B$39:$B$43, 0), MATCH($K$10, 'Availability Model'!$C$1:$T$1, 0))</f>
        <v>6</v>
      </c>
      <c r="AA131">
        <f>AA130*INDEX('Availability Model'!$C$39:$T$43, MATCH($K$129,'Availability Model'!$B$39:$B$43, 0), MATCH($K$10, 'Availability Model'!$C$1:$T$1, 0))</f>
        <v>6</v>
      </c>
      <c r="AB131">
        <f>AB130*INDEX('Availability Model'!$C$39:$T$43, MATCH($K$129,'Availability Model'!$B$39:$B$43, 0), MATCH($K$10, 'Availability Model'!$C$1:$T$1, 0))</f>
        <v>6</v>
      </c>
      <c r="AC131">
        <f>AC130*INDEX('Availability Model'!$C$39:$T$43, MATCH($K$129,'Availability Model'!$B$39:$B$43, 0), MATCH($K$10, 'Availability Model'!$C$1:$T$1, 0))</f>
        <v>6</v>
      </c>
      <c r="AD131">
        <f>AD130*INDEX('Availability Model'!$C$39:$T$43, MATCH($K$129,'Availability Model'!$B$39:$B$43, 0), MATCH($K$10, 'Availability Model'!$C$1:$T$1, 0))</f>
        <v>6</v>
      </c>
      <c r="AE131">
        <f>AE130*INDEX('Availability Model'!$C$39:$T$43, MATCH($K$129,'Availability Model'!$B$39:$B$43, 0), MATCH($K$10, 'Availability Model'!$C$1:$T$1, 0))</f>
        <v>6</v>
      </c>
      <c r="AF131">
        <f>AF130*INDEX('Availability Model'!$C$39:$T$43, MATCH($K$129,'Availability Model'!$B$39:$B$43, 0), MATCH($K$10, 'Availability Model'!$C$1:$T$1, 0))</f>
        <v>6</v>
      </c>
      <c r="AG131">
        <f>AG130*INDEX('Availability Model'!$C$39:$T$43, MATCH($K$129,'Availability Model'!$B$39:$B$43, 0), MATCH($K$10, 'Availability Model'!$C$1:$T$1, 0))</f>
        <v>6</v>
      </c>
      <c r="AH131">
        <f>AH130*INDEX('Availability Model'!$C$39:$T$43, MATCH($K$129,'Availability Model'!$B$39:$B$43, 0), MATCH($K$10, 'Availability Model'!$C$1:$T$1, 0))</f>
        <v>6</v>
      </c>
      <c r="AI131">
        <f>AI130*INDEX('Availability Model'!$C$39:$T$43, MATCH($K$129,'Availability Model'!$B$39:$B$43, 0), MATCH($K$10, 'Availability Model'!$C$1:$T$1, 0))</f>
        <v>6</v>
      </c>
      <c r="AJ131">
        <f>AJ130*INDEX('Availability Model'!$C$39:$T$43, MATCH($K$129,'Availability Model'!$B$39:$B$43, 0), MATCH($K$10, 'Availability Model'!$C$1:$T$1, 0))</f>
        <v>6</v>
      </c>
      <c r="AK131">
        <f>AK130*INDEX('Availability Model'!$C$39:$T$43, MATCH($K$129,'Availability Model'!$B$39:$B$43, 0), MATCH($K$10, 'Availability Model'!$C$1:$T$1, 0))</f>
        <v>6</v>
      </c>
      <c r="AL131">
        <f>AL130*INDEX('Availability Model'!$C$39:$T$43, MATCH($K$129,'Availability Model'!$B$39:$B$43, 0), MATCH($K$10, 'Availability Model'!$C$1:$T$1, 0))</f>
        <v>6</v>
      </c>
    </row>
    <row r="132" spans="4:38">
      <c r="D132" s="7" t="s">
        <v>302</v>
      </c>
      <c r="E132" s="16" t="s">
        <v>106</v>
      </c>
      <c r="K132" s="65">
        <f>K125</f>
        <v>1.8129533678756478</v>
      </c>
      <c r="L132" s="65">
        <f t="shared" ref="L132:AL132" si="59">L125</f>
        <v>1.9066551166747128</v>
      </c>
      <c r="M132" s="65">
        <f t="shared" si="59"/>
        <v>1.8367738032705883</v>
      </c>
      <c r="N132" s="65">
        <f t="shared" si="59"/>
        <v>1.8815339776532183</v>
      </c>
      <c r="O132" s="65">
        <f t="shared" si="59"/>
        <v>2.274116334125547</v>
      </c>
      <c r="P132" s="65">
        <f t="shared" si="59"/>
        <v>2.277607063808083</v>
      </c>
      <c r="Q132" s="65">
        <f t="shared" si="59"/>
        <v>2.4761314028268004</v>
      </c>
      <c r="R132" s="65">
        <f t="shared" si="59"/>
        <v>2.4761314028268004</v>
      </c>
      <c r="S132" s="65">
        <f t="shared" si="59"/>
        <v>2.2417869796016316</v>
      </c>
      <c r="T132" s="65">
        <f t="shared" si="59"/>
        <v>2.2451891357101292</v>
      </c>
      <c r="U132" s="65">
        <f t="shared" si="59"/>
        <v>2.2417869796016316</v>
      </c>
      <c r="V132" s="65">
        <f t="shared" si="59"/>
        <v>2.2417869796016316</v>
      </c>
      <c r="W132" s="65">
        <f t="shared" si="59"/>
        <v>2.2417869796016316</v>
      </c>
      <c r="X132" s="65">
        <f t="shared" si="59"/>
        <v>2.2451891357101292</v>
      </c>
      <c r="Y132" s="65">
        <f t="shared" si="59"/>
        <v>2.2417869796016316</v>
      </c>
      <c r="Z132" s="65">
        <f t="shared" si="59"/>
        <v>2.2417869796016316</v>
      </c>
      <c r="AA132" s="65">
        <f t="shared" si="59"/>
        <v>2.2417869796016316</v>
      </c>
      <c r="AB132" s="65">
        <f t="shared" si="59"/>
        <v>2.2451891357101292</v>
      </c>
      <c r="AC132" s="65">
        <f t="shared" si="59"/>
        <v>1.7648580665195435</v>
      </c>
      <c r="AD132" s="65">
        <f t="shared" si="59"/>
        <v>1.7648580665195435</v>
      </c>
      <c r="AE132" s="65">
        <f t="shared" si="59"/>
        <v>1.7648580665195435</v>
      </c>
      <c r="AF132" s="65">
        <f t="shared" si="59"/>
        <v>1.7682602226280411</v>
      </c>
      <c r="AG132" s="65">
        <f t="shared" si="59"/>
        <v>1.7648580665195435</v>
      </c>
      <c r="AH132" s="65">
        <f t="shared" si="59"/>
        <v>1.7648580665195435</v>
      </c>
      <c r="AI132" s="65">
        <f t="shared" si="59"/>
        <v>1.7648580665195435</v>
      </c>
      <c r="AJ132" s="65">
        <f t="shared" si="59"/>
        <v>1.7682602226280411</v>
      </c>
      <c r="AK132" s="65">
        <f t="shared" si="59"/>
        <v>1.7648580665195435</v>
      </c>
      <c r="AL132" s="65">
        <f t="shared" si="59"/>
        <v>1.7648580665195435</v>
      </c>
    </row>
    <row r="133" spans="4:38">
      <c r="D133" s="7" t="s">
        <v>304</v>
      </c>
      <c r="E133" s="16" t="s">
        <v>106</v>
      </c>
      <c r="K133" s="140">
        <f>ROUND(K131-K132,0)</f>
        <v>4</v>
      </c>
      <c r="L133" s="140">
        <f t="shared" ref="L133:AL133" si="60">ROUND(L131-L132,0)</f>
        <v>4</v>
      </c>
      <c r="M133" s="140">
        <f t="shared" si="60"/>
        <v>4</v>
      </c>
      <c r="N133" s="140">
        <f t="shared" si="60"/>
        <v>4</v>
      </c>
      <c r="O133" s="140">
        <f t="shared" si="60"/>
        <v>4</v>
      </c>
      <c r="P133" s="140">
        <f t="shared" si="60"/>
        <v>4</v>
      </c>
      <c r="Q133" s="140">
        <f t="shared" si="60"/>
        <v>4</v>
      </c>
      <c r="R133" s="140">
        <f t="shared" si="60"/>
        <v>4</v>
      </c>
      <c r="S133" s="140">
        <f t="shared" si="60"/>
        <v>4</v>
      </c>
      <c r="T133" s="140">
        <f t="shared" si="60"/>
        <v>4</v>
      </c>
      <c r="U133" s="140">
        <f t="shared" si="60"/>
        <v>4</v>
      </c>
      <c r="V133" s="140">
        <f t="shared" si="60"/>
        <v>4</v>
      </c>
      <c r="W133" s="140">
        <f t="shared" si="60"/>
        <v>4</v>
      </c>
      <c r="X133" s="140">
        <f t="shared" si="60"/>
        <v>4</v>
      </c>
      <c r="Y133" s="140">
        <f t="shared" si="60"/>
        <v>4</v>
      </c>
      <c r="Z133" s="140">
        <f t="shared" si="60"/>
        <v>4</v>
      </c>
      <c r="AA133" s="140">
        <f t="shared" si="60"/>
        <v>4</v>
      </c>
      <c r="AB133" s="140">
        <f t="shared" si="60"/>
        <v>4</v>
      </c>
      <c r="AC133" s="140">
        <f t="shared" si="60"/>
        <v>4</v>
      </c>
      <c r="AD133" s="140">
        <f t="shared" si="60"/>
        <v>4</v>
      </c>
      <c r="AE133" s="140">
        <f t="shared" si="60"/>
        <v>4</v>
      </c>
      <c r="AF133" s="140">
        <f t="shared" si="60"/>
        <v>4</v>
      </c>
      <c r="AG133" s="140">
        <f t="shared" si="60"/>
        <v>4</v>
      </c>
      <c r="AH133" s="140">
        <f t="shared" si="60"/>
        <v>4</v>
      </c>
      <c r="AI133" s="140">
        <f t="shared" si="60"/>
        <v>4</v>
      </c>
      <c r="AJ133" s="140">
        <f t="shared" si="60"/>
        <v>4</v>
      </c>
      <c r="AK133" s="140">
        <f t="shared" si="60"/>
        <v>4</v>
      </c>
      <c r="AL133" s="140">
        <f t="shared" si="60"/>
        <v>4</v>
      </c>
    </row>
    <row r="134" spans="4:38">
      <c r="D134" s="7"/>
      <c r="W134"/>
      <c r="AB134"/>
    </row>
    <row r="135" spans="4:38">
      <c r="D135" s="3" t="s">
        <v>309</v>
      </c>
      <c r="E135" s="16" t="s">
        <v>106</v>
      </c>
      <c r="K135">
        <f>K119+K126+K133</f>
        <v>11</v>
      </c>
      <c r="L135">
        <f t="shared" ref="L135:AL135" si="61">L119+L126+L133</f>
        <v>11</v>
      </c>
      <c r="M135">
        <f t="shared" si="61"/>
        <v>11</v>
      </c>
      <c r="N135">
        <f t="shared" si="61"/>
        <v>11</v>
      </c>
      <c r="O135">
        <f t="shared" si="61"/>
        <v>11</v>
      </c>
      <c r="P135">
        <f t="shared" si="61"/>
        <v>11</v>
      </c>
      <c r="Q135">
        <f t="shared" si="61"/>
        <v>11</v>
      </c>
      <c r="R135">
        <f t="shared" si="61"/>
        <v>11</v>
      </c>
      <c r="S135">
        <f t="shared" si="61"/>
        <v>11</v>
      </c>
      <c r="T135">
        <f t="shared" si="61"/>
        <v>11</v>
      </c>
      <c r="U135">
        <f t="shared" si="61"/>
        <v>11</v>
      </c>
      <c r="V135">
        <f t="shared" si="61"/>
        <v>11</v>
      </c>
      <c r="W135">
        <f t="shared" si="61"/>
        <v>11</v>
      </c>
      <c r="X135">
        <f t="shared" si="61"/>
        <v>11</v>
      </c>
      <c r="Y135">
        <f t="shared" si="61"/>
        <v>11</v>
      </c>
      <c r="Z135">
        <f t="shared" si="61"/>
        <v>11</v>
      </c>
      <c r="AA135">
        <f t="shared" si="61"/>
        <v>11</v>
      </c>
      <c r="AB135">
        <f t="shared" si="61"/>
        <v>11</v>
      </c>
      <c r="AC135">
        <f t="shared" si="61"/>
        <v>11</v>
      </c>
      <c r="AD135">
        <f t="shared" si="61"/>
        <v>11</v>
      </c>
      <c r="AE135">
        <f t="shared" si="61"/>
        <v>11</v>
      </c>
      <c r="AF135">
        <f t="shared" si="61"/>
        <v>11</v>
      </c>
      <c r="AG135">
        <f t="shared" si="61"/>
        <v>11</v>
      </c>
      <c r="AH135">
        <f t="shared" si="61"/>
        <v>11</v>
      </c>
      <c r="AI135">
        <f t="shared" si="61"/>
        <v>11</v>
      </c>
      <c r="AJ135">
        <f t="shared" si="61"/>
        <v>11</v>
      </c>
      <c r="AK135">
        <f t="shared" si="61"/>
        <v>11</v>
      </c>
      <c r="AL135">
        <f t="shared" si="61"/>
        <v>11</v>
      </c>
    </row>
    <row r="136" spans="4:38" ht="15">
      <c r="D136" s="4"/>
    </row>
    <row r="137" spans="4:38" ht="15">
      <c r="D137" s="4" t="s">
        <v>137</v>
      </c>
    </row>
    <row r="138" spans="4:38">
      <c r="D138" s="7" t="s">
        <v>299</v>
      </c>
      <c r="E138" s="16" t="s">
        <v>169</v>
      </c>
      <c r="K138" t="str">
        <f>Inputs!E76</f>
        <v>Average</v>
      </c>
      <c r="L138" t="str">
        <f>Inputs!F76</f>
        <v>Average</v>
      </c>
      <c r="M138" t="str">
        <f>Inputs!G76</f>
        <v>Average</v>
      </c>
      <c r="N138" t="str">
        <f>Inputs!H76</f>
        <v>Average</v>
      </c>
      <c r="O138" t="str">
        <f>Inputs!I76</f>
        <v>Average</v>
      </c>
      <c r="P138" t="str">
        <f>Inputs!J76</f>
        <v>Average</v>
      </c>
      <c r="Q138" t="str">
        <f>P138</f>
        <v>Average</v>
      </c>
      <c r="R138" t="str">
        <f t="shared" ref="R138:AL138" si="62">Q138</f>
        <v>Average</v>
      </c>
      <c r="S138" t="str">
        <f t="shared" si="62"/>
        <v>Average</v>
      </c>
      <c r="T138" t="str">
        <f t="shared" si="62"/>
        <v>Average</v>
      </c>
      <c r="U138" t="str">
        <f t="shared" si="62"/>
        <v>Average</v>
      </c>
      <c r="V138" t="str">
        <f t="shared" si="62"/>
        <v>Average</v>
      </c>
      <c r="W138" t="str">
        <f t="shared" si="62"/>
        <v>Average</v>
      </c>
      <c r="X138" t="str">
        <f t="shared" si="62"/>
        <v>Average</v>
      </c>
      <c r="Y138" t="str">
        <f t="shared" si="62"/>
        <v>Average</v>
      </c>
      <c r="Z138" t="str">
        <f t="shared" si="62"/>
        <v>Average</v>
      </c>
      <c r="AA138" t="str">
        <f t="shared" si="62"/>
        <v>Average</v>
      </c>
      <c r="AB138" t="str">
        <f t="shared" si="62"/>
        <v>Average</v>
      </c>
      <c r="AC138" t="str">
        <f t="shared" si="62"/>
        <v>Average</v>
      </c>
      <c r="AD138" t="str">
        <f t="shared" si="62"/>
        <v>Average</v>
      </c>
      <c r="AE138" t="str">
        <f t="shared" si="62"/>
        <v>Average</v>
      </c>
      <c r="AF138" t="str">
        <f t="shared" si="62"/>
        <v>Average</v>
      </c>
      <c r="AG138" t="str">
        <f t="shared" si="62"/>
        <v>Average</v>
      </c>
      <c r="AH138" t="str">
        <f t="shared" si="62"/>
        <v>Average</v>
      </c>
      <c r="AI138" t="str">
        <f t="shared" si="62"/>
        <v>Average</v>
      </c>
      <c r="AJ138" t="str">
        <f t="shared" si="62"/>
        <v>Average</v>
      </c>
      <c r="AK138" t="str">
        <f t="shared" si="62"/>
        <v>Average</v>
      </c>
      <c r="AL138" t="str">
        <f t="shared" si="62"/>
        <v>Average</v>
      </c>
    </row>
    <row r="139" spans="4:38">
      <c r="D139" s="7" t="s">
        <v>300</v>
      </c>
      <c r="E139" s="16" t="s">
        <v>303</v>
      </c>
      <c r="K139">
        <f>INDEX('Availability Model'!$C$46:$T$50, MATCH($K$138,'Availability Model'!$B$46:$B$50, 0), MATCH($K$10, 'Availability Model'!$C$1:$T$1, 0))</f>
        <v>2</v>
      </c>
      <c r="L139">
        <f>INDEX('Availability Model'!$C$46:$T$50, MATCH($K$138,'Availability Model'!$B$46:$B$50, 0), MATCH($K$10, 'Availability Model'!$C$1:$T$1, 0))</f>
        <v>2</v>
      </c>
      <c r="M139">
        <f>INDEX('Availability Model'!$C$46:$T$50, MATCH($K$138,'Availability Model'!$B$46:$B$50, 0), MATCH($K$10, 'Availability Model'!$C$1:$T$1, 0))</f>
        <v>2</v>
      </c>
      <c r="N139">
        <f>INDEX('Availability Model'!$C$46:$T$50, MATCH($K$138,'Availability Model'!$B$46:$B$50, 0), MATCH($K$10, 'Availability Model'!$C$1:$T$1, 0))</f>
        <v>2</v>
      </c>
      <c r="O139">
        <f>INDEX('Availability Model'!$C$46:$T$50, MATCH($K$138,'Availability Model'!$B$46:$B$50, 0), MATCH($K$10, 'Availability Model'!$C$1:$T$1, 0))</f>
        <v>2</v>
      </c>
      <c r="P139">
        <f>INDEX('Availability Model'!$C$46:$T$50, MATCH($K$138,'Availability Model'!$B$46:$B$50, 0), MATCH($K$10, 'Availability Model'!$C$1:$T$1, 0))</f>
        <v>2</v>
      </c>
      <c r="Q139">
        <f>INDEX('Availability Model'!$C$46:$T$50, MATCH($K$138,'Availability Model'!$B$46:$B$50, 0), MATCH($K$10, 'Availability Model'!$C$1:$T$1, 0))</f>
        <v>2</v>
      </c>
      <c r="R139">
        <f>INDEX('Availability Model'!$C$46:$T$50, MATCH($K$138,'Availability Model'!$B$46:$B$50, 0), MATCH($K$10, 'Availability Model'!$C$1:$T$1, 0))</f>
        <v>2</v>
      </c>
      <c r="S139">
        <f>INDEX('Availability Model'!$C$46:$T$50, MATCH($K$138,'Availability Model'!$B$46:$B$50, 0), MATCH($K$10, 'Availability Model'!$C$1:$T$1, 0))</f>
        <v>2</v>
      </c>
      <c r="T139">
        <f>INDEX('Availability Model'!$C$46:$T$50, MATCH($K$138,'Availability Model'!$B$46:$B$50, 0), MATCH($K$10, 'Availability Model'!$C$1:$T$1, 0))</f>
        <v>2</v>
      </c>
      <c r="U139">
        <f>INDEX('Availability Model'!$C$46:$T$50, MATCH($K$138,'Availability Model'!$B$46:$B$50, 0), MATCH($K$10, 'Availability Model'!$C$1:$T$1, 0))</f>
        <v>2</v>
      </c>
      <c r="V139">
        <f>INDEX('Availability Model'!$C$46:$T$50, MATCH($K$138,'Availability Model'!$B$46:$B$50, 0), MATCH($K$10, 'Availability Model'!$C$1:$T$1, 0))</f>
        <v>2</v>
      </c>
      <c r="W139">
        <f>INDEX('Availability Model'!$C$46:$T$50, MATCH($K$138,'Availability Model'!$B$46:$B$50, 0), MATCH($K$10, 'Availability Model'!$C$1:$T$1, 0))</f>
        <v>2</v>
      </c>
      <c r="X139">
        <f>INDEX('Availability Model'!$C$46:$T$50, MATCH($K$138,'Availability Model'!$B$46:$B$50, 0), MATCH($K$10, 'Availability Model'!$C$1:$T$1, 0))</f>
        <v>2</v>
      </c>
      <c r="Y139">
        <f>INDEX('Availability Model'!$C$46:$T$50, MATCH($K$138,'Availability Model'!$B$46:$B$50, 0), MATCH($K$10, 'Availability Model'!$C$1:$T$1, 0))</f>
        <v>2</v>
      </c>
      <c r="Z139">
        <f>INDEX('Availability Model'!$C$46:$T$50, MATCH($K$138,'Availability Model'!$B$46:$B$50, 0), MATCH($K$10, 'Availability Model'!$C$1:$T$1, 0))</f>
        <v>2</v>
      </c>
      <c r="AA139">
        <f>INDEX('Availability Model'!$C$46:$T$50, MATCH($K$138,'Availability Model'!$B$46:$B$50, 0), MATCH($K$10, 'Availability Model'!$C$1:$T$1, 0))</f>
        <v>2</v>
      </c>
      <c r="AB139">
        <f>INDEX('Availability Model'!$C$46:$T$50, MATCH($K$138,'Availability Model'!$B$46:$B$50, 0), MATCH($K$10, 'Availability Model'!$C$1:$T$1, 0))</f>
        <v>2</v>
      </c>
      <c r="AC139">
        <f>INDEX('Availability Model'!$C$46:$T$50, MATCH($K$138,'Availability Model'!$B$46:$B$50, 0), MATCH($K$10, 'Availability Model'!$C$1:$T$1, 0))</f>
        <v>2</v>
      </c>
      <c r="AD139">
        <f>INDEX('Availability Model'!$C$46:$T$50, MATCH($K$138,'Availability Model'!$B$46:$B$50, 0), MATCH($K$10, 'Availability Model'!$C$1:$T$1, 0))</f>
        <v>2</v>
      </c>
      <c r="AE139">
        <f>INDEX('Availability Model'!$C$46:$T$50, MATCH($K$138,'Availability Model'!$B$46:$B$50, 0), MATCH($K$10, 'Availability Model'!$C$1:$T$1, 0))</f>
        <v>2</v>
      </c>
      <c r="AF139">
        <f>INDEX('Availability Model'!$C$46:$T$50, MATCH($K$138,'Availability Model'!$B$46:$B$50, 0), MATCH($K$10, 'Availability Model'!$C$1:$T$1, 0))</f>
        <v>2</v>
      </c>
      <c r="AG139">
        <f>INDEX('Availability Model'!$C$46:$T$50, MATCH($K$138,'Availability Model'!$B$46:$B$50, 0), MATCH($K$10, 'Availability Model'!$C$1:$T$1, 0))</f>
        <v>2</v>
      </c>
      <c r="AH139">
        <f>INDEX('Availability Model'!$C$46:$T$50, MATCH($K$138,'Availability Model'!$B$46:$B$50, 0), MATCH($K$10, 'Availability Model'!$C$1:$T$1, 0))</f>
        <v>2</v>
      </c>
      <c r="AI139">
        <f>INDEX('Availability Model'!$C$46:$T$50, MATCH($K$138,'Availability Model'!$B$46:$B$50, 0), MATCH($K$10, 'Availability Model'!$C$1:$T$1, 0))</f>
        <v>2</v>
      </c>
      <c r="AJ139">
        <f>INDEX('Availability Model'!$C$46:$T$50, MATCH($K$138,'Availability Model'!$B$46:$B$50, 0), MATCH($K$10, 'Availability Model'!$C$1:$T$1, 0))</f>
        <v>2</v>
      </c>
      <c r="AK139">
        <f>INDEX('Availability Model'!$C$46:$T$50, MATCH($K$138,'Availability Model'!$B$46:$B$50, 0), MATCH($K$10, 'Availability Model'!$C$1:$T$1, 0))</f>
        <v>2</v>
      </c>
      <c r="AL139">
        <f>INDEX('Availability Model'!$C$46:$T$50, MATCH($K$138,'Availability Model'!$B$46:$B$50, 0), MATCH($K$10, 'Availability Model'!$C$1:$T$1, 0))</f>
        <v>2</v>
      </c>
    </row>
    <row r="140" spans="4:38">
      <c r="D140" s="7" t="s">
        <v>312</v>
      </c>
      <c r="E140" s="16" t="s">
        <v>106</v>
      </c>
      <c r="K140">
        <f>K139*INDEX('Availability Model'!$C$53:$T$57, MATCH($K$138,'Availability Model'!$B$53:$B$57, 0), MATCH($K$10, 'Availability Model'!$C$1:$T$1, 0))</f>
        <v>4</v>
      </c>
      <c r="L140">
        <f>L139*INDEX('Availability Model'!$C$53:$T$57, MATCH($K$138,'Availability Model'!$B$53:$B$57, 0), MATCH($K$10, 'Availability Model'!$C$1:$T$1, 0))</f>
        <v>4</v>
      </c>
      <c r="M140">
        <f>M139*INDEX('Availability Model'!$C$53:$T$57, MATCH($K$138,'Availability Model'!$B$53:$B$57, 0), MATCH($K$10, 'Availability Model'!$C$1:$T$1, 0))</f>
        <v>4</v>
      </c>
      <c r="N140">
        <f>N139*INDEX('Availability Model'!$C$53:$T$57, MATCH($K$138,'Availability Model'!$B$53:$B$57, 0), MATCH($K$10, 'Availability Model'!$C$1:$T$1, 0))</f>
        <v>4</v>
      </c>
      <c r="O140">
        <f>O139*INDEX('Availability Model'!$C$53:$T$57, MATCH($K$138,'Availability Model'!$B$53:$B$57, 0), MATCH($K$10, 'Availability Model'!$C$1:$T$1, 0))</f>
        <v>4</v>
      </c>
      <c r="P140">
        <f>P139*INDEX('Availability Model'!$C$53:$T$57, MATCH($K$138,'Availability Model'!$B$53:$B$57, 0), MATCH($K$10, 'Availability Model'!$C$1:$T$1, 0))</f>
        <v>4</v>
      </c>
      <c r="Q140">
        <f>Q139*INDEX('Availability Model'!$C$53:$T$57, MATCH($K$138,'Availability Model'!$B$53:$B$57, 0), MATCH($K$10, 'Availability Model'!$C$1:$T$1, 0))</f>
        <v>4</v>
      </c>
      <c r="R140">
        <f>R139*INDEX('Availability Model'!$C$53:$T$57, MATCH($K$138,'Availability Model'!$B$53:$B$57, 0), MATCH($K$10, 'Availability Model'!$C$1:$T$1, 0))</f>
        <v>4</v>
      </c>
      <c r="S140">
        <f>S139*INDEX('Availability Model'!$C$53:$T$57, MATCH($K$138,'Availability Model'!$B$53:$B$57, 0), MATCH($K$10, 'Availability Model'!$C$1:$T$1, 0))</f>
        <v>4</v>
      </c>
      <c r="T140">
        <f>T139*INDEX('Availability Model'!$C$53:$T$57, MATCH($K$138,'Availability Model'!$B$53:$B$57, 0), MATCH($K$10, 'Availability Model'!$C$1:$T$1, 0))</f>
        <v>4</v>
      </c>
      <c r="U140">
        <f>U139*INDEX('Availability Model'!$C$53:$T$57, MATCH($K$138,'Availability Model'!$B$53:$B$57, 0), MATCH($K$10, 'Availability Model'!$C$1:$T$1, 0))</f>
        <v>4</v>
      </c>
      <c r="V140">
        <f>V139*INDEX('Availability Model'!$C$53:$T$57, MATCH($K$138,'Availability Model'!$B$53:$B$57, 0), MATCH($K$10, 'Availability Model'!$C$1:$T$1, 0))</f>
        <v>4</v>
      </c>
      <c r="W140">
        <f>W139*INDEX('Availability Model'!$C$53:$T$57, MATCH($K$138,'Availability Model'!$B$53:$B$57, 0), MATCH($K$10, 'Availability Model'!$C$1:$T$1, 0))</f>
        <v>4</v>
      </c>
      <c r="X140">
        <f>X139*INDEX('Availability Model'!$C$53:$T$57, MATCH($K$138,'Availability Model'!$B$53:$B$57, 0), MATCH($K$10, 'Availability Model'!$C$1:$T$1, 0))</f>
        <v>4</v>
      </c>
      <c r="Y140">
        <f>Y139*INDEX('Availability Model'!$C$53:$T$57, MATCH($K$138,'Availability Model'!$B$53:$B$57, 0), MATCH($K$10, 'Availability Model'!$C$1:$T$1, 0))</f>
        <v>4</v>
      </c>
      <c r="Z140">
        <f>Z139*INDEX('Availability Model'!$C$53:$T$57, MATCH($K$138,'Availability Model'!$B$53:$B$57, 0), MATCH($K$10, 'Availability Model'!$C$1:$T$1, 0))</f>
        <v>4</v>
      </c>
      <c r="AA140">
        <f>AA139*INDEX('Availability Model'!$C$53:$T$57, MATCH($K$138,'Availability Model'!$B$53:$B$57, 0), MATCH($K$10, 'Availability Model'!$C$1:$T$1, 0))</f>
        <v>4</v>
      </c>
      <c r="AB140">
        <f>AB139*INDEX('Availability Model'!$C$53:$T$57, MATCH($K$138,'Availability Model'!$B$53:$B$57, 0), MATCH($K$10, 'Availability Model'!$C$1:$T$1, 0))</f>
        <v>4</v>
      </c>
      <c r="AC140">
        <f>AC139*INDEX('Availability Model'!$C$53:$T$57, MATCH($K$138,'Availability Model'!$B$53:$B$57, 0), MATCH($K$10, 'Availability Model'!$C$1:$T$1, 0))</f>
        <v>4</v>
      </c>
      <c r="AD140">
        <f>AD139*INDEX('Availability Model'!$C$53:$T$57, MATCH($K$138,'Availability Model'!$B$53:$B$57, 0), MATCH($K$10, 'Availability Model'!$C$1:$T$1, 0))</f>
        <v>4</v>
      </c>
      <c r="AE140">
        <f>AE139*INDEX('Availability Model'!$C$53:$T$57, MATCH($K$138,'Availability Model'!$B$53:$B$57, 0), MATCH($K$10, 'Availability Model'!$C$1:$T$1, 0))</f>
        <v>4</v>
      </c>
      <c r="AF140">
        <f>AF139*INDEX('Availability Model'!$C$53:$T$57, MATCH($K$138,'Availability Model'!$B$53:$B$57, 0), MATCH($K$10, 'Availability Model'!$C$1:$T$1, 0))</f>
        <v>4</v>
      </c>
      <c r="AG140">
        <f>AG139*INDEX('Availability Model'!$C$53:$T$57, MATCH($K$138,'Availability Model'!$B$53:$B$57, 0), MATCH($K$10, 'Availability Model'!$C$1:$T$1, 0))</f>
        <v>4</v>
      </c>
      <c r="AH140">
        <f>AH139*INDEX('Availability Model'!$C$53:$T$57, MATCH($K$138,'Availability Model'!$B$53:$B$57, 0), MATCH($K$10, 'Availability Model'!$C$1:$T$1, 0))</f>
        <v>4</v>
      </c>
      <c r="AI140">
        <f>AI139*INDEX('Availability Model'!$C$53:$T$57, MATCH($K$138,'Availability Model'!$B$53:$B$57, 0), MATCH($K$10, 'Availability Model'!$C$1:$T$1, 0))</f>
        <v>4</v>
      </c>
      <c r="AJ140">
        <f>AJ139*INDEX('Availability Model'!$C$53:$T$57, MATCH($K$138,'Availability Model'!$B$53:$B$57, 0), MATCH($K$10, 'Availability Model'!$C$1:$T$1, 0))</f>
        <v>4</v>
      </c>
      <c r="AK140">
        <f>AK139*INDEX('Availability Model'!$C$53:$T$57, MATCH($K$138,'Availability Model'!$B$53:$B$57, 0), MATCH($K$10, 'Availability Model'!$C$1:$T$1, 0))</f>
        <v>4</v>
      </c>
      <c r="AL140">
        <f>AL139*INDEX('Availability Model'!$C$53:$T$57, MATCH($K$138,'Availability Model'!$B$53:$B$57, 0), MATCH($K$10, 'Availability Model'!$C$1:$T$1, 0))</f>
        <v>4</v>
      </c>
    </row>
    <row r="141" spans="4:38">
      <c r="D141" s="7" t="s">
        <v>302</v>
      </c>
      <c r="E141" s="16" t="s">
        <v>106</v>
      </c>
      <c r="K141" s="65">
        <f>K132</f>
        <v>1.8129533678756478</v>
      </c>
      <c r="L141" s="65">
        <f t="shared" ref="L141:AL141" si="63">L132</f>
        <v>1.9066551166747128</v>
      </c>
      <c r="M141" s="65">
        <f t="shared" si="63"/>
        <v>1.8367738032705883</v>
      </c>
      <c r="N141" s="65">
        <f t="shared" si="63"/>
        <v>1.8815339776532183</v>
      </c>
      <c r="O141" s="65">
        <f t="shared" si="63"/>
        <v>2.274116334125547</v>
      </c>
      <c r="P141" s="65">
        <f t="shared" si="63"/>
        <v>2.277607063808083</v>
      </c>
      <c r="Q141" s="65">
        <f t="shared" si="63"/>
        <v>2.4761314028268004</v>
      </c>
      <c r="R141" s="65">
        <f t="shared" si="63"/>
        <v>2.4761314028268004</v>
      </c>
      <c r="S141" s="65">
        <f t="shared" si="63"/>
        <v>2.2417869796016316</v>
      </c>
      <c r="T141" s="65">
        <f t="shared" si="63"/>
        <v>2.2451891357101292</v>
      </c>
      <c r="U141" s="65">
        <f t="shared" si="63"/>
        <v>2.2417869796016316</v>
      </c>
      <c r="V141" s="65">
        <f t="shared" si="63"/>
        <v>2.2417869796016316</v>
      </c>
      <c r="W141" s="65">
        <f t="shared" si="63"/>
        <v>2.2417869796016316</v>
      </c>
      <c r="X141" s="65">
        <f t="shared" si="63"/>
        <v>2.2451891357101292</v>
      </c>
      <c r="Y141" s="65">
        <f t="shared" si="63"/>
        <v>2.2417869796016316</v>
      </c>
      <c r="Z141" s="65">
        <f t="shared" si="63"/>
        <v>2.2417869796016316</v>
      </c>
      <c r="AA141" s="65">
        <f t="shared" si="63"/>
        <v>2.2417869796016316</v>
      </c>
      <c r="AB141" s="65">
        <f t="shared" si="63"/>
        <v>2.2451891357101292</v>
      </c>
      <c r="AC141" s="65">
        <f t="shared" si="63"/>
        <v>1.7648580665195435</v>
      </c>
      <c r="AD141" s="65">
        <f t="shared" si="63"/>
        <v>1.7648580665195435</v>
      </c>
      <c r="AE141" s="65">
        <f t="shared" si="63"/>
        <v>1.7648580665195435</v>
      </c>
      <c r="AF141" s="65">
        <f t="shared" si="63"/>
        <v>1.7682602226280411</v>
      </c>
      <c r="AG141" s="65">
        <f t="shared" si="63"/>
        <v>1.7648580665195435</v>
      </c>
      <c r="AH141" s="65">
        <f t="shared" si="63"/>
        <v>1.7648580665195435</v>
      </c>
      <c r="AI141" s="65">
        <f t="shared" si="63"/>
        <v>1.7648580665195435</v>
      </c>
      <c r="AJ141" s="65">
        <f t="shared" si="63"/>
        <v>1.7682602226280411</v>
      </c>
      <c r="AK141" s="65">
        <f t="shared" si="63"/>
        <v>1.7648580665195435</v>
      </c>
      <c r="AL141" s="65">
        <f t="shared" si="63"/>
        <v>1.7648580665195435</v>
      </c>
    </row>
    <row r="142" spans="4:38">
      <c r="D142" s="7" t="s">
        <v>313</v>
      </c>
      <c r="E142" s="16" t="s">
        <v>106</v>
      </c>
      <c r="K142" s="140">
        <f>ROUND(K140-K141,0)</f>
        <v>2</v>
      </c>
      <c r="L142" s="140">
        <f t="shared" ref="L142:AL142" si="64">ROUND(L140-L141,0)</f>
        <v>2</v>
      </c>
      <c r="M142" s="140">
        <f t="shared" si="64"/>
        <v>2</v>
      </c>
      <c r="N142" s="140">
        <f t="shared" si="64"/>
        <v>2</v>
      </c>
      <c r="O142" s="140">
        <f t="shared" si="64"/>
        <v>2</v>
      </c>
      <c r="P142" s="140">
        <f t="shared" si="64"/>
        <v>2</v>
      </c>
      <c r="Q142" s="140">
        <f t="shared" si="64"/>
        <v>2</v>
      </c>
      <c r="R142" s="140">
        <f t="shared" si="64"/>
        <v>2</v>
      </c>
      <c r="S142" s="140">
        <f t="shared" si="64"/>
        <v>2</v>
      </c>
      <c r="T142" s="140">
        <f t="shared" si="64"/>
        <v>2</v>
      </c>
      <c r="U142" s="140">
        <f t="shared" si="64"/>
        <v>2</v>
      </c>
      <c r="V142" s="140">
        <f t="shared" si="64"/>
        <v>2</v>
      </c>
      <c r="W142" s="140">
        <f t="shared" si="64"/>
        <v>2</v>
      </c>
      <c r="X142" s="140">
        <f t="shared" si="64"/>
        <v>2</v>
      </c>
      <c r="Y142" s="140">
        <f t="shared" si="64"/>
        <v>2</v>
      </c>
      <c r="Z142" s="140">
        <f t="shared" si="64"/>
        <v>2</v>
      </c>
      <c r="AA142" s="140">
        <f t="shared" si="64"/>
        <v>2</v>
      </c>
      <c r="AB142" s="140">
        <f t="shared" si="64"/>
        <v>2</v>
      </c>
      <c r="AC142" s="140">
        <f t="shared" si="64"/>
        <v>2</v>
      </c>
      <c r="AD142" s="140">
        <f t="shared" si="64"/>
        <v>2</v>
      </c>
      <c r="AE142" s="140">
        <f t="shared" si="64"/>
        <v>2</v>
      </c>
      <c r="AF142" s="140">
        <f t="shared" si="64"/>
        <v>2</v>
      </c>
      <c r="AG142" s="140">
        <f t="shared" si="64"/>
        <v>2</v>
      </c>
      <c r="AH142" s="140">
        <f t="shared" si="64"/>
        <v>2</v>
      </c>
      <c r="AI142" s="140">
        <f t="shared" si="64"/>
        <v>2</v>
      </c>
      <c r="AJ142" s="140">
        <f t="shared" si="64"/>
        <v>2</v>
      </c>
      <c r="AK142" s="140">
        <f t="shared" si="64"/>
        <v>2</v>
      </c>
      <c r="AL142" s="140">
        <f t="shared" si="64"/>
        <v>2</v>
      </c>
    </row>
    <row r="143" spans="4:38">
      <c r="D143" s="7" t="s">
        <v>314</v>
      </c>
      <c r="E143" s="16" t="s">
        <v>145</v>
      </c>
      <c r="K143" s="90">
        <f>K142*K34</f>
        <v>740.27397260273972</v>
      </c>
      <c r="L143" s="90">
        <f t="shared" ref="L143:AL143" si="65">L142*L34</f>
        <v>697.10044699453556</v>
      </c>
      <c r="M143" s="90">
        <f t="shared" si="65"/>
        <v>728.79951338082208</v>
      </c>
      <c r="N143" s="90">
        <f t="shared" si="65"/>
        <v>1302.8995515967122</v>
      </c>
      <c r="O143" s="90">
        <f t="shared" si="65"/>
        <v>0</v>
      </c>
      <c r="P143" s="90">
        <f t="shared" si="65"/>
        <v>0</v>
      </c>
      <c r="Q143" s="90">
        <f t="shared" si="65"/>
        <v>0</v>
      </c>
      <c r="R143" s="90">
        <f t="shared" si="65"/>
        <v>0</v>
      </c>
      <c r="S143" s="90">
        <f t="shared" si="65"/>
        <v>0</v>
      </c>
      <c r="T143" s="90">
        <f t="shared" si="65"/>
        <v>0</v>
      </c>
      <c r="U143" s="90">
        <f t="shared" si="65"/>
        <v>0</v>
      </c>
      <c r="V143" s="90">
        <f t="shared" si="65"/>
        <v>0</v>
      </c>
      <c r="W143" s="90">
        <f t="shared" si="65"/>
        <v>0</v>
      </c>
      <c r="X143" s="90">
        <f t="shared" si="65"/>
        <v>0</v>
      </c>
      <c r="Y143" s="90">
        <f t="shared" si="65"/>
        <v>0</v>
      </c>
      <c r="Z143" s="90">
        <f t="shared" si="65"/>
        <v>0</v>
      </c>
      <c r="AA143" s="90">
        <f t="shared" si="65"/>
        <v>0</v>
      </c>
      <c r="AB143" s="90">
        <f t="shared" si="65"/>
        <v>0</v>
      </c>
      <c r="AC143" s="90">
        <f t="shared" si="65"/>
        <v>1881.9263790734317</v>
      </c>
      <c r="AD143" s="90">
        <f t="shared" si="65"/>
        <v>1881.9263790734317</v>
      </c>
      <c r="AE143" s="90">
        <f t="shared" si="65"/>
        <v>1881.9263790734317</v>
      </c>
      <c r="AF143" s="90">
        <f t="shared" si="65"/>
        <v>1876.7845037207719</v>
      </c>
      <c r="AG143" s="90">
        <f t="shared" si="65"/>
        <v>1881.9263790734317</v>
      </c>
      <c r="AH143" s="90">
        <f t="shared" si="65"/>
        <v>1881.9263790734317</v>
      </c>
      <c r="AI143" s="90">
        <f t="shared" si="65"/>
        <v>1881.9263790734317</v>
      </c>
      <c r="AJ143" s="90">
        <f t="shared" si="65"/>
        <v>1876.7845037207719</v>
      </c>
      <c r="AK143" s="90">
        <f t="shared" si="65"/>
        <v>1881.9263790734317</v>
      </c>
      <c r="AL143" s="90">
        <f t="shared" si="65"/>
        <v>1881.9263790734317</v>
      </c>
    </row>
    <row r="144" spans="4:38">
      <c r="D144" s="7"/>
    </row>
    <row r="145" spans="4:38">
      <c r="D145" s="3" t="s">
        <v>315</v>
      </c>
      <c r="E145" s="16" t="s">
        <v>145</v>
      </c>
      <c r="K145" s="65">
        <f>K143*INDEX('Availability Model'!$C$60:$T$64, MATCH($K$138,'Availability Model'!$B$60:$B$64, 0), MATCH($K$10, 'Availability Model'!$C$1:$T$1, 0))</f>
        <v>222.08219178082192</v>
      </c>
      <c r="L145" s="65">
        <f>L143*INDEX('Availability Model'!$C$60:$T$64, MATCH($K$138,'Availability Model'!$B$60:$B$64, 0), MATCH($K$10, 'Availability Model'!$C$1:$T$1, 0))</f>
        <v>209.13013409836066</v>
      </c>
      <c r="M145" s="65">
        <f>M143*INDEX('Availability Model'!$C$60:$T$64, MATCH($K$138,'Availability Model'!$B$60:$B$64, 0), MATCH($K$10, 'Availability Model'!$C$1:$T$1, 0))</f>
        <v>218.63985401424662</v>
      </c>
      <c r="N145" s="65">
        <f>N143*INDEX('Availability Model'!$C$60:$T$64, MATCH($N$138,'Availability Model'!$B$60:$B$64, 0), MATCH($K$10, 'Availability Model'!$C$1:$T$1, 0))</f>
        <v>390.86986547901364</v>
      </c>
      <c r="O145" s="65">
        <f>O143*INDEX('Availability Model'!$C$60:$T$64, MATCH($K$138,'Availability Model'!$B$60:$B$64, 0), MATCH($K$10, 'Availability Model'!$C$1:$T$1, 0))</f>
        <v>0</v>
      </c>
      <c r="P145" s="65">
        <f>P143*INDEX('Availability Model'!$C$60:$T$64, MATCH($K$138,'Availability Model'!$B$60:$B$64, 0), MATCH($K$10, 'Availability Model'!$C$1:$T$1, 0))</f>
        <v>0</v>
      </c>
      <c r="Q145" s="65">
        <f>Q143*INDEX('Availability Model'!$C$60:$T$64, MATCH($K$138,'Availability Model'!$B$60:$B$64, 0), MATCH($K$10, 'Availability Model'!$C$1:$T$1, 0))</f>
        <v>0</v>
      </c>
      <c r="R145" s="65">
        <f>R143*INDEX('Availability Model'!$C$60:$T$64, MATCH($K$138,'Availability Model'!$B$60:$B$64, 0), MATCH($K$10, 'Availability Model'!$C$1:$T$1, 0))</f>
        <v>0</v>
      </c>
      <c r="S145" s="65">
        <f>S143*INDEX('Availability Model'!$C$60:$T$64, MATCH($K$138,'Availability Model'!$B$60:$B$64, 0), MATCH($K$10, 'Availability Model'!$C$1:$T$1, 0))</f>
        <v>0</v>
      </c>
      <c r="T145" s="65">
        <f>T143*INDEX('Availability Model'!$C$60:$T$64, MATCH($K$138,'Availability Model'!$B$60:$B$64, 0), MATCH($K$10, 'Availability Model'!$C$1:$T$1, 0))</f>
        <v>0</v>
      </c>
      <c r="U145" s="65">
        <f>U143*INDEX('Availability Model'!$C$60:$T$64, MATCH($K$138,'Availability Model'!$B$60:$B$64, 0), MATCH($K$10, 'Availability Model'!$C$1:$T$1, 0))</f>
        <v>0</v>
      </c>
      <c r="V145" s="65">
        <f>V143*INDEX('Availability Model'!$C$60:$T$64, MATCH($K$138,'Availability Model'!$B$60:$B$64, 0), MATCH($K$10, 'Availability Model'!$C$1:$T$1, 0))</f>
        <v>0</v>
      </c>
      <c r="W145" s="65">
        <f>W143*INDEX('Availability Model'!$C$60:$T$64, MATCH($K$138,'Availability Model'!$B$60:$B$64, 0), MATCH($K$10, 'Availability Model'!$C$1:$T$1, 0))</f>
        <v>0</v>
      </c>
      <c r="X145" s="65">
        <f>X143*INDEX('Availability Model'!$C$60:$T$64, MATCH($K$138,'Availability Model'!$B$60:$B$64, 0), MATCH($K$10, 'Availability Model'!$C$1:$T$1, 0))</f>
        <v>0</v>
      </c>
      <c r="Y145" s="65">
        <f>Y143*INDEX('Availability Model'!$C$60:$T$64, MATCH($K$138,'Availability Model'!$B$60:$B$64, 0), MATCH($K$10, 'Availability Model'!$C$1:$T$1, 0))</f>
        <v>0</v>
      </c>
      <c r="Z145" s="65">
        <f>Z143*INDEX('Availability Model'!$C$60:$T$64, MATCH($K$138,'Availability Model'!$B$60:$B$64, 0), MATCH($K$10, 'Availability Model'!$C$1:$T$1, 0))</f>
        <v>0</v>
      </c>
      <c r="AA145" s="65">
        <f>AA143*INDEX('Availability Model'!$C$60:$T$64, MATCH($K$138,'Availability Model'!$B$60:$B$64, 0), MATCH($K$10, 'Availability Model'!$C$1:$T$1, 0))</f>
        <v>0</v>
      </c>
      <c r="AB145" s="65">
        <f>AB143*INDEX('Availability Model'!$C$60:$T$64, MATCH($K$138,'Availability Model'!$B$60:$B$64, 0), MATCH($K$10, 'Availability Model'!$C$1:$T$1, 0))</f>
        <v>0</v>
      </c>
      <c r="AC145" s="65">
        <f>AC143*INDEX('Availability Model'!$C$60:$T$64, MATCH($K$138,'Availability Model'!$B$60:$B$64, 0), MATCH($K$10, 'Availability Model'!$C$1:$T$1, 0))</f>
        <v>564.57791372202951</v>
      </c>
      <c r="AD145" s="65">
        <f>AD143*INDEX('Availability Model'!$C$60:$T$64, MATCH($K$138,'Availability Model'!$B$60:$B$64, 0), MATCH($K$10, 'Availability Model'!$C$1:$T$1, 0))</f>
        <v>564.57791372202951</v>
      </c>
      <c r="AE145" s="65">
        <f>AE143*INDEX('Availability Model'!$C$60:$T$64, MATCH($K$138,'Availability Model'!$B$60:$B$64, 0), MATCH($K$10, 'Availability Model'!$C$1:$T$1, 0))</f>
        <v>564.57791372202951</v>
      </c>
      <c r="AF145" s="65">
        <f>AF143*INDEX('Availability Model'!$C$60:$T$64, MATCH($K$138,'Availability Model'!$B$60:$B$64, 0), MATCH($K$10, 'Availability Model'!$C$1:$T$1, 0))</f>
        <v>563.0353511162316</v>
      </c>
      <c r="AG145" s="65">
        <f>AG143*INDEX('Availability Model'!$C$60:$T$64, MATCH($K$138,'Availability Model'!$B$60:$B$64, 0), MATCH($K$10, 'Availability Model'!$C$1:$T$1, 0))</f>
        <v>564.57791372202951</v>
      </c>
      <c r="AH145" s="65">
        <f>AH143*INDEX('Availability Model'!$C$60:$T$64, MATCH($K$138,'Availability Model'!$B$60:$B$64, 0), MATCH($K$10, 'Availability Model'!$C$1:$T$1, 0))</f>
        <v>564.57791372202951</v>
      </c>
      <c r="AI145" s="65">
        <f>AI143*INDEX('Availability Model'!$C$60:$T$64, MATCH($K$138,'Availability Model'!$B$60:$B$64, 0), MATCH($K$10, 'Availability Model'!$C$1:$T$1, 0))</f>
        <v>564.57791372202951</v>
      </c>
      <c r="AJ145" s="65">
        <f>AJ143*INDEX('Availability Model'!$C$60:$T$64, MATCH($K$138,'Availability Model'!$B$60:$B$64, 0), MATCH($K$10, 'Availability Model'!$C$1:$T$1, 0))</f>
        <v>563.0353511162316</v>
      </c>
      <c r="AK145" s="65">
        <f>AK143*INDEX('Availability Model'!$C$60:$T$64, MATCH($K$138,'Availability Model'!$B$60:$B$64, 0), MATCH($K$10, 'Availability Model'!$C$1:$T$1, 0))</f>
        <v>564.57791372202951</v>
      </c>
      <c r="AL145" s="65">
        <f>AL143*INDEX('Availability Model'!$C$60:$T$64, MATCH($K$138,'Availability Model'!$B$60:$B$64, 0), MATCH($K$10, 'Availability Model'!$C$1:$T$1, 0))</f>
        <v>564.57791372202951</v>
      </c>
    </row>
    <row r="146" spans="4:38">
      <c r="D146" t="s">
        <v>317</v>
      </c>
      <c r="E146" s="16" t="s">
        <v>211</v>
      </c>
      <c r="K146" s="65">
        <f>K145*K71</f>
        <v>6158.3391780821921</v>
      </c>
      <c r="L146" s="65">
        <f t="shared" ref="L146:AL146" si="66">L145*L71</f>
        <v>6169.3389559016396</v>
      </c>
      <c r="M146" s="65">
        <f t="shared" si="66"/>
        <v>6611.6691853908178</v>
      </c>
      <c r="N146" s="65">
        <f t="shared" si="66"/>
        <v>12531.287887257178</v>
      </c>
      <c r="O146" s="65">
        <f t="shared" si="66"/>
        <v>0</v>
      </c>
      <c r="P146" s="65">
        <f t="shared" si="66"/>
        <v>0</v>
      </c>
      <c r="Q146" s="65">
        <f t="shared" si="66"/>
        <v>0</v>
      </c>
      <c r="R146" s="65">
        <f t="shared" si="66"/>
        <v>0</v>
      </c>
      <c r="S146" s="65">
        <f t="shared" si="66"/>
        <v>0</v>
      </c>
      <c r="T146" s="65">
        <f t="shared" si="66"/>
        <v>0</v>
      </c>
      <c r="U146" s="65">
        <f t="shared" si="66"/>
        <v>0</v>
      </c>
      <c r="V146" s="65">
        <f t="shared" si="66"/>
        <v>0</v>
      </c>
      <c r="W146" s="65">
        <f t="shared" si="66"/>
        <v>0</v>
      </c>
      <c r="X146" s="65">
        <f t="shared" si="66"/>
        <v>0</v>
      </c>
      <c r="Y146" s="65">
        <f t="shared" si="66"/>
        <v>0</v>
      </c>
      <c r="Z146" s="65">
        <f t="shared" si="66"/>
        <v>0</v>
      </c>
      <c r="AA146" s="65">
        <f t="shared" si="66"/>
        <v>0</v>
      </c>
      <c r="AB146" s="65">
        <f t="shared" si="66"/>
        <v>0</v>
      </c>
      <c r="AC146" s="65">
        <f t="shared" si="66"/>
        <v>43378.585022243555</v>
      </c>
      <c r="AD146" s="65">
        <f t="shared" si="66"/>
        <v>45981.30012357817</v>
      </c>
      <c r="AE146" s="65">
        <f t="shared" si="66"/>
        <v>48740.178130992863</v>
      </c>
      <c r="AF146" s="65">
        <f t="shared" si="66"/>
        <v>51523.428740112402</v>
      </c>
      <c r="AG146" s="65">
        <f t="shared" si="66"/>
        <v>54764.464147983592</v>
      </c>
      <c r="AH146" s="65">
        <f t="shared" si="66"/>
        <v>58050.331996862609</v>
      </c>
      <c r="AI146" s="65">
        <f t="shared" si="66"/>
        <v>61533.351916674372</v>
      </c>
      <c r="AJ146" s="65">
        <f t="shared" si="66"/>
        <v>65047.141684593757</v>
      </c>
      <c r="AK146" s="65">
        <f t="shared" si="66"/>
        <v>69138.874213575327</v>
      </c>
      <c r="AL146" s="65">
        <f t="shared" si="66"/>
        <v>73287.206666389859</v>
      </c>
    </row>
    <row r="147" spans="4:38">
      <c r="D147" t="s">
        <v>318</v>
      </c>
      <c r="E147" s="16" t="s">
        <v>211</v>
      </c>
      <c r="K147" s="65">
        <f>(Inputs!$E$117*Inputs!$E$118*'Initiative 3 Model'!K145*K75)+(Inputs!$E$114*0.25*'Initiative 3 Model'!K145*K77)</f>
        <v>995.4834246575341</v>
      </c>
      <c r="L147" s="65">
        <f>(Inputs!$E$117*Inputs!$E$118*'Initiative 3 Model'!L145*L75)+(Inputs!$E$114*0.25*'Initiative 3 Model'!L145*L77)</f>
        <v>1025.1688834184779</v>
      </c>
      <c r="M147" s="65">
        <f>(Inputs!$E$117*Inputs!$E$118*'Initiative 3 Model'!M145*M75)+(Inputs!$E$114*0.25*'Initiative 3 Model'!M145*M77)</f>
        <v>1172.1053008853519</v>
      </c>
      <c r="N147" s="65">
        <f>(Inputs!$E$117*Inputs!$E$118*'Initiative 3 Model'!N145*N75)+(Inputs!$E$114*0.25*'Initiative 3 Model'!N145*N77)</f>
        <v>2291.5429008467036</v>
      </c>
      <c r="O147" s="65">
        <f>(Inputs!$E$117*Inputs!$E$118*'Initiative 3 Model'!O145*O75)+(Inputs!$E$114*0.25*'Initiative 3 Model'!O145*O77)</f>
        <v>0</v>
      </c>
      <c r="P147" s="65">
        <f>(Inputs!$E$117*Inputs!$E$118*'Initiative 3 Model'!P145*P75)+(Inputs!$E$114*0.25*'Initiative 3 Model'!P145*P77)</f>
        <v>0</v>
      </c>
      <c r="Q147" s="65">
        <f>(Inputs!$E$117*Inputs!$E$118*'Initiative 3 Model'!Q145*Q75)+(Inputs!$E$114*0.25*'Initiative 3 Model'!Q145*Q77)</f>
        <v>0</v>
      </c>
      <c r="R147" s="65">
        <f>(Inputs!$E$117*Inputs!$E$118*'Initiative 3 Model'!R145*R75)+(Inputs!$E$114*0.25*'Initiative 3 Model'!R145*R77)</f>
        <v>0</v>
      </c>
      <c r="S147" s="65">
        <f>(Inputs!$E$117*Inputs!$E$118*'Initiative 3 Model'!S145*S75)+(Inputs!$E$114*0.25*'Initiative 3 Model'!S145*S77)</f>
        <v>0</v>
      </c>
      <c r="T147" s="65">
        <f>(Inputs!$E$117*Inputs!$E$118*'Initiative 3 Model'!T145*T75)+(Inputs!$E$114*0.25*'Initiative 3 Model'!T145*T77)</f>
        <v>0</v>
      </c>
      <c r="U147" s="65">
        <f>(Inputs!$E$117*Inputs!$E$118*'Initiative 3 Model'!U145*U75)+(Inputs!$E$114*0.25*'Initiative 3 Model'!U145*U77)</f>
        <v>0</v>
      </c>
      <c r="V147" s="65">
        <f>(Inputs!$E$117*Inputs!$E$118*'Initiative 3 Model'!V145*V75)+(Inputs!$E$114*0.25*'Initiative 3 Model'!V145*V77)</f>
        <v>0</v>
      </c>
      <c r="W147" s="65">
        <f>(Inputs!$E$117*Inputs!$E$118*'Initiative 3 Model'!W145*W75)+(Inputs!$E$114*0.25*'Initiative 3 Model'!W145*W77)</f>
        <v>0</v>
      </c>
      <c r="X147" s="65">
        <f>(Inputs!$E$117*Inputs!$E$118*'Initiative 3 Model'!X145*X75)+(Inputs!$E$114*0.25*'Initiative 3 Model'!X145*X77)</f>
        <v>0</v>
      </c>
      <c r="Y147" s="65">
        <f>(Inputs!$E$117*Inputs!$E$118*'Initiative 3 Model'!Y145*Y75)+(Inputs!$E$114*0.25*'Initiative 3 Model'!Y145*Y77)</f>
        <v>0</v>
      </c>
      <c r="Z147" s="65">
        <f>(Inputs!$E$117*Inputs!$E$118*'Initiative 3 Model'!Z145*Z75)+(Inputs!$E$114*0.25*'Initiative 3 Model'!Z145*Z77)</f>
        <v>0</v>
      </c>
      <c r="AA147" s="65">
        <f>(Inputs!$E$117*Inputs!$E$118*'Initiative 3 Model'!AA145*AA75)+(Inputs!$E$114*0.25*'Initiative 3 Model'!AA145*AA77)</f>
        <v>0</v>
      </c>
      <c r="AB147" s="65">
        <f>(Inputs!$E$117*Inputs!$E$118*'Initiative 3 Model'!AB145*AB75)+(Inputs!$E$114*0.25*'Initiative 3 Model'!AB145*AB77)</f>
        <v>0</v>
      </c>
      <c r="AC147" s="65">
        <f>(Inputs!$E$117*Inputs!$E$118*'Initiative 3 Model'!AC145*AC75)+(Inputs!$E$114*0.25*'Initiative 3 Model'!AC145*AC77)</f>
        <v>12667.683698402025</v>
      </c>
      <c r="AD147" s="65">
        <f>(Inputs!$E$117*Inputs!$E$118*'Initiative 3 Model'!AD145*AD75)+(Inputs!$E$114*0.25*'Initiative 3 Model'!AD145*AD77)</f>
        <v>13853.378892572453</v>
      </c>
      <c r="AE147" s="65">
        <f>(Inputs!$E$117*Inputs!$E$118*'Initiative 3 Model'!AE145*AE75)+(Inputs!$E$114*0.25*'Initiative 3 Model'!AE145*AE77)</f>
        <v>15150.055156917233</v>
      </c>
      <c r="AF147" s="65">
        <f>(Inputs!$E$117*Inputs!$E$118*'Initiative 3 Model'!AF145*AF75)+(Inputs!$E$114*0.25*'Initiative 3 Model'!AF145*AF77)</f>
        <v>16522.832285944562</v>
      </c>
      <c r="AG147" s="65">
        <f>(Inputs!$E$117*Inputs!$E$118*'Initiative 3 Model'!AG145*AG75)+(Inputs!$E$114*0.25*'Initiative 3 Model'!AG145*AG77)</f>
        <v>18118.874509519683</v>
      </c>
      <c r="AH147" s="65">
        <f>(Inputs!$E$117*Inputs!$E$118*'Initiative 3 Model'!AH145*AH75)+(Inputs!$E$114*0.25*'Initiative 3 Model'!AH145*AH77)</f>
        <v>19814.801163610722</v>
      </c>
      <c r="AI147" s="65">
        <f>(Inputs!$E$117*Inputs!$E$118*'Initiative 3 Model'!AI145*AI75)+(Inputs!$E$114*0.25*'Initiative 3 Model'!AI145*AI77)</f>
        <v>21669.466552524686</v>
      </c>
      <c r="AJ147" s="65">
        <f>(Inputs!$E$117*Inputs!$E$118*'Initiative 3 Model'!AJ145*AJ75)+(Inputs!$E$114*0.25*'Initiative 3 Model'!AJ145*AJ77)</f>
        <v>23632.980729431591</v>
      </c>
      <c r="AK147" s="65">
        <f>(Inputs!$E$117*Inputs!$E$118*'Initiative 3 Model'!AK145*AK75)+(Inputs!$E$114*0.25*'Initiative 3 Model'!AK145*AK77)</f>
        <v>25915.836020845309</v>
      </c>
      <c r="AL147" s="65">
        <f>(Inputs!$E$117*Inputs!$E$118*'Initiative 3 Model'!AL145*AL75)+(Inputs!$E$114*0.25*'Initiative 3 Model'!AL145*AL77)</f>
        <v>28341.558272396425</v>
      </c>
    </row>
    <row r="148" spans="4:38">
      <c r="D148" s="3" t="s">
        <v>319</v>
      </c>
      <c r="E148" s="16" t="s">
        <v>211</v>
      </c>
      <c r="K148" s="65">
        <f>IF(K27&gt;0,K146+K147,0)</f>
        <v>7153.8226027397259</v>
      </c>
      <c r="L148" s="65">
        <f t="shared" ref="L148:AL148" si="67">IF(L27&gt;0,L146+L147,0)</f>
        <v>7194.5078393201175</v>
      </c>
      <c r="M148" s="65">
        <f t="shared" si="67"/>
        <v>7783.7744862761701</v>
      </c>
      <c r="N148" s="65">
        <f t="shared" si="67"/>
        <v>14822.830788103882</v>
      </c>
      <c r="O148" s="65">
        <f t="shared" si="67"/>
        <v>0</v>
      </c>
      <c r="P148" s="65">
        <f t="shared" si="67"/>
        <v>0</v>
      </c>
      <c r="Q148" s="65">
        <f t="shared" si="67"/>
        <v>0</v>
      </c>
      <c r="R148" s="65">
        <f t="shared" si="67"/>
        <v>0</v>
      </c>
      <c r="S148" s="65">
        <f t="shared" si="67"/>
        <v>0</v>
      </c>
      <c r="T148" s="65">
        <f t="shared" si="67"/>
        <v>0</v>
      </c>
      <c r="U148" s="65">
        <f t="shared" si="67"/>
        <v>0</v>
      </c>
      <c r="V148" s="65">
        <f t="shared" si="67"/>
        <v>0</v>
      </c>
      <c r="W148" s="65">
        <f t="shared" si="67"/>
        <v>0</v>
      </c>
      <c r="X148" s="65">
        <f t="shared" si="67"/>
        <v>0</v>
      </c>
      <c r="Y148" s="65">
        <f t="shared" si="67"/>
        <v>0</v>
      </c>
      <c r="Z148" s="65">
        <f t="shared" si="67"/>
        <v>0</v>
      </c>
      <c r="AA148" s="65">
        <f t="shared" si="67"/>
        <v>0</v>
      </c>
      <c r="AB148" s="65">
        <f t="shared" si="67"/>
        <v>0</v>
      </c>
      <c r="AC148" s="65">
        <f t="shared" si="67"/>
        <v>56046.268720645581</v>
      </c>
      <c r="AD148" s="65">
        <f t="shared" si="67"/>
        <v>59834.679016150621</v>
      </c>
      <c r="AE148" s="65">
        <f t="shared" si="67"/>
        <v>63890.233287910094</v>
      </c>
      <c r="AF148" s="65">
        <f t="shared" si="67"/>
        <v>68046.261026056964</v>
      </c>
      <c r="AG148" s="65">
        <f t="shared" si="67"/>
        <v>72883.338657503278</v>
      </c>
      <c r="AH148" s="65">
        <f t="shared" si="67"/>
        <v>77865.133160473328</v>
      </c>
      <c r="AI148" s="65">
        <f t="shared" si="67"/>
        <v>83202.818469199061</v>
      </c>
      <c r="AJ148" s="65">
        <f t="shared" si="67"/>
        <v>88680.122414025347</v>
      </c>
      <c r="AK148" s="65">
        <f t="shared" si="67"/>
        <v>95054.710234420636</v>
      </c>
      <c r="AL148" s="65">
        <f t="shared" si="67"/>
        <v>101628.76493878628</v>
      </c>
    </row>
    <row r="149" spans="4:38">
      <c r="D149" s="3"/>
      <c r="E149" s="16"/>
      <c r="K149" s="65"/>
      <c r="L149" s="65"/>
      <c r="M149" s="65"/>
      <c r="N149" s="65"/>
      <c r="O149" s="65"/>
      <c r="P149" s="65"/>
    </row>
    <row r="150" spans="4:38">
      <c r="D150" s="3" t="s">
        <v>323</v>
      </c>
      <c r="E150" s="16" t="s">
        <v>211</v>
      </c>
      <c r="K150" s="65">
        <f>K93*INDEX('Availability Model'!$C$67:$T$71, MATCH($K$138,'Availability Model'!$B$67:$B$71, 0), MATCH($K$10, 'Availability Model'!$C$1:$T$1, 0))</f>
        <v>190339.01249999998</v>
      </c>
      <c r="L150" s="65">
        <f>L93*INDEX('Availability Model'!$C$67:$T$71, MATCH($K$138,'Availability Model'!$B$67:$B$71, 0), MATCH($K$10, 'Availability Model'!$C$1:$T$1, 0))</f>
        <v>196551.97646000827</v>
      </c>
      <c r="M150" s="65">
        <f>M93*INDEX('Availability Model'!$C$67:$T$71, MATCH($K$138,'Availability Model'!$B$67:$B$71, 0), MATCH($K$10, 'Availability Model'!$C$1:$T$1, 0))</f>
        <v>224109.57328926207</v>
      </c>
      <c r="N150" s="65">
        <f>N93*INDEX('Availability Model'!$C$67:$T$71, MATCH($K$138,'Availability Model'!$B$67:$B$71, 0), MATCH($K$10, 'Availability Model'!$C$1:$T$1, 0))</f>
        <v>613408.52380142547</v>
      </c>
      <c r="O150" s="65">
        <f>O93*INDEX('Availability Model'!$C$67:$T$71, MATCH($K$138,'Availability Model'!$B$67:$B$71, 0), MATCH($K$10, 'Availability Model'!$C$1:$T$1, 0))</f>
        <v>727379.06153381173</v>
      </c>
      <c r="P150" s="65">
        <f>P93*INDEX('Availability Model'!$C$67:$T$71, MATCH($K$138,'Availability Model'!$B$67:$B$71, 0), MATCH($K$10, 'Availability Model'!$C$1:$T$1, 0))</f>
        <v>795461.74169337645</v>
      </c>
      <c r="Q150" s="65">
        <f>Q93*INDEX('Availability Model'!$C$67:$T$71, MATCH($K$138,'Availability Model'!$B$67:$B$71, 0), MATCH($K$10, 'Availability Model'!$C$1:$T$1, 0))</f>
        <v>1022010.6973927068</v>
      </c>
      <c r="R150" s="65">
        <f>R93*INDEX('Availability Model'!$C$67:$T$71, MATCH($K$138,'Availability Model'!$B$67:$B$71, 0), MATCH($K$10, 'Availability Model'!$C$1:$T$1, 0))</f>
        <v>1117670.898668664</v>
      </c>
      <c r="S150" s="65">
        <f>S93*INDEX('Availability Model'!$C$67:$T$71, MATCH($K$138,'Availability Model'!$B$67:$B$71, 0), MATCH($K$10, 'Availability Model'!$C$1:$T$1, 0))</f>
        <v>1452948.9727540854</v>
      </c>
      <c r="T150" s="65">
        <f>T93*INDEX('Availability Model'!$C$67:$T$71, MATCH($K$138,'Availability Model'!$B$67:$B$71, 0), MATCH($K$10, 'Availability Model'!$C$1:$T$1, 0))</f>
        <v>1588944.9966038677</v>
      </c>
      <c r="U150" s="65">
        <f>U93*INDEX('Availability Model'!$C$67:$T$71, MATCH($K$138,'Availability Model'!$B$67:$B$71, 0), MATCH($K$10, 'Availability Model'!$C$1:$T$1, 0))</f>
        <v>1737670.2482859897</v>
      </c>
      <c r="V150" s="65">
        <f>V93*INDEX('Availability Model'!$C$67:$T$71, MATCH($K$138,'Availability Model'!$B$67:$B$71, 0), MATCH($K$10, 'Availability Model'!$C$1:$T$1, 0))</f>
        <v>1900316.1835255581</v>
      </c>
      <c r="W150" s="65">
        <f>W93*INDEX('Availability Model'!$C$67:$T$71, MATCH($K$138,'Availability Model'!$B$67:$B$71, 0), MATCH($K$10, 'Availability Model'!$C$1:$T$1, 0))</f>
        <v>2078185.7783035501</v>
      </c>
      <c r="X150" s="65">
        <f>X93*INDEX('Availability Model'!$C$67:$T$71, MATCH($K$138,'Availability Model'!$B$67:$B$71, 0), MATCH($K$10, 'Availability Model'!$C$1:$T$1, 0))</f>
        <v>2272703.9671527622</v>
      </c>
      <c r="Y150" s="65">
        <f>Y93*INDEX('Availability Model'!$C$67:$T$71, MATCH($K$138,'Availability Model'!$B$67:$B$71, 0), MATCH($K$10, 'Availability Model'!$C$1:$T$1, 0))</f>
        <v>2485429.0584782604</v>
      </c>
      <c r="Z150" s="65">
        <f>Z93*INDEX('Availability Model'!$C$67:$T$71, MATCH($K$138,'Availability Model'!$B$67:$B$71, 0), MATCH($K$10, 'Availability Model'!$C$1:$T$1, 0))</f>
        <v>2718065.2183518251</v>
      </c>
      <c r="AA150" s="65">
        <f>AA93*INDEX('Availability Model'!$C$67:$T$71, MATCH($K$138,'Availability Model'!$B$67:$B$71, 0), MATCH($K$10, 'Availability Model'!$C$1:$T$1, 0))</f>
        <v>2972476.1227895557</v>
      </c>
      <c r="AB150" s="65">
        <f>AB93*INDEX('Availability Model'!$C$67:$T$71, MATCH($K$138,'Availability Model'!$B$67:$B$71, 0), MATCH($K$10, 'Availability Model'!$C$1:$T$1, 0))</f>
        <v>3250699.8878826578</v>
      </c>
      <c r="AC150" s="65">
        <f>AC93*INDEX('Availability Model'!$C$67:$T$71, MATCH($K$138,'Availability Model'!$B$67:$B$71, 0), MATCH($K$10, 'Availability Model'!$C$1:$T$1, 0))</f>
        <v>3554965.3973884741</v>
      </c>
      <c r="AD150" s="65">
        <f>AD93*INDEX('Availability Model'!$C$67:$T$71, MATCH($K$138,'Availability Model'!$B$67:$B$71, 0), MATCH($K$10, 'Availability Model'!$C$1:$T$1, 0))</f>
        <v>3887710.158584035</v>
      </c>
      <c r="AE150" s="65">
        <f>AE93*INDEX('Availability Model'!$C$67:$T$71, MATCH($K$138,'Availability Model'!$B$67:$B$71, 0), MATCH($K$10, 'Availability Model'!$C$1:$T$1, 0))</f>
        <v>4251599.8294275003</v>
      </c>
      <c r="AF150" s="65">
        <f>AF93*INDEX('Availability Model'!$C$67:$T$71, MATCH($K$138,'Availability Model'!$B$67:$B$71, 0), MATCH($K$10, 'Availability Model'!$C$1:$T$1, 0))</f>
        <v>4649549.5734619144</v>
      </c>
      <c r="AG150" s="65">
        <f>AG93*INDEX('Availability Model'!$C$67:$T$71, MATCH($K$138,'Availability Model'!$B$67:$B$71, 0), MATCH($K$10, 'Availability Model'!$C$1:$T$1, 0))</f>
        <v>5084747.4135379493</v>
      </c>
      <c r="AH150" s="65">
        <f>AH93*INDEX('Availability Model'!$C$67:$T$71, MATCH($K$138,'Availability Model'!$B$67:$B$71, 0), MATCH($K$10, 'Availability Model'!$C$1:$T$1, 0))</f>
        <v>5560679.7714451002</v>
      </c>
      <c r="AI150" s="65">
        <f>AI93*INDEX('Availability Model'!$C$67:$T$71, MATCH($K$138,'Availability Model'!$B$67:$B$71, 0), MATCH($K$10, 'Availability Model'!$C$1:$T$1, 0))</f>
        <v>6081159.3980523599</v>
      </c>
      <c r="AJ150" s="65">
        <f>AJ93*INDEX('Availability Model'!$C$67:$T$71, MATCH($K$138,'Availability Model'!$B$67:$B$71, 0), MATCH($K$10, 'Availability Model'!$C$1:$T$1, 0))</f>
        <v>6650355.9177100612</v>
      </c>
      <c r="AK150" s="65">
        <f>AK93*INDEX('Availability Model'!$C$67:$T$71, MATCH($K$138,'Availability Model'!$B$67:$B$71, 0), MATCH($K$10, 'Availability Model'!$C$1:$T$1, 0))</f>
        <v>7272829.2316077221</v>
      </c>
      <c r="AL150" s="65">
        <f>AL93*INDEX('Availability Model'!$C$67:$T$71, MATCH($K$138,'Availability Model'!$B$67:$B$71, 0), MATCH($K$10, 'Availability Model'!$C$1:$T$1, 0))</f>
        <v>7953566.0476862052</v>
      </c>
    </row>
    <row r="151" spans="4:38">
      <c r="D151" s="3" t="s">
        <v>324</v>
      </c>
      <c r="E151" s="16" t="s">
        <v>211</v>
      </c>
      <c r="K151" s="65">
        <f>K95*INDEX('Availability Model'!$C$67:$T$71, MATCH($K$138,'Availability Model'!$B$67:$B$71, 0), MATCH($K$10, 'Availability Model'!$C$1:$T$1, 0))</f>
        <v>14243.399999999998</v>
      </c>
      <c r="L151" s="65">
        <f>L95*INDEX('Availability Model'!$C$67:$T$71, MATCH($K$138,'Availability Model'!$B$67:$B$71, 0), MATCH($K$10, 'Availability Model'!$C$1:$T$1, 0))</f>
        <v>14708.32692016032</v>
      </c>
      <c r="M151" s="65">
        <f>M95*INDEX('Availability Model'!$C$67:$T$71, MATCH($K$138,'Availability Model'!$B$67:$B$71, 0), MATCH($K$10, 'Availability Model'!$C$1:$T$1, 0))</f>
        <v>16770.509914189428</v>
      </c>
      <c r="N151" s="65">
        <f>N95*INDEX('Availability Model'!$C$67:$T$71, MATCH($K$138,'Availability Model'!$B$67:$B$71, 0), MATCH($K$10, 'Availability Model'!$C$1:$T$1, 0))</f>
        <v>45902.428793536092</v>
      </c>
      <c r="O151" s="65">
        <f>O95*INDEX('Availability Model'!$C$67:$T$71, MATCH($K$138,'Availability Model'!$B$67:$B$71, 0), MATCH($K$10, 'Availability Model'!$C$1:$T$1, 0))</f>
        <v>54431.042743014616</v>
      </c>
      <c r="P151" s="65">
        <f>P95*INDEX('Availability Model'!$C$67:$T$71, MATCH($K$138,'Availability Model'!$B$67:$B$71, 0), MATCH($K$10, 'Availability Model'!$C$1:$T$1, 0))</f>
        <v>59525.788343760774</v>
      </c>
      <c r="Q151" s="65">
        <f>Q95*INDEX('Availability Model'!$C$67:$T$71, MATCH($K$138,'Availability Model'!$B$67:$B$71, 0), MATCH($K$10, 'Availability Model'!$C$1:$T$1, 0))</f>
        <v>65097.402132736781</v>
      </c>
      <c r="R151" s="65">
        <f>R95*INDEX('Availability Model'!$C$67:$T$71, MATCH($K$138,'Availability Model'!$B$67:$B$71, 0), MATCH($K$10, 'Availability Model'!$C$1:$T$1, 0))</f>
        <v>71190.518972360936</v>
      </c>
      <c r="S151" s="65">
        <f>S95*INDEX('Availability Model'!$C$67:$T$71, MATCH($K$138,'Availability Model'!$B$67:$B$71, 0), MATCH($K$10, 'Availability Model'!$C$1:$T$1, 0))</f>
        <v>77853.951548173922</v>
      </c>
      <c r="T151" s="65">
        <f>T95*INDEX('Availability Model'!$C$67:$T$71, MATCH($K$138,'Availability Model'!$B$67:$B$71, 0), MATCH($K$10, 'Availability Model'!$C$1:$T$1, 0))</f>
        <v>85141.081413082997</v>
      </c>
      <c r="U151" s="65">
        <f>U95*INDEX('Availability Model'!$C$67:$T$71, MATCH($K$138,'Availability Model'!$B$67:$B$71, 0), MATCH($K$10, 'Availability Model'!$C$1:$T$1, 0))</f>
        <v>93110.286633347569</v>
      </c>
      <c r="V151" s="65">
        <f>V95*INDEX('Availability Model'!$C$67:$T$71, MATCH($K$138,'Availability Model'!$B$67:$B$71, 0), MATCH($K$10, 'Availability Model'!$C$1:$T$1, 0))</f>
        <v>101825.40946222887</v>
      </c>
      <c r="W151" s="65">
        <f>W95*INDEX('Availability Model'!$C$67:$T$71, MATCH($K$138,'Availability Model'!$B$67:$B$71, 0), MATCH($K$10, 'Availability Model'!$C$1:$T$1, 0))</f>
        <v>111356.26778789349</v>
      </c>
      <c r="X151" s="65">
        <f>X95*INDEX('Availability Model'!$C$67:$T$71, MATCH($K$138,'Availability Model'!$B$67:$B$71, 0), MATCH($K$10, 'Availability Model'!$C$1:$T$1, 0))</f>
        <v>121779.21445284033</v>
      </c>
      <c r="Y151" s="65">
        <f>Y95*INDEX('Availability Model'!$C$67:$T$71, MATCH($K$138,'Availability Model'!$B$67:$B$71, 0), MATCH($K$10, 'Availability Model'!$C$1:$T$1, 0))</f>
        <v>133177.74892562616</v>
      </c>
      <c r="Z151" s="65">
        <f>Z95*INDEX('Availability Model'!$C$67:$T$71, MATCH($K$138,'Availability Model'!$B$67:$B$71, 0), MATCH($K$10, 'Availability Model'!$C$1:$T$1, 0))</f>
        <v>145643.18622506474</v>
      </c>
      <c r="AA151" s="65">
        <f>AA95*INDEX('Availability Model'!$C$67:$T$71, MATCH($K$138,'Availability Model'!$B$67:$B$71, 0), MATCH($K$10, 'Availability Model'!$C$1:$T$1, 0))</f>
        <v>159275.3884557308</v>
      </c>
      <c r="AB151" s="65">
        <f>AB95*INDEX('Availability Model'!$C$67:$T$71, MATCH($K$138,'Availability Model'!$B$67:$B$71, 0), MATCH($K$10, 'Availability Model'!$C$1:$T$1, 0))</f>
        <v>174183.56481518719</v>
      </c>
      <c r="AC151" s="65">
        <f>AC95*INDEX('Availability Model'!$C$67:$T$71, MATCH($K$138,'Availability Model'!$B$67:$B$71, 0), MATCH($K$10, 'Availability Model'!$C$1:$T$1, 0))</f>
        <v>190487.14648188869</v>
      </c>
      <c r="AD151" s="65">
        <f>AD95*INDEX('Availability Model'!$C$67:$T$71, MATCH($K$138,'Availability Model'!$B$67:$B$71, 0), MATCH($K$10, 'Availability Model'!$C$1:$T$1, 0))</f>
        <v>208316.74339259349</v>
      </c>
      <c r="AE151" s="65">
        <f>AE95*INDEX('Availability Model'!$C$67:$T$71, MATCH($K$138,'Availability Model'!$B$67:$B$71, 0), MATCH($K$10, 'Availability Model'!$C$1:$T$1, 0))</f>
        <v>227815.1905741402</v>
      </c>
      <c r="AF151" s="65">
        <f>AF95*INDEX('Availability Model'!$C$67:$T$71, MATCH($K$138,'Availability Model'!$B$67:$B$71, 0), MATCH($K$10, 'Availability Model'!$C$1:$T$1, 0))</f>
        <v>249138.69241187975</v>
      </c>
      <c r="AG151" s="65">
        <f>AG95*INDEX('Availability Model'!$C$67:$T$71, MATCH($K$138,'Availability Model'!$B$67:$B$71, 0), MATCH($K$10, 'Availability Model'!$C$1:$T$1, 0))</f>
        <v>272458.07402163168</v>
      </c>
      <c r="AH151" s="65">
        <f>AH95*INDEX('Availability Model'!$C$67:$T$71, MATCH($K$138,'Availability Model'!$B$67:$B$71, 0), MATCH($K$10, 'Availability Model'!$C$1:$T$1, 0))</f>
        <v>297960.14975005639</v>
      </c>
      <c r="AI151" s="65">
        <f>AI95*INDEX('Availability Model'!$C$67:$T$71, MATCH($K$138,'Availability Model'!$B$67:$B$71, 0), MATCH($K$10, 'Availability Model'!$C$1:$T$1, 0))</f>
        <v>325849.21976666164</v>
      </c>
      <c r="AJ151" s="65">
        <f>AJ95*INDEX('Availability Model'!$C$67:$T$71, MATCH($K$138,'Availability Model'!$B$67:$B$71, 0), MATCH($K$10, 'Availability Model'!$C$1:$T$1, 0))</f>
        <v>356348.7067368211</v>
      </c>
      <c r="AK151" s="65">
        <f>AK95*INDEX('Availability Model'!$C$67:$T$71, MATCH($K$138,'Availability Model'!$B$67:$B$71, 0), MATCH($K$10, 'Availability Model'!$C$1:$T$1, 0))</f>
        <v>389702.94568738755</v>
      </c>
      <c r="AL151" s="65">
        <f>AL95*INDEX('Availability Model'!$C$67:$T$71, MATCH($K$138,'Availability Model'!$B$67:$B$71, 0), MATCH($K$10, 'Availability Model'!$C$1:$T$1, 0))</f>
        <v>426179.141403727</v>
      </c>
    </row>
    <row r="152" spans="4:38">
      <c r="D152" s="3" t="s">
        <v>321</v>
      </c>
      <c r="E152" s="3" t="s">
        <v>211</v>
      </c>
      <c r="K152" s="65">
        <f>IF(K27&gt;0,K150+K151,0)</f>
        <v>204582.41249999998</v>
      </c>
      <c r="L152" s="65">
        <f t="shared" ref="L152:AL152" si="68">IF(L27&gt;0,L150+L151,0)</f>
        <v>211260.3033801686</v>
      </c>
      <c r="M152" s="65">
        <f t="shared" si="68"/>
        <v>240880.0832034515</v>
      </c>
      <c r="N152" s="65">
        <f t="shared" si="68"/>
        <v>659310.95259496151</v>
      </c>
      <c r="O152" s="65">
        <f t="shared" si="68"/>
        <v>0</v>
      </c>
      <c r="P152" s="65">
        <f t="shared" si="68"/>
        <v>0</v>
      </c>
      <c r="Q152" s="65">
        <f t="shared" si="68"/>
        <v>0</v>
      </c>
      <c r="R152" s="65">
        <f t="shared" si="68"/>
        <v>0</v>
      </c>
      <c r="S152" s="65">
        <f t="shared" si="68"/>
        <v>0</v>
      </c>
      <c r="T152" s="65">
        <f t="shared" si="68"/>
        <v>0</v>
      </c>
      <c r="U152" s="65">
        <f t="shared" si="68"/>
        <v>0</v>
      </c>
      <c r="V152" s="65">
        <f t="shared" si="68"/>
        <v>0</v>
      </c>
      <c r="W152" s="65">
        <f t="shared" si="68"/>
        <v>0</v>
      </c>
      <c r="X152" s="65">
        <f t="shared" si="68"/>
        <v>0</v>
      </c>
      <c r="Y152" s="65">
        <f t="shared" si="68"/>
        <v>0</v>
      </c>
      <c r="Z152" s="65">
        <f t="shared" si="68"/>
        <v>0</v>
      </c>
      <c r="AA152" s="65">
        <f t="shared" si="68"/>
        <v>0</v>
      </c>
      <c r="AB152" s="65">
        <f t="shared" si="68"/>
        <v>0</v>
      </c>
      <c r="AC152" s="65">
        <f t="shared" si="68"/>
        <v>3745452.5438703629</v>
      </c>
      <c r="AD152" s="65">
        <f t="shared" si="68"/>
        <v>4096026.9019766287</v>
      </c>
      <c r="AE152" s="65">
        <f t="shared" si="68"/>
        <v>4479415.0200016405</v>
      </c>
      <c r="AF152" s="65">
        <f t="shared" si="68"/>
        <v>4898688.2658737944</v>
      </c>
      <c r="AG152" s="65">
        <f t="shared" si="68"/>
        <v>5357205.4875595812</v>
      </c>
      <c r="AH152" s="65">
        <f t="shared" si="68"/>
        <v>5858639.9211951569</v>
      </c>
      <c r="AI152" s="65">
        <f t="shared" si="68"/>
        <v>6407008.6178190215</v>
      </c>
      <c r="AJ152" s="65">
        <f t="shared" si="68"/>
        <v>7006704.6244468819</v>
      </c>
      <c r="AK152" s="65">
        <f t="shared" si="68"/>
        <v>7662532.1772951093</v>
      </c>
      <c r="AL152" s="65">
        <f t="shared" si="68"/>
        <v>8379745.1890899325</v>
      </c>
    </row>
    <row r="153" spans="4:38">
      <c r="D153" s="7"/>
      <c r="E153" s="16"/>
    </row>
    <row r="154" spans="4:38" ht="18">
      <c r="D154" s="15" t="s">
        <v>249</v>
      </c>
    </row>
    <row r="155" spans="4:38" ht="15">
      <c r="D155" s="100" t="s">
        <v>250</v>
      </c>
      <c r="E155" s="101"/>
      <c r="F155" s="101"/>
      <c r="G155" s="101"/>
      <c r="H155" s="101"/>
      <c r="I155" s="101"/>
      <c r="J155" s="101"/>
      <c r="K155" s="101"/>
    </row>
    <row r="156" spans="4:38">
      <c r="D156" s="102" t="s">
        <v>299</v>
      </c>
      <c r="E156" s="103" t="s">
        <v>169</v>
      </c>
      <c r="F156" s="101"/>
      <c r="G156" s="101"/>
      <c r="H156" s="101"/>
      <c r="I156" s="101"/>
      <c r="J156" s="101"/>
      <c r="K156" s="101" t="str">
        <f>Inputs!E69</f>
        <v>Low</v>
      </c>
      <c r="M156" s="7"/>
    </row>
    <row r="157" spans="4:38">
      <c r="D157" s="102" t="s">
        <v>329</v>
      </c>
      <c r="E157" s="103" t="s">
        <v>303</v>
      </c>
      <c r="F157" s="101"/>
      <c r="G157" s="101"/>
      <c r="H157" s="101"/>
      <c r="I157" s="101"/>
      <c r="J157" s="101"/>
      <c r="K157" s="101">
        <f>INDEX('Availability Model'!$C$4:$T$8, MATCH($K$129,'Availability Model'!$B$4:$B$8, 0), MATCH($K$10, 'Availability Model'!$C$1:$T$1, 0))</f>
        <v>2</v>
      </c>
      <c r="M157" s="7"/>
    </row>
    <row r="158" spans="4:38">
      <c r="D158" s="102" t="s">
        <v>301</v>
      </c>
      <c r="E158" s="103" t="s">
        <v>106</v>
      </c>
      <c r="F158" s="101"/>
      <c r="G158" s="101"/>
      <c r="H158" s="101"/>
      <c r="I158" s="101"/>
      <c r="J158" s="101"/>
      <c r="K158" s="101"/>
      <c r="M158" s="7"/>
    </row>
    <row r="159" spans="4:38">
      <c r="D159" s="102" t="s">
        <v>302</v>
      </c>
      <c r="E159" s="103" t="s">
        <v>106</v>
      </c>
      <c r="F159" s="101"/>
      <c r="G159" s="101"/>
      <c r="H159" s="101"/>
      <c r="I159" s="101"/>
      <c r="J159" s="101"/>
      <c r="K159" s="101">
        <f>Inputs!E132</f>
        <v>376680</v>
      </c>
      <c r="M159" s="7"/>
    </row>
    <row r="160" spans="4:38">
      <c r="D160" s="102" t="s">
        <v>326</v>
      </c>
      <c r="E160" s="103" t="s">
        <v>106</v>
      </c>
      <c r="F160" s="101"/>
      <c r="G160" s="101"/>
      <c r="H160" s="101"/>
      <c r="I160" s="101"/>
      <c r="J160" s="101"/>
      <c r="K160" s="101">
        <f>K158-K159</f>
        <v>-376680</v>
      </c>
      <c r="M160" s="7"/>
    </row>
    <row r="161" spans="4:38">
      <c r="D161" s="7"/>
    </row>
    <row r="163" spans="4:38" ht="15">
      <c r="D163" s="4" t="s">
        <v>137</v>
      </c>
    </row>
    <row r="164" spans="4:38">
      <c r="D164" s="7" t="s">
        <v>299</v>
      </c>
      <c r="E164" s="16" t="s">
        <v>169</v>
      </c>
      <c r="K164" t="str">
        <f>Inputs!E70</f>
        <v>Good</v>
      </c>
      <c r="L164" t="str">
        <f>Inputs!F70</f>
        <v>Good</v>
      </c>
      <c r="M164" t="str">
        <f>Inputs!G70</f>
        <v>Good</v>
      </c>
      <c r="N164" t="str">
        <f>Inputs!H70</f>
        <v>Good</v>
      </c>
      <c r="O164" t="str">
        <f>Inputs!I70</f>
        <v>Good</v>
      </c>
      <c r="P164" t="str">
        <f>Inputs!J70</f>
        <v>Good</v>
      </c>
      <c r="Q164" t="str">
        <f>P164</f>
        <v>Good</v>
      </c>
      <c r="R164" t="str">
        <f t="shared" ref="R164:AL164" si="69">Q164</f>
        <v>Good</v>
      </c>
      <c r="S164" t="str">
        <f t="shared" si="69"/>
        <v>Good</v>
      </c>
      <c r="T164" t="str">
        <f t="shared" si="69"/>
        <v>Good</v>
      </c>
      <c r="U164" t="str">
        <f t="shared" si="69"/>
        <v>Good</v>
      </c>
      <c r="V164" t="str">
        <f t="shared" si="69"/>
        <v>Good</v>
      </c>
      <c r="W164" t="str">
        <f t="shared" si="69"/>
        <v>Good</v>
      </c>
      <c r="X164" t="str">
        <f t="shared" si="69"/>
        <v>Good</v>
      </c>
      <c r="Y164" t="str">
        <f t="shared" si="69"/>
        <v>Good</v>
      </c>
      <c r="Z164" t="str">
        <f t="shared" si="69"/>
        <v>Good</v>
      </c>
      <c r="AA164" t="str">
        <f t="shared" si="69"/>
        <v>Good</v>
      </c>
      <c r="AB164" t="str">
        <f t="shared" si="69"/>
        <v>Good</v>
      </c>
      <c r="AC164" t="str">
        <f t="shared" si="69"/>
        <v>Good</v>
      </c>
      <c r="AD164" t="str">
        <f t="shared" si="69"/>
        <v>Good</v>
      </c>
      <c r="AE164" t="str">
        <f t="shared" si="69"/>
        <v>Good</v>
      </c>
      <c r="AF164" t="str">
        <f t="shared" si="69"/>
        <v>Good</v>
      </c>
      <c r="AG164" t="str">
        <f t="shared" si="69"/>
        <v>Good</v>
      </c>
      <c r="AH164" t="str">
        <f t="shared" si="69"/>
        <v>Good</v>
      </c>
      <c r="AI164" t="str">
        <f t="shared" si="69"/>
        <v>Good</v>
      </c>
      <c r="AJ164" t="str">
        <f t="shared" si="69"/>
        <v>Good</v>
      </c>
      <c r="AK164" t="str">
        <f t="shared" si="69"/>
        <v>Good</v>
      </c>
      <c r="AL164" t="str">
        <f t="shared" si="69"/>
        <v>Good</v>
      </c>
    </row>
    <row r="165" spans="4:38">
      <c r="D165" s="7" t="s">
        <v>300</v>
      </c>
      <c r="E165" s="16" t="s">
        <v>303</v>
      </c>
      <c r="K165">
        <f>INDEX('Availability Model'!$C$81:$T$84, MATCH($K$164,'Availability Model'!$B$81:$B$84, 0), MATCH($K$10, 'Availability Model'!$C$1:$T$1, 0))</f>
        <v>0</v>
      </c>
      <c r="L165">
        <f>INDEX('Availability Model'!$C$81:$T$84, MATCH($K$164,'Availability Model'!$B$81:$B$84, 0), MATCH($K$10, 'Availability Model'!$C$1:$T$1, 0))</f>
        <v>0</v>
      </c>
      <c r="M165">
        <f>INDEX('Availability Model'!$C$81:$T$84, MATCH($K$164,'Availability Model'!$B$81:$B$84, 0), MATCH($K$10, 'Availability Model'!$C$1:$T$1, 0))</f>
        <v>0</v>
      </c>
      <c r="N165">
        <f>INDEX('Availability Model'!$C$81:$T$84, MATCH($K$164,'Availability Model'!$B$81:$B$84, 0), MATCH($K$10, 'Availability Model'!$C$1:$T$1, 0))</f>
        <v>0</v>
      </c>
      <c r="O165">
        <f>INDEX('Availability Model'!$C$81:$T$84, MATCH($K$164,'Availability Model'!$B$81:$B$84, 0), MATCH($K$10, 'Availability Model'!$C$1:$T$1, 0))</f>
        <v>0</v>
      </c>
      <c r="P165">
        <f>INDEX('Availability Model'!$C$81:$T$84, MATCH($K$164,'Availability Model'!$B$81:$B$84, 0), MATCH($K$10, 'Availability Model'!$C$1:$T$1, 0))</f>
        <v>0</v>
      </c>
      <c r="Q165">
        <f>INDEX('Availability Model'!$C$81:$T$84, MATCH($K$164,'Availability Model'!$B$81:$B$84, 0), MATCH($K$10, 'Availability Model'!$C$1:$T$1, 0))</f>
        <v>0</v>
      </c>
      <c r="R165">
        <f>INDEX('Availability Model'!$C$81:$T$84, MATCH($K$164,'Availability Model'!$B$81:$B$84, 0), MATCH($K$10, 'Availability Model'!$C$1:$T$1, 0))</f>
        <v>0</v>
      </c>
      <c r="S165">
        <f>INDEX('Availability Model'!$C$81:$T$84, MATCH($K$164,'Availability Model'!$B$81:$B$84, 0), MATCH($K$10, 'Availability Model'!$C$1:$T$1, 0))</f>
        <v>0</v>
      </c>
      <c r="T165">
        <f>INDEX('Availability Model'!$C$81:$T$84, MATCH($K$164,'Availability Model'!$B$81:$B$84, 0), MATCH($K$10, 'Availability Model'!$C$1:$T$1, 0))</f>
        <v>0</v>
      </c>
      <c r="U165">
        <f>INDEX('Availability Model'!$C$81:$T$84, MATCH($K$164,'Availability Model'!$B$81:$B$84, 0), MATCH($K$10, 'Availability Model'!$C$1:$T$1, 0))</f>
        <v>0</v>
      </c>
      <c r="V165">
        <f>INDEX('Availability Model'!$C$81:$T$84, MATCH($K$164,'Availability Model'!$B$81:$B$84, 0), MATCH($K$10, 'Availability Model'!$C$1:$T$1, 0))</f>
        <v>0</v>
      </c>
      <c r="W165">
        <f>INDEX('Availability Model'!$C$81:$T$84, MATCH($K$164,'Availability Model'!$B$81:$B$84, 0), MATCH($K$10, 'Availability Model'!$C$1:$T$1, 0))</f>
        <v>0</v>
      </c>
      <c r="X165">
        <f>INDEX('Availability Model'!$C$81:$T$84, MATCH($K$164,'Availability Model'!$B$81:$B$84, 0), MATCH($K$10, 'Availability Model'!$C$1:$T$1, 0))</f>
        <v>0</v>
      </c>
      <c r="Y165">
        <f>INDEX('Availability Model'!$C$81:$T$84, MATCH($K$164,'Availability Model'!$B$81:$B$84, 0), MATCH($K$10, 'Availability Model'!$C$1:$T$1, 0))</f>
        <v>0</v>
      </c>
      <c r="Z165">
        <f>INDEX('Availability Model'!$C$81:$T$84, MATCH($K$164,'Availability Model'!$B$81:$B$84, 0), MATCH($K$10, 'Availability Model'!$C$1:$T$1, 0))</f>
        <v>0</v>
      </c>
      <c r="AA165">
        <f>INDEX('Availability Model'!$C$81:$T$84, MATCH($K$164,'Availability Model'!$B$81:$B$84, 0), MATCH($K$10, 'Availability Model'!$C$1:$T$1, 0))</f>
        <v>0</v>
      </c>
      <c r="AB165">
        <f>INDEX('Availability Model'!$C$81:$T$84, MATCH($K$164,'Availability Model'!$B$81:$B$84, 0), MATCH($K$10, 'Availability Model'!$C$1:$T$1, 0))</f>
        <v>0</v>
      </c>
      <c r="AC165">
        <f>INDEX('Availability Model'!$C$81:$T$84, MATCH($K$164,'Availability Model'!$B$81:$B$84, 0), MATCH($K$10, 'Availability Model'!$C$1:$T$1, 0))</f>
        <v>0</v>
      </c>
      <c r="AD165">
        <f>INDEX('Availability Model'!$C$81:$T$84, MATCH($K$164,'Availability Model'!$B$81:$B$84, 0), MATCH($K$10, 'Availability Model'!$C$1:$T$1, 0))</f>
        <v>0</v>
      </c>
      <c r="AE165">
        <f>INDEX('Availability Model'!$C$81:$T$84, MATCH($K$164,'Availability Model'!$B$81:$B$84, 0), MATCH($K$10, 'Availability Model'!$C$1:$T$1, 0))</f>
        <v>0</v>
      </c>
      <c r="AF165">
        <f>INDEX('Availability Model'!$C$81:$T$84, MATCH($K$164,'Availability Model'!$B$81:$B$84, 0), MATCH($K$10, 'Availability Model'!$C$1:$T$1, 0))</f>
        <v>0</v>
      </c>
      <c r="AG165">
        <f>INDEX('Availability Model'!$C$81:$T$84, MATCH($K$164,'Availability Model'!$B$81:$B$84, 0), MATCH($K$10, 'Availability Model'!$C$1:$T$1, 0))</f>
        <v>0</v>
      </c>
      <c r="AH165">
        <f>INDEX('Availability Model'!$C$81:$T$84, MATCH($K$164,'Availability Model'!$B$81:$B$84, 0), MATCH($K$10, 'Availability Model'!$C$1:$T$1, 0))</f>
        <v>0</v>
      </c>
      <c r="AI165">
        <f>INDEX('Availability Model'!$C$81:$T$84, MATCH($K$164,'Availability Model'!$B$81:$B$84, 0), MATCH($K$10, 'Availability Model'!$C$1:$T$1, 0))</f>
        <v>0</v>
      </c>
      <c r="AJ165">
        <f>INDEX('Availability Model'!$C$81:$T$84, MATCH($K$164,'Availability Model'!$B$81:$B$84, 0), MATCH($K$10, 'Availability Model'!$C$1:$T$1, 0))</f>
        <v>0</v>
      </c>
      <c r="AK165">
        <f>INDEX('Availability Model'!$C$81:$T$84, MATCH($K$164,'Availability Model'!$B$81:$B$84, 0), MATCH($K$10, 'Availability Model'!$C$1:$T$1, 0))</f>
        <v>0</v>
      </c>
      <c r="AL165">
        <f>INDEX('Availability Model'!$C$81:$T$84, MATCH($K$164,'Availability Model'!$B$81:$B$84, 0), MATCH($K$10, 'Availability Model'!$C$1:$T$1, 0))</f>
        <v>0</v>
      </c>
    </row>
    <row r="166" spans="4:38">
      <c r="D166" s="7" t="s">
        <v>312</v>
      </c>
      <c r="E166" s="16" t="s">
        <v>106</v>
      </c>
      <c r="K166">
        <f>K165*INDEX('Availability Model'!$C$81:$T$84, MATCH($K$164,'Availability Model'!$B$81:$B$84, 0), MATCH($K$10, 'Availability Model'!$C$1:$T$1, 0))</f>
        <v>0</v>
      </c>
      <c r="L166">
        <f>L165*INDEX('Availability Model'!$C$81:$T$84, MATCH($K$164,'Availability Model'!$B$81:$B$84, 0), MATCH($K$10, 'Availability Model'!$C$1:$T$1, 0))</f>
        <v>0</v>
      </c>
      <c r="M166">
        <f>M165*INDEX('Availability Model'!$C$81:$T$84, MATCH($K$164,'Availability Model'!$B$81:$B$84, 0), MATCH($K$10, 'Availability Model'!$C$1:$T$1, 0))</f>
        <v>0</v>
      </c>
      <c r="N166">
        <f>N165*INDEX('Availability Model'!$C$81:$T$84, MATCH($K$164,'Availability Model'!$B$81:$B$84, 0), MATCH($K$10, 'Availability Model'!$C$1:$T$1, 0))</f>
        <v>0</v>
      </c>
      <c r="O166">
        <f>O165*INDEX('Availability Model'!$C$81:$T$84, MATCH($K$164,'Availability Model'!$B$81:$B$84, 0), MATCH($K$10, 'Availability Model'!$C$1:$T$1, 0))</f>
        <v>0</v>
      </c>
      <c r="P166">
        <f>P165*INDEX('Availability Model'!$C$81:$T$84, MATCH($K$164,'Availability Model'!$B$81:$B$84, 0), MATCH($K$10, 'Availability Model'!$C$1:$T$1, 0))</f>
        <v>0</v>
      </c>
      <c r="Q166">
        <f>Q165*INDEX('Availability Model'!$C$81:$T$84, MATCH($K$164,'Availability Model'!$B$81:$B$84, 0), MATCH($K$10, 'Availability Model'!$C$1:$T$1, 0))</f>
        <v>0</v>
      </c>
      <c r="R166">
        <f>R165*INDEX('Availability Model'!$C$81:$T$84, MATCH($K$164,'Availability Model'!$B$81:$B$84, 0), MATCH($K$10, 'Availability Model'!$C$1:$T$1, 0))</f>
        <v>0</v>
      </c>
      <c r="S166">
        <f>S165*INDEX('Availability Model'!$C$81:$T$84, MATCH($K$164,'Availability Model'!$B$81:$B$84, 0), MATCH($K$10, 'Availability Model'!$C$1:$T$1, 0))</f>
        <v>0</v>
      </c>
      <c r="T166">
        <f>T165*INDEX('Availability Model'!$C$81:$T$84, MATCH($K$164,'Availability Model'!$B$81:$B$84, 0), MATCH($K$10, 'Availability Model'!$C$1:$T$1, 0))</f>
        <v>0</v>
      </c>
      <c r="U166">
        <f>U165*INDEX('Availability Model'!$C$81:$T$84, MATCH($K$164,'Availability Model'!$B$81:$B$84, 0), MATCH($K$10, 'Availability Model'!$C$1:$T$1, 0))</f>
        <v>0</v>
      </c>
      <c r="V166">
        <f>V165*INDEX('Availability Model'!$C$81:$T$84, MATCH($K$164,'Availability Model'!$B$81:$B$84, 0), MATCH($K$10, 'Availability Model'!$C$1:$T$1, 0))</f>
        <v>0</v>
      </c>
      <c r="W166">
        <f>W165*INDEX('Availability Model'!$C$81:$T$84, MATCH($K$164,'Availability Model'!$B$81:$B$84, 0), MATCH($K$10, 'Availability Model'!$C$1:$T$1, 0))</f>
        <v>0</v>
      </c>
      <c r="X166">
        <f>X165*INDEX('Availability Model'!$C$81:$T$84, MATCH($K$164,'Availability Model'!$B$81:$B$84, 0), MATCH($K$10, 'Availability Model'!$C$1:$T$1, 0))</f>
        <v>0</v>
      </c>
      <c r="Y166">
        <f>Y165*INDEX('Availability Model'!$C$81:$T$84, MATCH($K$164,'Availability Model'!$B$81:$B$84, 0), MATCH($K$10, 'Availability Model'!$C$1:$T$1, 0))</f>
        <v>0</v>
      </c>
      <c r="Z166">
        <f>Z165*INDEX('Availability Model'!$C$81:$T$84, MATCH($K$164,'Availability Model'!$B$81:$B$84, 0), MATCH($K$10, 'Availability Model'!$C$1:$T$1, 0))</f>
        <v>0</v>
      </c>
      <c r="AA166">
        <f>AA165*INDEX('Availability Model'!$C$81:$T$84, MATCH($K$164,'Availability Model'!$B$81:$B$84, 0), MATCH($K$10, 'Availability Model'!$C$1:$T$1, 0))</f>
        <v>0</v>
      </c>
      <c r="AB166">
        <f>AB165*INDEX('Availability Model'!$C$81:$T$84, MATCH($K$164,'Availability Model'!$B$81:$B$84, 0), MATCH($K$10, 'Availability Model'!$C$1:$T$1, 0))</f>
        <v>0</v>
      </c>
      <c r="AC166">
        <f>AC165*INDEX('Availability Model'!$C$81:$T$84, MATCH($K$164,'Availability Model'!$B$81:$B$84, 0), MATCH($K$10, 'Availability Model'!$C$1:$T$1, 0))</f>
        <v>0</v>
      </c>
      <c r="AD166">
        <f>AD165*INDEX('Availability Model'!$C$81:$T$84, MATCH($K$164,'Availability Model'!$B$81:$B$84, 0), MATCH($K$10, 'Availability Model'!$C$1:$T$1, 0))</f>
        <v>0</v>
      </c>
      <c r="AE166">
        <f>AE165*INDEX('Availability Model'!$C$81:$T$84, MATCH($K$164,'Availability Model'!$B$81:$B$84, 0), MATCH($K$10, 'Availability Model'!$C$1:$T$1, 0))</f>
        <v>0</v>
      </c>
      <c r="AF166">
        <f>AF165*INDEX('Availability Model'!$C$81:$T$84, MATCH($K$164,'Availability Model'!$B$81:$B$84, 0), MATCH($K$10, 'Availability Model'!$C$1:$T$1, 0))</f>
        <v>0</v>
      </c>
      <c r="AG166">
        <f>AG165*INDEX('Availability Model'!$C$81:$T$84, MATCH($K$164,'Availability Model'!$B$81:$B$84, 0), MATCH($K$10, 'Availability Model'!$C$1:$T$1, 0))</f>
        <v>0</v>
      </c>
      <c r="AH166">
        <f>AH165*INDEX('Availability Model'!$C$81:$T$84, MATCH($K$164,'Availability Model'!$B$81:$B$84, 0), MATCH($K$10, 'Availability Model'!$C$1:$T$1, 0))</f>
        <v>0</v>
      </c>
      <c r="AI166">
        <f>AI165*INDEX('Availability Model'!$C$81:$T$84, MATCH($K$164,'Availability Model'!$B$81:$B$84, 0), MATCH($K$10, 'Availability Model'!$C$1:$T$1, 0))</f>
        <v>0</v>
      </c>
      <c r="AJ166">
        <f>AJ165*INDEX('Availability Model'!$C$81:$T$84, MATCH($K$164,'Availability Model'!$B$81:$B$84, 0), MATCH($K$10, 'Availability Model'!$C$1:$T$1, 0))</f>
        <v>0</v>
      </c>
      <c r="AK166">
        <f>AK165*INDEX('Availability Model'!$C$81:$T$84, MATCH($K$164,'Availability Model'!$B$81:$B$84, 0), MATCH($K$10, 'Availability Model'!$C$1:$T$1, 0))</f>
        <v>0</v>
      </c>
      <c r="AL166">
        <f>AL165*INDEX('Availability Model'!$C$81:$T$84, MATCH($K$164,'Availability Model'!$B$81:$B$84, 0), MATCH($K$10, 'Availability Model'!$C$1:$T$1, 0))</f>
        <v>0</v>
      </c>
    </row>
    <row r="167" spans="4:38">
      <c r="D167" s="7" t="s">
        <v>302</v>
      </c>
      <c r="E167" s="16" t="s">
        <v>106</v>
      </c>
      <c r="K167" s="65">
        <f>K141</f>
        <v>1.8129533678756478</v>
      </c>
      <c r="L167" s="65">
        <f t="shared" ref="L167:AL167" si="70">L141</f>
        <v>1.9066551166747128</v>
      </c>
      <c r="M167" s="65">
        <f t="shared" si="70"/>
        <v>1.8367738032705883</v>
      </c>
      <c r="N167" s="65">
        <f t="shared" si="70"/>
        <v>1.8815339776532183</v>
      </c>
      <c r="O167" s="65">
        <f t="shared" si="70"/>
        <v>2.274116334125547</v>
      </c>
      <c r="P167" s="65">
        <f t="shared" si="70"/>
        <v>2.277607063808083</v>
      </c>
      <c r="Q167" s="65">
        <f t="shared" si="70"/>
        <v>2.4761314028268004</v>
      </c>
      <c r="R167" s="65">
        <f t="shared" si="70"/>
        <v>2.4761314028268004</v>
      </c>
      <c r="S167" s="65">
        <f t="shared" si="70"/>
        <v>2.2417869796016316</v>
      </c>
      <c r="T167" s="65">
        <f t="shared" si="70"/>
        <v>2.2451891357101292</v>
      </c>
      <c r="U167" s="65">
        <f t="shared" si="70"/>
        <v>2.2417869796016316</v>
      </c>
      <c r="V167" s="65">
        <f t="shared" si="70"/>
        <v>2.2417869796016316</v>
      </c>
      <c r="W167" s="65">
        <f t="shared" si="70"/>
        <v>2.2417869796016316</v>
      </c>
      <c r="X167" s="65">
        <f t="shared" si="70"/>
        <v>2.2451891357101292</v>
      </c>
      <c r="Y167" s="65">
        <f t="shared" si="70"/>
        <v>2.2417869796016316</v>
      </c>
      <c r="Z167" s="65">
        <f t="shared" si="70"/>
        <v>2.2417869796016316</v>
      </c>
      <c r="AA167" s="65">
        <f t="shared" si="70"/>
        <v>2.2417869796016316</v>
      </c>
      <c r="AB167" s="65">
        <f t="shared" si="70"/>
        <v>2.2451891357101292</v>
      </c>
      <c r="AC167" s="65">
        <f t="shared" si="70"/>
        <v>1.7648580665195435</v>
      </c>
      <c r="AD167" s="65">
        <f t="shared" si="70"/>
        <v>1.7648580665195435</v>
      </c>
      <c r="AE167" s="65">
        <f t="shared" si="70"/>
        <v>1.7648580665195435</v>
      </c>
      <c r="AF167" s="65">
        <f t="shared" si="70"/>
        <v>1.7682602226280411</v>
      </c>
      <c r="AG167" s="65">
        <f t="shared" si="70"/>
        <v>1.7648580665195435</v>
      </c>
      <c r="AH167" s="65">
        <f t="shared" si="70"/>
        <v>1.7648580665195435</v>
      </c>
      <c r="AI167" s="65">
        <f t="shared" si="70"/>
        <v>1.7648580665195435</v>
      </c>
      <c r="AJ167" s="65">
        <f t="shared" si="70"/>
        <v>1.7682602226280411</v>
      </c>
      <c r="AK167" s="65">
        <f t="shared" si="70"/>
        <v>1.7648580665195435</v>
      </c>
      <c r="AL167" s="65">
        <f t="shared" si="70"/>
        <v>1.7648580665195435</v>
      </c>
    </row>
    <row r="168" spans="4:38">
      <c r="D168" s="7" t="s">
        <v>313</v>
      </c>
      <c r="E168" s="16" t="s">
        <v>106</v>
      </c>
      <c r="K168" s="89">
        <f>IF((K166-K167)&gt;0, K166-K167,0)</f>
        <v>0</v>
      </c>
      <c r="L168" s="89">
        <f t="shared" ref="L168:AL168" si="71">IF((L166-L167)&gt;0, L166-L167,0)</f>
        <v>0</v>
      </c>
      <c r="M168" s="89">
        <f t="shared" si="71"/>
        <v>0</v>
      </c>
      <c r="N168" s="89">
        <f t="shared" si="71"/>
        <v>0</v>
      </c>
      <c r="O168" s="89">
        <f t="shared" si="71"/>
        <v>0</v>
      </c>
      <c r="P168" s="89">
        <f t="shared" si="71"/>
        <v>0</v>
      </c>
      <c r="Q168" s="89">
        <f t="shared" si="71"/>
        <v>0</v>
      </c>
      <c r="R168" s="89">
        <f t="shared" si="71"/>
        <v>0</v>
      </c>
      <c r="S168" s="89">
        <f t="shared" si="71"/>
        <v>0</v>
      </c>
      <c r="T168" s="89">
        <f t="shared" si="71"/>
        <v>0</v>
      </c>
      <c r="U168" s="89">
        <f t="shared" si="71"/>
        <v>0</v>
      </c>
      <c r="V168" s="89">
        <f t="shared" si="71"/>
        <v>0</v>
      </c>
      <c r="W168" s="89">
        <f t="shared" si="71"/>
        <v>0</v>
      </c>
      <c r="X168" s="89">
        <f t="shared" si="71"/>
        <v>0</v>
      </c>
      <c r="Y168" s="89">
        <f t="shared" si="71"/>
        <v>0</v>
      </c>
      <c r="Z168" s="89">
        <f t="shared" si="71"/>
        <v>0</v>
      </c>
      <c r="AA168" s="89">
        <f t="shared" si="71"/>
        <v>0</v>
      </c>
      <c r="AB168" s="89">
        <f t="shared" si="71"/>
        <v>0</v>
      </c>
      <c r="AC168" s="89">
        <f t="shared" si="71"/>
        <v>0</v>
      </c>
      <c r="AD168" s="89">
        <f t="shared" si="71"/>
        <v>0</v>
      </c>
      <c r="AE168" s="89">
        <f t="shared" si="71"/>
        <v>0</v>
      </c>
      <c r="AF168" s="89">
        <f t="shared" si="71"/>
        <v>0</v>
      </c>
      <c r="AG168" s="89">
        <f t="shared" si="71"/>
        <v>0</v>
      </c>
      <c r="AH168" s="89">
        <f t="shared" si="71"/>
        <v>0</v>
      </c>
      <c r="AI168" s="89">
        <f t="shared" si="71"/>
        <v>0</v>
      </c>
      <c r="AJ168" s="89">
        <f t="shared" si="71"/>
        <v>0</v>
      </c>
      <c r="AK168" s="89">
        <f t="shared" si="71"/>
        <v>0</v>
      </c>
      <c r="AL168" s="89">
        <f t="shared" si="71"/>
        <v>0</v>
      </c>
    </row>
    <row r="169" spans="4:38">
      <c r="D169" s="7" t="s">
        <v>314</v>
      </c>
      <c r="E169" s="16" t="s">
        <v>306</v>
      </c>
      <c r="K169" s="90">
        <f t="shared" ref="K169:AL169" si="72">IF(K168&gt;0,K168*K35,0)</f>
        <v>0</v>
      </c>
      <c r="L169" s="90">
        <f t="shared" si="72"/>
        <v>0</v>
      </c>
      <c r="M169" s="90">
        <f t="shared" si="72"/>
        <v>0</v>
      </c>
      <c r="N169" s="90">
        <f t="shared" si="72"/>
        <v>0</v>
      </c>
      <c r="O169" s="90">
        <f t="shared" si="72"/>
        <v>0</v>
      </c>
      <c r="P169" s="90">
        <f t="shared" si="72"/>
        <v>0</v>
      </c>
      <c r="Q169" s="90">
        <f t="shared" si="72"/>
        <v>0</v>
      </c>
      <c r="R169" s="90">
        <f t="shared" si="72"/>
        <v>0</v>
      </c>
      <c r="S169" s="90">
        <f t="shared" si="72"/>
        <v>0</v>
      </c>
      <c r="T169" s="90">
        <f t="shared" si="72"/>
        <v>0</v>
      </c>
      <c r="U169" s="90">
        <f t="shared" si="72"/>
        <v>0</v>
      </c>
      <c r="V169" s="90">
        <f t="shared" si="72"/>
        <v>0</v>
      </c>
      <c r="W169" s="90">
        <f t="shared" si="72"/>
        <v>0</v>
      </c>
      <c r="X169" s="90">
        <f t="shared" si="72"/>
        <v>0</v>
      </c>
      <c r="Y169" s="90">
        <f t="shared" si="72"/>
        <v>0</v>
      </c>
      <c r="Z169" s="90">
        <f t="shared" si="72"/>
        <v>0</v>
      </c>
      <c r="AA169" s="90">
        <f t="shared" si="72"/>
        <v>0</v>
      </c>
      <c r="AB169" s="90">
        <f t="shared" si="72"/>
        <v>0</v>
      </c>
      <c r="AC169" s="90">
        <f t="shared" si="72"/>
        <v>0</v>
      </c>
      <c r="AD169" s="90">
        <f t="shared" si="72"/>
        <v>0</v>
      </c>
      <c r="AE169" s="90">
        <f t="shared" si="72"/>
        <v>0</v>
      </c>
      <c r="AF169" s="90">
        <f t="shared" si="72"/>
        <v>0</v>
      </c>
      <c r="AG169" s="90">
        <f t="shared" si="72"/>
        <v>0</v>
      </c>
      <c r="AH169" s="90">
        <f t="shared" si="72"/>
        <v>0</v>
      </c>
      <c r="AI169" s="90">
        <f t="shared" si="72"/>
        <v>0</v>
      </c>
      <c r="AJ169" s="90">
        <f t="shared" si="72"/>
        <v>0</v>
      </c>
      <c r="AK169" s="90">
        <f t="shared" si="72"/>
        <v>0</v>
      </c>
      <c r="AL169" s="90">
        <f t="shared" si="72"/>
        <v>0</v>
      </c>
    </row>
    <row r="170" spans="4:38">
      <c r="D170" s="7"/>
    </row>
    <row r="171" spans="4:38">
      <c r="D171" s="3" t="s">
        <v>315</v>
      </c>
      <c r="E171" s="16" t="s">
        <v>306</v>
      </c>
      <c r="K171" s="65">
        <f>K169*INDEX('Availability Model'!$C$60:$T$64, MATCH($K$138,'Availability Model'!$B$60:$B$64, 0), MATCH($K$10, 'Availability Model'!$C$1:$T$1, 0))</f>
        <v>0</v>
      </c>
      <c r="L171" s="65">
        <f>L169*INDEX('Availability Model'!$C$60:$T$64, MATCH($K$138,'Availability Model'!$B$60:$B$64, 0), MATCH($K$10, 'Availability Model'!$C$1:$T$1, 0))</f>
        <v>0</v>
      </c>
      <c r="M171" s="65">
        <f>M169*INDEX('Availability Model'!$C$60:$T$64, MATCH($K$138,'Availability Model'!$B$60:$B$64, 0), MATCH($K$10, 'Availability Model'!$C$1:$T$1, 0))</f>
        <v>0</v>
      </c>
      <c r="N171" s="65">
        <f>N169*INDEX('Availability Model'!$C$60:$T$64, MATCH($K$138,'Availability Model'!$B$60:$B$64, 0), MATCH($K$10, 'Availability Model'!$C$1:$T$1, 0))</f>
        <v>0</v>
      </c>
      <c r="O171" s="65">
        <f>O169*INDEX('Availability Model'!$C$60:$T$64, MATCH($K$138,'Availability Model'!$B$60:$B$64, 0), MATCH($K$10, 'Availability Model'!$C$1:$T$1, 0))</f>
        <v>0</v>
      </c>
      <c r="P171" s="65">
        <f>P169*INDEX('Availability Model'!$C$60:$T$64, MATCH($K$138,'Availability Model'!$B$60:$B$64, 0), MATCH($K$10, 'Availability Model'!$C$1:$T$1, 0))</f>
        <v>0</v>
      </c>
    </row>
    <row r="172" spans="4:38">
      <c r="D172" s="3" t="s">
        <v>333</v>
      </c>
      <c r="E172" s="16" t="s">
        <v>246</v>
      </c>
      <c r="K172" s="65">
        <f>K171*Inputs!E52</f>
        <v>0</v>
      </c>
      <c r="L172" s="65">
        <f>L171*Inputs!F52</f>
        <v>0</v>
      </c>
      <c r="M172" s="65">
        <f>M171*Inputs!G52</f>
        <v>0</v>
      </c>
      <c r="N172" s="65">
        <f>N171*Inputs!H52</f>
        <v>0</v>
      </c>
      <c r="O172" s="65">
        <f>O171*Inputs!I52</f>
        <v>0</v>
      </c>
      <c r="P172" s="65">
        <f>P171*Inputs!J52</f>
        <v>0</v>
      </c>
    </row>
    <row r="173" spans="4:38">
      <c r="D173" s="89" t="s">
        <v>318</v>
      </c>
      <c r="E173" s="16" t="s">
        <v>211</v>
      </c>
      <c r="K173" s="65">
        <f>(K28*K74)*INDEX('Availability Model'!$C$93:$T$96, MATCH($K$164,'Availability Model'!$B$93:$B$96, 0), MATCH($K$10, 'Availability Model'!$C$1:$T$1, 0))</f>
        <v>104654.25</v>
      </c>
      <c r="L173" s="65">
        <f>(L28*L74)*INDEX('Availability Model'!$C$93:$T$96, MATCH($K$164,'Availability Model'!$B$93:$B$96, 0), MATCH($K$10, 'Availability Model'!$C$1:$T$1, 0))</f>
        <v>108070.32889508041</v>
      </c>
      <c r="M173" s="65">
        <f>(M28*M74)*INDEX('Availability Model'!$C$93:$T$96, MATCH($K$164,'Availability Model'!$B$93:$B$96, 0), MATCH($K$10, 'Availability Model'!$C$1:$T$1, 0))</f>
        <v>123222.34418657479</v>
      </c>
      <c r="N173" s="65">
        <f>(N28*N74)*INDEX('Availability Model'!$C$93:$T$96, MATCH($K$164,'Availability Model'!$B$93:$B$96, 0), MATCH($K$10, 'Availability Model'!$C$1:$T$1, 0))</f>
        <v>875621.78677276801</v>
      </c>
      <c r="O173" s="65">
        <f>(O28*O74)*INDEX('Availability Model'!$C$93:$T$96, MATCH($K$164,'Availability Model'!$B$93:$B$96, 0), MATCH($K$10, 'Availability Model'!$C$1:$T$1, 0))</f>
        <v>2076622.4426562337</v>
      </c>
      <c r="P173" s="65">
        <f>(P28*P74)*INDEX('Availability Model'!$C$93:$T$96, MATCH($K$164,'Availability Model'!$B$93:$B$96, 0), MATCH($K$10, 'Availability Model'!$C$1:$T$1, 0))</f>
        <v>2270994.303288857</v>
      </c>
      <c r="Q173" s="65">
        <f>(Q28*Q74)*INDEX('Availability Model'!$C$93:$T$96, MATCH($K$164,'Availability Model'!$B$93:$B$96, 0), MATCH($K$10, 'Availability Model'!$C$1:$T$1, 0))</f>
        <v>2917777.625279895</v>
      </c>
      <c r="R173" s="65">
        <f>(R28*R74)*INDEX('Availability Model'!$C$93:$T$96, MATCH($K$164,'Availability Model'!$B$93:$B$96, 0), MATCH($K$10, 'Availability Model'!$C$1:$T$1, 0))</f>
        <v>3190881.6110060923</v>
      </c>
      <c r="S173" s="65">
        <f>(S28*S74)*INDEX('Availability Model'!$C$93:$T$96, MATCH($K$164,'Availability Model'!$B$93:$B$96, 0), MATCH($K$10, 'Availability Model'!$C$1:$T$1, 0))</f>
        <v>4148079.8725400222</v>
      </c>
      <c r="T173" s="65">
        <f>(T28*T74)*INDEX('Availability Model'!$C$93:$T$96, MATCH($K$164,'Availability Model'!$B$93:$B$96, 0), MATCH($K$10, 'Availability Model'!$C$1:$T$1, 0))</f>
        <v>4536340.1486097677</v>
      </c>
      <c r="U173" s="65">
        <f>(U28*U74)*INDEX('Availability Model'!$C$93:$T$96, MATCH($K$164,'Availability Model'!$B$93:$B$96, 0), MATCH($K$10, 'Availability Model'!$C$1:$T$1, 0))</f>
        <v>4960941.5865196418</v>
      </c>
      <c r="V173" s="65">
        <f>(V28*V74)*INDEX('Availability Model'!$C$93:$T$96, MATCH($K$164,'Availability Model'!$B$93:$B$96, 0), MATCH($K$10, 'Availability Model'!$C$1:$T$1, 0))</f>
        <v>5425285.7190178791</v>
      </c>
      <c r="W173" s="65">
        <f>(W28*W74)*INDEX('Availability Model'!$C$93:$T$96, MATCH($K$164,'Availability Model'!$B$93:$B$96, 0), MATCH($K$10, 'Availability Model'!$C$1:$T$1, 0))</f>
        <v>5933092.462317952</v>
      </c>
      <c r="X173" s="65">
        <f>(X28*X74)*INDEX('Availability Model'!$C$93:$T$96, MATCH($K$164,'Availability Model'!$B$93:$B$96, 0), MATCH($K$10, 'Availability Model'!$C$1:$T$1, 0))</f>
        <v>6488429.9167909119</v>
      </c>
      <c r="Y173" s="65">
        <f>(Y28*Y74)*INDEX('Availability Model'!$C$93:$T$96, MATCH($K$164,'Availability Model'!$B$93:$B$96, 0), MATCH($K$10, 'Availability Model'!$C$1:$T$1, 0))</f>
        <v>7095746.9570025411</v>
      </c>
      <c r="Z173" s="65">
        <f>(Z28*Z74)*INDEX('Availability Model'!$C$93:$T$96, MATCH($K$164,'Availability Model'!$B$93:$B$96, 0), MATCH($K$10, 'Availability Model'!$C$1:$T$1, 0))</f>
        <v>7759908.8721779771</v>
      </c>
      <c r="AA173" s="65">
        <f>(AA28*AA74)*INDEX('Availability Model'!$C$93:$T$96, MATCH($K$164,'Availability Model'!$B$93:$B$96, 0), MATCH($K$10, 'Availability Model'!$C$1:$T$1, 0))</f>
        <v>8486236.3426138349</v>
      </c>
      <c r="AB173" s="65">
        <f>(AB28*AB74)*INDEX('Availability Model'!$C$93:$T$96, MATCH($K$164,'Availability Model'!$B$93:$B$96, 0), MATCH($K$10, 'Availability Model'!$C$1:$T$1, 0))</f>
        <v>9280548.0642824899</v>
      </c>
      <c r="AC173" s="65">
        <f>(AC28*AC74)*INDEX('Availability Model'!$C$93:$T$96, MATCH($K$164,'Availability Model'!$B$93:$B$96, 0), MATCH($K$10, 'Availability Model'!$C$1:$T$1, 0))</f>
        <v>5308756.9267716398</v>
      </c>
      <c r="AD173" s="65">
        <f>(AD28*AD74)*INDEX('Availability Model'!$C$93:$T$96, MATCH($K$164,'Availability Model'!$B$93:$B$96, 0), MATCH($K$10, 'Availability Model'!$C$1:$T$1, 0))</f>
        <v>5805656.5751174651</v>
      </c>
      <c r="AE173" s="65">
        <f>(AE28*AE74)*INDEX('Availability Model'!$C$93:$T$96, MATCH($K$164,'Availability Model'!$B$93:$B$96, 0), MATCH($K$10, 'Availability Model'!$C$1:$T$1, 0))</f>
        <v>6349066.0305484599</v>
      </c>
      <c r="AF173" s="65">
        <f>(AF28*AF74)*INDEX('Availability Model'!$C$93:$T$96, MATCH($K$164,'Availability Model'!$B$93:$B$96, 0), MATCH($K$10, 'Availability Model'!$C$1:$T$1, 0))</f>
        <v>6943338.6110077947</v>
      </c>
      <c r="AG173" s="65">
        <f>(AG28*AG74)*INDEX('Availability Model'!$C$93:$T$96, MATCH($K$164,'Availability Model'!$B$93:$B$96, 0), MATCH($K$10, 'Availability Model'!$C$1:$T$1, 0))</f>
        <v>7593235.1049981248</v>
      </c>
      <c r="AH173" s="65">
        <f>(AH28*AH74)*INDEX('Availability Model'!$C$93:$T$96, MATCH($K$164,'Availability Model'!$B$93:$B$96, 0), MATCH($K$10, 'Availability Model'!$C$1:$T$1, 0))</f>
        <v>8303961.9108259482</v>
      </c>
      <c r="AI173" s="65">
        <f>(AI28*AI74)*INDEX('Availability Model'!$C$93:$T$96, MATCH($K$164,'Availability Model'!$B$93:$B$96, 0), MATCH($K$10, 'Availability Model'!$C$1:$T$1, 0))</f>
        <v>9081212.7456792556</v>
      </c>
      <c r="AJ173" s="65">
        <f>(AJ28*AJ74)*INDEX('Availability Model'!$C$93:$T$96, MATCH($K$164,'Availability Model'!$B$93:$B$96, 0), MATCH($K$10, 'Availability Model'!$C$1:$T$1, 0))</f>
        <v>9931214.2586748339</v>
      </c>
      <c r="AK173" s="65">
        <f>(AK28*AK74)*INDEX('Availability Model'!$C$93:$T$96, MATCH($K$164,'Availability Model'!$B$93:$B$96, 0), MATCH($K$10, 'Availability Model'!$C$1:$T$1, 0))</f>
        <v>10860775.913286798</v>
      </c>
      <c r="AL173" s="65">
        <f>(AL28*AL74)*INDEX('Availability Model'!$C$93:$T$96, MATCH($K$164,'Availability Model'!$B$93:$B$96, 0), MATCH($K$10, 'Availability Model'!$C$1:$T$1, 0))</f>
        <v>11877344.538770441</v>
      </c>
    </row>
    <row r="174" spans="4:38">
      <c r="E174" s="16"/>
      <c r="K174" s="65"/>
    </row>
    <row r="175" spans="4:38">
      <c r="D175" s="3" t="s">
        <v>474</v>
      </c>
      <c r="E175" s="16" t="s">
        <v>211</v>
      </c>
      <c r="K175" s="65">
        <f>K172+K173</f>
        <v>104654.25</v>
      </c>
      <c r="L175" s="65">
        <f t="shared" ref="L175:AK175" si="73">L172+L173</f>
        <v>108070.32889508041</v>
      </c>
      <c r="M175" s="65">
        <f t="shared" si="73"/>
        <v>123222.34418657479</v>
      </c>
      <c r="N175" s="65">
        <f t="shared" si="73"/>
        <v>875621.78677276801</v>
      </c>
      <c r="O175" s="65">
        <f t="shared" si="73"/>
        <v>2076622.4426562337</v>
      </c>
      <c r="P175" s="65">
        <f t="shared" si="73"/>
        <v>2270994.303288857</v>
      </c>
      <c r="Q175" s="65">
        <f t="shared" si="73"/>
        <v>2917777.625279895</v>
      </c>
      <c r="R175" s="65">
        <f t="shared" si="73"/>
        <v>3190881.6110060923</v>
      </c>
      <c r="S175" s="65">
        <f t="shared" si="73"/>
        <v>4148079.8725400222</v>
      </c>
      <c r="T175" s="65">
        <f t="shared" si="73"/>
        <v>4536340.1486097677</v>
      </c>
      <c r="U175" s="65">
        <f t="shared" si="73"/>
        <v>4960941.5865196418</v>
      </c>
      <c r="V175" s="65">
        <f t="shared" si="73"/>
        <v>5425285.7190178791</v>
      </c>
      <c r="W175" s="65">
        <f t="shared" si="73"/>
        <v>5933092.462317952</v>
      </c>
      <c r="X175" s="65">
        <f t="shared" si="73"/>
        <v>6488429.9167909119</v>
      </c>
      <c r="Y175" s="65">
        <f t="shared" si="73"/>
        <v>7095746.9570025411</v>
      </c>
      <c r="Z175" s="65">
        <f t="shared" si="73"/>
        <v>7759908.8721779771</v>
      </c>
      <c r="AA175" s="65">
        <f t="shared" si="73"/>
        <v>8486236.3426138349</v>
      </c>
      <c r="AB175" s="65">
        <f t="shared" si="73"/>
        <v>9280548.0642824899</v>
      </c>
      <c r="AC175" s="65">
        <f t="shared" si="73"/>
        <v>5308756.9267716398</v>
      </c>
      <c r="AD175" s="65">
        <f t="shared" si="73"/>
        <v>5805656.5751174651</v>
      </c>
      <c r="AE175" s="65">
        <f t="shared" si="73"/>
        <v>6349066.0305484599</v>
      </c>
      <c r="AF175" s="65">
        <f t="shared" si="73"/>
        <v>6943338.6110077947</v>
      </c>
      <c r="AG175" s="65">
        <f t="shared" si="73"/>
        <v>7593235.1049981248</v>
      </c>
      <c r="AH175" s="65">
        <f t="shared" si="73"/>
        <v>8303961.9108259482</v>
      </c>
      <c r="AI175" s="65">
        <f t="shared" si="73"/>
        <v>9081212.7456792556</v>
      </c>
      <c r="AJ175" s="65">
        <f t="shared" si="73"/>
        <v>9931214.2586748339</v>
      </c>
      <c r="AK175" s="65">
        <f t="shared" si="73"/>
        <v>10860775.913286798</v>
      </c>
      <c r="AL175" s="65">
        <f>AL172+AL173</f>
        <v>11877344.538770441</v>
      </c>
    </row>
    <row r="176" spans="4:38">
      <c r="D176" s="7"/>
    </row>
    <row r="177" spans="4:39" ht="18">
      <c r="D177" s="15" t="s">
        <v>261</v>
      </c>
    </row>
    <row r="186" spans="4:39" ht="18">
      <c r="D186" s="71" t="s">
        <v>251</v>
      </c>
    </row>
    <row r="188" spans="4:39">
      <c r="D188" s="7" t="s">
        <v>242</v>
      </c>
      <c r="E188" s="7" t="s">
        <v>243</v>
      </c>
      <c r="K188" s="9">
        <f>Inputs!F34/'Initiative 3 Model'!K11</f>
        <v>8261.9863013698632</v>
      </c>
      <c r="L188" s="9">
        <f>Inputs!G34/'Initiative 3 Model'!L11</f>
        <v>8584.9808743169397</v>
      </c>
      <c r="M188" s="9">
        <f>Inputs!H34/'Initiative 3 Model'!M11</f>
        <v>7544.5084200913252</v>
      </c>
      <c r="N188" s="65">
        <f t="shared" ref="N188:AL188" si="74">N65/N11</f>
        <v>8778.396247123288</v>
      </c>
      <c r="O188" s="65">
        <f t="shared" si="74"/>
        <v>8778.396247123288</v>
      </c>
      <c r="P188" s="65">
        <f t="shared" si="74"/>
        <v>8754.4115579234967</v>
      </c>
      <c r="Q188" s="65">
        <f t="shared" si="74"/>
        <v>8778.396247123288</v>
      </c>
      <c r="R188" s="65">
        <f t="shared" si="74"/>
        <v>8778.396247123288</v>
      </c>
      <c r="S188" s="65">
        <f t="shared" si="74"/>
        <v>8778.396247123288</v>
      </c>
      <c r="T188" s="65">
        <f t="shared" si="74"/>
        <v>8754.4115579234967</v>
      </c>
      <c r="U188" s="65">
        <f t="shared" si="74"/>
        <v>8778.396247123288</v>
      </c>
      <c r="V188" s="65">
        <f t="shared" si="74"/>
        <v>8778.396247123288</v>
      </c>
      <c r="W188" s="65">
        <f t="shared" si="74"/>
        <v>8778.396247123288</v>
      </c>
      <c r="X188" s="65">
        <f t="shared" si="74"/>
        <v>8754.4115579234967</v>
      </c>
      <c r="Y188" s="65">
        <f t="shared" si="74"/>
        <v>8778.396247123288</v>
      </c>
      <c r="Z188" s="65">
        <f t="shared" si="74"/>
        <v>8778.396247123288</v>
      </c>
      <c r="AA188" s="65">
        <f t="shared" si="74"/>
        <v>16929.018867425919</v>
      </c>
      <c r="AB188" s="65">
        <f t="shared" si="74"/>
        <v>16882.764717514918</v>
      </c>
      <c r="AC188" s="65">
        <f t="shared" si="74"/>
        <v>16929.018867425919</v>
      </c>
      <c r="AD188" s="65">
        <f t="shared" si="74"/>
        <v>16929.018867425919</v>
      </c>
      <c r="AE188" s="65">
        <f t="shared" si="74"/>
        <v>16929.018867425919</v>
      </c>
      <c r="AF188" s="65">
        <f t="shared" si="74"/>
        <v>16882.764717514918</v>
      </c>
      <c r="AG188" s="65">
        <f t="shared" si="74"/>
        <v>16929.018867425919</v>
      </c>
      <c r="AH188" s="65">
        <f t="shared" si="74"/>
        <v>16929.018867425919</v>
      </c>
      <c r="AI188" s="65">
        <f t="shared" si="74"/>
        <v>16929.018867425919</v>
      </c>
      <c r="AJ188" s="65">
        <f t="shared" si="74"/>
        <v>16882.764717514918</v>
      </c>
      <c r="AK188" s="65">
        <f t="shared" si="74"/>
        <v>16929.018867425919</v>
      </c>
      <c r="AL188" s="65">
        <f t="shared" si="74"/>
        <v>16929.018867425919</v>
      </c>
    </row>
    <row r="189" spans="4:39">
      <c r="D189" s="7" t="s">
        <v>244</v>
      </c>
      <c r="E189" s="7" t="s">
        <v>106</v>
      </c>
      <c r="K189" s="9">
        <f>K135</f>
        <v>11</v>
      </c>
      <c r="L189" s="9">
        <f t="shared" ref="L189:AL189" si="75">L135</f>
        <v>11</v>
      </c>
      <c r="M189" s="9">
        <f t="shared" si="75"/>
        <v>11</v>
      </c>
      <c r="N189" s="9">
        <f t="shared" si="75"/>
        <v>11</v>
      </c>
      <c r="O189" s="9">
        <f t="shared" si="75"/>
        <v>11</v>
      </c>
      <c r="P189" s="9">
        <f t="shared" si="75"/>
        <v>11</v>
      </c>
      <c r="Q189" s="9">
        <f t="shared" si="75"/>
        <v>11</v>
      </c>
      <c r="R189" s="9">
        <f t="shared" si="75"/>
        <v>11</v>
      </c>
      <c r="S189" s="9">
        <f t="shared" si="75"/>
        <v>11</v>
      </c>
      <c r="T189" s="9">
        <f t="shared" si="75"/>
        <v>11</v>
      </c>
      <c r="U189" s="9">
        <f t="shared" si="75"/>
        <v>11</v>
      </c>
      <c r="V189" s="9">
        <f t="shared" si="75"/>
        <v>11</v>
      </c>
      <c r="W189" s="9">
        <f t="shared" si="75"/>
        <v>11</v>
      </c>
      <c r="X189" s="9">
        <f t="shared" si="75"/>
        <v>11</v>
      </c>
      <c r="Y189" s="9">
        <f t="shared" si="75"/>
        <v>11</v>
      </c>
      <c r="Z189" s="9">
        <f t="shared" si="75"/>
        <v>11</v>
      </c>
      <c r="AA189" s="9">
        <f t="shared" si="75"/>
        <v>11</v>
      </c>
      <c r="AB189" s="9">
        <f t="shared" si="75"/>
        <v>11</v>
      </c>
      <c r="AC189" s="9">
        <f t="shared" si="75"/>
        <v>11</v>
      </c>
      <c r="AD189" s="9">
        <f t="shared" si="75"/>
        <v>11</v>
      </c>
      <c r="AE189" s="9">
        <f t="shared" si="75"/>
        <v>11</v>
      </c>
      <c r="AF189" s="9">
        <f t="shared" si="75"/>
        <v>11</v>
      </c>
      <c r="AG189" s="9">
        <f t="shared" si="75"/>
        <v>11</v>
      </c>
      <c r="AH189" s="9">
        <f t="shared" si="75"/>
        <v>11</v>
      </c>
      <c r="AI189" s="9">
        <f t="shared" si="75"/>
        <v>11</v>
      </c>
      <c r="AJ189" s="9">
        <f t="shared" si="75"/>
        <v>11</v>
      </c>
      <c r="AK189" s="9">
        <f t="shared" si="75"/>
        <v>11</v>
      </c>
      <c r="AL189" s="9">
        <f t="shared" si="75"/>
        <v>11</v>
      </c>
    </row>
    <row r="190" spans="4:39">
      <c r="D190" s="7" t="s">
        <v>244</v>
      </c>
      <c r="E190" s="7" t="s">
        <v>113</v>
      </c>
      <c r="K190" s="9">
        <f>IF(K27&gt;0,K189*K188,0)</f>
        <v>90881.849315068495</v>
      </c>
      <c r="L190" s="9">
        <f t="shared" ref="L190:AL190" si="76">IF(L27&gt;0,L189*L188,0)</f>
        <v>94434.789617486342</v>
      </c>
      <c r="M190" s="9">
        <f t="shared" si="76"/>
        <v>82989.592621004573</v>
      </c>
      <c r="N190" s="9">
        <f t="shared" si="76"/>
        <v>96562.358718356176</v>
      </c>
      <c r="O190" s="9">
        <f t="shared" si="76"/>
        <v>0</v>
      </c>
      <c r="P190" s="9">
        <f t="shared" si="76"/>
        <v>0</v>
      </c>
      <c r="Q190" s="9">
        <f t="shared" si="76"/>
        <v>0</v>
      </c>
      <c r="R190" s="9">
        <f t="shared" si="76"/>
        <v>0</v>
      </c>
      <c r="S190" s="9">
        <f t="shared" si="76"/>
        <v>0</v>
      </c>
      <c r="T190" s="9">
        <f t="shared" si="76"/>
        <v>0</v>
      </c>
      <c r="U190" s="9">
        <f t="shared" si="76"/>
        <v>0</v>
      </c>
      <c r="V190" s="9">
        <f t="shared" si="76"/>
        <v>0</v>
      </c>
      <c r="W190" s="9">
        <f t="shared" si="76"/>
        <v>0</v>
      </c>
      <c r="X190" s="9">
        <f t="shared" si="76"/>
        <v>0</v>
      </c>
      <c r="Y190" s="9">
        <f t="shared" si="76"/>
        <v>0</v>
      </c>
      <c r="Z190" s="9">
        <f t="shared" si="76"/>
        <v>0</v>
      </c>
      <c r="AA190" s="9">
        <f t="shared" si="76"/>
        <v>0</v>
      </c>
      <c r="AB190" s="9">
        <f t="shared" si="76"/>
        <v>0</v>
      </c>
      <c r="AC190" s="9">
        <f t="shared" si="76"/>
        <v>186219.20754168511</v>
      </c>
      <c r="AD190" s="9">
        <f t="shared" si="76"/>
        <v>186219.20754168511</v>
      </c>
      <c r="AE190" s="9">
        <f t="shared" si="76"/>
        <v>186219.20754168511</v>
      </c>
      <c r="AF190" s="9">
        <f t="shared" si="76"/>
        <v>185710.41189266409</v>
      </c>
      <c r="AG190" s="9">
        <f t="shared" si="76"/>
        <v>186219.20754168511</v>
      </c>
      <c r="AH190" s="9">
        <f t="shared" si="76"/>
        <v>186219.20754168511</v>
      </c>
      <c r="AI190" s="9">
        <f t="shared" si="76"/>
        <v>186219.20754168511</v>
      </c>
      <c r="AJ190" s="9">
        <f t="shared" si="76"/>
        <v>185710.41189266409</v>
      </c>
      <c r="AK190" s="9">
        <f t="shared" si="76"/>
        <v>186219.20754168511</v>
      </c>
      <c r="AL190" s="9">
        <f t="shared" si="76"/>
        <v>186219.20754168511</v>
      </c>
      <c r="AM190" s="133">
        <f>SUM(M190:AL190)</f>
        <v>2040726.4354581698</v>
      </c>
    </row>
    <row r="191" spans="4:39">
      <c r="D191" s="109" t="s">
        <v>374</v>
      </c>
      <c r="E191" s="109"/>
      <c r="F191" s="110"/>
      <c r="G191" s="110"/>
      <c r="H191" s="110"/>
      <c r="I191" s="110"/>
      <c r="J191" s="110"/>
      <c r="K191" s="111">
        <f t="shared" ref="K191:AL191" si="77">K190/K65</f>
        <v>2.8364106720300351E-2</v>
      </c>
      <c r="L191" s="111">
        <f t="shared" si="77"/>
        <v>2.9472974757957317E-2</v>
      </c>
      <c r="M191" s="111">
        <f t="shared" si="77"/>
        <v>2.5900943692462208E-2</v>
      </c>
      <c r="N191" s="111">
        <f t="shared" si="77"/>
        <v>3.0136986301369868E-2</v>
      </c>
      <c r="O191" s="111">
        <f t="shared" si="77"/>
        <v>0</v>
      </c>
      <c r="P191" s="111">
        <f t="shared" si="77"/>
        <v>0</v>
      </c>
      <c r="Q191" s="111">
        <f t="shared" si="77"/>
        <v>0</v>
      </c>
      <c r="R191" s="111">
        <f t="shared" si="77"/>
        <v>0</v>
      </c>
      <c r="S191" s="111">
        <f t="shared" si="77"/>
        <v>0</v>
      </c>
      <c r="T191" s="111">
        <f t="shared" si="77"/>
        <v>0</v>
      </c>
      <c r="U191" s="111">
        <f t="shared" si="77"/>
        <v>0</v>
      </c>
      <c r="V191" s="111">
        <f t="shared" si="77"/>
        <v>0</v>
      </c>
      <c r="W191" s="111">
        <f t="shared" si="77"/>
        <v>0</v>
      </c>
      <c r="X191" s="111">
        <f t="shared" si="77"/>
        <v>0</v>
      </c>
      <c r="Y191" s="111">
        <f t="shared" si="77"/>
        <v>0</v>
      </c>
      <c r="Z191" s="111">
        <f t="shared" si="77"/>
        <v>0</v>
      </c>
      <c r="AA191" s="111">
        <f t="shared" si="77"/>
        <v>0</v>
      </c>
      <c r="AB191" s="111">
        <f t="shared" si="77"/>
        <v>0</v>
      </c>
      <c r="AC191" s="111">
        <f t="shared" si="77"/>
        <v>3.0136986301369864E-2</v>
      </c>
      <c r="AD191" s="111">
        <f t="shared" si="77"/>
        <v>3.0136986301369864E-2</v>
      </c>
      <c r="AE191" s="111">
        <f t="shared" si="77"/>
        <v>3.0136986301369864E-2</v>
      </c>
      <c r="AF191" s="111">
        <f t="shared" si="77"/>
        <v>3.0054644808743168E-2</v>
      </c>
      <c r="AG191" s="111">
        <f t="shared" si="77"/>
        <v>3.0136986301369864E-2</v>
      </c>
      <c r="AH191" s="111">
        <f t="shared" si="77"/>
        <v>3.0136986301369864E-2</v>
      </c>
      <c r="AI191" s="111">
        <f t="shared" si="77"/>
        <v>3.0136986301369864E-2</v>
      </c>
      <c r="AJ191" s="111">
        <f t="shared" si="77"/>
        <v>3.0054644808743168E-2</v>
      </c>
      <c r="AK191" s="111">
        <f t="shared" si="77"/>
        <v>3.0136986301369864E-2</v>
      </c>
      <c r="AL191" s="111">
        <f t="shared" si="77"/>
        <v>3.0136986301369864E-2</v>
      </c>
    </row>
    <row r="192" spans="4:39">
      <c r="K192" s="9"/>
    </row>
    <row r="193" spans="4:40">
      <c r="D193" t="s">
        <v>399</v>
      </c>
      <c r="E193" t="s">
        <v>108</v>
      </c>
      <c r="K193" s="9">
        <f>K81/Inputs!E34</f>
        <v>551.54081671843676</v>
      </c>
      <c r="L193" s="9">
        <f>L81/Inputs!F34</f>
        <v>623.41968911917104</v>
      </c>
      <c r="M193" s="9">
        <f>M81/Inputs!G34</f>
        <v>636.51637136020042</v>
      </c>
      <c r="N193" s="65">
        <f t="shared" ref="N193:AL193" si="78">N81/N65</f>
        <v>661.64923689626869</v>
      </c>
      <c r="O193" s="65">
        <f t="shared" si="78"/>
        <v>701.34819111004481</v>
      </c>
      <c r="P193" s="65">
        <f t="shared" si="78"/>
        <v>743.42908257664749</v>
      </c>
      <c r="Q193" s="65">
        <f t="shared" si="78"/>
        <v>788.03482753124626</v>
      </c>
      <c r="R193" s="65">
        <f t="shared" si="78"/>
        <v>835.31691718312118</v>
      </c>
      <c r="S193" s="65">
        <f t="shared" si="78"/>
        <v>885.43593221410856</v>
      </c>
      <c r="T193" s="65">
        <f t="shared" si="78"/>
        <v>938.56208814695515</v>
      </c>
      <c r="U193" s="65">
        <f t="shared" si="78"/>
        <v>994.87581343577244</v>
      </c>
      <c r="V193" s="65">
        <f t="shared" si="78"/>
        <v>1054.5683622419187</v>
      </c>
      <c r="W193" s="65">
        <f t="shared" si="78"/>
        <v>1117.8424639764339</v>
      </c>
      <c r="X193" s="65">
        <f t="shared" si="78"/>
        <v>1184.9130118150201</v>
      </c>
      <c r="Y193" s="65">
        <f t="shared" si="78"/>
        <v>1256.0077925239214</v>
      </c>
      <c r="Z193" s="65">
        <f t="shared" si="78"/>
        <v>1331.3682600753566</v>
      </c>
      <c r="AA193" s="65">
        <f t="shared" si="78"/>
        <v>731.79166040679934</v>
      </c>
      <c r="AB193" s="65">
        <f t="shared" si="78"/>
        <v>775.69916003120738</v>
      </c>
      <c r="AC193" s="65">
        <f t="shared" si="78"/>
        <v>822.24110963307999</v>
      </c>
      <c r="AD193" s="65">
        <f t="shared" si="78"/>
        <v>871.5755762110648</v>
      </c>
      <c r="AE193" s="65">
        <f t="shared" si="78"/>
        <v>923.87011078372871</v>
      </c>
      <c r="AF193" s="65">
        <f t="shared" si="78"/>
        <v>979.30231743075251</v>
      </c>
      <c r="AG193" s="65">
        <f t="shared" si="78"/>
        <v>1038.0604564765977</v>
      </c>
      <c r="AH193" s="65">
        <f t="shared" si="78"/>
        <v>1100.3440838651934</v>
      </c>
      <c r="AI193" s="65">
        <f t="shared" si="78"/>
        <v>1166.3647288971051</v>
      </c>
      <c r="AJ193" s="65">
        <f t="shared" si="78"/>
        <v>1236.3466126309315</v>
      </c>
      <c r="AK193" s="65">
        <f t="shared" si="78"/>
        <v>1310.5274093887874</v>
      </c>
      <c r="AL193" s="65">
        <f t="shared" si="78"/>
        <v>1389.1590539521146</v>
      </c>
    </row>
    <row r="194" spans="4:40">
      <c r="D194" s="7" t="s">
        <v>245</v>
      </c>
      <c r="E194" s="7" t="s">
        <v>211</v>
      </c>
      <c r="K194" s="9">
        <f t="shared" ref="K194:AL194" si="79">K190*K193</f>
        <v>50125049.396114781</v>
      </c>
      <c r="L194" s="9">
        <f t="shared" si="79"/>
        <v>58872507.185367659</v>
      </c>
      <c r="M194" s="9">
        <f t="shared" si="79"/>
        <v>52824234.355783097</v>
      </c>
      <c r="N194" s="9">
        <f t="shared" si="79"/>
        <v>63890410.958904125</v>
      </c>
      <c r="O194" s="9">
        <f t="shared" si="79"/>
        <v>0</v>
      </c>
      <c r="P194" s="9">
        <f t="shared" si="79"/>
        <v>0</v>
      </c>
      <c r="Q194" s="9">
        <f t="shared" si="79"/>
        <v>0</v>
      </c>
      <c r="R194" s="9">
        <f t="shared" si="79"/>
        <v>0</v>
      </c>
      <c r="S194" s="9">
        <f t="shared" si="79"/>
        <v>0</v>
      </c>
      <c r="T194" s="9">
        <f t="shared" si="79"/>
        <v>0</v>
      </c>
      <c r="U194" s="9">
        <f t="shared" si="79"/>
        <v>0</v>
      </c>
      <c r="V194" s="9">
        <f t="shared" si="79"/>
        <v>0</v>
      </c>
      <c r="W194" s="9">
        <f t="shared" si="79"/>
        <v>0</v>
      </c>
      <c r="X194" s="9">
        <f t="shared" si="79"/>
        <v>0</v>
      </c>
      <c r="Y194" s="9">
        <f t="shared" si="79"/>
        <v>0</v>
      </c>
      <c r="Z194" s="9">
        <f t="shared" si="79"/>
        <v>0</v>
      </c>
      <c r="AA194" s="9">
        <f t="shared" si="79"/>
        <v>0</v>
      </c>
      <c r="AB194" s="9">
        <f t="shared" si="79"/>
        <v>0</v>
      </c>
      <c r="AC194" s="9">
        <f t="shared" si="79"/>
        <v>153117087.84406799</v>
      </c>
      <c r="AD194" s="9">
        <f t="shared" si="79"/>
        <v>162304113.11471206</v>
      </c>
      <c r="AE194" s="9">
        <f t="shared" si="79"/>
        <v>172042359.90159479</v>
      </c>
      <c r="AF194" s="9">
        <f t="shared" si="79"/>
        <v>181866636.73750553</v>
      </c>
      <c r="AG194" s="9">
        <f t="shared" si="79"/>
        <v>193306795.58543193</v>
      </c>
      <c r="AH194" s="9">
        <f t="shared" si="79"/>
        <v>204905203.32055783</v>
      </c>
      <c r="AI194" s="9">
        <f t="shared" si="79"/>
        <v>217199515.51979131</v>
      </c>
      <c r="AJ194" s="9">
        <f t="shared" si="79"/>
        <v>229602438.67379031</v>
      </c>
      <c r="AK194" s="9">
        <f t="shared" si="79"/>
        <v>244045375.63803753</v>
      </c>
      <c r="AL194" s="9">
        <f t="shared" si="79"/>
        <v>258688098.17631978</v>
      </c>
    </row>
    <row r="195" spans="4:40">
      <c r="D195" t="s">
        <v>316</v>
      </c>
      <c r="E195" s="7" t="s">
        <v>211</v>
      </c>
      <c r="K195" s="65">
        <f>K152+K175+K148</f>
        <v>316390.48510273971</v>
      </c>
      <c r="L195" s="65">
        <f t="shared" ref="L195:AL195" si="80">L152+L175+L148</f>
        <v>326525.14011456911</v>
      </c>
      <c r="M195" s="65">
        <f t="shared" si="80"/>
        <v>371886.20187630242</v>
      </c>
      <c r="N195" s="65">
        <f t="shared" si="80"/>
        <v>1549755.5701558334</v>
      </c>
      <c r="O195" s="65">
        <f t="shared" si="80"/>
        <v>2076622.4426562337</v>
      </c>
      <c r="P195" s="65">
        <f t="shared" si="80"/>
        <v>2270994.303288857</v>
      </c>
      <c r="Q195" s="65">
        <f t="shared" si="80"/>
        <v>2917777.625279895</v>
      </c>
      <c r="R195" s="65">
        <f t="shared" si="80"/>
        <v>3190881.6110060923</v>
      </c>
      <c r="S195" s="65">
        <f t="shared" si="80"/>
        <v>4148079.8725400222</v>
      </c>
      <c r="T195" s="65">
        <f t="shared" si="80"/>
        <v>4536340.1486097677</v>
      </c>
      <c r="U195" s="65">
        <f t="shared" si="80"/>
        <v>4960941.5865196418</v>
      </c>
      <c r="V195" s="65">
        <f t="shared" si="80"/>
        <v>5425285.7190178791</v>
      </c>
      <c r="W195" s="65">
        <f t="shared" si="80"/>
        <v>5933092.462317952</v>
      </c>
      <c r="X195" s="65">
        <f t="shared" si="80"/>
        <v>6488429.9167909119</v>
      </c>
      <c r="Y195" s="65">
        <f t="shared" si="80"/>
        <v>7095746.9570025411</v>
      </c>
      <c r="Z195" s="65">
        <f t="shared" si="80"/>
        <v>7759908.8721779771</v>
      </c>
      <c r="AA195" s="65">
        <f t="shared" si="80"/>
        <v>8486236.3426138349</v>
      </c>
      <c r="AB195" s="65">
        <f t="shared" si="80"/>
        <v>9280548.0642824899</v>
      </c>
      <c r="AC195" s="65">
        <f t="shared" si="80"/>
        <v>9110255.7393626478</v>
      </c>
      <c r="AD195" s="65">
        <f t="shared" si="80"/>
        <v>9961518.1561102439</v>
      </c>
      <c r="AE195" s="65">
        <f t="shared" si="80"/>
        <v>10892371.283838009</v>
      </c>
      <c r="AF195" s="65">
        <f t="shared" si="80"/>
        <v>11910073.137907645</v>
      </c>
      <c r="AG195" s="65">
        <f t="shared" si="80"/>
        <v>13023323.93121521</v>
      </c>
      <c r="AH195" s="65">
        <f t="shared" si="80"/>
        <v>14240466.96518158</v>
      </c>
      <c r="AI195" s="65">
        <f t="shared" si="80"/>
        <v>15571424.181967476</v>
      </c>
      <c r="AJ195" s="65">
        <f t="shared" si="80"/>
        <v>17026599.00553574</v>
      </c>
      <c r="AK195" s="65">
        <f t="shared" si="80"/>
        <v>18618362.800816331</v>
      </c>
      <c r="AL195" s="65">
        <f t="shared" si="80"/>
        <v>20358718.492799159</v>
      </c>
    </row>
    <row r="196" spans="4:40">
      <c r="D196" s="110" t="s">
        <v>335</v>
      </c>
      <c r="E196" s="109" t="s">
        <v>211</v>
      </c>
      <c r="F196" s="110"/>
      <c r="G196" s="110"/>
      <c r="H196" s="110"/>
      <c r="I196" s="110"/>
      <c r="J196" s="110"/>
      <c r="K196" s="122">
        <f>K194+K195</f>
        <v>50441439.881217524</v>
      </c>
      <c r="L196" s="122">
        <f t="shared" ref="L196:AL196" si="81">L194+L195</f>
        <v>59199032.325482227</v>
      </c>
      <c r="M196" s="122">
        <f>M194+M195</f>
        <v>53196120.557659402</v>
      </c>
      <c r="N196" s="122">
        <f t="shared" si="81"/>
        <v>65440166.529059961</v>
      </c>
      <c r="O196" s="122">
        <f t="shared" si="81"/>
        <v>2076622.4426562337</v>
      </c>
      <c r="P196" s="122">
        <f t="shared" si="81"/>
        <v>2270994.303288857</v>
      </c>
      <c r="Q196" s="122">
        <f t="shared" si="81"/>
        <v>2917777.625279895</v>
      </c>
      <c r="R196" s="122">
        <f t="shared" si="81"/>
        <v>3190881.6110060923</v>
      </c>
      <c r="S196" s="122">
        <f t="shared" si="81"/>
        <v>4148079.8725400222</v>
      </c>
      <c r="T196" s="122">
        <f t="shared" si="81"/>
        <v>4536340.1486097677</v>
      </c>
      <c r="U196" s="122">
        <f t="shared" si="81"/>
        <v>4960941.5865196418</v>
      </c>
      <c r="V196" s="122">
        <f t="shared" si="81"/>
        <v>5425285.7190178791</v>
      </c>
      <c r="W196" s="122">
        <f t="shared" si="81"/>
        <v>5933092.462317952</v>
      </c>
      <c r="X196" s="122">
        <f t="shared" si="81"/>
        <v>6488429.9167909119</v>
      </c>
      <c r="Y196" s="122">
        <f t="shared" si="81"/>
        <v>7095746.9570025411</v>
      </c>
      <c r="Z196" s="122">
        <f t="shared" si="81"/>
        <v>7759908.8721779771</v>
      </c>
      <c r="AA196" s="122">
        <f t="shared" si="81"/>
        <v>8486236.3426138349</v>
      </c>
      <c r="AB196" s="122">
        <f t="shared" si="81"/>
        <v>9280548.0642824899</v>
      </c>
      <c r="AC196" s="122">
        <f t="shared" si="81"/>
        <v>162227343.58343065</v>
      </c>
      <c r="AD196" s="122">
        <f t="shared" si="81"/>
        <v>172265631.27082232</v>
      </c>
      <c r="AE196" s="122">
        <f t="shared" si="81"/>
        <v>182934731.18543279</v>
      </c>
      <c r="AF196" s="122">
        <f t="shared" si="81"/>
        <v>193776709.87541318</v>
      </c>
      <c r="AG196" s="122">
        <f t="shared" si="81"/>
        <v>206330119.51664713</v>
      </c>
      <c r="AH196" s="122">
        <f t="shared" si="81"/>
        <v>219145670.28573942</v>
      </c>
      <c r="AI196" s="122">
        <f t="shared" si="81"/>
        <v>232770939.70175877</v>
      </c>
      <c r="AJ196" s="122">
        <f t="shared" si="81"/>
        <v>246629037.67932606</v>
      </c>
      <c r="AK196" s="122">
        <f t="shared" si="81"/>
        <v>262663738.43885386</v>
      </c>
      <c r="AL196" s="122">
        <f t="shared" si="81"/>
        <v>279046816.66911894</v>
      </c>
    </row>
    <row r="197" spans="4:40">
      <c r="E197" s="7"/>
      <c r="K197" s="65">
        <f>K196/K26</f>
        <v>261.35461078351051</v>
      </c>
      <c r="L197" s="65">
        <f t="shared" ref="L197:N197" si="82">L196/L26</f>
        <v>324.83752796423408</v>
      </c>
      <c r="M197" s="65">
        <f t="shared" si="82"/>
        <v>279.96713872820197</v>
      </c>
      <c r="N197" s="65">
        <f t="shared" si="82"/>
        <v>137.60702216618142</v>
      </c>
      <c r="O197" s="65">
        <f>O175/O26</f>
        <v>4.0271819999999998</v>
      </c>
      <c r="P197" s="65">
        <f t="shared" ref="P197:AL197" si="83">P175/P26</f>
        <v>4.4041262351999997</v>
      </c>
      <c r="Q197" s="65">
        <f t="shared" si="83"/>
        <v>4.8163524508147191</v>
      </c>
      <c r="R197" s="65">
        <f t="shared" si="83"/>
        <v>5.2671630402109759</v>
      </c>
      <c r="S197" s="65">
        <f t="shared" si="83"/>
        <v>5.7601695007747225</v>
      </c>
      <c r="T197" s="65">
        <f t="shared" si="83"/>
        <v>6.299321366047236</v>
      </c>
      <c r="U197" s="65">
        <f t="shared" si="83"/>
        <v>6.8889378459092567</v>
      </c>
      <c r="V197" s="65">
        <f t="shared" si="83"/>
        <v>7.5337424282863621</v>
      </c>
      <c r="W197" s="65">
        <f t="shared" si="83"/>
        <v>8.2389007195739641</v>
      </c>
      <c r="X197" s="65">
        <f t="shared" si="83"/>
        <v>9.010061826926087</v>
      </c>
      <c r="Y197" s="65">
        <f t="shared" si="83"/>
        <v>9.8534036139263677</v>
      </c>
      <c r="Z197" s="65">
        <f t="shared" si="83"/>
        <v>10.775682192189874</v>
      </c>
      <c r="AA197" s="65">
        <f t="shared" si="83"/>
        <v>11.784286045378845</v>
      </c>
      <c r="AB197" s="65">
        <f t="shared" si="83"/>
        <v>12.887295219226305</v>
      </c>
      <c r="AC197" s="65">
        <f t="shared" si="83"/>
        <v>7.3719264518143648</v>
      </c>
      <c r="AD197" s="65">
        <f t="shared" si="83"/>
        <v>8.0619387677041896</v>
      </c>
      <c r="AE197" s="65">
        <f t="shared" si="83"/>
        <v>8.8165362363613013</v>
      </c>
      <c r="AF197" s="65">
        <f t="shared" si="83"/>
        <v>9.641764028084717</v>
      </c>
      <c r="AG197" s="65">
        <f t="shared" si="83"/>
        <v>10.544233141113448</v>
      </c>
      <c r="AH197" s="65">
        <f t="shared" si="83"/>
        <v>11.531173363121665</v>
      </c>
      <c r="AI197" s="65">
        <f t="shared" si="83"/>
        <v>12.610491189909851</v>
      </c>
      <c r="AJ197" s="65">
        <f t="shared" si="83"/>
        <v>13.790833165285413</v>
      </c>
      <c r="AK197" s="65">
        <f t="shared" si="83"/>
        <v>15.081655149556127</v>
      </c>
      <c r="AL197" s="65">
        <f t="shared" si="83"/>
        <v>16.493298071554577</v>
      </c>
    </row>
    <row r="198" spans="4:40">
      <c r="D198" s="63" t="s">
        <v>247</v>
      </c>
      <c r="E198" s="7" t="s">
        <v>101</v>
      </c>
      <c r="K198" s="10">
        <f>K194/20000000000</f>
        <v>2.5062524698057391E-3</v>
      </c>
    </row>
    <row r="199" spans="4:40">
      <c r="D199" s="7"/>
      <c r="E199" s="7"/>
      <c r="K199" s="10"/>
    </row>
    <row r="200" spans="4:40">
      <c r="D200" s="7"/>
      <c r="E200" s="7"/>
      <c r="K200" s="10"/>
    </row>
    <row r="201" spans="4:40">
      <c r="D201" s="110" t="s">
        <v>348</v>
      </c>
      <c r="E201" s="110" t="s">
        <v>211</v>
      </c>
      <c r="F201" s="110"/>
      <c r="G201" s="110"/>
      <c r="H201" s="110"/>
      <c r="I201" s="110"/>
      <c r="J201" s="110"/>
      <c r="K201" s="122">
        <f t="shared" ref="K201:AL201" si="84">K85+K92+K97</f>
        <v>9446804.7750000004</v>
      </c>
      <c r="L201" s="122">
        <f t="shared" si="84"/>
        <v>9561710.1156316809</v>
      </c>
      <c r="M201" s="122">
        <f t="shared" si="84"/>
        <v>10573824.57784687</v>
      </c>
      <c r="N201" s="122">
        <f t="shared" si="84"/>
        <v>27832572.701335274</v>
      </c>
      <c r="O201" s="122">
        <f t="shared" si="84"/>
        <v>28582831.733632732</v>
      </c>
      <c r="P201" s="122">
        <f t="shared" si="84"/>
        <v>31026456.052562669</v>
      </c>
      <c r="Q201" s="122">
        <f t="shared" si="84"/>
        <v>40878961.024009615</v>
      </c>
      <c r="R201" s="122">
        <f t="shared" si="84"/>
        <v>44129378.259496078</v>
      </c>
      <c r="S201" s="122">
        <f t="shared" si="84"/>
        <v>58461203.867314339</v>
      </c>
      <c r="T201" s="122">
        <f t="shared" si="84"/>
        <v>63090557.570207946</v>
      </c>
      <c r="U201" s="122">
        <f t="shared" si="84"/>
        <v>68096928.02866362</v>
      </c>
      <c r="V201" s="122">
        <f t="shared" si="84"/>
        <v>73511773.591609806</v>
      </c>
      <c r="W201" s="122">
        <f t="shared" si="84"/>
        <v>79369231.499299094</v>
      </c>
      <c r="X201" s="122">
        <f t="shared" si="84"/>
        <v>85706349.863915101</v>
      </c>
      <c r="Y201" s="122">
        <f t="shared" si="84"/>
        <v>92563340.014413089</v>
      </c>
      <c r="Z201" s="122">
        <f t="shared" si="84"/>
        <v>99983851.013093799</v>
      </c>
      <c r="AA201" s="122">
        <f t="shared" si="84"/>
        <v>108015268.31328321</v>
      </c>
      <c r="AB201" s="122">
        <f t="shared" si="84"/>
        <v>116709038.70396537</v>
      </c>
      <c r="AC201" s="122">
        <f t="shared" si="84"/>
        <v>133147861.35617357</v>
      </c>
      <c r="AD201" s="122">
        <f t="shared" si="84"/>
        <v>143109776.36979318</v>
      </c>
      <c r="AE201" s="122">
        <f t="shared" si="84"/>
        <v>153841818.32666937</v>
      </c>
      <c r="AF201" s="122">
        <f t="shared" si="84"/>
        <v>165405363.6903066</v>
      </c>
      <c r="AG201" s="122">
        <f t="shared" si="84"/>
        <v>177866814.77138945</v>
      </c>
      <c r="AH201" s="122">
        <f t="shared" si="84"/>
        <v>191298020.96065924</v>
      </c>
      <c r="AI201" s="122">
        <f t="shared" si="84"/>
        <v>205776735.9602868</v>
      </c>
      <c r="AJ201" s="122">
        <f t="shared" si="84"/>
        <v>221387114.1397281</v>
      </c>
      <c r="AK201" s="122">
        <f t="shared" si="84"/>
        <v>238220249.41704991</v>
      </c>
      <c r="AL201" s="122">
        <f t="shared" si="84"/>
        <v>256374760.36616603</v>
      </c>
    </row>
    <row r="202" spans="4:40">
      <c r="D202" t="s">
        <v>336</v>
      </c>
      <c r="E202" t="s">
        <v>211</v>
      </c>
      <c r="K202" s="65">
        <f>K201+K196</f>
        <v>59888244.656217523</v>
      </c>
      <c r="L202" s="65">
        <f t="shared" ref="L202:AL202" si="85">L201+L196</f>
        <v>68760742.441113904</v>
      </c>
      <c r="M202" s="65">
        <f t="shared" si="85"/>
        <v>63769945.135506272</v>
      </c>
      <c r="N202" s="65">
        <f t="shared" si="85"/>
        <v>93272739.230395228</v>
      </c>
      <c r="O202" s="65">
        <f t="shared" si="85"/>
        <v>30659454.176288966</v>
      </c>
      <c r="P202" s="65">
        <f t="shared" si="85"/>
        <v>33297450.355851527</v>
      </c>
      <c r="Q202" s="65">
        <f t="shared" si="85"/>
        <v>43796738.649289511</v>
      </c>
      <c r="R202" s="65">
        <f t="shared" si="85"/>
        <v>47320259.870502174</v>
      </c>
      <c r="S202" s="65">
        <f t="shared" si="85"/>
        <v>62609283.739854358</v>
      </c>
      <c r="T202" s="65">
        <f t="shared" si="85"/>
        <v>67626897.718817711</v>
      </c>
      <c r="U202" s="65">
        <f t="shared" si="85"/>
        <v>73057869.615183264</v>
      </c>
      <c r="V202" s="65">
        <f t="shared" si="85"/>
        <v>78937059.310627684</v>
      </c>
      <c r="W202" s="65">
        <f t="shared" si="85"/>
        <v>85302323.961617053</v>
      </c>
      <c r="X202" s="65">
        <f t="shared" si="85"/>
        <v>92194779.780706018</v>
      </c>
      <c r="Y202" s="65">
        <f t="shared" si="85"/>
        <v>99659086.971415624</v>
      </c>
      <c r="Z202" s="65">
        <f t="shared" si="85"/>
        <v>107743759.88527177</v>
      </c>
      <c r="AA202" s="65">
        <f t="shared" si="85"/>
        <v>116501504.65589704</v>
      </c>
      <c r="AB202" s="65">
        <f t="shared" si="85"/>
        <v>125989586.76824786</v>
      </c>
      <c r="AC202" s="65">
        <f t="shared" si="85"/>
        <v>295375204.93960422</v>
      </c>
      <c r="AD202" s="65">
        <f t="shared" si="85"/>
        <v>315375407.64061546</v>
      </c>
      <c r="AE202" s="65">
        <f t="shared" si="85"/>
        <v>336776549.51210213</v>
      </c>
      <c r="AF202" s="65">
        <f t="shared" si="85"/>
        <v>359182073.56571978</v>
      </c>
      <c r="AG202" s="65">
        <f t="shared" si="85"/>
        <v>384196934.28803658</v>
      </c>
      <c r="AH202" s="65">
        <f t="shared" si="85"/>
        <v>410443691.24639869</v>
      </c>
      <c r="AI202" s="65">
        <f t="shared" si="85"/>
        <v>438547675.6620456</v>
      </c>
      <c r="AJ202" s="65">
        <f t="shared" si="85"/>
        <v>468016151.81905413</v>
      </c>
      <c r="AK202" s="65">
        <f t="shared" si="85"/>
        <v>500883987.85590374</v>
      </c>
      <c r="AL202" s="65">
        <f t="shared" si="85"/>
        <v>535421577.035285</v>
      </c>
      <c r="AM202" s="65">
        <f>SUM(M202:AL202)/10^6</f>
        <v>5265.9579933902378</v>
      </c>
      <c r="AN202" s="65">
        <f>'BaU Model'!AM191-'Initiative 3 Model'!AM202</f>
        <v>1177.7231977183446</v>
      </c>
    </row>
    <row r="203" spans="4:40">
      <c r="D203" s="109" t="s">
        <v>336</v>
      </c>
      <c r="E203" s="110" t="s">
        <v>337</v>
      </c>
      <c r="F203" s="110"/>
      <c r="G203" s="110"/>
      <c r="H203" s="110"/>
      <c r="I203" s="110"/>
      <c r="J203" s="110">
        <f>K203/K105</f>
        <v>6.3395239006849824</v>
      </c>
      <c r="K203" s="113">
        <f t="shared" ref="K203:AL203" si="86">K202/K26</f>
        <v>310.30178578351047</v>
      </c>
      <c r="L203" s="113">
        <f t="shared" si="86"/>
        <v>377.30464026423408</v>
      </c>
      <c r="M203" s="113">
        <f t="shared" si="86"/>
        <v>335.61637369948198</v>
      </c>
      <c r="N203" s="113">
        <f t="shared" si="86"/>
        <v>196.13311786237333</v>
      </c>
      <c r="O203" s="113">
        <f t="shared" si="86"/>
        <v>59.457703746398018</v>
      </c>
      <c r="P203" s="113">
        <f t="shared" si="86"/>
        <v>64.573554616628527</v>
      </c>
      <c r="Q203" s="113">
        <f t="shared" si="86"/>
        <v>72.294930122017874</v>
      </c>
      <c r="R203" s="113">
        <f t="shared" si="86"/>
        <v>78.111178736117566</v>
      </c>
      <c r="S203" s="113">
        <f t="shared" si="86"/>
        <v>86.941451887431143</v>
      </c>
      <c r="T203" s="113">
        <f t="shared" si="86"/>
        <v>93.909087009314092</v>
      </c>
      <c r="U203" s="113">
        <f t="shared" si="86"/>
        <v>101.45072546331367</v>
      </c>
      <c r="V203" s="113">
        <f t="shared" si="86"/>
        <v>109.61477490632285</v>
      </c>
      <c r="W203" s="113">
        <f t="shared" si="86"/>
        <v>118.4538051163504</v>
      </c>
      <c r="X203" s="113">
        <f t="shared" si="86"/>
        <v>128.02491151123346</v>
      </c>
      <c r="Y203" s="113">
        <f t="shared" si="86"/>
        <v>138.39011081922342</v>
      </c>
      <c r="Z203" s="113">
        <f t="shared" si="86"/>
        <v>149.61677177395035</v>
      </c>
      <c r="AA203" s="113">
        <f t="shared" si="86"/>
        <v>161.77808396498946</v>
      </c>
      <c r="AB203" s="113">
        <f t="shared" si="86"/>
        <v>174.95356825742266</v>
      </c>
      <c r="AC203" s="113">
        <f t="shared" si="86"/>
        <v>410.16839093224951</v>
      </c>
      <c r="AD203" s="113">
        <f t="shared" si="86"/>
        <v>437.94137533650905</v>
      </c>
      <c r="AE203" s="113">
        <f t="shared" si="86"/>
        <v>467.65975311075505</v>
      </c>
      <c r="AF203" s="113">
        <f t="shared" si="86"/>
        <v>498.77285128345125</v>
      </c>
      <c r="AG203" s="113">
        <f t="shared" si="86"/>
        <v>533.50936606289906</v>
      </c>
      <c r="AH203" s="113">
        <f t="shared" si="86"/>
        <v>569.9565352523457</v>
      </c>
      <c r="AI203" s="113">
        <f t="shared" si="86"/>
        <v>608.98271576369882</v>
      </c>
      <c r="AJ203" s="113">
        <f t="shared" si="86"/>
        <v>649.9036774639776</v>
      </c>
      <c r="AK203" s="113">
        <f t="shared" si="86"/>
        <v>695.54510976841277</v>
      </c>
      <c r="AL203" s="113">
        <f t="shared" si="86"/>
        <v>743.50521997225485</v>
      </c>
    </row>
    <row r="204" spans="4:40">
      <c r="E204" t="s">
        <v>108</v>
      </c>
      <c r="J204">
        <f>K204/K106</f>
        <v>5.9665863957588288</v>
      </c>
      <c r="K204" s="65">
        <f>K202/Inputs!E34</f>
        <v>18.691043101812905</v>
      </c>
      <c r="L204" s="65">
        <f>L202/Inputs!F34</f>
        <v>22.801489721405648</v>
      </c>
      <c r="M204" s="65">
        <f>M202/Inputs!G34</f>
        <v>20.295307039745762</v>
      </c>
      <c r="N204" s="65">
        <f>N202/Inputs!H34</f>
        <v>33.871226206817333</v>
      </c>
      <c r="O204" s="65">
        <f t="shared" ref="O204:AL204" si="87">O202/O65</f>
        <v>9.5687756883951476</v>
      </c>
      <c r="P204" s="65">
        <f t="shared" si="87"/>
        <v>10.392090857802147</v>
      </c>
      <c r="Q204" s="65">
        <f t="shared" si="87"/>
        <v>13.668905049928171</v>
      </c>
      <c r="R204" s="65">
        <f t="shared" si="87"/>
        <v>14.768591430684381</v>
      </c>
      <c r="S204" s="65">
        <f t="shared" si="87"/>
        <v>19.540275853347453</v>
      </c>
      <c r="T204" s="65">
        <f t="shared" si="87"/>
        <v>21.106266636470636</v>
      </c>
      <c r="U204" s="65">
        <f t="shared" si="87"/>
        <v>22.80126588686467</v>
      </c>
      <c r="V204" s="65">
        <f t="shared" si="87"/>
        <v>24.636153328166181</v>
      </c>
      <c r="W204" s="65">
        <f t="shared" si="87"/>
        <v>26.622744129567081</v>
      </c>
      <c r="X204" s="65">
        <f t="shared" si="87"/>
        <v>28.773870607416828</v>
      </c>
      <c r="Y204" s="65">
        <f t="shared" si="87"/>
        <v>31.103471153026423</v>
      </c>
      <c r="Z204" s="65">
        <f t="shared" si="87"/>
        <v>33.626687032275882</v>
      </c>
      <c r="AA204" s="65">
        <f t="shared" si="87"/>
        <v>18.854146660020607</v>
      </c>
      <c r="AB204" s="65">
        <f t="shared" si="87"/>
        <v>20.389660662152643</v>
      </c>
      <c r="AC204" s="65">
        <f t="shared" si="87"/>
        <v>47.802364871714545</v>
      </c>
      <c r="AD204" s="65">
        <f t="shared" si="87"/>
        <v>51.039119247280617</v>
      </c>
      <c r="AE204" s="65">
        <f t="shared" si="87"/>
        <v>54.50259612449959</v>
      </c>
      <c r="AF204" s="65">
        <f t="shared" si="87"/>
        <v>58.128618275451643</v>
      </c>
      <c r="AG204" s="65">
        <f t="shared" si="87"/>
        <v>62.176925240512602</v>
      </c>
      <c r="AH204" s="65">
        <f t="shared" si="87"/>
        <v>66.424597461609764</v>
      </c>
      <c r="AI204" s="65">
        <f t="shared" si="87"/>
        <v>70.972836091390576</v>
      </c>
      <c r="AJ204" s="65">
        <f t="shared" si="87"/>
        <v>75.741898713822863</v>
      </c>
      <c r="AK204" s="65">
        <f t="shared" si="87"/>
        <v>81.061100408827798</v>
      </c>
      <c r="AL204" s="65">
        <f t="shared" si="87"/>
        <v>86.650528404585742</v>
      </c>
    </row>
    <row r="206" spans="4:40">
      <c r="M206" s="65"/>
      <c r="N206" s="65"/>
      <c r="O206" s="65"/>
      <c r="P206" s="65"/>
      <c r="Q206" s="65"/>
      <c r="R206" s="65"/>
      <c r="S206" s="65"/>
      <c r="T206" s="65"/>
      <c r="U206" s="65"/>
      <c r="V206" s="65"/>
      <c r="W206" s="65"/>
      <c r="X206" s="65"/>
      <c r="Y206" s="65"/>
      <c r="Z206" s="65"/>
      <c r="AA206" s="65"/>
      <c r="AB206" s="65"/>
      <c r="AC206" s="65"/>
      <c r="AD206" s="65"/>
      <c r="AE206" s="65"/>
      <c r="AF206" s="65"/>
      <c r="AG206" s="65"/>
      <c r="AH206" s="65"/>
      <c r="AI206" s="65"/>
      <c r="AJ206" s="65"/>
      <c r="AK206" s="65"/>
      <c r="AL206" s="65"/>
    </row>
  </sheetData>
  <conditionalFormatting sqref="K6:AL6">
    <cfRule type="cellIs" dxfId="5" priority="2" operator="equal">
      <formula>1</formula>
    </cfRule>
  </conditionalFormatting>
  <conditionalFormatting sqref="K7:AL7">
    <cfRule type="cellIs" dxfId="4" priority="1" operator="equal">
      <formula>1</formula>
    </cfRule>
  </conditionalFormatting>
  <pageMargins left="0.7" right="0.7" top="0.75" bottom="0.75" header="0.3" footer="0.3"/>
  <pageSetup paperSize="9" orientation="portrait" r:id="rId1"/>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516645-88D2-49CB-8FC8-0BFBCC1AE27E}">
  <sheetPr codeName="Sheet25">
    <tabColor theme="0" tint="-0.14999847407452621"/>
  </sheetPr>
  <dimension ref="A1:AO206"/>
  <sheetViews>
    <sheetView topLeftCell="W192" zoomScale="67" zoomScaleNormal="85" workbookViewId="0">
      <selection activeCell="AN202" sqref="AN202"/>
    </sheetView>
  </sheetViews>
  <sheetFormatPr defaultColWidth="9.140625" defaultRowHeight="12.75"/>
  <cols>
    <col min="1" max="3" width="2.140625" customWidth="1"/>
    <col min="4" max="4" width="39.7109375" bestFit="1" customWidth="1"/>
    <col min="5" max="5" width="13.5703125" customWidth="1"/>
    <col min="6" max="6" width="14" customWidth="1"/>
    <col min="7" max="7" width="15.28515625" customWidth="1"/>
    <col min="8" max="8" width="2.140625" customWidth="1"/>
    <col min="9" max="9" width="2.42578125" customWidth="1"/>
    <col min="10" max="10" width="16.140625" bestFit="1" customWidth="1"/>
    <col min="11" max="11" width="17.5703125" customWidth="1"/>
    <col min="12" max="22" width="15.28515625" customWidth="1"/>
    <col min="23" max="23" width="15.28515625" style="128" customWidth="1"/>
    <col min="24" max="26" width="15.28515625" customWidth="1"/>
    <col min="27" max="27" width="15.5703125" customWidth="1"/>
    <col min="28" max="28" width="14.5703125" style="128" customWidth="1"/>
    <col min="29" max="29" width="14.85546875" customWidth="1"/>
    <col min="30" max="30" width="14.28515625" customWidth="1"/>
    <col min="31" max="31" width="19.42578125" customWidth="1"/>
    <col min="32" max="32" width="14.85546875" customWidth="1"/>
    <col min="33" max="33" width="15.28515625" customWidth="1"/>
    <col min="34" max="34" width="14.140625" customWidth="1"/>
    <col min="35" max="35" width="14.42578125" customWidth="1"/>
    <col min="36" max="36" width="19.7109375" customWidth="1"/>
    <col min="37" max="37" width="15.42578125" customWidth="1"/>
    <col min="38" max="38" width="29.42578125" customWidth="1"/>
    <col min="39" max="39" width="19.42578125" customWidth="1"/>
    <col min="40" max="40" width="15.28515625" customWidth="1"/>
    <col min="41" max="41" width="13.140625" customWidth="1"/>
    <col min="56" max="56" width="1.28515625" customWidth="1"/>
    <col min="57" max="57" width="0.7109375" customWidth="1"/>
    <col min="58" max="58" width="1.28515625" customWidth="1"/>
    <col min="60" max="69" width="14" customWidth="1"/>
    <col min="70" max="70" width="16.28515625" customWidth="1"/>
  </cols>
  <sheetData>
    <row r="1" spans="1:38" ht="23.25">
      <c r="A1" s="30" t="s">
        <v>162</v>
      </c>
      <c r="B1" s="30"/>
      <c r="C1" s="30"/>
      <c r="D1" s="30"/>
      <c r="E1" s="30"/>
      <c r="F1" s="30"/>
      <c r="G1" s="30"/>
      <c r="H1" s="30"/>
      <c r="I1" s="30"/>
      <c r="J1" s="30"/>
      <c r="K1" s="30"/>
      <c r="L1" s="30"/>
      <c r="M1" s="30"/>
      <c r="N1" s="30"/>
      <c r="O1" s="30"/>
      <c r="P1" s="30"/>
      <c r="Q1" s="30"/>
      <c r="R1" s="30"/>
      <c r="S1" s="30"/>
      <c r="T1" s="30"/>
      <c r="U1" s="30"/>
      <c r="V1" s="30"/>
      <c r="W1" s="124"/>
      <c r="X1" s="30"/>
      <c r="Y1" s="30"/>
      <c r="Z1" s="30"/>
      <c r="AA1" s="30"/>
    </row>
    <row r="2" spans="1:38" ht="15.75">
      <c r="A2" s="17" t="str">
        <f>Name_Model</f>
        <v>Aspen PE</v>
      </c>
      <c r="B2" s="17"/>
      <c r="C2" s="17"/>
      <c r="D2" s="17"/>
      <c r="E2" s="17"/>
      <c r="F2" s="17"/>
      <c r="G2" s="17"/>
      <c r="H2" s="17"/>
      <c r="I2" s="17"/>
      <c r="J2" s="17"/>
      <c r="K2" s="17"/>
      <c r="L2" s="17"/>
      <c r="M2" s="17"/>
      <c r="N2" s="17"/>
      <c r="O2" s="17"/>
      <c r="P2" s="17"/>
      <c r="Q2" s="17"/>
      <c r="R2" s="17"/>
      <c r="S2" s="17"/>
      <c r="T2" s="17"/>
      <c r="U2" s="17"/>
      <c r="V2" s="17"/>
      <c r="W2" s="125"/>
      <c r="X2" s="17"/>
      <c r="Y2" s="17"/>
      <c r="Z2" s="17"/>
      <c r="AA2" s="17"/>
    </row>
    <row r="3" spans="1:38" ht="15.75">
      <c r="A3" s="64"/>
      <c r="B3" s="64"/>
      <c r="C3" s="64"/>
      <c r="D3" s="64"/>
      <c r="E3" s="64"/>
      <c r="F3" s="64"/>
      <c r="G3" s="64"/>
      <c r="H3" s="64"/>
      <c r="I3" s="64"/>
      <c r="J3" s="64"/>
      <c r="K3" s="64"/>
      <c r="L3" s="64"/>
      <c r="M3" s="64"/>
      <c r="N3" s="64"/>
      <c r="O3" s="64"/>
      <c r="P3" s="64"/>
      <c r="Q3" s="64"/>
      <c r="R3" s="64"/>
      <c r="S3" s="64"/>
      <c r="T3" s="64"/>
      <c r="U3" s="64"/>
      <c r="V3" s="64"/>
      <c r="W3" s="125"/>
      <c r="X3" s="64"/>
      <c r="Y3" s="64"/>
      <c r="Z3" s="64"/>
      <c r="AA3" s="64"/>
    </row>
    <row r="4" spans="1:38">
      <c r="D4" t="s">
        <v>70</v>
      </c>
      <c r="E4" s="16" t="s">
        <v>17</v>
      </c>
      <c r="K4" s="37">
        <f>J5+1</f>
        <v>44743</v>
      </c>
      <c r="L4" s="37">
        <f t="shared" ref="L4:AL4" si="0">K5+1</f>
        <v>45108</v>
      </c>
      <c r="M4" s="37">
        <f t="shared" si="0"/>
        <v>45474</v>
      </c>
      <c r="N4" s="37">
        <f t="shared" si="0"/>
        <v>45839</v>
      </c>
      <c r="O4" s="37">
        <f t="shared" si="0"/>
        <v>46204</v>
      </c>
      <c r="P4" s="37">
        <f t="shared" si="0"/>
        <v>46569</v>
      </c>
      <c r="Q4" s="37">
        <f t="shared" si="0"/>
        <v>46935</v>
      </c>
      <c r="R4" s="37">
        <f t="shared" si="0"/>
        <v>47300</v>
      </c>
      <c r="S4" s="37">
        <f t="shared" si="0"/>
        <v>47665</v>
      </c>
      <c r="T4" s="37">
        <f t="shared" si="0"/>
        <v>48030</v>
      </c>
      <c r="U4" s="37">
        <f t="shared" si="0"/>
        <v>48396</v>
      </c>
      <c r="V4" s="37">
        <f t="shared" si="0"/>
        <v>48761</v>
      </c>
      <c r="W4" s="126">
        <f t="shared" si="0"/>
        <v>49126</v>
      </c>
      <c r="X4" s="37">
        <f t="shared" si="0"/>
        <v>49491</v>
      </c>
      <c r="Y4" s="37">
        <f t="shared" si="0"/>
        <v>49857</v>
      </c>
      <c r="Z4" s="37">
        <f t="shared" si="0"/>
        <v>50222</v>
      </c>
      <c r="AA4" s="37">
        <f t="shared" si="0"/>
        <v>50587</v>
      </c>
      <c r="AB4" s="126">
        <f t="shared" si="0"/>
        <v>50952</v>
      </c>
      <c r="AC4" s="37">
        <f t="shared" si="0"/>
        <v>51318</v>
      </c>
      <c r="AD4" s="37">
        <f t="shared" si="0"/>
        <v>51683</v>
      </c>
      <c r="AE4" s="37">
        <f t="shared" si="0"/>
        <v>52048</v>
      </c>
      <c r="AF4" s="37">
        <f t="shared" si="0"/>
        <v>52413</v>
      </c>
      <c r="AG4" s="37">
        <f t="shared" si="0"/>
        <v>52779</v>
      </c>
      <c r="AH4" s="37">
        <f t="shared" si="0"/>
        <v>53144</v>
      </c>
      <c r="AI4" s="37">
        <f t="shared" si="0"/>
        <v>53509</v>
      </c>
      <c r="AJ4" s="37">
        <f t="shared" si="0"/>
        <v>53874</v>
      </c>
      <c r="AK4" s="37">
        <f t="shared" si="0"/>
        <v>54240</v>
      </c>
      <c r="AL4" s="37">
        <f t="shared" si="0"/>
        <v>54605</v>
      </c>
    </row>
    <row r="5" spans="1:38">
      <c r="D5" t="s">
        <v>71</v>
      </c>
      <c r="E5" s="16" t="s">
        <v>17</v>
      </c>
      <c r="F5" s="36" t="s">
        <v>16</v>
      </c>
      <c r="G5" s="36" t="s">
        <v>18</v>
      </c>
      <c r="J5" s="38">
        <f>Model_Start</f>
        <v>44742</v>
      </c>
      <c r="K5" s="37">
        <f>EOMONTH(K4,11)</f>
        <v>45107</v>
      </c>
      <c r="L5" s="37">
        <f t="shared" ref="L5:AL5" si="1">EOMONTH(L4,11)</f>
        <v>45473</v>
      </c>
      <c r="M5" s="37">
        <f t="shared" si="1"/>
        <v>45838</v>
      </c>
      <c r="N5" s="37">
        <f t="shared" si="1"/>
        <v>46203</v>
      </c>
      <c r="O5" s="37">
        <f t="shared" si="1"/>
        <v>46568</v>
      </c>
      <c r="P5" s="37">
        <f t="shared" si="1"/>
        <v>46934</v>
      </c>
      <c r="Q5" s="37">
        <f t="shared" si="1"/>
        <v>47299</v>
      </c>
      <c r="R5" s="37">
        <f t="shared" si="1"/>
        <v>47664</v>
      </c>
      <c r="S5" s="37">
        <f t="shared" si="1"/>
        <v>48029</v>
      </c>
      <c r="T5" s="37">
        <f t="shared" si="1"/>
        <v>48395</v>
      </c>
      <c r="U5" s="37">
        <f t="shared" si="1"/>
        <v>48760</v>
      </c>
      <c r="V5" s="37">
        <f t="shared" si="1"/>
        <v>49125</v>
      </c>
      <c r="W5" s="126">
        <f t="shared" si="1"/>
        <v>49490</v>
      </c>
      <c r="X5" s="37">
        <f t="shared" si="1"/>
        <v>49856</v>
      </c>
      <c r="Y5" s="37">
        <f t="shared" si="1"/>
        <v>50221</v>
      </c>
      <c r="Z5" s="37">
        <f t="shared" si="1"/>
        <v>50586</v>
      </c>
      <c r="AA5" s="37">
        <f t="shared" si="1"/>
        <v>50951</v>
      </c>
      <c r="AB5" s="126">
        <f t="shared" si="1"/>
        <v>51317</v>
      </c>
      <c r="AC5" s="37">
        <f t="shared" si="1"/>
        <v>51682</v>
      </c>
      <c r="AD5" s="37">
        <f t="shared" si="1"/>
        <v>52047</v>
      </c>
      <c r="AE5" s="37">
        <f t="shared" si="1"/>
        <v>52412</v>
      </c>
      <c r="AF5" s="37">
        <f t="shared" si="1"/>
        <v>52778</v>
      </c>
      <c r="AG5" s="37">
        <f t="shared" si="1"/>
        <v>53143</v>
      </c>
      <c r="AH5" s="37">
        <f t="shared" si="1"/>
        <v>53508</v>
      </c>
      <c r="AI5" s="37">
        <f t="shared" si="1"/>
        <v>53873</v>
      </c>
      <c r="AJ5" s="37">
        <f t="shared" si="1"/>
        <v>54239</v>
      </c>
      <c r="AK5" s="37">
        <f t="shared" si="1"/>
        <v>54604</v>
      </c>
      <c r="AL5" s="37">
        <f t="shared" si="1"/>
        <v>54969</v>
      </c>
    </row>
    <row r="6" spans="1:38">
      <c r="D6" s="7" t="s">
        <v>95</v>
      </c>
      <c r="E6" s="16" t="s">
        <v>72</v>
      </c>
      <c r="F6" s="38">
        <f>Inputs!E9</f>
        <v>44743</v>
      </c>
      <c r="G6" s="38">
        <f>Inputs!E11</f>
        <v>45473</v>
      </c>
      <c r="K6" s="8">
        <f t="shared" ref="K6:Z7" si="2">IF(AND(K$4&gt;=$F6,K$5&lt;=$G6),1,0)</f>
        <v>1</v>
      </c>
      <c r="L6" s="8">
        <f t="shared" si="2"/>
        <v>1</v>
      </c>
      <c r="M6" s="8">
        <f t="shared" si="2"/>
        <v>0</v>
      </c>
      <c r="N6" s="8">
        <f t="shared" si="2"/>
        <v>0</v>
      </c>
      <c r="O6" s="8">
        <f t="shared" si="2"/>
        <v>0</v>
      </c>
      <c r="P6" s="8">
        <f t="shared" si="2"/>
        <v>0</v>
      </c>
      <c r="Q6" s="8">
        <f t="shared" si="2"/>
        <v>0</v>
      </c>
      <c r="R6" s="8">
        <f t="shared" si="2"/>
        <v>0</v>
      </c>
      <c r="S6" s="8">
        <f t="shared" si="2"/>
        <v>0</v>
      </c>
      <c r="T6" s="8">
        <f t="shared" si="2"/>
        <v>0</v>
      </c>
      <c r="U6" s="8">
        <f t="shared" si="2"/>
        <v>0</v>
      </c>
      <c r="V6" s="8">
        <f t="shared" si="2"/>
        <v>0</v>
      </c>
      <c r="W6" s="127">
        <f t="shared" si="2"/>
        <v>0</v>
      </c>
      <c r="X6" s="8">
        <f t="shared" si="2"/>
        <v>0</v>
      </c>
      <c r="Y6" s="8">
        <f t="shared" si="2"/>
        <v>0</v>
      </c>
      <c r="Z6" s="8">
        <f t="shared" si="2"/>
        <v>0</v>
      </c>
      <c r="AA6" s="8">
        <f t="shared" ref="AA6:AL7" si="3">IF(AND(AA$4&gt;=$F6,AA$5&lt;=$G6),1,0)</f>
        <v>0</v>
      </c>
      <c r="AB6" s="127">
        <f t="shared" si="3"/>
        <v>0</v>
      </c>
      <c r="AC6" s="8">
        <f t="shared" si="3"/>
        <v>0</v>
      </c>
      <c r="AD6" s="8">
        <f t="shared" si="3"/>
        <v>0</v>
      </c>
      <c r="AE6" s="8">
        <f t="shared" si="3"/>
        <v>0</v>
      </c>
      <c r="AF6" s="8">
        <f t="shared" si="3"/>
        <v>0</v>
      </c>
      <c r="AG6" s="8">
        <f t="shared" si="3"/>
        <v>0</v>
      </c>
      <c r="AH6" s="8">
        <f t="shared" si="3"/>
        <v>0</v>
      </c>
      <c r="AI6" s="8">
        <f t="shared" si="3"/>
        <v>0</v>
      </c>
      <c r="AJ6" s="8">
        <f t="shared" si="3"/>
        <v>0</v>
      </c>
      <c r="AK6" s="8">
        <f t="shared" si="3"/>
        <v>0</v>
      </c>
      <c r="AL6" s="8">
        <f t="shared" si="3"/>
        <v>0</v>
      </c>
    </row>
    <row r="7" spans="1:38">
      <c r="D7" s="7" t="s">
        <v>103</v>
      </c>
      <c r="E7" s="16" t="s">
        <v>72</v>
      </c>
      <c r="F7" s="38">
        <f>Inputs!E14</f>
        <v>45474</v>
      </c>
      <c r="G7" s="38">
        <f>Inputs!E16</f>
        <v>54604</v>
      </c>
      <c r="K7" s="8">
        <f t="shared" si="2"/>
        <v>0</v>
      </c>
      <c r="L7" s="8">
        <f t="shared" si="2"/>
        <v>0</v>
      </c>
      <c r="M7" s="8">
        <f t="shared" si="2"/>
        <v>1</v>
      </c>
      <c r="N7" s="8">
        <f t="shared" si="2"/>
        <v>1</v>
      </c>
      <c r="O7" s="8">
        <f t="shared" si="2"/>
        <v>1</v>
      </c>
      <c r="P7" s="8">
        <f t="shared" si="2"/>
        <v>1</v>
      </c>
      <c r="Q7" s="8">
        <f t="shared" si="2"/>
        <v>1</v>
      </c>
      <c r="R7" s="8">
        <f t="shared" si="2"/>
        <v>1</v>
      </c>
      <c r="S7" s="8">
        <f t="shared" si="2"/>
        <v>1</v>
      </c>
      <c r="T7" s="8">
        <f t="shared" si="2"/>
        <v>1</v>
      </c>
      <c r="U7" s="8">
        <f t="shared" si="2"/>
        <v>1</v>
      </c>
      <c r="V7" s="8">
        <f t="shared" si="2"/>
        <v>1</v>
      </c>
      <c r="W7" s="127">
        <f t="shared" si="2"/>
        <v>1</v>
      </c>
      <c r="X7" s="8">
        <f t="shared" si="2"/>
        <v>1</v>
      </c>
      <c r="Y7" s="8">
        <f t="shared" si="2"/>
        <v>1</v>
      </c>
      <c r="Z7" s="8">
        <f t="shared" si="2"/>
        <v>1</v>
      </c>
      <c r="AA7" s="8">
        <f t="shared" si="3"/>
        <v>1</v>
      </c>
      <c r="AB7" s="127">
        <f t="shared" si="3"/>
        <v>1</v>
      </c>
      <c r="AC7" s="8">
        <f t="shared" si="3"/>
        <v>1</v>
      </c>
      <c r="AD7" s="8">
        <f t="shared" si="3"/>
        <v>1</v>
      </c>
      <c r="AE7" s="8">
        <f t="shared" si="3"/>
        <v>1</v>
      </c>
      <c r="AF7" s="8">
        <f t="shared" si="3"/>
        <v>1</v>
      </c>
      <c r="AG7" s="8">
        <f t="shared" si="3"/>
        <v>1</v>
      </c>
      <c r="AH7" s="8">
        <f t="shared" si="3"/>
        <v>1</v>
      </c>
      <c r="AI7" s="8">
        <f t="shared" si="3"/>
        <v>1</v>
      </c>
      <c r="AJ7" s="8">
        <f t="shared" si="3"/>
        <v>1</v>
      </c>
      <c r="AK7" s="8">
        <f t="shared" si="3"/>
        <v>1</v>
      </c>
      <c r="AL7" s="8">
        <f t="shared" si="3"/>
        <v>0</v>
      </c>
    </row>
    <row r="9" spans="1:38" ht="18">
      <c r="D9" s="15" t="s">
        <v>74</v>
      </c>
    </row>
    <row r="10" spans="1:38">
      <c r="D10" s="7" t="s">
        <v>77</v>
      </c>
      <c r="E10" s="16" t="s">
        <v>21</v>
      </c>
      <c r="K10">
        <f t="shared" ref="K10:AL10" si="4">YEAR(K5)</f>
        <v>2023</v>
      </c>
      <c r="L10">
        <f t="shared" si="4"/>
        <v>2024</v>
      </c>
      <c r="M10">
        <f t="shared" si="4"/>
        <v>2025</v>
      </c>
      <c r="N10">
        <f t="shared" si="4"/>
        <v>2026</v>
      </c>
      <c r="O10">
        <f t="shared" si="4"/>
        <v>2027</v>
      </c>
      <c r="P10">
        <f t="shared" si="4"/>
        <v>2028</v>
      </c>
      <c r="Q10">
        <f t="shared" si="4"/>
        <v>2029</v>
      </c>
      <c r="R10">
        <f t="shared" si="4"/>
        <v>2030</v>
      </c>
      <c r="S10">
        <f t="shared" si="4"/>
        <v>2031</v>
      </c>
      <c r="T10">
        <f t="shared" si="4"/>
        <v>2032</v>
      </c>
      <c r="U10">
        <f t="shared" si="4"/>
        <v>2033</v>
      </c>
      <c r="V10">
        <f t="shared" si="4"/>
        <v>2034</v>
      </c>
      <c r="W10" s="128">
        <f t="shared" si="4"/>
        <v>2035</v>
      </c>
      <c r="X10">
        <f t="shared" si="4"/>
        <v>2036</v>
      </c>
      <c r="Y10">
        <f t="shared" si="4"/>
        <v>2037</v>
      </c>
      <c r="Z10">
        <f t="shared" si="4"/>
        <v>2038</v>
      </c>
      <c r="AA10">
        <f t="shared" si="4"/>
        <v>2039</v>
      </c>
      <c r="AB10" s="128">
        <f t="shared" si="4"/>
        <v>2040</v>
      </c>
      <c r="AC10">
        <f t="shared" si="4"/>
        <v>2041</v>
      </c>
      <c r="AD10">
        <f t="shared" si="4"/>
        <v>2042</v>
      </c>
      <c r="AE10">
        <f t="shared" si="4"/>
        <v>2043</v>
      </c>
      <c r="AF10">
        <f t="shared" si="4"/>
        <v>2044</v>
      </c>
      <c r="AG10">
        <f t="shared" si="4"/>
        <v>2045</v>
      </c>
      <c r="AH10">
        <f t="shared" si="4"/>
        <v>2046</v>
      </c>
      <c r="AI10">
        <f t="shared" si="4"/>
        <v>2047</v>
      </c>
      <c r="AJ10">
        <f t="shared" si="4"/>
        <v>2048</v>
      </c>
      <c r="AK10">
        <f t="shared" si="4"/>
        <v>2049</v>
      </c>
      <c r="AL10">
        <f t="shared" si="4"/>
        <v>2050</v>
      </c>
    </row>
    <row r="11" spans="1:38">
      <c r="D11" s="7" t="s">
        <v>78</v>
      </c>
      <c r="E11" s="16" t="s">
        <v>76</v>
      </c>
      <c r="K11">
        <f>K5-K4+1</f>
        <v>365</v>
      </c>
      <c r="L11">
        <f t="shared" ref="L11:AL11" si="5">L5-L4+1</f>
        <v>366</v>
      </c>
      <c r="M11">
        <f t="shared" si="5"/>
        <v>365</v>
      </c>
      <c r="N11">
        <f t="shared" si="5"/>
        <v>365</v>
      </c>
      <c r="O11">
        <f t="shared" si="5"/>
        <v>365</v>
      </c>
      <c r="P11">
        <f t="shared" si="5"/>
        <v>366</v>
      </c>
      <c r="Q11">
        <f t="shared" si="5"/>
        <v>365</v>
      </c>
      <c r="R11">
        <f t="shared" si="5"/>
        <v>365</v>
      </c>
      <c r="S11">
        <f t="shared" si="5"/>
        <v>365</v>
      </c>
      <c r="T11">
        <f t="shared" si="5"/>
        <v>366</v>
      </c>
      <c r="U11">
        <f t="shared" si="5"/>
        <v>365</v>
      </c>
      <c r="V11">
        <f t="shared" si="5"/>
        <v>365</v>
      </c>
      <c r="W11" s="128">
        <f t="shared" si="5"/>
        <v>365</v>
      </c>
      <c r="X11">
        <f t="shared" si="5"/>
        <v>366</v>
      </c>
      <c r="Y11">
        <f t="shared" si="5"/>
        <v>365</v>
      </c>
      <c r="Z11">
        <f t="shared" si="5"/>
        <v>365</v>
      </c>
      <c r="AA11">
        <f t="shared" si="5"/>
        <v>365</v>
      </c>
      <c r="AB11" s="128">
        <f t="shared" si="5"/>
        <v>366</v>
      </c>
      <c r="AC11">
        <f t="shared" si="5"/>
        <v>365</v>
      </c>
      <c r="AD11">
        <f t="shared" si="5"/>
        <v>365</v>
      </c>
      <c r="AE11">
        <f t="shared" si="5"/>
        <v>365</v>
      </c>
      <c r="AF11">
        <f t="shared" si="5"/>
        <v>366</v>
      </c>
      <c r="AG11">
        <f t="shared" si="5"/>
        <v>365</v>
      </c>
      <c r="AH11">
        <f t="shared" si="5"/>
        <v>365</v>
      </c>
      <c r="AI11">
        <f t="shared" si="5"/>
        <v>365</v>
      </c>
      <c r="AJ11">
        <f t="shared" si="5"/>
        <v>366</v>
      </c>
      <c r="AK11">
        <f t="shared" si="5"/>
        <v>365</v>
      </c>
      <c r="AL11">
        <f t="shared" si="5"/>
        <v>365</v>
      </c>
    </row>
    <row r="12" spans="1:38" ht="15.75">
      <c r="A12" s="64"/>
      <c r="B12" s="64"/>
      <c r="C12" s="64"/>
      <c r="D12" s="64"/>
      <c r="E12" s="64"/>
      <c r="F12" s="64"/>
      <c r="G12" s="64"/>
      <c r="H12" s="64"/>
      <c r="I12" s="64"/>
      <c r="J12" s="64"/>
      <c r="K12" s="64"/>
      <c r="L12" s="64"/>
      <c r="M12" s="64"/>
      <c r="N12" s="64"/>
      <c r="O12" s="64"/>
      <c r="P12" s="64"/>
      <c r="Q12" s="64"/>
      <c r="R12" s="64"/>
      <c r="S12" s="64"/>
      <c r="T12" s="64"/>
      <c r="U12" s="64"/>
      <c r="V12" s="64"/>
      <c r="W12" s="125"/>
      <c r="X12" s="64"/>
      <c r="Y12" s="64"/>
      <c r="Z12" s="64"/>
      <c r="AA12" s="64"/>
    </row>
    <row r="13" spans="1:38" ht="24" thickBot="1">
      <c r="D13" s="57" t="s">
        <v>188</v>
      </c>
      <c r="AD13">
        <f>12*60*60*24*365/1000</f>
        <v>378432</v>
      </c>
    </row>
    <row r="14" spans="1:38" ht="18">
      <c r="D14" s="15" t="s">
        <v>331</v>
      </c>
    </row>
    <row r="15" spans="1:38" ht="15">
      <c r="D15" s="4" t="s">
        <v>410</v>
      </c>
      <c r="AC15">
        <f>ABS(AC17)/AC26</f>
        <v>0.17654542883939112</v>
      </c>
    </row>
    <row r="16" spans="1:38">
      <c r="D16" s="7" t="s">
        <v>332</v>
      </c>
      <c r="K16">
        <f>Inputs!E86</f>
        <v>376680</v>
      </c>
      <c r="L16">
        <f>Inputs!F86</f>
        <v>376680</v>
      </c>
      <c r="M16">
        <f>Inputs!G86</f>
        <v>376680</v>
      </c>
      <c r="N16">
        <f>Inputs!H86</f>
        <v>753360</v>
      </c>
      <c r="O16">
        <f>Inputs!I86</f>
        <v>753360</v>
      </c>
      <c r="P16">
        <f>Inputs!J86</f>
        <v>753360</v>
      </c>
      <c r="Q16">
        <f>P16</f>
        <v>753360</v>
      </c>
      <c r="R16">
        <f t="shared" ref="R16:AA16" si="6">Q16</f>
        <v>753360</v>
      </c>
      <c r="S16">
        <f t="shared" si="6"/>
        <v>753360</v>
      </c>
      <c r="T16">
        <f t="shared" si="6"/>
        <v>753360</v>
      </c>
      <c r="U16">
        <f>T16+(Inputs!$E$184*'Initiative 4 Model'!U11)</f>
        <v>986047.5</v>
      </c>
      <c r="V16">
        <f t="shared" si="6"/>
        <v>986047.5</v>
      </c>
      <c r="W16" s="128">
        <f>V16</f>
        <v>986047.5</v>
      </c>
      <c r="X16">
        <f t="shared" si="6"/>
        <v>986047.5</v>
      </c>
      <c r="Y16">
        <f t="shared" si="6"/>
        <v>986047.5</v>
      </c>
      <c r="Z16">
        <f t="shared" si="6"/>
        <v>986047.5</v>
      </c>
      <c r="AA16">
        <f t="shared" si="6"/>
        <v>986047.5</v>
      </c>
      <c r="AB16" s="128">
        <f>AA16+(Inputs!$E$194*'Initiative 4 Model'!AB11)</f>
        <v>1223947.5</v>
      </c>
      <c r="AC16">
        <f>AB16-Inputs!$E$86</f>
        <v>847267.5</v>
      </c>
      <c r="AD16">
        <f>AC16</f>
        <v>847267.5</v>
      </c>
      <c r="AE16">
        <f t="shared" ref="AE16:AL16" si="7">AD16</f>
        <v>847267.5</v>
      </c>
      <c r="AF16">
        <f t="shared" si="7"/>
        <v>847267.5</v>
      </c>
      <c r="AG16">
        <f t="shared" si="7"/>
        <v>847267.5</v>
      </c>
      <c r="AH16">
        <f t="shared" si="7"/>
        <v>847267.5</v>
      </c>
      <c r="AI16">
        <f t="shared" si="7"/>
        <v>847267.5</v>
      </c>
      <c r="AJ16">
        <f t="shared" si="7"/>
        <v>847267.5</v>
      </c>
      <c r="AK16">
        <f t="shared" si="7"/>
        <v>847267.5</v>
      </c>
      <c r="AL16">
        <f t="shared" si="7"/>
        <v>847267.5</v>
      </c>
    </row>
    <row r="17" spans="4:39">
      <c r="D17" s="7" t="s">
        <v>402</v>
      </c>
      <c r="K17" s="65">
        <f t="shared" ref="K17:AL17" si="8">K16-K26</f>
        <v>183680</v>
      </c>
      <c r="L17" s="65">
        <f t="shared" si="8"/>
        <v>194438.02599999998</v>
      </c>
      <c r="M17" s="65">
        <f t="shared" si="8"/>
        <v>186671.55543999997</v>
      </c>
      <c r="N17" s="65">
        <f t="shared" si="8"/>
        <v>277801.66366720002</v>
      </c>
      <c r="O17" s="65">
        <f t="shared" si="8"/>
        <v>237708.49911023793</v>
      </c>
      <c r="P17" s="65">
        <f t="shared" si="8"/>
        <v>237708.49911023793</v>
      </c>
      <c r="Q17" s="65">
        <f t="shared" si="8"/>
        <v>147553.49911023793</v>
      </c>
      <c r="R17" s="65">
        <f t="shared" si="8"/>
        <v>147553.49911023793</v>
      </c>
      <c r="S17" s="65">
        <f t="shared" si="8"/>
        <v>33228.435819098726</v>
      </c>
      <c r="T17" s="65">
        <f t="shared" si="8"/>
        <v>33228.435819098726</v>
      </c>
      <c r="U17" s="65">
        <f t="shared" si="8"/>
        <v>265915.93581909873</v>
      </c>
      <c r="V17" s="65">
        <f t="shared" si="8"/>
        <v>265915.93581909873</v>
      </c>
      <c r="W17" s="65">
        <f t="shared" si="8"/>
        <v>265915.93581909873</v>
      </c>
      <c r="X17" s="65">
        <f t="shared" si="8"/>
        <v>265915.93581909873</v>
      </c>
      <c r="Y17" s="65">
        <f t="shared" si="8"/>
        <v>265915.93581909873</v>
      </c>
      <c r="Z17" s="65">
        <f t="shared" si="8"/>
        <v>265915.93581909873</v>
      </c>
      <c r="AA17" s="65">
        <f t="shared" si="8"/>
        <v>265915.93581909873</v>
      </c>
      <c r="AB17" s="65">
        <f t="shared" si="8"/>
        <v>503815.93581909873</v>
      </c>
      <c r="AC17" s="65">
        <f t="shared" si="8"/>
        <v>127135.93581909873</v>
      </c>
      <c r="AD17" s="65">
        <f t="shared" si="8"/>
        <v>127135.93581909873</v>
      </c>
      <c r="AE17" s="65">
        <f t="shared" si="8"/>
        <v>127135.93581909873</v>
      </c>
      <c r="AF17" s="65">
        <f t="shared" si="8"/>
        <v>127135.93581909873</v>
      </c>
      <c r="AG17" s="65">
        <f t="shared" si="8"/>
        <v>127135.93581909873</v>
      </c>
      <c r="AH17" s="65">
        <f t="shared" si="8"/>
        <v>127135.93581909873</v>
      </c>
      <c r="AI17" s="65">
        <f t="shared" si="8"/>
        <v>127135.93581909873</v>
      </c>
      <c r="AJ17" s="65">
        <f t="shared" si="8"/>
        <v>127135.93581909873</v>
      </c>
      <c r="AK17" s="65">
        <f t="shared" si="8"/>
        <v>127135.93581909873</v>
      </c>
      <c r="AL17" s="65">
        <f t="shared" si="8"/>
        <v>127135.93581909873</v>
      </c>
      <c r="AM17" s="145" t="s">
        <v>492</v>
      </c>
    </row>
    <row r="18" spans="4:39" ht="15">
      <c r="D18" s="4" t="s">
        <v>411</v>
      </c>
    </row>
    <row r="19" spans="4:39">
      <c r="D19" s="7" t="s">
        <v>332</v>
      </c>
      <c r="K19">
        <f>Inputs!E86</f>
        <v>376680</v>
      </c>
      <c r="L19">
        <f>Inputs!F86</f>
        <v>376680</v>
      </c>
      <c r="M19">
        <f>Inputs!G86</f>
        <v>376680</v>
      </c>
      <c r="N19">
        <f>Inputs!H86</f>
        <v>753360</v>
      </c>
      <c r="O19">
        <f>Inputs!I86</f>
        <v>753360</v>
      </c>
      <c r="P19">
        <f>Inputs!J86</f>
        <v>753360</v>
      </c>
      <c r="Q19">
        <f>P19</f>
        <v>753360</v>
      </c>
      <c r="R19">
        <f t="shared" ref="R19:AB19" si="9">Q19</f>
        <v>753360</v>
      </c>
      <c r="S19">
        <f t="shared" si="9"/>
        <v>753360</v>
      </c>
      <c r="T19">
        <f t="shared" si="9"/>
        <v>753360</v>
      </c>
      <c r="U19">
        <f t="shared" si="9"/>
        <v>753360</v>
      </c>
      <c r="V19">
        <f t="shared" si="9"/>
        <v>753360</v>
      </c>
      <c r="W19" s="128">
        <f t="shared" si="9"/>
        <v>753360</v>
      </c>
      <c r="X19">
        <f t="shared" si="9"/>
        <v>753360</v>
      </c>
      <c r="Y19">
        <f t="shared" si="9"/>
        <v>753360</v>
      </c>
      <c r="Z19">
        <f t="shared" si="9"/>
        <v>753360</v>
      </c>
      <c r="AA19">
        <f t="shared" si="9"/>
        <v>753360</v>
      </c>
      <c r="AB19" s="128">
        <f t="shared" si="9"/>
        <v>753360</v>
      </c>
      <c r="AC19">
        <f>AB19/2</f>
        <v>376680</v>
      </c>
      <c r="AD19">
        <f>AC19</f>
        <v>376680</v>
      </c>
      <c r="AE19">
        <f t="shared" ref="AE19:AK19" si="10">AD19</f>
        <v>376680</v>
      </c>
      <c r="AF19">
        <f t="shared" si="10"/>
        <v>376680</v>
      </c>
      <c r="AG19">
        <f t="shared" si="10"/>
        <v>376680</v>
      </c>
      <c r="AH19">
        <f t="shared" si="10"/>
        <v>376680</v>
      </c>
      <c r="AI19">
        <f t="shared" si="10"/>
        <v>376680</v>
      </c>
      <c r="AJ19">
        <f t="shared" si="10"/>
        <v>376680</v>
      </c>
      <c r="AK19">
        <f t="shared" si="10"/>
        <v>376680</v>
      </c>
      <c r="AL19">
        <f>AK19</f>
        <v>376680</v>
      </c>
    </row>
    <row r="20" spans="4:39">
      <c r="D20" s="7" t="s">
        <v>402</v>
      </c>
      <c r="K20" s="65">
        <f>K19-K26</f>
        <v>183680</v>
      </c>
      <c r="L20" s="65">
        <f t="shared" ref="L20:AL20" si="11">L19-L26</f>
        <v>194438.02599999998</v>
      </c>
      <c r="M20" s="65">
        <f t="shared" si="11"/>
        <v>186671.55543999997</v>
      </c>
      <c r="N20" s="65">
        <f t="shared" si="11"/>
        <v>277801.66366720002</v>
      </c>
      <c r="O20" s="65">
        <f t="shared" si="11"/>
        <v>237708.49911023793</v>
      </c>
      <c r="P20" s="65">
        <f t="shared" si="11"/>
        <v>237708.49911023793</v>
      </c>
      <c r="Q20" s="65">
        <f t="shared" si="11"/>
        <v>147553.49911023793</v>
      </c>
      <c r="R20" s="65">
        <f t="shared" si="11"/>
        <v>147553.49911023793</v>
      </c>
      <c r="S20" s="65">
        <f t="shared" si="11"/>
        <v>33228.435819098726</v>
      </c>
      <c r="T20" s="65">
        <f t="shared" si="11"/>
        <v>33228.435819098726</v>
      </c>
      <c r="U20" s="65">
        <f t="shared" si="11"/>
        <v>33228.435819098726</v>
      </c>
      <c r="V20" s="65">
        <f t="shared" si="11"/>
        <v>33228.435819098726</v>
      </c>
      <c r="W20" s="65">
        <f t="shared" si="11"/>
        <v>33228.435819098726</v>
      </c>
      <c r="X20" s="65">
        <f t="shared" si="11"/>
        <v>33228.435819098726</v>
      </c>
      <c r="Y20" s="65">
        <f t="shared" si="11"/>
        <v>33228.435819098726</v>
      </c>
      <c r="Z20" s="65">
        <f t="shared" si="11"/>
        <v>33228.435819098726</v>
      </c>
      <c r="AA20" s="65">
        <f t="shared" si="11"/>
        <v>33228.435819098726</v>
      </c>
      <c r="AB20" s="65">
        <f t="shared" si="11"/>
        <v>33228.435819098726</v>
      </c>
      <c r="AC20" s="65">
        <f t="shared" si="11"/>
        <v>-343451.56418090127</v>
      </c>
      <c r="AD20" s="65">
        <f t="shared" si="11"/>
        <v>-343451.56418090127</v>
      </c>
      <c r="AE20" s="65">
        <f t="shared" si="11"/>
        <v>-343451.56418090127</v>
      </c>
      <c r="AF20" s="65">
        <f t="shared" si="11"/>
        <v>-343451.56418090127</v>
      </c>
      <c r="AG20" s="65">
        <f t="shared" si="11"/>
        <v>-343451.56418090127</v>
      </c>
      <c r="AH20" s="65">
        <f t="shared" si="11"/>
        <v>-343451.56418090127</v>
      </c>
      <c r="AI20" s="65">
        <f t="shared" si="11"/>
        <v>-343451.56418090127</v>
      </c>
      <c r="AJ20" s="65">
        <f t="shared" si="11"/>
        <v>-343451.56418090127</v>
      </c>
      <c r="AK20" s="65">
        <f t="shared" si="11"/>
        <v>-343451.56418090127</v>
      </c>
      <c r="AL20" s="65">
        <f t="shared" si="11"/>
        <v>-343451.56418090127</v>
      </c>
    </row>
    <row r="21" spans="4:39" ht="15">
      <c r="D21" s="4" t="s">
        <v>180</v>
      </c>
      <c r="E21" s="16" t="s">
        <v>306</v>
      </c>
      <c r="K21" s="65">
        <f>'BaU Model'!K18</f>
        <v>800</v>
      </c>
      <c r="L21" s="65">
        <f>'BaU Model'!L18</f>
        <v>800</v>
      </c>
      <c r="M21" s="65">
        <f>'BaU Model'!M18</f>
        <v>800</v>
      </c>
      <c r="N21" s="65">
        <f>'BaU Model'!N18</f>
        <v>1800</v>
      </c>
      <c r="O21" s="65">
        <f>'BaU Model'!O18</f>
        <v>1800</v>
      </c>
      <c r="P21" s="65">
        <f>'BaU Model'!P18</f>
        <v>1800</v>
      </c>
      <c r="Q21" s="65">
        <f>P21</f>
        <v>1800</v>
      </c>
      <c r="R21" s="65">
        <f t="shared" ref="R21:AL21" si="12">Q21</f>
        <v>1800</v>
      </c>
      <c r="S21" s="65">
        <f t="shared" si="12"/>
        <v>1800</v>
      </c>
      <c r="T21" s="65">
        <f t="shared" si="12"/>
        <v>1800</v>
      </c>
      <c r="U21" s="65">
        <f t="shared" si="12"/>
        <v>1800</v>
      </c>
      <c r="V21" s="65">
        <f t="shared" si="12"/>
        <v>1800</v>
      </c>
      <c r="W21" s="65">
        <f t="shared" si="12"/>
        <v>1800</v>
      </c>
      <c r="X21" s="65">
        <f t="shared" si="12"/>
        <v>1800</v>
      </c>
      <c r="Y21" s="65">
        <f t="shared" si="12"/>
        <v>1800</v>
      </c>
      <c r="Z21" s="65">
        <f t="shared" si="12"/>
        <v>1800</v>
      </c>
      <c r="AA21" s="65">
        <f t="shared" si="12"/>
        <v>1800</v>
      </c>
      <c r="AB21" s="65">
        <f t="shared" si="12"/>
        <v>1800</v>
      </c>
      <c r="AC21" s="65">
        <f t="shared" si="12"/>
        <v>1800</v>
      </c>
      <c r="AD21" s="65">
        <f t="shared" si="12"/>
        <v>1800</v>
      </c>
      <c r="AE21" s="65">
        <f t="shared" si="12"/>
        <v>1800</v>
      </c>
      <c r="AF21" s="65">
        <f t="shared" si="12"/>
        <v>1800</v>
      </c>
      <c r="AG21" s="65">
        <f t="shared" si="12"/>
        <v>1800</v>
      </c>
      <c r="AH21" s="65">
        <f t="shared" si="12"/>
        <v>1800</v>
      </c>
      <c r="AI21" s="65">
        <f t="shared" si="12"/>
        <v>1800</v>
      </c>
      <c r="AJ21" s="65">
        <f t="shared" si="12"/>
        <v>1800</v>
      </c>
      <c r="AK21" s="65">
        <f t="shared" si="12"/>
        <v>1800</v>
      </c>
      <c r="AL21" s="65">
        <f t="shared" si="12"/>
        <v>1800</v>
      </c>
    </row>
    <row r="22" spans="4:39" ht="15">
      <c r="D22" s="4" t="s">
        <v>427</v>
      </c>
      <c r="E22" s="16" t="s">
        <v>106</v>
      </c>
      <c r="K22" s="65">
        <f>(K21+SUM(K35:K38))/K33</f>
        <v>1.8129533678756478</v>
      </c>
      <c r="L22" s="65">
        <f t="shared" ref="L22:O22" si="13">(L21+SUM(L35:L38))/L33</f>
        <v>1.9066551166747128</v>
      </c>
      <c r="M22" s="65">
        <f t="shared" si="13"/>
        <v>1.8367738032705883</v>
      </c>
      <c r="N22" s="65">
        <f t="shared" si="13"/>
        <v>1.8815339776532183</v>
      </c>
      <c r="O22" s="65">
        <f t="shared" si="13"/>
        <v>2.274116334125547</v>
      </c>
      <c r="P22" s="65">
        <f t="shared" ref="P22:AL22" si="14">(P21+SUM(P35:P38))/P33</f>
        <v>2.277607063808083</v>
      </c>
      <c r="Q22" s="65">
        <f t="shared" si="14"/>
        <v>2.0845047041176494</v>
      </c>
      <c r="R22" s="65">
        <f t="shared" si="14"/>
        <v>2.0845047041176494</v>
      </c>
      <c r="S22" s="65">
        <f t="shared" si="14"/>
        <v>1.9123332911358926</v>
      </c>
      <c r="T22" s="65">
        <f t="shared" si="14"/>
        <v>1.9148328343992786</v>
      </c>
      <c r="U22" s="65">
        <f t="shared" si="14"/>
        <v>1.9123332911358926</v>
      </c>
      <c r="V22" s="65">
        <f t="shared" si="14"/>
        <v>1.9123332911358926</v>
      </c>
      <c r="W22" s="65">
        <f t="shared" si="14"/>
        <v>1.9123332911358926</v>
      </c>
      <c r="X22" s="65">
        <f t="shared" si="14"/>
        <v>1.9148328343992786</v>
      </c>
      <c r="Y22" s="65">
        <f t="shared" si="14"/>
        <v>1.9123332911358926</v>
      </c>
      <c r="Z22" s="65">
        <f t="shared" si="14"/>
        <v>1.9123332911358926</v>
      </c>
      <c r="AA22" s="65">
        <f t="shared" si="14"/>
        <v>1.9123332911358926</v>
      </c>
      <c r="AB22" s="65">
        <f t="shared" si="14"/>
        <v>1.9148328343992786</v>
      </c>
      <c r="AC22" s="65">
        <f t="shared" si="14"/>
        <v>1.7585224186644333</v>
      </c>
      <c r="AD22" s="65">
        <f t="shared" si="14"/>
        <v>1.7585224186644333</v>
      </c>
      <c r="AE22" s="65">
        <f t="shared" si="14"/>
        <v>1.7585224186644333</v>
      </c>
      <c r="AF22" s="65">
        <f t="shared" si="14"/>
        <v>1.7619072168336016</v>
      </c>
      <c r="AG22" s="65">
        <f t="shared" si="14"/>
        <v>1.7585224186644333</v>
      </c>
      <c r="AH22" s="65">
        <f t="shared" si="14"/>
        <v>1.7585224186644333</v>
      </c>
      <c r="AI22" s="65">
        <f t="shared" si="14"/>
        <v>1.7585224186644333</v>
      </c>
      <c r="AJ22" s="65">
        <f t="shared" si="14"/>
        <v>1.7619072168336016</v>
      </c>
      <c r="AK22" s="65">
        <f t="shared" si="14"/>
        <v>1.7585224186644333</v>
      </c>
      <c r="AL22" s="65">
        <f t="shared" si="14"/>
        <v>1.7585224186644333</v>
      </c>
    </row>
    <row r="23" spans="4:39" ht="24" thickBot="1">
      <c r="D23" s="57"/>
    </row>
    <row r="24" spans="4:39" ht="18">
      <c r="D24" s="15" t="s">
        <v>225</v>
      </c>
      <c r="K24">
        <f>K29/K26</f>
        <v>0</v>
      </c>
      <c r="L24">
        <f t="shared" ref="L24:AL24" si="15">L29/L26</f>
        <v>0</v>
      </c>
      <c r="M24">
        <f t="shared" si="15"/>
        <v>0</v>
      </c>
      <c r="N24">
        <f t="shared" si="15"/>
        <v>0</v>
      </c>
      <c r="O24">
        <f t="shared" si="15"/>
        <v>0</v>
      </c>
      <c r="P24">
        <f t="shared" si="15"/>
        <v>0</v>
      </c>
      <c r="Q24">
        <f t="shared" si="15"/>
        <v>0</v>
      </c>
      <c r="R24">
        <f t="shared" si="15"/>
        <v>0</v>
      </c>
      <c r="S24">
        <f t="shared" si="15"/>
        <v>0</v>
      </c>
      <c r="T24">
        <f t="shared" si="15"/>
        <v>0</v>
      </c>
      <c r="U24">
        <f t="shared" si="15"/>
        <v>0</v>
      </c>
      <c r="V24">
        <f t="shared" si="15"/>
        <v>0</v>
      </c>
      <c r="W24">
        <f t="shared" si="15"/>
        <v>0</v>
      </c>
      <c r="X24">
        <f t="shared" si="15"/>
        <v>0</v>
      </c>
      <c r="Y24">
        <f t="shared" si="15"/>
        <v>0</v>
      </c>
      <c r="Z24">
        <f t="shared" si="15"/>
        <v>0</v>
      </c>
      <c r="AA24">
        <f t="shared" si="15"/>
        <v>0</v>
      </c>
      <c r="AB24">
        <f t="shared" si="15"/>
        <v>0</v>
      </c>
      <c r="AC24">
        <f t="shared" si="15"/>
        <v>0</v>
      </c>
      <c r="AD24">
        <f t="shared" si="15"/>
        <v>0</v>
      </c>
      <c r="AE24">
        <f t="shared" si="15"/>
        <v>0</v>
      </c>
      <c r="AF24">
        <f t="shared" si="15"/>
        <v>0</v>
      </c>
      <c r="AG24">
        <f t="shared" si="15"/>
        <v>0</v>
      </c>
      <c r="AH24">
        <f t="shared" si="15"/>
        <v>0</v>
      </c>
      <c r="AI24">
        <f t="shared" si="15"/>
        <v>0</v>
      </c>
      <c r="AJ24">
        <f t="shared" si="15"/>
        <v>0</v>
      </c>
      <c r="AK24">
        <f t="shared" si="15"/>
        <v>0</v>
      </c>
      <c r="AL24">
        <f t="shared" si="15"/>
        <v>0</v>
      </c>
    </row>
    <row r="25" spans="4:39" ht="15">
      <c r="D25" s="4" t="s">
        <v>310</v>
      </c>
      <c r="K25" s="65">
        <f>K26-SUM(K27:K31)</f>
        <v>0</v>
      </c>
      <c r="L25" s="65">
        <f t="shared" ref="L25:AL25" si="16">L26-SUM(L27:L31)</f>
        <v>0</v>
      </c>
      <c r="M25" s="65">
        <f t="shared" si="16"/>
        <v>0</v>
      </c>
      <c r="N25" s="65">
        <f t="shared" si="16"/>
        <v>0</v>
      </c>
      <c r="O25" s="65">
        <f t="shared" si="16"/>
        <v>0</v>
      </c>
      <c r="P25" s="65">
        <f t="shared" si="16"/>
        <v>0</v>
      </c>
      <c r="Q25" s="65">
        <f t="shared" si="16"/>
        <v>0</v>
      </c>
      <c r="R25" s="65">
        <f t="shared" si="16"/>
        <v>0</v>
      </c>
      <c r="S25" s="65">
        <f t="shared" si="16"/>
        <v>0</v>
      </c>
      <c r="T25" s="65">
        <f t="shared" si="16"/>
        <v>0</v>
      </c>
      <c r="U25" s="65">
        <f t="shared" si="16"/>
        <v>0</v>
      </c>
      <c r="V25" s="65">
        <f t="shared" si="16"/>
        <v>0</v>
      </c>
      <c r="W25" s="65">
        <f t="shared" si="16"/>
        <v>0</v>
      </c>
      <c r="X25" s="65">
        <f t="shared" si="16"/>
        <v>0</v>
      </c>
      <c r="Y25" s="65">
        <f t="shared" si="16"/>
        <v>0</v>
      </c>
      <c r="Z25" s="65">
        <f t="shared" si="16"/>
        <v>0</v>
      </c>
      <c r="AA25" s="65">
        <f t="shared" si="16"/>
        <v>0</v>
      </c>
      <c r="AB25" s="65">
        <f t="shared" si="16"/>
        <v>0</v>
      </c>
      <c r="AC25" s="65">
        <f t="shared" si="16"/>
        <v>0</v>
      </c>
      <c r="AD25" s="65">
        <f t="shared" si="16"/>
        <v>0</v>
      </c>
      <c r="AE25" s="65">
        <f t="shared" si="16"/>
        <v>0</v>
      </c>
      <c r="AF25" s="65">
        <f t="shared" si="16"/>
        <v>0</v>
      </c>
      <c r="AG25" s="65">
        <f t="shared" si="16"/>
        <v>0</v>
      </c>
      <c r="AH25" s="65">
        <f t="shared" si="16"/>
        <v>0</v>
      </c>
      <c r="AI25" s="65">
        <f t="shared" si="16"/>
        <v>0</v>
      </c>
      <c r="AJ25" s="65">
        <f t="shared" si="16"/>
        <v>0</v>
      </c>
      <c r="AK25" s="65">
        <f t="shared" si="16"/>
        <v>0</v>
      </c>
      <c r="AL25" s="65">
        <f t="shared" si="16"/>
        <v>0</v>
      </c>
    </row>
    <row r="26" spans="4:39">
      <c r="D26" t="s">
        <v>190</v>
      </c>
      <c r="E26" s="16" t="s">
        <v>145</v>
      </c>
      <c r="K26" s="59">
        <f>'BaU Model'!K23</f>
        <v>193000</v>
      </c>
      <c r="L26" s="59">
        <f>'BaU Model'!L23</f>
        <v>182241.97400000002</v>
      </c>
      <c r="M26" s="59">
        <f>'BaU Model'!M23</f>
        <v>190008.44456000003</v>
      </c>
      <c r="N26" s="59">
        <f>'BaU Model'!N23</f>
        <v>475558.33633279998</v>
      </c>
      <c r="O26" s="59">
        <f>'BaU Model'!O23</f>
        <v>515651.50088976207</v>
      </c>
      <c r="P26" s="59">
        <f>'BaU Model'!P23</f>
        <v>515651.50088976207</v>
      </c>
      <c r="Q26" s="59">
        <f>'BaU Model'!Q23</f>
        <v>605806.50088976207</v>
      </c>
      <c r="R26" s="59">
        <f>'BaU Model'!R23</f>
        <v>605806.50088976207</v>
      </c>
      <c r="S26" s="59">
        <f>'BaU Model'!S23</f>
        <v>720131.56418090127</v>
      </c>
      <c r="T26" s="59">
        <f>'BaU Model'!T23</f>
        <v>720131.56418090127</v>
      </c>
      <c r="U26" s="59">
        <f>'BaU Model'!U23</f>
        <v>720131.56418090127</v>
      </c>
      <c r="V26" s="59">
        <f>'BaU Model'!V23</f>
        <v>720131.56418090127</v>
      </c>
      <c r="W26" s="59">
        <f>'BaU Model'!W23</f>
        <v>720131.56418090127</v>
      </c>
      <c r="X26" s="59">
        <f>'BaU Model'!X23</f>
        <v>720131.56418090127</v>
      </c>
      <c r="Y26" s="59">
        <f>'BaU Model'!Y23</f>
        <v>720131.56418090127</v>
      </c>
      <c r="Z26" s="59">
        <f>'BaU Model'!Z23</f>
        <v>720131.56418090127</v>
      </c>
      <c r="AA26" s="59">
        <f>'BaU Model'!AA23</f>
        <v>720131.56418090127</v>
      </c>
      <c r="AB26" s="59">
        <f>'BaU Model'!AB23</f>
        <v>720131.56418090127</v>
      </c>
      <c r="AC26" s="59">
        <f>'BaU Model'!AC23</f>
        <v>720131.56418090127</v>
      </c>
      <c r="AD26" s="59">
        <f>'BaU Model'!AD23</f>
        <v>720131.56418090127</v>
      </c>
      <c r="AE26" s="59">
        <f>'BaU Model'!AE23</f>
        <v>720131.56418090127</v>
      </c>
      <c r="AF26" s="59">
        <f>'BaU Model'!AF23</f>
        <v>720131.56418090127</v>
      </c>
      <c r="AG26" s="59">
        <f>'BaU Model'!AG23</f>
        <v>720131.56418090127</v>
      </c>
      <c r="AH26" s="59">
        <f>'BaU Model'!AH23</f>
        <v>720131.56418090127</v>
      </c>
      <c r="AI26" s="59">
        <f>'BaU Model'!AI23</f>
        <v>720131.56418090127</v>
      </c>
      <c r="AJ26" s="59">
        <f>'BaU Model'!AJ23</f>
        <v>720131.56418090127</v>
      </c>
      <c r="AK26" s="59">
        <f>'BaU Model'!AK23</f>
        <v>720131.56418090127</v>
      </c>
      <c r="AL26" s="59">
        <f>'BaU Model'!AL23</f>
        <v>720131.56418090127</v>
      </c>
    </row>
    <row r="27" spans="4:39">
      <c r="D27" t="s">
        <v>189</v>
      </c>
      <c r="E27" s="16" t="s">
        <v>145</v>
      </c>
      <c r="K27" s="59">
        <f>Inputs!E93/100*'Initiative 4 Model'!K26</f>
        <v>135100</v>
      </c>
      <c r="L27" s="59">
        <f>Inputs!F93/100*'Initiative 4 Model'!L26</f>
        <v>127569.3818</v>
      </c>
      <c r="M27" s="59">
        <f>Inputs!G93/100*'Initiative 4 Model'!M26</f>
        <v>133005.91119200003</v>
      </c>
      <c r="N27" s="59">
        <f>Inputs!H93/100*'Initiative 4 Model'!N26</f>
        <v>237779.16816639999</v>
      </c>
      <c r="O27" s="59">
        <f>Inputs!I93/100*'Initiative 4 Model'!O26</f>
        <v>0</v>
      </c>
      <c r="P27" s="59">
        <f>Inputs!J93/100*'Initiative 4 Model'!P26</f>
        <v>0</v>
      </c>
      <c r="Q27" s="59">
        <f>Q26-Q28-Q30</f>
        <v>0</v>
      </c>
      <c r="R27" s="59">
        <f t="shared" ref="R27:AL27" si="17">R26-R28-R30</f>
        <v>0</v>
      </c>
      <c r="S27" s="59">
        <f t="shared" si="17"/>
        <v>0</v>
      </c>
      <c r="T27" s="59">
        <f t="shared" si="17"/>
        <v>0</v>
      </c>
      <c r="U27" s="59">
        <f t="shared" si="17"/>
        <v>0</v>
      </c>
      <c r="V27" s="59">
        <f t="shared" si="17"/>
        <v>0</v>
      </c>
      <c r="W27" s="59">
        <f t="shared" si="17"/>
        <v>0</v>
      </c>
      <c r="X27" s="59">
        <f t="shared" si="17"/>
        <v>0</v>
      </c>
      <c r="Y27" s="59">
        <f t="shared" si="17"/>
        <v>0</v>
      </c>
      <c r="Z27" s="59">
        <f t="shared" si="17"/>
        <v>0</v>
      </c>
      <c r="AA27" s="59">
        <f t="shared" si="17"/>
        <v>0</v>
      </c>
      <c r="AB27" s="59">
        <f t="shared" si="17"/>
        <v>0</v>
      </c>
      <c r="AC27" s="59">
        <f t="shared" si="17"/>
        <v>110764.06418090127</v>
      </c>
      <c r="AD27" s="59">
        <f t="shared" si="17"/>
        <v>110764.06418090127</v>
      </c>
      <c r="AE27" s="59">
        <f t="shared" si="17"/>
        <v>110764.06418090127</v>
      </c>
      <c r="AF27" s="59">
        <f t="shared" si="17"/>
        <v>110126.56418090127</v>
      </c>
      <c r="AG27" s="59">
        <f t="shared" si="17"/>
        <v>110764.06418090127</v>
      </c>
      <c r="AH27" s="59">
        <f t="shared" si="17"/>
        <v>110764.06418090127</v>
      </c>
      <c r="AI27" s="59">
        <f t="shared" si="17"/>
        <v>110764.06418090127</v>
      </c>
      <c r="AJ27" s="59">
        <f t="shared" si="17"/>
        <v>110126.56418090127</v>
      </c>
      <c r="AK27" s="59">
        <f t="shared" si="17"/>
        <v>110764.06418090127</v>
      </c>
      <c r="AL27" s="59">
        <f t="shared" si="17"/>
        <v>110764.06418090127</v>
      </c>
      <c r="AM27" s="65">
        <f>SUM(M27:AL27)/1000</f>
        <v>1477.1507211674127</v>
      </c>
    </row>
    <row r="28" spans="4:39">
      <c r="D28" t="s">
        <v>144</v>
      </c>
      <c r="E28" s="16" t="s">
        <v>145</v>
      </c>
      <c r="K28" s="59">
        <f>Inputs!E89/100*'Initiative 4 Model'!K26</f>
        <v>57900</v>
      </c>
      <c r="L28" s="59">
        <f>Inputs!F89/100*'Initiative 4 Model'!L26</f>
        <v>54672.592200000006</v>
      </c>
      <c r="M28" s="59">
        <f>Inputs!G89/100*'Initiative 4 Model'!M26</f>
        <v>57002.533368000011</v>
      </c>
      <c r="N28" s="59">
        <f>Inputs!H89/100*'Initiative 4 Model'!N26</f>
        <v>237779.16816639999</v>
      </c>
      <c r="O28" s="59">
        <f>Inputs!I89/100*'Initiative 4 Model'!O26</f>
        <v>515651.50088976207</v>
      </c>
      <c r="P28" s="59">
        <f>IF((P26-P30)&lt;P19,P26-P30,P19)</f>
        <v>515651.50088976207</v>
      </c>
      <c r="Q28" s="59">
        <f t="shared" ref="Q28:AL28" si="18">IF((Q26-Q30)&lt;Q19,Q26-Q30,Q19)</f>
        <v>605806.50088976207</v>
      </c>
      <c r="R28" s="59">
        <f t="shared" si="18"/>
        <v>605806.50088976207</v>
      </c>
      <c r="S28" s="59">
        <f t="shared" si="18"/>
        <v>720131.56418090127</v>
      </c>
      <c r="T28" s="59">
        <f t="shared" si="18"/>
        <v>720131.56418090127</v>
      </c>
      <c r="U28" s="59">
        <f t="shared" si="18"/>
        <v>487444.06418090127</v>
      </c>
      <c r="V28" s="59">
        <f t="shared" si="18"/>
        <v>487444.06418090127</v>
      </c>
      <c r="W28" s="59">
        <f t="shared" si="18"/>
        <v>487444.06418090127</v>
      </c>
      <c r="X28" s="59">
        <f t="shared" si="18"/>
        <v>486806.56418090127</v>
      </c>
      <c r="Y28" s="59">
        <f t="shared" si="18"/>
        <v>487444.06418090127</v>
      </c>
      <c r="Z28" s="59">
        <f t="shared" si="18"/>
        <v>487444.06418090127</v>
      </c>
      <c r="AA28" s="59">
        <f t="shared" si="18"/>
        <v>487444.06418090127</v>
      </c>
      <c r="AB28" s="59">
        <f t="shared" si="18"/>
        <v>486806.56418090127</v>
      </c>
      <c r="AC28" s="59">
        <f t="shared" si="18"/>
        <v>376680</v>
      </c>
      <c r="AD28" s="59">
        <f t="shared" si="18"/>
        <v>376680</v>
      </c>
      <c r="AE28" s="59">
        <f t="shared" si="18"/>
        <v>376680</v>
      </c>
      <c r="AF28" s="59">
        <f t="shared" si="18"/>
        <v>376680</v>
      </c>
      <c r="AG28" s="59">
        <f t="shared" si="18"/>
        <v>376680</v>
      </c>
      <c r="AH28" s="59">
        <f t="shared" si="18"/>
        <v>376680</v>
      </c>
      <c r="AI28" s="59">
        <f t="shared" si="18"/>
        <v>376680</v>
      </c>
      <c r="AJ28" s="59">
        <f t="shared" si="18"/>
        <v>376680</v>
      </c>
      <c r="AK28" s="59">
        <f t="shared" si="18"/>
        <v>376680</v>
      </c>
      <c r="AL28" s="59">
        <f t="shared" si="18"/>
        <v>376680</v>
      </c>
    </row>
    <row r="29" spans="4:39">
      <c r="D29" t="s">
        <v>125</v>
      </c>
      <c r="E29" s="16" t="s">
        <v>145</v>
      </c>
      <c r="K29" s="59">
        <f>Inputs!E99/100*'Initiative 4 Model'!K26</f>
        <v>0</v>
      </c>
      <c r="L29" s="59">
        <f>Inputs!F99/100*'Initiative 4 Model'!L26</f>
        <v>0</v>
      </c>
      <c r="M29" s="59">
        <f>Inputs!G99/100*'Initiative 4 Model'!M26</f>
        <v>0</v>
      </c>
      <c r="N29" s="59">
        <f>Inputs!H99/100*'Initiative 4 Model'!N26</f>
        <v>0</v>
      </c>
      <c r="O29" s="59">
        <f>Inputs!I99/100*'Initiative 4 Model'!O26</f>
        <v>0</v>
      </c>
      <c r="P29" s="59"/>
      <c r="Q29" s="59"/>
      <c r="R29" s="59"/>
      <c r="S29" s="59"/>
      <c r="T29" s="59"/>
      <c r="U29" s="59"/>
      <c r="V29" s="59"/>
      <c r="W29" s="59"/>
      <c r="X29" s="59"/>
      <c r="Y29" s="59"/>
      <c r="Z29" s="59"/>
      <c r="AA29" s="59"/>
      <c r="AB29" s="59"/>
      <c r="AC29" s="59"/>
      <c r="AD29" s="59"/>
      <c r="AE29" s="59"/>
      <c r="AF29" s="59"/>
      <c r="AG29" s="59"/>
      <c r="AH29" s="59"/>
      <c r="AI29" s="59"/>
      <c r="AJ29" s="59"/>
      <c r="AK29" s="59"/>
      <c r="AL29" s="59"/>
    </row>
    <row r="30" spans="4:39">
      <c r="D30" t="s">
        <v>191</v>
      </c>
      <c r="E30" s="16" t="s">
        <v>145</v>
      </c>
      <c r="K30" s="59">
        <f>Inputs!E104/100*'Initiative 4 Model'!K26</f>
        <v>0</v>
      </c>
      <c r="L30" s="59">
        <f>Inputs!F104/100*'Initiative 4 Model'!L26</f>
        <v>0</v>
      </c>
      <c r="M30" s="59">
        <f>Inputs!G104/100*'Initiative 4 Model'!M26</f>
        <v>0</v>
      </c>
      <c r="N30" s="59">
        <f>Inputs!H104/100*'Initiative 4 Model'!N26</f>
        <v>0</v>
      </c>
      <c r="O30" s="59">
        <f>Inputs!I104/100*'Initiative 4 Model'!O26</f>
        <v>0</v>
      </c>
      <c r="P30" s="59">
        <f>Inputs!J104/100*'Initiative 4 Model'!P26</f>
        <v>0</v>
      </c>
      <c r="Q30" s="59">
        <f>Inputs!K104/100*'Initiative 4 Model'!Q26</f>
        <v>0</v>
      </c>
      <c r="R30" s="59">
        <f>Inputs!L104/100*'Initiative 4 Model'!R26</f>
        <v>0</v>
      </c>
      <c r="S30" s="59">
        <f>Inputs!M104/100*'Initiative 4 Model'!S26</f>
        <v>0</v>
      </c>
      <c r="T30" s="59">
        <f>Inputs!N104/100*'Initiative 4 Model'!T26</f>
        <v>0</v>
      </c>
      <c r="U30" s="59">
        <f>Inputs!$E$184*'Initiative 4 Model'!U11</f>
        <v>232687.5</v>
      </c>
      <c r="V30" s="59">
        <f>Inputs!$E$184*'Initiative 4 Model'!V11</f>
        <v>232687.5</v>
      </c>
      <c r="W30" s="59">
        <f>Inputs!$E$184*'Initiative 4 Model'!W11</f>
        <v>232687.5</v>
      </c>
      <c r="X30" s="59">
        <f>Inputs!$E$184*'Initiative 4 Model'!X11</f>
        <v>233325</v>
      </c>
      <c r="Y30" s="59">
        <f>Inputs!$E$184*'Initiative 4 Model'!Y11</f>
        <v>232687.5</v>
      </c>
      <c r="Z30" s="59">
        <f>Inputs!$E$184*'Initiative 4 Model'!Z11</f>
        <v>232687.5</v>
      </c>
      <c r="AA30" s="59">
        <f>Inputs!$E$184*'Initiative 4 Model'!AA11</f>
        <v>232687.5</v>
      </c>
      <c r="AB30" s="59">
        <f>Inputs!$E$184*'Initiative 4 Model'!AB11</f>
        <v>233325</v>
      </c>
      <c r="AC30" s="59">
        <f>Inputs!$E$184*'Initiative 4 Model'!AC11</f>
        <v>232687.5</v>
      </c>
      <c r="AD30" s="59">
        <f>Inputs!$E$184*'Initiative 4 Model'!AD11</f>
        <v>232687.5</v>
      </c>
      <c r="AE30" s="59">
        <f>Inputs!$E$184*'Initiative 4 Model'!AE11</f>
        <v>232687.5</v>
      </c>
      <c r="AF30" s="59">
        <f>Inputs!$E$184*'Initiative 4 Model'!AF11</f>
        <v>233325</v>
      </c>
      <c r="AG30" s="59">
        <f>Inputs!$E$184*'Initiative 4 Model'!AG11</f>
        <v>232687.5</v>
      </c>
      <c r="AH30" s="59">
        <f>Inputs!$E$184*'Initiative 4 Model'!AH11</f>
        <v>232687.5</v>
      </c>
      <c r="AI30" s="59">
        <f>Inputs!$E$184*'Initiative 4 Model'!AI11</f>
        <v>232687.5</v>
      </c>
      <c r="AJ30" s="59">
        <f>Inputs!$E$184*'Initiative 4 Model'!AJ11</f>
        <v>233325</v>
      </c>
      <c r="AK30" s="59">
        <f>Inputs!$E$184*'Initiative 4 Model'!AK11</f>
        <v>232687.5</v>
      </c>
      <c r="AL30" s="59">
        <f>Inputs!$E$184*'Initiative 4 Model'!AL11</f>
        <v>232687.5</v>
      </c>
    </row>
    <row r="31" spans="4:39">
      <c r="D31" t="s">
        <v>424</v>
      </c>
      <c r="E31" s="16" t="s">
        <v>145</v>
      </c>
      <c r="K31" s="59">
        <f>Inputs!E105/100*'Initiative 4 Model'!K27</f>
        <v>0</v>
      </c>
      <c r="L31" s="59">
        <f>Inputs!F105/100*'Initiative 4 Model'!L27</f>
        <v>0</v>
      </c>
      <c r="M31" s="59">
        <f>Inputs!G105/100*'Initiative 4 Model'!M27</f>
        <v>0</v>
      </c>
      <c r="N31" s="59">
        <f>Inputs!H105/100*'Initiative 4 Model'!N27</f>
        <v>0</v>
      </c>
      <c r="O31" s="59">
        <f>Inputs!I105/100*'Initiative 4 Model'!O27</f>
        <v>0</v>
      </c>
      <c r="P31" s="59">
        <f>Inputs!J105/100*'Initiative 4 Model'!P27</f>
        <v>0</v>
      </c>
      <c r="Q31" s="59">
        <f>Inputs!K105/100*'Initiative 4 Model'!Q27</f>
        <v>0</v>
      </c>
      <c r="R31" s="59">
        <f>Inputs!L105/100*'Initiative 4 Model'!R27</f>
        <v>0</v>
      </c>
      <c r="S31" s="59">
        <f>Inputs!M105/100*'Initiative 4 Model'!S27</f>
        <v>0</v>
      </c>
      <c r="T31" s="59">
        <f>Inputs!N105/100*'Initiative 4 Model'!T27</f>
        <v>0</v>
      </c>
      <c r="U31" s="59">
        <f>Inputs!$E$184*'Initiative 4 Model'!U12</f>
        <v>0</v>
      </c>
      <c r="V31" s="59">
        <f>Inputs!$E$184*'Initiative 4 Model'!V12</f>
        <v>0</v>
      </c>
      <c r="W31" s="59">
        <f>Inputs!$E$184*'Initiative 4 Model'!W12</f>
        <v>0</v>
      </c>
      <c r="X31" s="59">
        <f>Inputs!$E$184*'Initiative 4 Model'!X12</f>
        <v>0</v>
      </c>
      <c r="Y31" s="59">
        <f>Inputs!$E$184*'Initiative 4 Model'!Y12</f>
        <v>0</v>
      </c>
      <c r="Z31" s="59">
        <f>Inputs!$E$184*'Initiative 4 Model'!Z12</f>
        <v>0</v>
      </c>
      <c r="AA31" s="59">
        <f>Inputs!$E$184*'Initiative 4 Model'!AA12</f>
        <v>0</v>
      </c>
      <c r="AB31" s="59"/>
      <c r="AC31" s="59"/>
      <c r="AD31" s="59"/>
      <c r="AE31" s="59"/>
      <c r="AF31" s="59"/>
      <c r="AG31" s="59"/>
      <c r="AH31" s="59"/>
      <c r="AI31" s="59"/>
      <c r="AJ31" s="59"/>
      <c r="AK31" s="59"/>
      <c r="AL31" s="59"/>
    </row>
    <row r="32" spans="4:39" ht="15">
      <c r="D32" s="4" t="s">
        <v>311</v>
      </c>
    </row>
    <row r="33" spans="4:38">
      <c r="D33" t="s">
        <v>190</v>
      </c>
      <c r="E33" s="16" t="s">
        <v>156</v>
      </c>
      <c r="K33" s="59">
        <f>K26/K11</f>
        <v>528.76712328767121</v>
      </c>
      <c r="L33" s="59">
        <f t="shared" ref="L33:AL33" si="19">L26/L11</f>
        <v>497.92889071038257</v>
      </c>
      <c r="M33" s="59">
        <f t="shared" si="19"/>
        <v>520.57108098630147</v>
      </c>
      <c r="N33" s="59">
        <f t="shared" si="19"/>
        <v>1302.8995515967122</v>
      </c>
      <c r="O33" s="59">
        <f t="shared" si="19"/>
        <v>1412.7438380541428</v>
      </c>
      <c r="P33" s="59">
        <f t="shared" si="19"/>
        <v>1408.8838822124646</v>
      </c>
      <c r="Q33" s="59">
        <f t="shared" si="19"/>
        <v>1659.7438380541428</v>
      </c>
      <c r="R33" s="59">
        <f t="shared" si="19"/>
        <v>1659.7438380541428</v>
      </c>
      <c r="S33" s="59">
        <f t="shared" si="19"/>
        <v>1972.9631895367158</v>
      </c>
      <c r="T33" s="59">
        <f t="shared" si="19"/>
        <v>1967.5725797292384</v>
      </c>
      <c r="U33" s="59">
        <f t="shared" si="19"/>
        <v>1972.9631895367158</v>
      </c>
      <c r="V33" s="59">
        <f t="shared" si="19"/>
        <v>1972.9631895367158</v>
      </c>
      <c r="W33" s="59">
        <f t="shared" si="19"/>
        <v>1972.9631895367158</v>
      </c>
      <c r="X33" s="59">
        <f t="shared" si="19"/>
        <v>1967.5725797292384</v>
      </c>
      <c r="Y33" s="59">
        <f t="shared" si="19"/>
        <v>1972.9631895367158</v>
      </c>
      <c r="Z33" s="59">
        <f t="shared" si="19"/>
        <v>1972.9631895367158</v>
      </c>
      <c r="AA33" s="59">
        <f t="shared" si="19"/>
        <v>1972.9631895367158</v>
      </c>
      <c r="AB33" s="59">
        <f t="shared" si="19"/>
        <v>1967.5725797292384</v>
      </c>
      <c r="AC33" s="59">
        <f t="shared" si="19"/>
        <v>1972.9631895367158</v>
      </c>
      <c r="AD33" s="59">
        <f t="shared" si="19"/>
        <v>1972.9631895367158</v>
      </c>
      <c r="AE33" s="59">
        <f t="shared" si="19"/>
        <v>1972.9631895367158</v>
      </c>
      <c r="AF33" s="59">
        <f t="shared" si="19"/>
        <v>1967.5725797292384</v>
      </c>
      <c r="AG33" s="59">
        <f t="shared" si="19"/>
        <v>1972.9631895367158</v>
      </c>
      <c r="AH33" s="59">
        <f t="shared" si="19"/>
        <v>1972.9631895367158</v>
      </c>
      <c r="AI33" s="59">
        <f t="shared" si="19"/>
        <v>1972.9631895367158</v>
      </c>
      <c r="AJ33" s="59">
        <f t="shared" si="19"/>
        <v>1967.5725797292384</v>
      </c>
      <c r="AK33" s="59">
        <f t="shared" si="19"/>
        <v>1972.9631895367158</v>
      </c>
      <c r="AL33" s="59">
        <f t="shared" si="19"/>
        <v>1972.9631895367158</v>
      </c>
    </row>
    <row r="34" spans="4:38">
      <c r="D34" t="s">
        <v>189</v>
      </c>
      <c r="E34" s="16" t="s">
        <v>156</v>
      </c>
      <c r="K34" s="59">
        <f>K27/K11</f>
        <v>370.13698630136986</v>
      </c>
      <c r="L34" s="59">
        <f t="shared" ref="L34:AL34" si="20">L27/L11</f>
        <v>348.55022349726778</v>
      </c>
      <c r="M34" s="59">
        <f t="shared" si="20"/>
        <v>364.39975669041104</v>
      </c>
      <c r="N34" s="59">
        <f t="shared" si="20"/>
        <v>651.44977579835609</v>
      </c>
      <c r="O34" s="59">
        <f t="shared" si="20"/>
        <v>0</v>
      </c>
      <c r="P34" s="59">
        <f t="shared" si="20"/>
        <v>0</v>
      </c>
      <c r="Q34" s="59">
        <f t="shared" si="20"/>
        <v>0</v>
      </c>
      <c r="R34" s="59">
        <f t="shared" si="20"/>
        <v>0</v>
      </c>
      <c r="S34" s="59">
        <f t="shared" si="20"/>
        <v>0</v>
      </c>
      <c r="T34" s="59">
        <f t="shared" si="20"/>
        <v>0</v>
      </c>
      <c r="U34" s="59">
        <f t="shared" si="20"/>
        <v>0</v>
      </c>
      <c r="V34" s="59">
        <f t="shared" si="20"/>
        <v>0</v>
      </c>
      <c r="W34" s="59">
        <f t="shared" si="20"/>
        <v>0</v>
      </c>
      <c r="X34" s="59">
        <f t="shared" si="20"/>
        <v>0</v>
      </c>
      <c r="Y34" s="59">
        <f t="shared" si="20"/>
        <v>0</v>
      </c>
      <c r="Z34" s="59">
        <f t="shared" si="20"/>
        <v>0</v>
      </c>
      <c r="AA34" s="59">
        <f t="shared" si="20"/>
        <v>0</v>
      </c>
      <c r="AB34" s="59">
        <f t="shared" si="20"/>
        <v>0</v>
      </c>
      <c r="AC34" s="59">
        <f t="shared" si="20"/>
        <v>303.46318953671584</v>
      </c>
      <c r="AD34" s="59">
        <f t="shared" si="20"/>
        <v>303.46318953671584</v>
      </c>
      <c r="AE34" s="59">
        <f t="shared" si="20"/>
        <v>303.46318953671584</v>
      </c>
      <c r="AF34" s="59">
        <f t="shared" si="20"/>
        <v>300.89225186038601</v>
      </c>
      <c r="AG34" s="59">
        <f t="shared" si="20"/>
        <v>303.46318953671584</v>
      </c>
      <c r="AH34" s="59">
        <f t="shared" si="20"/>
        <v>303.46318953671584</v>
      </c>
      <c r="AI34" s="59">
        <f t="shared" si="20"/>
        <v>303.46318953671584</v>
      </c>
      <c r="AJ34" s="59">
        <f t="shared" si="20"/>
        <v>300.89225186038601</v>
      </c>
      <c r="AK34" s="59">
        <f t="shared" si="20"/>
        <v>303.46318953671584</v>
      </c>
      <c r="AL34" s="59">
        <f t="shared" si="20"/>
        <v>303.46318953671584</v>
      </c>
    </row>
    <row r="35" spans="4:38">
      <c r="D35" t="s">
        <v>144</v>
      </c>
      <c r="E35" s="16" t="s">
        <v>156</v>
      </c>
      <c r="K35" s="59">
        <f>K28/K11</f>
        <v>158.63013698630138</v>
      </c>
      <c r="L35" s="59">
        <f t="shared" ref="L35:AL35" si="21">L28/L11</f>
        <v>149.37866721311477</v>
      </c>
      <c r="M35" s="59">
        <f t="shared" si="21"/>
        <v>156.17132429589043</v>
      </c>
      <c r="N35" s="59">
        <f t="shared" si="21"/>
        <v>651.44977579835609</v>
      </c>
      <c r="O35" s="59">
        <f t="shared" si="21"/>
        <v>1412.7438380541428</v>
      </c>
      <c r="P35" s="59">
        <f t="shared" si="21"/>
        <v>1408.8838822124646</v>
      </c>
      <c r="Q35" s="59">
        <f t="shared" si="21"/>
        <v>1659.7438380541428</v>
      </c>
      <c r="R35" s="59">
        <f t="shared" si="21"/>
        <v>1659.7438380541428</v>
      </c>
      <c r="S35" s="59">
        <f t="shared" si="21"/>
        <v>1972.9631895367158</v>
      </c>
      <c r="T35" s="59">
        <f t="shared" si="21"/>
        <v>1967.5725797292384</v>
      </c>
      <c r="U35" s="59">
        <f t="shared" si="21"/>
        <v>1335.4631895367158</v>
      </c>
      <c r="V35" s="59">
        <f t="shared" si="21"/>
        <v>1335.4631895367158</v>
      </c>
      <c r="W35" s="59">
        <f t="shared" si="21"/>
        <v>1335.4631895367158</v>
      </c>
      <c r="X35" s="59">
        <f t="shared" si="21"/>
        <v>1330.0725797292384</v>
      </c>
      <c r="Y35" s="59">
        <f t="shared" si="21"/>
        <v>1335.4631895367158</v>
      </c>
      <c r="Z35" s="59">
        <f t="shared" si="21"/>
        <v>1335.4631895367158</v>
      </c>
      <c r="AA35" s="59">
        <f t="shared" si="21"/>
        <v>1335.4631895367158</v>
      </c>
      <c r="AB35" s="59">
        <f t="shared" si="21"/>
        <v>1330.0725797292384</v>
      </c>
      <c r="AC35" s="59">
        <f t="shared" si="21"/>
        <v>1032</v>
      </c>
      <c r="AD35" s="59">
        <f t="shared" si="21"/>
        <v>1032</v>
      </c>
      <c r="AE35" s="59">
        <f t="shared" si="21"/>
        <v>1032</v>
      </c>
      <c r="AF35" s="59">
        <f t="shared" si="21"/>
        <v>1029.1803278688524</v>
      </c>
      <c r="AG35" s="59">
        <f t="shared" si="21"/>
        <v>1032</v>
      </c>
      <c r="AH35" s="59">
        <f t="shared" si="21"/>
        <v>1032</v>
      </c>
      <c r="AI35" s="59">
        <f t="shared" si="21"/>
        <v>1032</v>
      </c>
      <c r="AJ35" s="59">
        <f t="shared" si="21"/>
        <v>1029.1803278688524</v>
      </c>
      <c r="AK35" s="59">
        <f t="shared" si="21"/>
        <v>1032</v>
      </c>
      <c r="AL35" s="59">
        <f t="shared" si="21"/>
        <v>1032</v>
      </c>
    </row>
    <row r="36" spans="4:38">
      <c r="D36" t="s">
        <v>125</v>
      </c>
      <c r="E36" s="16" t="s">
        <v>156</v>
      </c>
      <c r="K36" s="59">
        <f>K29/K11</f>
        <v>0</v>
      </c>
      <c r="L36" s="59">
        <f t="shared" ref="L36:AL36" si="22">L29/L11</f>
        <v>0</v>
      </c>
      <c r="M36" s="59">
        <f t="shared" si="22"/>
        <v>0</v>
      </c>
      <c r="N36" s="59">
        <f t="shared" si="22"/>
        <v>0</v>
      </c>
      <c r="O36" s="59">
        <f t="shared" si="22"/>
        <v>0</v>
      </c>
      <c r="P36" s="59">
        <f t="shared" si="22"/>
        <v>0</v>
      </c>
      <c r="Q36" s="59">
        <f t="shared" si="22"/>
        <v>0</v>
      </c>
      <c r="R36" s="59">
        <f t="shared" si="22"/>
        <v>0</v>
      </c>
      <c r="S36" s="59">
        <f t="shared" si="22"/>
        <v>0</v>
      </c>
      <c r="T36" s="59">
        <f t="shared" si="22"/>
        <v>0</v>
      </c>
      <c r="U36" s="59">
        <f t="shared" si="22"/>
        <v>0</v>
      </c>
      <c r="V36" s="59">
        <f t="shared" si="22"/>
        <v>0</v>
      </c>
      <c r="W36" s="59">
        <f t="shared" si="22"/>
        <v>0</v>
      </c>
      <c r="X36" s="59">
        <f t="shared" si="22"/>
        <v>0</v>
      </c>
      <c r="Y36" s="59">
        <f t="shared" si="22"/>
        <v>0</v>
      </c>
      <c r="Z36" s="59">
        <f t="shared" si="22"/>
        <v>0</v>
      </c>
      <c r="AA36" s="59">
        <f t="shared" si="22"/>
        <v>0</v>
      </c>
      <c r="AB36" s="59">
        <f t="shared" si="22"/>
        <v>0</v>
      </c>
      <c r="AC36" s="59">
        <f t="shared" si="22"/>
        <v>0</v>
      </c>
      <c r="AD36" s="59">
        <f t="shared" si="22"/>
        <v>0</v>
      </c>
      <c r="AE36" s="59">
        <f t="shared" si="22"/>
        <v>0</v>
      </c>
      <c r="AF36" s="59">
        <f t="shared" si="22"/>
        <v>0</v>
      </c>
      <c r="AG36" s="59">
        <f t="shared" si="22"/>
        <v>0</v>
      </c>
      <c r="AH36" s="59">
        <f t="shared" si="22"/>
        <v>0</v>
      </c>
      <c r="AI36" s="59">
        <f t="shared" si="22"/>
        <v>0</v>
      </c>
      <c r="AJ36" s="59">
        <f t="shared" si="22"/>
        <v>0</v>
      </c>
      <c r="AK36" s="59">
        <f t="shared" si="22"/>
        <v>0</v>
      </c>
      <c r="AL36" s="59">
        <f t="shared" si="22"/>
        <v>0</v>
      </c>
    </row>
    <row r="37" spans="4:38">
      <c r="D37" t="s">
        <v>191</v>
      </c>
      <c r="E37" s="16" t="s">
        <v>156</v>
      </c>
      <c r="K37" s="59">
        <f>K30/K11</f>
        <v>0</v>
      </c>
      <c r="L37" s="59">
        <f t="shared" ref="L37:AL37" si="23">L30/L11</f>
        <v>0</v>
      </c>
      <c r="M37" s="59">
        <f t="shared" si="23"/>
        <v>0</v>
      </c>
      <c r="N37" s="59">
        <f t="shared" si="23"/>
        <v>0</v>
      </c>
      <c r="O37" s="59">
        <f t="shared" si="23"/>
        <v>0</v>
      </c>
      <c r="P37" s="59">
        <f t="shared" si="23"/>
        <v>0</v>
      </c>
      <c r="Q37" s="59">
        <f t="shared" si="23"/>
        <v>0</v>
      </c>
      <c r="R37" s="59">
        <f t="shared" si="23"/>
        <v>0</v>
      </c>
      <c r="S37" s="59">
        <f t="shared" si="23"/>
        <v>0</v>
      </c>
      <c r="T37" s="59">
        <f t="shared" si="23"/>
        <v>0</v>
      </c>
      <c r="U37" s="59">
        <f t="shared" si="23"/>
        <v>637.5</v>
      </c>
      <c r="V37" s="59">
        <f t="shared" si="23"/>
        <v>637.5</v>
      </c>
      <c r="W37" s="59">
        <f t="shared" si="23"/>
        <v>637.5</v>
      </c>
      <c r="X37" s="59">
        <f t="shared" si="23"/>
        <v>637.5</v>
      </c>
      <c r="Y37" s="59">
        <f t="shared" si="23"/>
        <v>637.5</v>
      </c>
      <c r="Z37" s="59">
        <f t="shared" si="23"/>
        <v>637.5</v>
      </c>
      <c r="AA37" s="59">
        <f t="shared" si="23"/>
        <v>637.5</v>
      </c>
      <c r="AB37" s="59">
        <f t="shared" si="23"/>
        <v>637.5</v>
      </c>
      <c r="AC37" s="59">
        <f t="shared" si="23"/>
        <v>637.5</v>
      </c>
      <c r="AD37" s="59">
        <f t="shared" si="23"/>
        <v>637.5</v>
      </c>
      <c r="AE37" s="59">
        <f t="shared" si="23"/>
        <v>637.5</v>
      </c>
      <c r="AF37" s="59">
        <f t="shared" si="23"/>
        <v>637.5</v>
      </c>
      <c r="AG37" s="59">
        <f t="shared" si="23"/>
        <v>637.5</v>
      </c>
      <c r="AH37" s="59">
        <f t="shared" si="23"/>
        <v>637.5</v>
      </c>
      <c r="AI37" s="59">
        <f t="shared" si="23"/>
        <v>637.5</v>
      </c>
      <c r="AJ37" s="59">
        <f t="shared" si="23"/>
        <v>637.5</v>
      </c>
      <c r="AK37" s="59">
        <f t="shared" si="23"/>
        <v>637.5</v>
      </c>
      <c r="AL37" s="59">
        <f t="shared" si="23"/>
        <v>637.5</v>
      </c>
    </row>
    <row r="38" spans="4:38">
      <c r="D38" t="s">
        <v>424</v>
      </c>
      <c r="E38" s="16" t="s">
        <v>156</v>
      </c>
      <c r="K38" s="59">
        <f>K31/K11</f>
        <v>0</v>
      </c>
      <c r="L38" s="59">
        <f t="shared" ref="L38:AL38" si="24">L31/L11</f>
        <v>0</v>
      </c>
      <c r="M38" s="59">
        <f t="shared" si="24"/>
        <v>0</v>
      </c>
      <c r="N38" s="59">
        <f t="shared" si="24"/>
        <v>0</v>
      </c>
      <c r="O38" s="59">
        <f t="shared" si="24"/>
        <v>0</v>
      </c>
      <c r="P38" s="59">
        <f t="shared" si="24"/>
        <v>0</v>
      </c>
      <c r="Q38" s="59">
        <f t="shared" si="24"/>
        <v>0</v>
      </c>
      <c r="R38" s="59">
        <f t="shared" si="24"/>
        <v>0</v>
      </c>
      <c r="S38" s="59">
        <f t="shared" si="24"/>
        <v>0</v>
      </c>
      <c r="T38" s="59">
        <f t="shared" si="24"/>
        <v>0</v>
      </c>
      <c r="U38" s="59">
        <f t="shared" si="24"/>
        <v>0</v>
      </c>
      <c r="V38" s="59">
        <f t="shared" si="24"/>
        <v>0</v>
      </c>
      <c r="W38" s="59">
        <f t="shared" si="24"/>
        <v>0</v>
      </c>
      <c r="X38" s="59">
        <f t="shared" si="24"/>
        <v>0</v>
      </c>
      <c r="Y38" s="59">
        <f t="shared" si="24"/>
        <v>0</v>
      </c>
      <c r="Z38" s="59">
        <f t="shared" si="24"/>
        <v>0</v>
      </c>
      <c r="AA38" s="59">
        <f t="shared" si="24"/>
        <v>0</v>
      </c>
      <c r="AB38" s="59">
        <f t="shared" si="24"/>
        <v>0</v>
      </c>
      <c r="AC38" s="59">
        <f t="shared" si="24"/>
        <v>0</v>
      </c>
      <c r="AD38" s="59">
        <f t="shared" si="24"/>
        <v>0</v>
      </c>
      <c r="AE38" s="59">
        <f t="shared" si="24"/>
        <v>0</v>
      </c>
      <c r="AF38" s="59">
        <f t="shared" si="24"/>
        <v>0</v>
      </c>
      <c r="AG38" s="59">
        <f t="shared" si="24"/>
        <v>0</v>
      </c>
      <c r="AH38" s="59">
        <f t="shared" si="24"/>
        <v>0</v>
      </c>
      <c r="AI38" s="59">
        <f t="shared" si="24"/>
        <v>0</v>
      </c>
      <c r="AJ38" s="59">
        <f t="shared" si="24"/>
        <v>0</v>
      </c>
      <c r="AK38" s="59">
        <f t="shared" si="24"/>
        <v>0</v>
      </c>
      <c r="AL38" s="59">
        <f t="shared" si="24"/>
        <v>0</v>
      </c>
    </row>
    <row r="39" spans="4:38" ht="15">
      <c r="D39" s="4" t="s">
        <v>194</v>
      </c>
    </row>
    <row r="40" spans="4:38">
      <c r="D40" t="s">
        <v>189</v>
      </c>
      <c r="E40" s="16" t="s">
        <v>195</v>
      </c>
      <c r="K40" s="60">
        <f>K27/Inputs!F34</f>
        <v>4.48E-2</v>
      </c>
    </row>
    <row r="41" spans="4:38">
      <c r="D41" t="s">
        <v>144</v>
      </c>
      <c r="E41" s="16" t="s">
        <v>195</v>
      </c>
      <c r="K41" s="61">
        <f>K28/Inputs!F34</f>
        <v>1.9199999999999998E-2</v>
      </c>
    </row>
    <row r="42" spans="4:38">
      <c r="D42" t="s">
        <v>125</v>
      </c>
      <c r="E42" s="16" t="s">
        <v>195</v>
      </c>
      <c r="K42" s="62"/>
    </row>
    <row r="43" spans="4:38">
      <c r="D43" t="s">
        <v>191</v>
      </c>
      <c r="E43" s="16" t="s">
        <v>195</v>
      </c>
      <c r="K43" s="62"/>
    </row>
    <row r="44" spans="4:38">
      <c r="E44" s="16"/>
      <c r="K44" s="66"/>
    </row>
    <row r="45" spans="4:38" ht="18">
      <c r="D45" s="15" t="s">
        <v>226</v>
      </c>
    </row>
    <row r="46" spans="4:38" ht="15">
      <c r="D46" s="4" t="s">
        <v>212</v>
      </c>
      <c r="E46" s="16" t="s">
        <v>145</v>
      </c>
      <c r="K46" s="116">
        <f>K26*Inputs!E117</f>
        <v>67550</v>
      </c>
      <c r="L46" s="116">
        <f>L26*Inputs!F117</f>
        <v>63784.690900000001</v>
      </c>
      <c r="M46" s="116">
        <f>M26*Inputs!G117</f>
        <v>66502.955596000014</v>
      </c>
      <c r="N46" s="116">
        <f>N26*Inputs!H117</f>
        <v>166445.41771647998</v>
      </c>
      <c r="O46" s="116">
        <f>O26*Inputs!I117</f>
        <v>180478.02531141671</v>
      </c>
      <c r="P46" s="116">
        <f>P26*Inputs!$J$117</f>
        <v>180478.02531141671</v>
      </c>
      <c r="Q46" s="116">
        <f>Q26*Inputs!$J$117</f>
        <v>212032.27531141671</v>
      </c>
      <c r="R46" s="116">
        <f>R26*Inputs!$J$117</f>
        <v>212032.27531141671</v>
      </c>
      <c r="S46" s="116">
        <f>S26*Inputs!$J$117</f>
        <v>252046.04746331542</v>
      </c>
      <c r="T46" s="116">
        <f>T26*Inputs!$J$117</f>
        <v>252046.04746331542</v>
      </c>
      <c r="U46" s="116">
        <f>U26*Inputs!$J$117</f>
        <v>252046.04746331542</v>
      </c>
      <c r="V46" s="116">
        <f>V26*Inputs!$J$117</f>
        <v>252046.04746331542</v>
      </c>
      <c r="W46" s="116">
        <f>W26*Inputs!$J$117</f>
        <v>252046.04746331542</v>
      </c>
      <c r="X46" s="116">
        <f>X26*Inputs!$J$117</f>
        <v>252046.04746331542</v>
      </c>
      <c r="Y46" s="116">
        <f>Y26*Inputs!$J$117</f>
        <v>252046.04746331542</v>
      </c>
      <c r="Z46" s="116">
        <f>Z26*Inputs!$J$117</f>
        <v>252046.04746331542</v>
      </c>
      <c r="AA46" s="116">
        <f>AA26*Inputs!$J$117</f>
        <v>252046.04746331542</v>
      </c>
      <c r="AB46" s="116">
        <f>AB26*Inputs!$J$117</f>
        <v>252046.04746331542</v>
      </c>
      <c r="AC46" s="116">
        <f>AC26*Inputs!$J$117</f>
        <v>252046.04746331542</v>
      </c>
      <c r="AD46" s="116">
        <f>AD26*Inputs!$J$117</f>
        <v>252046.04746331542</v>
      </c>
      <c r="AE46" s="116">
        <f>AE26*Inputs!$J$117</f>
        <v>252046.04746331542</v>
      </c>
      <c r="AF46" s="116">
        <f>AF26*Inputs!$J$117</f>
        <v>252046.04746331542</v>
      </c>
      <c r="AG46" s="116">
        <f>AG26*Inputs!$J$117</f>
        <v>252046.04746331542</v>
      </c>
      <c r="AH46" s="116">
        <f>AH26*Inputs!$J$117</f>
        <v>252046.04746331542</v>
      </c>
      <c r="AI46" s="116">
        <f>AI26*Inputs!$J$117</f>
        <v>252046.04746331542</v>
      </c>
      <c r="AJ46" s="116">
        <f>AJ26*Inputs!$J$117</f>
        <v>252046.04746331542</v>
      </c>
      <c r="AK46" s="116">
        <f>AK26*Inputs!$J$117</f>
        <v>252046.04746331542</v>
      </c>
      <c r="AL46" s="116">
        <f>AL26*Inputs!$J$117</f>
        <v>252046.04746331542</v>
      </c>
    </row>
    <row r="47" spans="4:38">
      <c r="D47" s="7" t="s">
        <v>122</v>
      </c>
      <c r="E47" s="16" t="s">
        <v>145</v>
      </c>
      <c r="K47" s="116">
        <f>(K46*Inputs!E118)*Inputs!E120</f>
        <v>48804.875</v>
      </c>
      <c r="L47" s="116">
        <f>(L46*Inputs!F118)*Inputs!F120</f>
        <v>46084.439175250001</v>
      </c>
      <c r="M47" s="116">
        <f>(M46*Inputs!G118)*Inputs!G120</f>
        <v>48048.385418110011</v>
      </c>
      <c r="N47" s="116">
        <f>(N46*Inputs!H118)*Inputs!H120</f>
        <v>120256.81430015677</v>
      </c>
      <c r="O47" s="116">
        <f>(O46*Inputs!I118)*Inputs!I120</f>
        <v>130395.37328749857</v>
      </c>
      <c r="P47" s="116">
        <f>(P46*Inputs!$J$118)*Inputs!$J$120</f>
        <v>130395.37328749857</v>
      </c>
      <c r="Q47" s="116">
        <f>(Q46*Inputs!$J$118)*Inputs!$J$120</f>
        <v>153193.31891249857</v>
      </c>
      <c r="R47" s="116">
        <f>(R46*Inputs!$J$118)*Inputs!$J$120</f>
        <v>153193.31891249857</v>
      </c>
      <c r="S47" s="116">
        <f>(S46*Inputs!$J$118)*Inputs!$J$120</f>
        <v>182103.26929224539</v>
      </c>
      <c r="T47" s="116">
        <f>(T46*Inputs!$J$118)*Inputs!$J$120</f>
        <v>182103.26929224539</v>
      </c>
      <c r="U47" s="116">
        <f>(U46*Inputs!$J$118)*Inputs!$J$120</f>
        <v>182103.26929224539</v>
      </c>
      <c r="V47" s="116">
        <f>(V46*Inputs!$J$118)*Inputs!$J$120</f>
        <v>182103.26929224539</v>
      </c>
      <c r="W47" s="116">
        <f>(W46*Inputs!$J$118)*Inputs!$J$120</f>
        <v>182103.26929224539</v>
      </c>
      <c r="X47" s="116">
        <f>(X46*Inputs!$J$118)*Inputs!$J$120</f>
        <v>182103.26929224539</v>
      </c>
      <c r="Y47" s="116">
        <f>(Y46*Inputs!$J$118)*Inputs!$J$120</f>
        <v>182103.26929224539</v>
      </c>
      <c r="Z47" s="116">
        <f>(Z46*Inputs!$J$118)*Inputs!$J$120</f>
        <v>182103.26929224539</v>
      </c>
      <c r="AA47" s="116">
        <f>(AA46*Inputs!$J$118)*Inputs!$J$120</f>
        <v>182103.26929224539</v>
      </c>
      <c r="AB47" s="116">
        <f>(AB46*Inputs!$J$118)*Inputs!$J$120</f>
        <v>182103.26929224539</v>
      </c>
      <c r="AC47" s="116">
        <f>(AC46*Inputs!$J$118)*Inputs!$J$120</f>
        <v>182103.26929224539</v>
      </c>
      <c r="AD47" s="116">
        <f>(AD46*Inputs!$J$118)*Inputs!$J$120</f>
        <v>182103.26929224539</v>
      </c>
      <c r="AE47" s="116">
        <f>(AE46*Inputs!$J$118)*Inputs!$J$120</f>
        <v>182103.26929224539</v>
      </c>
      <c r="AF47" s="116">
        <f>(AF46*Inputs!$J$118)*Inputs!$J$120</f>
        <v>182103.26929224539</v>
      </c>
      <c r="AG47" s="116">
        <f>(AG46*Inputs!$J$118)*Inputs!$J$120</f>
        <v>182103.26929224539</v>
      </c>
      <c r="AH47" s="116">
        <f>(AH46*Inputs!$J$118)*Inputs!$J$120</f>
        <v>182103.26929224539</v>
      </c>
      <c r="AI47" s="116">
        <f>(AI46*Inputs!$J$118)*Inputs!$J$120</f>
        <v>182103.26929224539</v>
      </c>
      <c r="AJ47" s="116">
        <f>(AJ46*Inputs!$J$118)*Inputs!$J$120</f>
        <v>182103.26929224539</v>
      </c>
      <c r="AK47" s="116">
        <f>(AK46*Inputs!$J$118)*Inputs!$J$120</f>
        <v>182103.26929224539</v>
      </c>
      <c r="AL47" s="116">
        <f>(AL46*Inputs!$J$118)*Inputs!$J$120</f>
        <v>182103.26929224539</v>
      </c>
    </row>
    <row r="48" spans="4:38">
      <c r="D48" s="7" t="s">
        <v>219</v>
      </c>
      <c r="E48" s="16" t="s">
        <v>145</v>
      </c>
      <c r="K48" s="116">
        <f>K46*Inputs!E119</f>
        <v>10132.5</v>
      </c>
      <c r="L48" s="116">
        <f>L46*Inputs!F119</f>
        <v>9567.7036349999998</v>
      </c>
      <c r="M48" s="116">
        <f>M46*Inputs!G119</f>
        <v>9975.4433394000025</v>
      </c>
      <c r="N48" s="116">
        <f>N46*Inputs!H119</f>
        <v>24966.812657471997</v>
      </c>
      <c r="O48" s="116">
        <f>O46*Inputs!I119</f>
        <v>27071.703796712507</v>
      </c>
      <c r="P48" s="116">
        <f>P46*Inputs!$J$119</f>
        <v>27071.703796712507</v>
      </c>
      <c r="Q48" s="116">
        <f>Q46*Inputs!$J$119</f>
        <v>31804.841296712504</v>
      </c>
      <c r="R48" s="116">
        <f>R46*Inputs!$J$119</f>
        <v>31804.841296712504</v>
      </c>
      <c r="S48" s="116">
        <f>S46*Inputs!$J$119</f>
        <v>37806.907119497315</v>
      </c>
      <c r="T48" s="116">
        <f>T46*Inputs!$J$119</f>
        <v>37806.907119497315</v>
      </c>
      <c r="U48" s="116">
        <f>U46*Inputs!$J$119</f>
        <v>37806.907119497315</v>
      </c>
      <c r="V48" s="116">
        <f>V46*Inputs!$J$119</f>
        <v>37806.907119497315</v>
      </c>
      <c r="W48" s="116">
        <f>W46*Inputs!$J$119</f>
        <v>37806.907119497315</v>
      </c>
      <c r="X48" s="116">
        <f>X46*Inputs!$J$119</f>
        <v>37806.907119497315</v>
      </c>
      <c r="Y48" s="116">
        <f>Y46*Inputs!$J$119</f>
        <v>37806.907119497315</v>
      </c>
      <c r="Z48" s="116">
        <f>Z46*Inputs!$J$119</f>
        <v>37806.907119497315</v>
      </c>
      <c r="AA48" s="116">
        <f>AA46*Inputs!$J$119</f>
        <v>37806.907119497315</v>
      </c>
      <c r="AB48" s="116">
        <f>AB46*Inputs!$J$119</f>
        <v>37806.907119497315</v>
      </c>
      <c r="AC48" s="116">
        <f>AC46*Inputs!$J$119</f>
        <v>37806.907119497315</v>
      </c>
      <c r="AD48" s="116">
        <f>AD46*Inputs!$J$119</f>
        <v>37806.907119497315</v>
      </c>
      <c r="AE48" s="116">
        <f>AE46*Inputs!$J$119</f>
        <v>37806.907119497315</v>
      </c>
      <c r="AF48" s="116">
        <f>AF46*Inputs!$J$119</f>
        <v>37806.907119497315</v>
      </c>
      <c r="AG48" s="116">
        <f>AG46*Inputs!$J$119</f>
        <v>37806.907119497315</v>
      </c>
      <c r="AH48" s="116">
        <f>AH46*Inputs!$J$119</f>
        <v>37806.907119497315</v>
      </c>
      <c r="AI48" s="116">
        <f>AI46*Inputs!$J$119</f>
        <v>37806.907119497315</v>
      </c>
      <c r="AJ48" s="116">
        <f>AJ46*Inputs!$J$119</f>
        <v>37806.907119497315</v>
      </c>
      <c r="AK48" s="116">
        <f>AK46*Inputs!$J$119</f>
        <v>37806.907119497315</v>
      </c>
      <c r="AL48" s="116">
        <f>AL46*Inputs!$J$119</f>
        <v>37806.907119497315</v>
      </c>
    </row>
    <row r="49" spans="4:39" ht="15">
      <c r="D49" s="131" t="s">
        <v>227</v>
      </c>
      <c r="E49" s="16" t="s">
        <v>145</v>
      </c>
      <c r="K49" s="116">
        <f>K26*Inputs!E114</f>
        <v>115800</v>
      </c>
      <c r="L49" s="116">
        <f>L26*Inputs!F114</f>
        <v>109345.18440000001</v>
      </c>
      <c r="M49" s="116">
        <f>M26*Inputs!G114</f>
        <v>114005.06673600002</v>
      </c>
      <c r="N49" s="116">
        <f>N26*Inputs!H114</f>
        <v>285335.00179968</v>
      </c>
      <c r="O49" s="116">
        <f>O26*Inputs!I114</f>
        <v>309390.90053385723</v>
      </c>
      <c r="P49" s="116">
        <f>P26*Inputs!$J$114</f>
        <v>309390.90053385723</v>
      </c>
      <c r="Q49" s="116">
        <f>Q26*Inputs!$J$114</f>
        <v>363483.90053385723</v>
      </c>
      <c r="R49" s="116">
        <f>R26*Inputs!$J$114</f>
        <v>363483.90053385723</v>
      </c>
      <c r="S49" s="116">
        <f>S26*Inputs!$J$114</f>
        <v>432078.93850854074</v>
      </c>
      <c r="T49" s="116">
        <f>T26*Inputs!$J$114</f>
        <v>432078.93850854074</v>
      </c>
      <c r="U49" s="116">
        <f>U26*Inputs!$J$114</f>
        <v>432078.93850854074</v>
      </c>
      <c r="V49" s="116">
        <f>V26*Inputs!$J$114</f>
        <v>432078.93850854074</v>
      </c>
      <c r="W49" s="116">
        <f>W26*Inputs!$J$114</f>
        <v>432078.93850854074</v>
      </c>
      <c r="X49" s="116">
        <f>X26*Inputs!$J$114</f>
        <v>432078.93850854074</v>
      </c>
      <c r="Y49" s="116">
        <f>Y26*Inputs!$J$114</f>
        <v>432078.93850854074</v>
      </c>
      <c r="Z49" s="116">
        <f>Z26*Inputs!$J$114</f>
        <v>432078.93850854074</v>
      </c>
      <c r="AA49" s="116">
        <f>AA26*Inputs!$J$114</f>
        <v>432078.93850854074</v>
      </c>
      <c r="AB49" s="116">
        <f>AB26*Inputs!$J$114</f>
        <v>432078.93850854074</v>
      </c>
      <c r="AC49" s="116">
        <f>AC26*Inputs!$J$114</f>
        <v>432078.93850854074</v>
      </c>
      <c r="AD49" s="116">
        <f>AD26*Inputs!$J$114</f>
        <v>432078.93850854074</v>
      </c>
      <c r="AE49" s="116">
        <f>AE26*Inputs!$J$114</f>
        <v>432078.93850854074</v>
      </c>
      <c r="AF49" s="116">
        <f>AF26*Inputs!$J$114</f>
        <v>432078.93850854074</v>
      </c>
      <c r="AG49" s="116">
        <f>AG26*Inputs!$J$114</f>
        <v>432078.93850854074</v>
      </c>
      <c r="AH49" s="116">
        <f>AH26*Inputs!$J$114</f>
        <v>432078.93850854074</v>
      </c>
      <c r="AI49" s="116">
        <f>AI26*Inputs!$J$114</f>
        <v>432078.93850854074</v>
      </c>
      <c r="AJ49" s="116">
        <f>AJ26*Inputs!$J$114</f>
        <v>432078.93850854074</v>
      </c>
      <c r="AK49" s="116">
        <f>AK26*Inputs!$J$114</f>
        <v>432078.93850854074</v>
      </c>
      <c r="AL49" s="116">
        <f>AL26*Inputs!$J$114</f>
        <v>432078.93850854074</v>
      </c>
    </row>
    <row r="50" spans="4:39">
      <c r="D50" s="63" t="s">
        <v>394</v>
      </c>
      <c r="E50" s="16" t="s">
        <v>145</v>
      </c>
      <c r="J50" s="65"/>
      <c r="K50" s="116">
        <f>K49*Inputs!E115</f>
        <v>11580</v>
      </c>
      <c r="L50" s="116">
        <f>L49*Inputs!F115</f>
        <v>10934.518440000002</v>
      </c>
      <c r="M50" s="116">
        <f>M49*Inputs!G115</f>
        <v>11400.506673600003</v>
      </c>
      <c r="N50" s="116">
        <f>N49*Inputs!H115</f>
        <v>28533.500179968003</v>
      </c>
      <c r="O50" s="116">
        <f>O49*Inputs!I115</f>
        <v>30939.090053385724</v>
      </c>
      <c r="P50" s="116">
        <f>P49*Inputs!J115</f>
        <v>30939.090053385724</v>
      </c>
      <c r="Q50" s="116">
        <f>P50</f>
        <v>30939.090053385724</v>
      </c>
      <c r="R50" s="116">
        <f t="shared" ref="R50:AL50" si="25">Q50</f>
        <v>30939.090053385724</v>
      </c>
      <c r="S50" s="116">
        <f t="shared" si="25"/>
        <v>30939.090053385724</v>
      </c>
      <c r="T50" s="116">
        <f t="shared" si="25"/>
        <v>30939.090053385724</v>
      </c>
      <c r="U50" s="116">
        <f t="shared" si="25"/>
        <v>30939.090053385724</v>
      </c>
      <c r="V50" s="116">
        <f t="shared" si="25"/>
        <v>30939.090053385724</v>
      </c>
      <c r="W50" s="116">
        <f t="shared" si="25"/>
        <v>30939.090053385724</v>
      </c>
      <c r="X50" s="116">
        <f t="shared" si="25"/>
        <v>30939.090053385724</v>
      </c>
      <c r="Y50" s="116">
        <f t="shared" si="25"/>
        <v>30939.090053385724</v>
      </c>
      <c r="Z50" s="116">
        <f t="shared" si="25"/>
        <v>30939.090053385724</v>
      </c>
      <c r="AA50" s="116">
        <f t="shared" si="25"/>
        <v>30939.090053385724</v>
      </c>
      <c r="AB50" s="116">
        <f t="shared" si="25"/>
        <v>30939.090053385724</v>
      </c>
      <c r="AC50" s="116">
        <f t="shared" si="25"/>
        <v>30939.090053385724</v>
      </c>
      <c r="AD50" s="116">
        <f t="shared" si="25"/>
        <v>30939.090053385724</v>
      </c>
      <c r="AE50" s="116">
        <f t="shared" si="25"/>
        <v>30939.090053385724</v>
      </c>
      <c r="AF50" s="116">
        <f t="shared" si="25"/>
        <v>30939.090053385724</v>
      </c>
      <c r="AG50" s="116">
        <f t="shared" si="25"/>
        <v>30939.090053385724</v>
      </c>
      <c r="AH50" s="116">
        <f t="shared" si="25"/>
        <v>30939.090053385724</v>
      </c>
      <c r="AI50" s="116">
        <f t="shared" si="25"/>
        <v>30939.090053385724</v>
      </c>
      <c r="AJ50" s="116">
        <f t="shared" si="25"/>
        <v>30939.090053385724</v>
      </c>
      <c r="AK50" s="116">
        <f t="shared" si="25"/>
        <v>30939.090053385724</v>
      </c>
      <c r="AL50" s="116">
        <f t="shared" si="25"/>
        <v>30939.090053385724</v>
      </c>
    </row>
    <row r="51" spans="4:39">
      <c r="D51" s="63" t="s">
        <v>395</v>
      </c>
      <c r="E51" s="16" t="s">
        <v>145</v>
      </c>
      <c r="J51" s="65"/>
      <c r="K51" s="116">
        <f>Inputs!E116*K49</f>
        <v>104220</v>
      </c>
      <c r="L51" s="116">
        <f>Inputs!F116*L49</f>
        <v>98410.665960000013</v>
      </c>
      <c r="M51" s="116">
        <f>Inputs!G116*M49</f>
        <v>102604.56006240002</v>
      </c>
      <c r="N51" s="116">
        <f>Inputs!H116*N49</f>
        <v>256801.50161971201</v>
      </c>
      <c r="O51" s="116">
        <f>Inputs!I116*O49</f>
        <v>278451.81048047153</v>
      </c>
      <c r="P51" s="116">
        <f>Inputs!J116*P49</f>
        <v>278451.81048047153</v>
      </c>
      <c r="Q51" s="116">
        <f t="shared" ref="Q51:AL51" si="26">P51</f>
        <v>278451.81048047153</v>
      </c>
      <c r="R51" s="116">
        <f t="shared" si="26"/>
        <v>278451.81048047153</v>
      </c>
      <c r="S51" s="116">
        <f t="shared" si="26"/>
        <v>278451.81048047153</v>
      </c>
      <c r="T51" s="116">
        <f t="shared" si="26"/>
        <v>278451.81048047153</v>
      </c>
      <c r="U51" s="116">
        <f t="shared" si="26"/>
        <v>278451.81048047153</v>
      </c>
      <c r="V51" s="116">
        <f t="shared" si="26"/>
        <v>278451.81048047153</v>
      </c>
      <c r="W51" s="116">
        <f t="shared" si="26"/>
        <v>278451.81048047153</v>
      </c>
      <c r="X51" s="116">
        <f t="shared" si="26"/>
        <v>278451.81048047153</v>
      </c>
      <c r="Y51" s="116">
        <f t="shared" si="26"/>
        <v>278451.81048047153</v>
      </c>
      <c r="Z51" s="116">
        <f t="shared" si="26"/>
        <v>278451.81048047153</v>
      </c>
      <c r="AA51" s="116">
        <f t="shared" si="26"/>
        <v>278451.81048047153</v>
      </c>
      <c r="AB51" s="116">
        <f t="shared" si="26"/>
        <v>278451.81048047153</v>
      </c>
      <c r="AC51" s="116">
        <f t="shared" si="26"/>
        <v>278451.81048047153</v>
      </c>
      <c r="AD51" s="116">
        <f t="shared" si="26"/>
        <v>278451.81048047153</v>
      </c>
      <c r="AE51" s="116">
        <f t="shared" si="26"/>
        <v>278451.81048047153</v>
      </c>
      <c r="AF51" s="116">
        <f t="shared" si="26"/>
        <v>278451.81048047153</v>
      </c>
      <c r="AG51" s="116">
        <f t="shared" si="26"/>
        <v>278451.81048047153</v>
      </c>
      <c r="AH51" s="116">
        <f t="shared" si="26"/>
        <v>278451.81048047153</v>
      </c>
      <c r="AI51" s="116">
        <f t="shared" si="26"/>
        <v>278451.81048047153</v>
      </c>
      <c r="AJ51" s="116">
        <f t="shared" si="26"/>
        <v>278451.81048047153</v>
      </c>
      <c r="AK51" s="116">
        <f t="shared" si="26"/>
        <v>278451.81048047153</v>
      </c>
      <c r="AL51" s="116">
        <f t="shared" si="26"/>
        <v>278451.81048047153</v>
      </c>
    </row>
    <row r="52" spans="4:39" ht="15">
      <c r="D52" s="4" t="s">
        <v>228</v>
      </c>
      <c r="E52" s="16" t="s">
        <v>145</v>
      </c>
      <c r="K52" s="116">
        <f>K26*Inputs!E113</f>
        <v>9650</v>
      </c>
      <c r="L52" s="116">
        <f>L26*Inputs!F113</f>
        <v>9112.0987000000005</v>
      </c>
      <c r="M52" s="116">
        <f>M26*Inputs!G113</f>
        <v>9500.4222280000013</v>
      </c>
      <c r="N52" s="116">
        <f>N26*Inputs!H113</f>
        <v>23777.916816640001</v>
      </c>
      <c r="O52" s="116">
        <f>O26*Inputs!I113</f>
        <v>25782.575044488105</v>
      </c>
      <c r="P52" s="116">
        <f>P26*Inputs!$J$113</f>
        <v>25782.575044488105</v>
      </c>
      <c r="Q52" s="116">
        <f>Q26*Inputs!$J$113</f>
        <v>30290.325044488105</v>
      </c>
      <c r="R52" s="116">
        <f>R26*Inputs!$J$113</f>
        <v>30290.325044488105</v>
      </c>
      <c r="S52" s="116">
        <f>S26*Inputs!$J$113</f>
        <v>36006.578209045067</v>
      </c>
      <c r="T52" s="116">
        <f>T26*Inputs!$J$113</f>
        <v>36006.578209045067</v>
      </c>
      <c r="U52" s="116">
        <f>U26*Inputs!$J$113</f>
        <v>36006.578209045067</v>
      </c>
      <c r="V52" s="116">
        <f>V26*Inputs!$J$113</f>
        <v>36006.578209045067</v>
      </c>
      <c r="W52" s="116">
        <f>W26*Inputs!$J$113</f>
        <v>36006.578209045067</v>
      </c>
      <c r="X52" s="116">
        <f>X26*Inputs!$J$113</f>
        <v>36006.578209045067</v>
      </c>
      <c r="Y52" s="116">
        <f>Y26*Inputs!$J$113</f>
        <v>36006.578209045067</v>
      </c>
      <c r="Z52" s="116">
        <f>Z26*Inputs!$J$113</f>
        <v>36006.578209045067</v>
      </c>
      <c r="AA52" s="116">
        <f>AA26*Inputs!$J$113</f>
        <v>36006.578209045067</v>
      </c>
      <c r="AB52" s="116">
        <f>AB26*Inputs!$J$113</f>
        <v>36006.578209045067</v>
      </c>
      <c r="AC52" s="116">
        <f>AC26*Inputs!$J$113</f>
        <v>36006.578209045067</v>
      </c>
      <c r="AD52" s="116">
        <f>AD26*Inputs!$J$113</f>
        <v>36006.578209045067</v>
      </c>
      <c r="AE52" s="116">
        <f>AE26*Inputs!$J$113</f>
        <v>36006.578209045067</v>
      </c>
      <c r="AF52" s="116">
        <f>AF26*Inputs!$J$113</f>
        <v>36006.578209045067</v>
      </c>
      <c r="AG52" s="116">
        <f>AG26*Inputs!$J$113</f>
        <v>36006.578209045067</v>
      </c>
      <c r="AH52" s="116">
        <f>AH26*Inputs!$J$113</f>
        <v>36006.578209045067</v>
      </c>
      <c r="AI52" s="116">
        <f>AI26*Inputs!$J$113</f>
        <v>36006.578209045067</v>
      </c>
      <c r="AJ52" s="116">
        <f>AJ26*Inputs!$J$113</f>
        <v>36006.578209045067</v>
      </c>
      <c r="AK52" s="116">
        <f>AK26*Inputs!$J$113</f>
        <v>36006.578209045067</v>
      </c>
      <c r="AL52" s="116">
        <f>AL26*Inputs!$J$113</f>
        <v>36006.578209045067</v>
      </c>
    </row>
    <row r="53" spans="4:39">
      <c r="N53" s="65"/>
    </row>
    <row r="54" spans="4:39" ht="24" thickBot="1">
      <c r="D54" s="57" t="s">
        <v>230</v>
      </c>
    </row>
    <row r="55" spans="4:39" ht="15">
      <c r="D55" s="4" t="s">
        <v>236</v>
      </c>
      <c r="E55" s="16" t="s">
        <v>145</v>
      </c>
      <c r="K55" s="117">
        <f>Inputs!E124*'Initiative 4 Model'!K26</f>
        <v>183350</v>
      </c>
      <c r="L55" s="117">
        <f>Inputs!F124*'Initiative 4 Model'!L26</f>
        <v>173129.87530000001</v>
      </c>
      <c r="M55" s="117">
        <f>Inputs!G124*'Initiative 4 Model'!M26</f>
        <v>180508.02233200002</v>
      </c>
      <c r="N55" s="117">
        <f>Inputs!H124*'Initiative 4 Model'!N26</f>
        <v>451780.41951615998</v>
      </c>
      <c r="O55" s="117">
        <f>Inputs!I124*'Initiative 4 Model'!O26</f>
        <v>489868.92584527395</v>
      </c>
      <c r="P55" s="117">
        <f>Inputs!$J$124*'Initiative 4 Model'!P26</f>
        <v>489868.92584527395</v>
      </c>
      <c r="Q55" s="117">
        <f>Inputs!$J$124*'Initiative 4 Model'!Q26</f>
        <v>575516.17584527389</v>
      </c>
      <c r="R55" s="117">
        <f>Inputs!$J$124*'Initiative 4 Model'!R26</f>
        <v>575516.17584527389</v>
      </c>
      <c r="S55" s="117">
        <f>Inputs!$J$124*'Initiative 4 Model'!S26</f>
        <v>684124.98597185616</v>
      </c>
      <c r="T55" s="117">
        <f>Inputs!$J$124*'Initiative 4 Model'!T26</f>
        <v>684124.98597185616</v>
      </c>
      <c r="U55" s="117">
        <f>Inputs!$J$124*'Initiative 4 Model'!U26</f>
        <v>684124.98597185616</v>
      </c>
      <c r="V55" s="117">
        <f>Inputs!$J$124*'Initiative 4 Model'!V26</f>
        <v>684124.98597185616</v>
      </c>
      <c r="W55" s="117">
        <f>Inputs!$J$124*'Initiative 4 Model'!W26</f>
        <v>684124.98597185616</v>
      </c>
      <c r="X55" s="117">
        <f>Inputs!$J$124*'Initiative 4 Model'!X26</f>
        <v>684124.98597185616</v>
      </c>
      <c r="Y55" s="117">
        <f>Inputs!$J$124*'Initiative 4 Model'!Y26</f>
        <v>684124.98597185616</v>
      </c>
      <c r="Z55" s="117">
        <f>Inputs!$J$124*'Initiative 4 Model'!Z26</f>
        <v>684124.98597185616</v>
      </c>
      <c r="AA55" s="117">
        <f>Inputs!$J$124*'Initiative 4 Model'!AA26</f>
        <v>684124.98597185616</v>
      </c>
      <c r="AB55" s="117">
        <f>Inputs!$J$124*'Initiative 4 Model'!AB26</f>
        <v>684124.98597185616</v>
      </c>
      <c r="AC55" s="117">
        <f>Inputs!$J$124*'Initiative 4 Model'!AC26</f>
        <v>684124.98597185616</v>
      </c>
      <c r="AD55" s="117">
        <f>Inputs!$J$124*'Initiative 4 Model'!AD26</f>
        <v>684124.98597185616</v>
      </c>
      <c r="AE55" s="117">
        <f>Inputs!$J$124*'Initiative 4 Model'!AE26</f>
        <v>684124.98597185616</v>
      </c>
      <c r="AF55" s="117">
        <f>Inputs!$J$124*'Initiative 4 Model'!AF26</f>
        <v>684124.98597185616</v>
      </c>
      <c r="AG55" s="117">
        <f>Inputs!$J$124*'Initiative 4 Model'!AG26</f>
        <v>684124.98597185616</v>
      </c>
      <c r="AH55" s="117">
        <f>Inputs!$J$124*'Initiative 4 Model'!AH26</f>
        <v>684124.98597185616</v>
      </c>
      <c r="AI55" s="117">
        <f>Inputs!$J$124*'Initiative 4 Model'!AI26</f>
        <v>684124.98597185616</v>
      </c>
      <c r="AJ55" s="117">
        <f>Inputs!$J$124*'Initiative 4 Model'!AJ26</f>
        <v>684124.98597185616</v>
      </c>
      <c r="AK55" s="117">
        <f>Inputs!$J$124*'Initiative 4 Model'!AK26</f>
        <v>684124.98597185616</v>
      </c>
      <c r="AL55" s="117">
        <f>Inputs!$J$124*'Initiative 4 Model'!AL26</f>
        <v>684124.98597185616</v>
      </c>
    </row>
    <row r="56" spans="4:39" ht="15">
      <c r="D56" s="4" t="s">
        <v>378</v>
      </c>
      <c r="E56" s="16" t="s">
        <v>145</v>
      </c>
      <c r="K56" s="65">
        <f>0.6*K55</f>
        <v>110010</v>
      </c>
      <c r="L56" s="65">
        <f t="shared" ref="L56:M56" si="27">0.6*L55</f>
        <v>103877.92518000001</v>
      </c>
      <c r="M56" s="65">
        <f t="shared" si="27"/>
        <v>108304.81339920001</v>
      </c>
      <c r="N56">
        <f>Inputs!H125</f>
        <v>260975</v>
      </c>
      <c r="O56">
        <f>Inputs!I125</f>
        <v>260975</v>
      </c>
      <c r="P56">
        <f>Inputs!J125</f>
        <v>260975</v>
      </c>
      <c r="Q56">
        <f>P56</f>
        <v>260975</v>
      </c>
      <c r="R56">
        <f t="shared" ref="R56:AL56" si="28">Q56</f>
        <v>260975</v>
      </c>
      <c r="S56">
        <f t="shared" si="28"/>
        <v>260975</v>
      </c>
      <c r="T56">
        <f t="shared" si="28"/>
        <v>260975</v>
      </c>
      <c r="U56">
        <f t="shared" si="28"/>
        <v>260975</v>
      </c>
      <c r="V56">
        <f t="shared" si="28"/>
        <v>260975</v>
      </c>
      <c r="W56">
        <f t="shared" si="28"/>
        <v>260975</v>
      </c>
      <c r="X56">
        <f t="shared" si="28"/>
        <v>260975</v>
      </c>
      <c r="Y56">
        <f t="shared" si="28"/>
        <v>260975</v>
      </c>
      <c r="Z56">
        <f t="shared" si="28"/>
        <v>260975</v>
      </c>
      <c r="AA56">
        <f t="shared" si="28"/>
        <v>260975</v>
      </c>
      <c r="AB56">
        <f t="shared" si="28"/>
        <v>260975</v>
      </c>
      <c r="AC56">
        <f t="shared" si="28"/>
        <v>260975</v>
      </c>
      <c r="AD56">
        <f t="shared" si="28"/>
        <v>260975</v>
      </c>
      <c r="AE56">
        <f t="shared" si="28"/>
        <v>260975</v>
      </c>
      <c r="AF56">
        <f t="shared" si="28"/>
        <v>260975</v>
      </c>
      <c r="AG56">
        <f t="shared" si="28"/>
        <v>260975</v>
      </c>
      <c r="AH56">
        <f t="shared" si="28"/>
        <v>260975</v>
      </c>
      <c r="AI56">
        <f t="shared" si="28"/>
        <v>260975</v>
      </c>
      <c r="AJ56">
        <f t="shared" si="28"/>
        <v>260975</v>
      </c>
      <c r="AK56">
        <f t="shared" si="28"/>
        <v>260975</v>
      </c>
      <c r="AL56">
        <f t="shared" si="28"/>
        <v>260975</v>
      </c>
    </row>
    <row r="57" spans="4:39" ht="15">
      <c r="D57" s="4" t="s">
        <v>154</v>
      </c>
      <c r="E57" s="16" t="s">
        <v>145</v>
      </c>
      <c r="K57" s="65"/>
      <c r="L57" s="65"/>
      <c r="M57" s="65"/>
      <c r="U57" s="139">
        <f>Inputs!$E$102*Inputs!$E$103*'Initiative 4 Model'!U11</f>
        <v>205312.5</v>
      </c>
      <c r="V57" s="139">
        <f>Inputs!$E$102*Inputs!$E$103*'Initiative 4 Model'!V11</f>
        <v>205312.5</v>
      </c>
      <c r="W57" s="139">
        <f>Inputs!$E$102*Inputs!$E$103*'Initiative 4 Model'!W11</f>
        <v>205312.5</v>
      </c>
      <c r="X57" s="139">
        <f>Inputs!$E$102*Inputs!$E$103*'Initiative 4 Model'!X11</f>
        <v>205875</v>
      </c>
      <c r="Y57" s="139">
        <f>Inputs!$E$102*Inputs!$E$103*'Initiative 4 Model'!Y11</f>
        <v>205312.5</v>
      </c>
      <c r="Z57" s="139">
        <f>Inputs!$E$102*Inputs!$E$103*'Initiative 4 Model'!Z11</f>
        <v>205312.5</v>
      </c>
      <c r="AA57" s="139">
        <f>Inputs!$E$102*Inputs!$E$103*'Initiative 4 Model'!AA11</f>
        <v>205312.5</v>
      </c>
      <c r="AB57" s="139">
        <f>Inputs!$E$102*Inputs!$E$103*'Initiative 4 Model'!AB11</f>
        <v>205875</v>
      </c>
      <c r="AC57" s="139">
        <f>Inputs!$E$102*Inputs!$E$103*'Initiative 4 Model'!AC11</f>
        <v>205312.5</v>
      </c>
      <c r="AD57" s="139">
        <f>Inputs!$E$102*Inputs!$E$103*'Initiative 4 Model'!AD11</f>
        <v>205312.5</v>
      </c>
      <c r="AE57" s="139">
        <f>Inputs!$E$102*Inputs!$E$103*'Initiative 4 Model'!AE11</f>
        <v>205312.5</v>
      </c>
      <c r="AF57" s="139">
        <f>Inputs!$E$102*Inputs!$E$103*'Initiative 4 Model'!AF11</f>
        <v>205875</v>
      </c>
      <c r="AG57" s="139">
        <f>Inputs!$E$102*Inputs!$E$103*'Initiative 4 Model'!AG11</f>
        <v>205312.5</v>
      </c>
      <c r="AH57" s="139">
        <f>Inputs!$E$102*Inputs!$E$103*'Initiative 4 Model'!AH11</f>
        <v>205312.5</v>
      </c>
      <c r="AI57" s="139">
        <f>Inputs!$E$102*Inputs!$E$103*'Initiative 4 Model'!AI11</f>
        <v>205312.5</v>
      </c>
      <c r="AJ57" s="139">
        <f>Inputs!$E$102*Inputs!$E$103*'Initiative 4 Model'!AJ11</f>
        <v>205875</v>
      </c>
      <c r="AK57" s="139">
        <f>Inputs!$E$102*Inputs!$E$103*'Initiative 4 Model'!AK11</f>
        <v>205312.5</v>
      </c>
      <c r="AL57" s="139">
        <f>Inputs!$E$102*Inputs!$E$103*'Initiative 4 Model'!AL11</f>
        <v>205312.5</v>
      </c>
    </row>
    <row r="58" spans="4:39" ht="15">
      <c r="D58" s="4" t="s">
        <v>432</v>
      </c>
      <c r="E58" s="16" t="s">
        <v>145</v>
      </c>
      <c r="K58" s="65"/>
      <c r="L58" s="65"/>
      <c r="M58" s="65"/>
      <c r="U58" s="139"/>
      <c r="V58" s="139"/>
      <c r="W58" s="139"/>
      <c r="X58" s="139"/>
      <c r="Y58" s="139"/>
      <c r="Z58" s="139"/>
      <c r="AA58" s="139"/>
      <c r="AB58" s="139"/>
      <c r="AC58" s="139"/>
      <c r="AD58" s="139"/>
      <c r="AE58" s="139"/>
      <c r="AF58" s="139"/>
      <c r="AG58" s="139"/>
      <c r="AH58" s="139"/>
      <c r="AI58" s="139"/>
      <c r="AJ58" s="139"/>
      <c r="AK58" s="139"/>
      <c r="AL58" s="139"/>
    </row>
    <row r="59" spans="4:39" ht="15">
      <c r="D59" s="67" t="s">
        <v>379</v>
      </c>
      <c r="E59" s="16" t="s">
        <v>145</v>
      </c>
      <c r="K59" s="116">
        <f>K55-K56-K57</f>
        <v>73340</v>
      </c>
      <c r="L59" s="116">
        <f t="shared" ref="L59:AA59" si="29">L55-L56-L57</f>
        <v>69251.950120000009</v>
      </c>
      <c r="M59" s="116">
        <f t="shared" si="29"/>
        <v>72203.208932800015</v>
      </c>
      <c r="N59" s="116">
        <f t="shared" si="29"/>
        <v>190805.41951615998</v>
      </c>
      <c r="O59" s="116">
        <f t="shared" si="29"/>
        <v>228893.92584527395</v>
      </c>
      <c r="P59" s="116">
        <f t="shared" si="29"/>
        <v>228893.92584527395</v>
      </c>
      <c r="Q59" s="116">
        <f t="shared" si="29"/>
        <v>314541.17584527389</v>
      </c>
      <c r="R59" s="116">
        <f t="shared" si="29"/>
        <v>314541.17584527389</v>
      </c>
      <c r="S59" s="116">
        <f t="shared" si="29"/>
        <v>423149.98597185616</v>
      </c>
      <c r="T59" s="116">
        <f t="shared" si="29"/>
        <v>423149.98597185616</v>
      </c>
      <c r="U59" s="116">
        <f t="shared" si="29"/>
        <v>217837.48597185616</v>
      </c>
      <c r="V59" s="116">
        <f t="shared" si="29"/>
        <v>217837.48597185616</v>
      </c>
      <c r="W59" s="116">
        <f t="shared" si="29"/>
        <v>217837.48597185616</v>
      </c>
      <c r="X59" s="116">
        <f t="shared" si="29"/>
        <v>217274.98597185616</v>
      </c>
      <c r="Y59" s="116">
        <f t="shared" si="29"/>
        <v>217837.48597185616</v>
      </c>
      <c r="Z59" s="116">
        <f t="shared" si="29"/>
        <v>217837.48597185616</v>
      </c>
      <c r="AA59" s="116">
        <f t="shared" si="29"/>
        <v>217837.48597185616</v>
      </c>
      <c r="AB59" s="116">
        <f>AB55-AB56-AB57+AB58</f>
        <v>217274.98597185616</v>
      </c>
      <c r="AC59" s="116">
        <f t="shared" ref="AC59:AL59" si="30">AC55-AC56-AC57+AC58</f>
        <v>217837.48597185616</v>
      </c>
      <c r="AD59" s="116">
        <f t="shared" si="30"/>
        <v>217837.48597185616</v>
      </c>
      <c r="AE59" s="116">
        <f t="shared" si="30"/>
        <v>217837.48597185616</v>
      </c>
      <c r="AF59" s="116">
        <f t="shared" si="30"/>
        <v>217274.98597185616</v>
      </c>
      <c r="AG59" s="116">
        <f t="shared" si="30"/>
        <v>217837.48597185616</v>
      </c>
      <c r="AH59" s="116">
        <f t="shared" si="30"/>
        <v>217837.48597185616</v>
      </c>
      <c r="AI59" s="116">
        <f t="shared" si="30"/>
        <v>217837.48597185616</v>
      </c>
      <c r="AJ59" s="116">
        <f t="shared" si="30"/>
        <v>217274.98597185616</v>
      </c>
      <c r="AK59" s="116">
        <f t="shared" si="30"/>
        <v>217837.48597185616</v>
      </c>
      <c r="AL59" s="116">
        <f t="shared" si="30"/>
        <v>217837.48597185616</v>
      </c>
      <c r="AM59" s="65">
        <f>SUM(M59:AL59)/1000</f>
        <v>6115.0035512671748</v>
      </c>
    </row>
    <row r="60" spans="4:39" ht="15">
      <c r="D60" s="67"/>
      <c r="E60" s="16"/>
    </row>
    <row r="64" spans="4:39" ht="24" thickBot="1">
      <c r="D64" s="57" t="s">
        <v>109</v>
      </c>
    </row>
    <row r="65" spans="4:41">
      <c r="D65" t="s">
        <v>173</v>
      </c>
      <c r="E65" s="16" t="s">
        <v>213</v>
      </c>
      <c r="K65" s="116">
        <f>Inputs!E34*(1+(Inputs!E29/100))</f>
        <v>3204114.6302</v>
      </c>
      <c r="L65" s="116">
        <f>K65*(1+(Inputs!$E$29/100))</f>
        <v>3204114.6302</v>
      </c>
      <c r="M65" s="116">
        <f>L65*(1+(Inputs!$E$29/100))</f>
        <v>3204114.6302</v>
      </c>
      <c r="N65" s="116">
        <f>M65*(1+(Inputs!$E$29/100))</f>
        <v>3204114.6302</v>
      </c>
      <c r="O65" s="116">
        <f>N65*(1+(Inputs!$E$29/100))</f>
        <v>3204114.6302</v>
      </c>
      <c r="P65" s="116">
        <f>O65*(1+(Inputs!$E$29/100))</f>
        <v>3204114.6302</v>
      </c>
      <c r="Q65" s="116">
        <f>P65*(1+(Inputs!$E$29/100))</f>
        <v>3204114.6302</v>
      </c>
      <c r="R65" s="116">
        <f>Q65*(1+(Inputs!$E$29/100))</f>
        <v>3204114.6302</v>
      </c>
      <c r="S65" s="116">
        <f>R65*(1+(Inputs!$E$29/100))</f>
        <v>3204114.6302</v>
      </c>
      <c r="T65" s="116">
        <f>S65*(1+(Inputs!$E$29/100))</f>
        <v>3204114.6302</v>
      </c>
      <c r="U65" s="116">
        <f>T65*(1+(Inputs!$E$29/100))</f>
        <v>3204114.6302</v>
      </c>
      <c r="V65" s="116">
        <f>U65*(1+(Inputs!$E$29/100))</f>
        <v>3204114.6302</v>
      </c>
      <c r="W65" s="130">
        <f>V65*(1+(Inputs!$E$29/100))</f>
        <v>3204114.6302</v>
      </c>
      <c r="X65" s="116">
        <f>W65*(1+(Inputs!$E$29/100))</f>
        <v>3204114.6302</v>
      </c>
      <c r="Y65" s="116">
        <f>X65*(1+(Inputs!$E$29/100))</f>
        <v>3204114.6302</v>
      </c>
      <c r="Z65" s="116">
        <f>Y65*(1+(Inputs!$E$29/100))</f>
        <v>3204114.6302</v>
      </c>
      <c r="AA65" s="116">
        <v>6179091.8866104605</v>
      </c>
      <c r="AB65" s="130">
        <v>6179091.8866104605</v>
      </c>
      <c r="AC65" s="116">
        <v>6179091.8866104605</v>
      </c>
      <c r="AD65" s="116">
        <v>6179091.8866104605</v>
      </c>
      <c r="AE65" s="116">
        <v>6179091.8866104605</v>
      </c>
      <c r="AF65" s="116">
        <v>6179091.8866104605</v>
      </c>
      <c r="AG65" s="116">
        <v>6179091.8866104605</v>
      </c>
      <c r="AH65" s="116">
        <v>6179091.8866104605</v>
      </c>
      <c r="AI65" s="116">
        <v>6179091.8866104605</v>
      </c>
      <c r="AJ65" s="116">
        <v>6179091.8866104605</v>
      </c>
      <c r="AK65" s="116">
        <v>6179091.8866104605</v>
      </c>
      <c r="AL65" s="116">
        <v>6179091.8866104605</v>
      </c>
      <c r="AM65" s="116"/>
      <c r="AN65" s="116"/>
      <c r="AO65" s="116"/>
    </row>
    <row r="66" spans="4:41">
      <c r="D66" s="7" t="s">
        <v>375</v>
      </c>
      <c r="E66" s="16" t="s">
        <v>213</v>
      </c>
      <c r="K66" s="116">
        <f>K65-Inputs!F34</f>
        <v>188489.63020000001</v>
      </c>
      <c r="L66" s="116">
        <f>L65-Inputs!G34</f>
        <v>62011.630200000014</v>
      </c>
      <c r="M66" s="116">
        <f>M65-Inputs!H34</f>
        <v>450369.0568666663</v>
      </c>
      <c r="N66" s="116"/>
      <c r="O66" s="116"/>
      <c r="P66" s="116"/>
      <c r="Q66" s="116"/>
      <c r="R66" s="116"/>
      <c r="S66" s="116"/>
      <c r="T66" s="116"/>
      <c r="U66" s="116"/>
      <c r="V66" s="116"/>
      <c r="W66" s="116"/>
      <c r="X66" s="116"/>
      <c r="Y66" s="116"/>
      <c r="Z66" s="116"/>
      <c r="AA66" s="116"/>
    </row>
    <row r="67" spans="4:41">
      <c r="D67" s="23" t="s">
        <v>217</v>
      </c>
      <c r="E67" s="16" t="s">
        <v>213</v>
      </c>
      <c r="K67" s="117">
        <f>Inputs!F35*Inputs!F34</f>
        <v>2322031.25</v>
      </c>
      <c r="L67" s="117">
        <f>Inputs!G35*Inputs!G34</f>
        <v>2639366.52</v>
      </c>
      <c r="M67" s="117">
        <f>Inputs!H35*Inputs!H34</f>
        <v>2092846.6357333336</v>
      </c>
      <c r="N67" s="117">
        <f>Inputs!I35*N65</f>
        <v>2242880.2411400001</v>
      </c>
      <c r="O67" s="117">
        <f>Inputs!J35*O65</f>
        <v>1922468.7781199999</v>
      </c>
      <c r="P67" s="117">
        <f>Inputs!$K$35*P65</f>
        <v>1281645.8520800001</v>
      </c>
      <c r="Q67" s="117">
        <f>Inputs!$K$35*Q65</f>
        <v>1281645.8520800001</v>
      </c>
      <c r="R67" s="117">
        <f>Inputs!$K$35*R65</f>
        <v>1281645.8520800001</v>
      </c>
      <c r="S67" s="117">
        <f>Inputs!$K$35*S65</f>
        <v>1281645.8520800001</v>
      </c>
      <c r="T67" s="117">
        <f>Inputs!$K$35*T65</f>
        <v>1281645.8520800001</v>
      </c>
      <c r="U67" s="117">
        <f>Inputs!$K$35*U65</f>
        <v>1281645.8520800001</v>
      </c>
      <c r="V67" s="117">
        <f>Inputs!$K$35*V65</f>
        <v>1281645.8520800001</v>
      </c>
      <c r="W67" s="117">
        <f>Inputs!$K$35*W65</f>
        <v>1281645.8520800001</v>
      </c>
      <c r="X67" s="117">
        <f>Inputs!$K$35*X65</f>
        <v>1281645.8520800001</v>
      </c>
      <c r="Y67" s="117">
        <f>Inputs!$K$35*Y65</f>
        <v>1281645.8520800001</v>
      </c>
      <c r="Z67" s="117">
        <f>Inputs!$K$35*Z65</f>
        <v>1281645.8520800001</v>
      </c>
      <c r="AA67" s="117">
        <f>Inputs!$K$35*AA65</f>
        <v>2471636.7546441844</v>
      </c>
      <c r="AB67" s="117">
        <f>Inputs!$K$35*AB65</f>
        <v>2471636.7546441844</v>
      </c>
      <c r="AC67" s="117">
        <f>Inputs!$K$35*AC65</f>
        <v>2471636.7546441844</v>
      </c>
      <c r="AD67" s="117">
        <f>Inputs!$K$35*AD65</f>
        <v>2471636.7546441844</v>
      </c>
      <c r="AE67" s="117">
        <f>Inputs!$K$35*AE65</f>
        <v>2471636.7546441844</v>
      </c>
      <c r="AF67" s="117">
        <f>Inputs!$K$35*AF65</f>
        <v>2471636.7546441844</v>
      </c>
      <c r="AG67" s="117">
        <f>Inputs!$K$35*AG65</f>
        <v>2471636.7546441844</v>
      </c>
      <c r="AH67" s="117">
        <f>Inputs!$K$35*AH65</f>
        <v>2471636.7546441844</v>
      </c>
      <c r="AI67" s="117">
        <f>Inputs!$K$35*AI65</f>
        <v>2471636.7546441844</v>
      </c>
      <c r="AJ67" s="117">
        <f>Inputs!$K$35*AJ65</f>
        <v>2471636.7546441844</v>
      </c>
      <c r="AK67" s="117">
        <f>Inputs!$K$35*AK65</f>
        <v>2471636.7546441844</v>
      </c>
      <c r="AL67" s="117">
        <f>Inputs!$K$35*AL65</f>
        <v>2471636.7546441844</v>
      </c>
    </row>
    <row r="68" spans="4:41">
      <c r="D68" s="7" t="s">
        <v>218</v>
      </c>
      <c r="E68" s="16" t="s">
        <v>213</v>
      </c>
      <c r="K68" s="117">
        <f>Inputs!F36*Inputs!F34</f>
        <v>693593.75</v>
      </c>
      <c r="L68" s="117">
        <f>Inputs!G36*Inputs!G34</f>
        <v>502736.48</v>
      </c>
      <c r="M68" s="117">
        <f>Inputs!H36*Inputs!H34</f>
        <v>660898.93760000006</v>
      </c>
      <c r="N68" s="117">
        <f>Inputs!I36*N65</f>
        <v>961234.38905999996</v>
      </c>
      <c r="O68" s="117">
        <f>Inputs!J36*O65</f>
        <v>1281645.8520800001</v>
      </c>
      <c r="P68" s="117">
        <f>Inputs!$K$36*P65</f>
        <v>1922468.7781199999</v>
      </c>
      <c r="Q68" s="117">
        <f>Inputs!$K$36*Q65</f>
        <v>1922468.7781199999</v>
      </c>
      <c r="R68" s="117">
        <f>Inputs!$K$36*R65</f>
        <v>1922468.7781199999</v>
      </c>
      <c r="S68" s="117">
        <f>Inputs!$K$36*S65</f>
        <v>1922468.7781199999</v>
      </c>
      <c r="T68" s="117">
        <f>Inputs!$K$36*T65</f>
        <v>1922468.7781199999</v>
      </c>
      <c r="U68" s="117">
        <f>Inputs!$K$36*U65</f>
        <v>1922468.7781199999</v>
      </c>
      <c r="V68" s="117">
        <f>Inputs!$K$36*V65</f>
        <v>1922468.7781199999</v>
      </c>
      <c r="W68" s="117">
        <f>Inputs!$K$36*W65</f>
        <v>1922468.7781199999</v>
      </c>
      <c r="X68" s="117">
        <f>Inputs!$K$36*X65</f>
        <v>1922468.7781199999</v>
      </c>
      <c r="Y68" s="117">
        <f>Inputs!$K$36*Y65</f>
        <v>1922468.7781199999</v>
      </c>
      <c r="Z68" s="117">
        <f>Inputs!$K$36*Z65</f>
        <v>1922468.7781199999</v>
      </c>
      <c r="AA68" s="117">
        <f>Inputs!$K$36*AA65</f>
        <v>3707455.1319662761</v>
      </c>
      <c r="AB68" s="117">
        <f>Inputs!$K$36*AB65</f>
        <v>3707455.1319662761</v>
      </c>
      <c r="AC68" s="117">
        <f>Inputs!$K$36*AC65</f>
        <v>3707455.1319662761</v>
      </c>
      <c r="AD68" s="117">
        <f>Inputs!$K$36*AD65</f>
        <v>3707455.1319662761</v>
      </c>
      <c r="AE68" s="117">
        <f>Inputs!$K$36*AE65</f>
        <v>3707455.1319662761</v>
      </c>
      <c r="AF68" s="117">
        <f>Inputs!$K$36*AF65</f>
        <v>3707455.1319662761</v>
      </c>
      <c r="AG68" s="117">
        <f>Inputs!$K$36*AG65</f>
        <v>3707455.1319662761</v>
      </c>
      <c r="AH68" s="117">
        <f>Inputs!$K$36*AH65</f>
        <v>3707455.1319662761</v>
      </c>
      <c r="AI68" s="117">
        <f>Inputs!$K$36*AI65</f>
        <v>3707455.1319662761</v>
      </c>
      <c r="AJ68" s="117">
        <f>Inputs!$K$36*AJ65</f>
        <v>3707455.1319662761</v>
      </c>
      <c r="AK68" s="117">
        <f>Inputs!$K$36*AK65</f>
        <v>3707455.1319662761</v>
      </c>
      <c r="AL68" s="117">
        <f>Inputs!$K$36*AL65</f>
        <v>3707455.1319662761</v>
      </c>
    </row>
    <row r="70" spans="4:41" ht="24" thickBot="1">
      <c r="D70" s="57" t="s">
        <v>400</v>
      </c>
    </row>
    <row r="71" spans="4:41">
      <c r="D71" s="7" t="s">
        <v>116</v>
      </c>
      <c r="E71" s="16" t="s">
        <v>118</v>
      </c>
      <c r="K71" s="105">
        <f>Inputs!E42</f>
        <v>27.73</v>
      </c>
      <c r="L71" s="105">
        <f>Inputs!F42</f>
        <v>29.5</v>
      </c>
      <c r="M71" s="105">
        <f>Inputs!G42</f>
        <v>30.24</v>
      </c>
      <c r="N71" s="105">
        <f>Inputs!H42</f>
        <v>32.06</v>
      </c>
      <c r="O71" s="105">
        <f>(1+Inputs!I47)*'Initiative 4 Model'!N71</f>
        <v>33.983600000000003</v>
      </c>
      <c r="P71" s="105">
        <f>(1+Inputs!$J$47)*'Initiative 4 Model'!O71</f>
        <v>36.022616000000006</v>
      </c>
      <c r="Q71" s="105">
        <f>(1+Inputs!$J$47)*'Initiative 4 Model'!P71</f>
        <v>38.183972960000006</v>
      </c>
      <c r="R71" s="105">
        <f>(1+Inputs!$J$47)*'Initiative 4 Model'!Q71</f>
        <v>40.475011337600009</v>
      </c>
      <c r="S71" s="105">
        <f>(1+Inputs!$J$47)*'Initiative 4 Model'!R71</f>
        <v>42.903512017856009</v>
      </c>
      <c r="T71" s="105">
        <f>(1+Inputs!$J$47)*'Initiative 4 Model'!S71</f>
        <v>45.477722738927369</v>
      </c>
      <c r="U71" s="105">
        <f>(1+Inputs!$J$47)*'Initiative 4 Model'!T71</f>
        <v>48.206386103263014</v>
      </c>
      <c r="V71" s="105">
        <f>(1+Inputs!$J$47)*'Initiative 4 Model'!U71</f>
        <v>51.098769269458799</v>
      </c>
      <c r="W71" s="105">
        <f>(1+Inputs!$J$47)*'Initiative 4 Model'!V71</f>
        <v>54.164695425626327</v>
      </c>
      <c r="X71" s="105">
        <f>(1+Inputs!$J$47)*'Initiative 4 Model'!W71</f>
        <v>57.414577151163911</v>
      </c>
      <c r="Y71" s="105">
        <f>(1+Inputs!$J$47)*'Initiative 4 Model'!X71</f>
        <v>60.859451780233748</v>
      </c>
      <c r="Z71" s="105">
        <f>(1+Inputs!$J$47)*'Initiative 4 Model'!Y71</f>
        <v>64.511018887047783</v>
      </c>
      <c r="AA71" s="105">
        <f>(1+Inputs!$J$47)*'Initiative 4 Model'!Z71</f>
        <v>68.38168002027065</v>
      </c>
      <c r="AB71" s="105">
        <f>(1+Inputs!$J$47)*'Initiative 4 Model'!AA71</f>
        <v>72.484580821486887</v>
      </c>
      <c r="AC71" s="105">
        <f>(1+Inputs!$J$47)*'Initiative 4 Model'!AB71</f>
        <v>76.83365567077611</v>
      </c>
      <c r="AD71" s="105">
        <f>(1+Inputs!$J$47)*'Initiative 4 Model'!AC71</f>
        <v>81.443675011022677</v>
      </c>
      <c r="AE71" s="105">
        <f>(1+Inputs!$J$47)*'Initiative 4 Model'!AD71</f>
        <v>86.330295511684042</v>
      </c>
      <c r="AF71" s="105">
        <f>(1+Inputs!$J$47)*'Initiative 4 Model'!AE71</f>
        <v>91.510113242385088</v>
      </c>
      <c r="AG71" s="105">
        <f>(1+Inputs!$J$47)*'Initiative 4 Model'!AF71</f>
        <v>97.0007200369282</v>
      </c>
      <c r="AH71" s="105">
        <f>(1+Inputs!$J$47)*'Initiative 4 Model'!AG71</f>
        <v>102.8207632391439</v>
      </c>
      <c r="AI71" s="105">
        <f>(1+Inputs!$J$47)*'Initiative 4 Model'!AH71</f>
        <v>108.99000903349254</v>
      </c>
      <c r="AJ71" s="105">
        <f>(1+Inputs!$J$47)*'Initiative 4 Model'!AI71</f>
        <v>115.5294095755021</v>
      </c>
      <c r="AK71" s="105">
        <f>(1+Inputs!$J$47)*'Initiative 4 Model'!AJ71</f>
        <v>122.46117415003224</v>
      </c>
      <c r="AL71" s="105">
        <f>(1+Inputs!$J$47)*'Initiative 4 Model'!AK71</f>
        <v>129.80884459903419</v>
      </c>
    </row>
    <row r="72" spans="4:41">
      <c r="D72" s="7" t="s">
        <v>238</v>
      </c>
      <c r="E72" s="16" t="s">
        <v>118</v>
      </c>
      <c r="K72" s="105">
        <f>Inputs!E44</f>
        <v>20.47</v>
      </c>
      <c r="L72" s="105">
        <f>Inputs!F44</f>
        <v>21.78</v>
      </c>
      <c r="M72" s="105">
        <f>Inputs!G44</f>
        <v>23.09</v>
      </c>
      <c r="N72" s="105">
        <f>Inputs!H44</f>
        <v>24.475000000000001</v>
      </c>
      <c r="O72" s="105">
        <f>(1+Inputs!I47)*'Initiative 4 Model'!N72</f>
        <v>25.943500000000004</v>
      </c>
      <c r="P72" s="105">
        <f>(1+Inputs!$J$47)*'Initiative 4 Model'!O72</f>
        <v>27.500110000000006</v>
      </c>
      <c r="Q72" s="105">
        <f>(1+Inputs!$J$47)*'Initiative 4 Model'!P72</f>
        <v>29.150116600000008</v>
      </c>
      <c r="R72" s="105">
        <f>(1+Inputs!$J$47)*'Initiative 4 Model'!Q72</f>
        <v>30.89912359600001</v>
      </c>
      <c r="S72" s="105">
        <f>(1+Inputs!$J$47)*'Initiative 4 Model'!R72</f>
        <v>32.753071011760014</v>
      </c>
      <c r="T72" s="105">
        <f>(1+Inputs!$J$47)*'Initiative 4 Model'!S72</f>
        <v>34.718255272465619</v>
      </c>
      <c r="U72" s="105">
        <f>(1+Inputs!$J$47)*'Initiative 4 Model'!T72</f>
        <v>36.801350588813555</v>
      </c>
      <c r="V72" s="105">
        <f>(1+Inputs!$J$47)*'Initiative 4 Model'!U72</f>
        <v>39.009431624142373</v>
      </c>
      <c r="W72" s="105">
        <f>(1+Inputs!$J$47)*'Initiative 4 Model'!V72</f>
        <v>41.349997521590915</v>
      </c>
      <c r="X72" s="105">
        <f>(1+Inputs!$J$47)*'Initiative 4 Model'!W72</f>
        <v>43.830997372886372</v>
      </c>
      <c r="Y72" s="105">
        <f>(1+Inputs!$J$47)*'Initiative 4 Model'!X72</f>
        <v>46.460857215259558</v>
      </c>
      <c r="Z72" s="105">
        <f>(1+Inputs!$J$47)*'Initiative 4 Model'!Y72</f>
        <v>49.248508648175132</v>
      </c>
      <c r="AA72" s="105">
        <f>(1+Inputs!$J$47)*'Initiative 4 Model'!Z72</f>
        <v>52.20341916706564</v>
      </c>
      <c r="AB72" s="105">
        <f>(1+Inputs!$J$47)*'Initiative 4 Model'!AA72</f>
        <v>55.335624317089582</v>
      </c>
      <c r="AC72" s="105">
        <f>(1+Inputs!$J$47)*'Initiative 4 Model'!AB72</f>
        <v>58.655761776114957</v>
      </c>
      <c r="AD72" s="105">
        <f>(1+Inputs!$J$47)*'Initiative 4 Model'!AC72</f>
        <v>62.175107482681859</v>
      </c>
      <c r="AE72" s="105">
        <f>(1+Inputs!$J$47)*'Initiative 4 Model'!AD72</f>
        <v>65.905613931642776</v>
      </c>
      <c r="AF72" s="105">
        <f>(1+Inputs!$J$47)*'Initiative 4 Model'!AE72</f>
        <v>69.859950767541349</v>
      </c>
      <c r="AG72" s="105">
        <f>(1+Inputs!$J$47)*'Initiative 4 Model'!AF72</f>
        <v>74.051547813593828</v>
      </c>
      <c r="AH72" s="105">
        <f>(1+Inputs!$J$47)*'Initiative 4 Model'!AG72</f>
        <v>78.494640682409468</v>
      </c>
      <c r="AI72" s="105">
        <f>(1+Inputs!$J$47)*'Initiative 4 Model'!AH72</f>
        <v>83.20431912335404</v>
      </c>
      <c r="AJ72" s="105">
        <f>(1+Inputs!$J$47)*'Initiative 4 Model'!AI72</f>
        <v>88.196578270755282</v>
      </c>
      <c r="AK72" s="105">
        <f>(1+Inputs!$J$47)*'Initiative 4 Model'!AJ72</f>
        <v>93.488372967000601</v>
      </c>
      <c r="AL72" s="105">
        <f>(1+Inputs!$J$47)*'Initiative 4 Model'!AK72</f>
        <v>99.097675345020647</v>
      </c>
    </row>
    <row r="73" spans="4:41">
      <c r="D73" s="7" t="s">
        <v>239</v>
      </c>
      <c r="E73" s="16" t="s">
        <v>118</v>
      </c>
      <c r="K73" s="105">
        <f>Inputs!E45</f>
        <v>3.29</v>
      </c>
      <c r="L73" s="105">
        <f>Inputs!F45</f>
        <v>3.5</v>
      </c>
      <c r="M73" s="105">
        <f>Inputs!G45</f>
        <v>3.73</v>
      </c>
      <c r="N73" s="105">
        <f>Inputs!H45</f>
        <v>3.95</v>
      </c>
      <c r="O73" s="105">
        <f>(1+Inputs!I47)*'Initiative 4 Model'!N73</f>
        <v>4.1870000000000003</v>
      </c>
      <c r="P73" s="105">
        <f>(1+Inputs!$J$47)*'Initiative 4 Model'!O73</f>
        <v>4.4382200000000003</v>
      </c>
      <c r="Q73" s="105">
        <f>(1+Inputs!$J$47)*'Initiative 4 Model'!P73</f>
        <v>4.7045132000000009</v>
      </c>
      <c r="R73" s="105">
        <f>(1+Inputs!$J$47)*'Initiative 4 Model'!Q73</f>
        <v>4.9867839920000012</v>
      </c>
      <c r="S73" s="105">
        <f>(1+Inputs!$J$47)*'Initiative 4 Model'!R73</f>
        <v>5.2859910315200018</v>
      </c>
      <c r="T73" s="105">
        <f>(1+Inputs!$J$47)*'Initiative 4 Model'!S73</f>
        <v>5.603150493411202</v>
      </c>
      <c r="U73" s="105">
        <f>(1+Inputs!$J$47)*'Initiative 4 Model'!T73</f>
        <v>5.9393395230158745</v>
      </c>
      <c r="V73" s="105">
        <f>(1+Inputs!$J$47)*'Initiative 4 Model'!U73</f>
        <v>6.2956998943968276</v>
      </c>
      <c r="W73" s="105">
        <f>(1+Inputs!$J$47)*'Initiative 4 Model'!V73</f>
        <v>6.6734418880606379</v>
      </c>
      <c r="X73" s="105">
        <f>(1+Inputs!$J$47)*'Initiative 4 Model'!W73</f>
        <v>7.0738484013442768</v>
      </c>
      <c r="Y73" s="105">
        <f>(1+Inputs!$J$47)*'Initiative 4 Model'!X73</f>
        <v>7.4982793054249335</v>
      </c>
      <c r="Z73" s="105">
        <f>(1+Inputs!$J$47)*'Initiative 4 Model'!Y73</f>
        <v>7.94817606375043</v>
      </c>
      <c r="AA73" s="105">
        <f>(1+Inputs!$J$47)*'Initiative 4 Model'!Z73</f>
        <v>8.4250666275754558</v>
      </c>
      <c r="AB73" s="105">
        <f>(1+Inputs!$J$47)*'Initiative 4 Model'!AA73</f>
        <v>8.9305706252299828</v>
      </c>
      <c r="AC73" s="105">
        <f>(1+Inputs!$J$47)*'Initiative 4 Model'!AB73</f>
        <v>9.4664048627437829</v>
      </c>
      <c r="AD73" s="105">
        <f>(1+Inputs!$J$47)*'Initiative 4 Model'!AC73</f>
        <v>10.034389154508411</v>
      </c>
      <c r="AE73" s="105">
        <f>(1+Inputs!$J$47)*'Initiative 4 Model'!AD73</f>
        <v>10.636452503778916</v>
      </c>
      <c r="AF73" s="105">
        <f>(1+Inputs!$J$47)*'Initiative 4 Model'!AE73</f>
        <v>11.274639654005652</v>
      </c>
      <c r="AG73" s="105">
        <f>(1+Inputs!$J$47)*'Initiative 4 Model'!AF73</f>
        <v>11.951118033245992</v>
      </c>
      <c r="AH73" s="105">
        <f>(1+Inputs!$J$47)*'Initiative 4 Model'!AG73</f>
        <v>12.668185115240751</v>
      </c>
      <c r="AI73" s="105">
        <f>(1+Inputs!$J$47)*'Initiative 4 Model'!AH73</f>
        <v>13.428276222155198</v>
      </c>
      <c r="AJ73" s="105">
        <f>(1+Inputs!$J$47)*'Initiative 4 Model'!AI73</f>
        <v>14.23397279548451</v>
      </c>
      <c r="AK73" s="105">
        <f>(1+Inputs!$J$47)*'Initiative 4 Model'!AJ73</f>
        <v>15.088011163213581</v>
      </c>
      <c r="AL73" s="105">
        <f>(1+Inputs!$J$47)*'Initiative 4 Model'!AK73</f>
        <v>15.993291833006397</v>
      </c>
    </row>
    <row r="74" spans="4:41">
      <c r="D74" s="7" t="s">
        <v>120</v>
      </c>
      <c r="E74" s="16" t="s">
        <v>118</v>
      </c>
      <c r="K74" s="105">
        <f>Inputs!E52</f>
        <v>7.23</v>
      </c>
      <c r="L74" s="105">
        <f>Inputs!F52</f>
        <v>7.9067280000000002</v>
      </c>
      <c r="M74" s="105">
        <f>Inputs!G52</f>
        <v>8.6467977408000003</v>
      </c>
      <c r="N74" s="105">
        <f>Inputs!H52</f>
        <v>14.73</v>
      </c>
      <c r="O74" s="105">
        <f>Inputs!I52</f>
        <v>16.108727999999999</v>
      </c>
      <c r="P74" s="105">
        <f>Inputs!J52</f>
        <v>17.616504940799999</v>
      </c>
      <c r="Q74" s="105">
        <f>P74*(1+Inputs!$J$61)</f>
        <v>19.265409803258876</v>
      </c>
      <c r="R74" s="105">
        <f>Q74*(1+Inputs!$J$61)</f>
        <v>21.068652160843904</v>
      </c>
      <c r="S74" s="105">
        <f>R74*(1+Inputs!$J$61)</f>
        <v>23.04067800309889</v>
      </c>
      <c r="T74" s="105">
        <f>S74*(1+Inputs!$J$61)</f>
        <v>25.197285464188944</v>
      </c>
      <c r="U74" s="105">
        <f>T74*(1+Inputs!$J$61)</f>
        <v>27.555751383637027</v>
      </c>
      <c r="V74" s="105">
        <f>U74*(1+Inputs!$J$61)</f>
        <v>30.134969713145448</v>
      </c>
      <c r="W74" s="105">
        <f>V74*(1+Inputs!$J$61)</f>
        <v>32.955602878295856</v>
      </c>
      <c r="X74" s="105">
        <f>W74*(1+Inputs!$J$61)</f>
        <v>36.040247307704348</v>
      </c>
      <c r="Y74" s="105">
        <f>X74*(1+Inputs!$J$61)</f>
        <v>39.413614455705471</v>
      </c>
      <c r="Z74" s="105">
        <f>Y74*(1+Inputs!$J$61)</f>
        <v>43.102728768759498</v>
      </c>
      <c r="AA74" s="105">
        <f>Z74*(1+Inputs!$J$61)</f>
        <v>47.137144181515382</v>
      </c>
      <c r="AB74" s="105">
        <f>AA74*(1+Inputs!$J$61)</f>
        <v>51.549180876905218</v>
      </c>
      <c r="AC74" s="105">
        <f>AB74*(1+Inputs!$J$61)</f>
        <v>56.374184206983543</v>
      </c>
      <c r="AD74" s="105">
        <f>AC74*(1+Inputs!$J$61)</f>
        <v>61.650807848757196</v>
      </c>
      <c r="AE74" s="105">
        <f>AD74*(1+Inputs!$J$61)</f>
        <v>67.421323463400867</v>
      </c>
      <c r="AF74" s="105">
        <f>AE74*(1+Inputs!$J$61)</f>
        <v>73.731959339575184</v>
      </c>
      <c r="AG74" s="105">
        <f>AF74*(1+Inputs!$J$61)</f>
        <v>80.633270733759417</v>
      </c>
      <c r="AH74" s="105">
        <f>AG74*(1+Inputs!$J$61)</f>
        <v>88.180544874439292</v>
      </c>
      <c r="AI74" s="105">
        <f>AH74*(1+Inputs!$J$61)</f>
        <v>96.4342438746868</v>
      </c>
      <c r="AJ74" s="105">
        <f>AI74*(1+Inputs!$J$61)</f>
        <v>105.46048910135748</v>
      </c>
      <c r="AK74" s="105">
        <f>AJ74*(1+Inputs!$J$61)</f>
        <v>115.33159088124454</v>
      </c>
      <c r="AL74" s="105">
        <f>AK74*(1+Inputs!$J$61)</f>
        <v>126.12662778772902</v>
      </c>
    </row>
    <row r="75" spans="4:41">
      <c r="D75" s="7" t="s">
        <v>122</v>
      </c>
      <c r="E75" s="16" t="s">
        <v>118</v>
      </c>
      <c r="K75" s="105">
        <f>Inputs!E54</f>
        <v>13</v>
      </c>
      <c r="L75" s="105">
        <f>Inputs!F54</f>
        <v>14.216799999999999</v>
      </c>
      <c r="M75" s="105">
        <f>Inputs!G54</f>
        <v>15.547492479999997</v>
      </c>
      <c r="N75" s="105">
        <f>Inputs!H54</f>
        <v>17.002737776127997</v>
      </c>
      <c r="O75" s="105">
        <f>Inputs!I54</f>
        <v>18.594194031973576</v>
      </c>
      <c r="P75" s="105">
        <f>Inputs!J54</f>
        <v>20.3346105933663</v>
      </c>
      <c r="Q75" s="105">
        <f>P75*(1+Inputs!$J$61)</f>
        <v>22.237930144905384</v>
      </c>
      <c r="R75" s="105">
        <f>Q75*(1+Inputs!$J$61)</f>
        <v>24.319400406468525</v>
      </c>
      <c r="S75" s="105">
        <f>R75*(1+Inputs!$J$61)</f>
        <v>26.595696284513977</v>
      </c>
      <c r="T75" s="105">
        <f>S75*(1+Inputs!$J$61)</f>
        <v>29.085053456744483</v>
      </c>
      <c r="U75" s="105">
        <f>T75*(1+Inputs!$J$61)</f>
        <v>31.807414460295764</v>
      </c>
      <c r="V75" s="105">
        <f>U75*(1+Inputs!$J$61)</f>
        <v>34.784588453779442</v>
      </c>
      <c r="W75" s="105">
        <f>V75*(1+Inputs!$J$61)</f>
        <v>38.040425933053193</v>
      </c>
      <c r="X75" s="105">
        <f>W75*(1+Inputs!$J$61)</f>
        <v>41.601009800386969</v>
      </c>
      <c r="Y75" s="105">
        <f>X75*(1+Inputs!$J$61)</f>
        <v>45.494864317703183</v>
      </c>
      <c r="Z75" s="105">
        <f>Y75*(1+Inputs!$J$61)</f>
        <v>49.753183617840193</v>
      </c>
      <c r="AA75" s="105">
        <f>Z75*(1+Inputs!$J$61)</f>
        <v>54.41008160447003</v>
      </c>
      <c r="AB75" s="105">
        <f>AA75*(1+Inputs!$J$61)</f>
        <v>59.502865242648419</v>
      </c>
      <c r="AC75" s="105">
        <f>AB75*(1+Inputs!$J$61)</f>
        <v>65.072333429360299</v>
      </c>
      <c r="AD75" s="105">
        <f>AC75*(1+Inputs!$J$61)</f>
        <v>71.16310383834842</v>
      </c>
      <c r="AE75" s="105">
        <f>AD75*(1+Inputs!$J$61)</f>
        <v>77.823970357617824</v>
      </c>
      <c r="AF75" s="105">
        <f>AE75*(1+Inputs!$J$61)</f>
        <v>85.108293983090846</v>
      </c>
      <c r="AG75" s="105">
        <f>AF75*(1+Inputs!$J$61)</f>
        <v>93.074430299908144</v>
      </c>
      <c r="AH75" s="105">
        <f>AG75*(1+Inputs!$J$61)</f>
        <v>101.78619697597954</v>
      </c>
      <c r="AI75" s="105">
        <f>AH75*(1+Inputs!$J$61)</f>
        <v>111.31338501293121</v>
      </c>
      <c r="AJ75" s="105">
        <f>AI75*(1+Inputs!$J$61)</f>
        <v>121.73231785014156</v>
      </c>
      <c r="AK75" s="105">
        <f>AJ75*(1+Inputs!$J$61)</f>
        <v>133.12646280091479</v>
      </c>
      <c r="AL75" s="105">
        <f>AK75*(1+Inputs!$J$61)</f>
        <v>145.58709971908041</v>
      </c>
    </row>
    <row r="76" spans="4:41">
      <c r="D76" s="7" t="s">
        <v>123</v>
      </c>
      <c r="E76" s="16" t="s">
        <v>118</v>
      </c>
      <c r="K76" s="105">
        <f>Inputs!E55</f>
        <v>282</v>
      </c>
      <c r="L76" s="105">
        <f>Inputs!F55</f>
        <v>304.27799999999996</v>
      </c>
      <c r="M76" s="105">
        <f>Inputs!G55</f>
        <v>332.75842079999995</v>
      </c>
      <c r="N76" s="105">
        <f>Inputs!H55</f>
        <v>363.90460898687991</v>
      </c>
      <c r="O76" s="105">
        <f>Inputs!I55</f>
        <v>397.96608038805181</v>
      </c>
      <c r="P76" s="105">
        <f>Inputs!J55</f>
        <v>435.2157055123734</v>
      </c>
      <c r="Q76" s="105">
        <f>P76*(1+Inputs!$J$62)</f>
        <v>469.59774624785086</v>
      </c>
      <c r="R76" s="105">
        <f>Q76*(1+Inputs!$J$62)</f>
        <v>506.69596820143107</v>
      </c>
      <c r="S76" s="105">
        <f>R76*(1+Inputs!$J$62)</f>
        <v>546.72494968934416</v>
      </c>
      <c r="T76" s="105">
        <f>S76*(1+Inputs!$J$62)</f>
        <v>589.91622071480231</v>
      </c>
      <c r="U76" s="105">
        <f>T76*(1+Inputs!$J$62)</f>
        <v>636.51960215127167</v>
      </c>
      <c r="V76" s="105">
        <f>U76*(1+Inputs!$J$62)</f>
        <v>686.80465072122206</v>
      </c>
      <c r="W76" s="105">
        <f>V76*(1+Inputs!$J$62)</f>
        <v>741.06221812819854</v>
      </c>
      <c r="X76" s="105">
        <f>W76*(1+Inputs!$J$62)</f>
        <v>799.60613336032623</v>
      </c>
      <c r="Y76" s="105">
        <f>X76*(1+Inputs!$J$62)</f>
        <v>862.77501789579196</v>
      </c>
      <c r="Z76" s="105">
        <f>Y76*(1+Inputs!$J$62)</f>
        <v>930.93424430955952</v>
      </c>
      <c r="AA76" s="105">
        <f>Z76*(1+Inputs!$J$62)</f>
        <v>1004.4780496100146</v>
      </c>
      <c r="AB76" s="105">
        <f>AA76*(1+Inputs!$J$62)</f>
        <v>1083.8318155292056</v>
      </c>
      <c r="AC76" s="105">
        <f>AB76*(1+Inputs!$J$62)</f>
        <v>1169.4545289560128</v>
      </c>
      <c r="AD76" s="105">
        <f>AC76*(1+Inputs!$J$62)</f>
        <v>1261.8414367435378</v>
      </c>
      <c r="AE76" s="105">
        <f>AD76*(1+Inputs!$J$62)</f>
        <v>1361.5269102462771</v>
      </c>
      <c r="AF76" s="105">
        <f>AE76*(1+Inputs!$J$62)</f>
        <v>1469.087536155733</v>
      </c>
      <c r="AG76" s="105">
        <f>AF76*(1+Inputs!$J$62)</f>
        <v>1585.1454515120358</v>
      </c>
      <c r="AH76" s="105">
        <f>AG76*(1+Inputs!$J$62)</f>
        <v>1710.3719421814867</v>
      </c>
      <c r="AI76" s="105">
        <f>AH76*(1+Inputs!$J$62)</f>
        <v>1845.4913256138241</v>
      </c>
      <c r="AJ76" s="105">
        <f>AI76*(1+Inputs!$J$62)</f>
        <v>1991.2851403373161</v>
      </c>
      <c r="AK76" s="105">
        <f>AJ76*(1+Inputs!$J$62)</f>
        <v>2148.5966664239641</v>
      </c>
      <c r="AL76" s="105">
        <f>AK76*(1+Inputs!$J$62)</f>
        <v>2318.3358030714571</v>
      </c>
    </row>
    <row r="77" spans="4:41">
      <c r="D77" s="7" t="s">
        <v>124</v>
      </c>
      <c r="E77" s="16" t="s">
        <v>118</v>
      </c>
      <c r="K77" s="105">
        <f>Inputs!E56</f>
        <v>4.0999999999999996</v>
      </c>
      <c r="L77" s="105">
        <f>Inputs!F56</f>
        <v>4.4837599999999993</v>
      </c>
      <c r="M77" s="105">
        <f>Inputs!G56</f>
        <v>4.9034399359999989</v>
      </c>
      <c r="N77" s="105">
        <f>Inputs!H56</f>
        <v>5.362401914009598</v>
      </c>
      <c r="O77" s="105">
        <f>Inputs!I56</f>
        <v>5.864322733160896</v>
      </c>
      <c r="P77" s="105">
        <f>Inputs!J56</f>
        <v>6.4132233409847554</v>
      </c>
      <c r="Q77" s="105">
        <f>P77*(1+Inputs!$J$61)</f>
        <v>7.0135010457009281</v>
      </c>
      <c r="R77" s="105">
        <f>Q77*(1+Inputs!$J$61)</f>
        <v>7.6699647435785341</v>
      </c>
      <c r="S77" s="105">
        <f>R77*(1+Inputs!$J$61)</f>
        <v>8.3878734435774849</v>
      </c>
      <c r="T77" s="105">
        <f>S77*(1+Inputs!$J$61)</f>
        <v>9.1729783978963368</v>
      </c>
      <c r="U77" s="105">
        <f>T77*(1+Inputs!$J$61)</f>
        <v>10.031569175939433</v>
      </c>
      <c r="V77" s="105">
        <f>U77*(1+Inputs!$J$61)</f>
        <v>10.970524050807363</v>
      </c>
      <c r="W77" s="105">
        <f>V77*(1+Inputs!$J$61)</f>
        <v>11.997365101962931</v>
      </c>
      <c r="X77" s="105">
        <f>W77*(1+Inputs!$J$61)</f>
        <v>13.120318475506661</v>
      </c>
      <c r="Y77" s="105">
        <f>X77*(1+Inputs!$J$61)</f>
        <v>14.348380284814082</v>
      </c>
      <c r="Z77" s="105">
        <f>Y77*(1+Inputs!$J$61)</f>
        <v>15.691388679472679</v>
      </c>
      <c r="AA77" s="105">
        <f>Z77*(1+Inputs!$J$61)</f>
        <v>17.16010265987132</v>
      </c>
      <c r="AB77" s="105">
        <f>AA77*(1+Inputs!$J$61)</f>
        <v>18.766288268835275</v>
      </c>
      <c r="AC77" s="105">
        <f>AB77*(1+Inputs!$J$61)</f>
        <v>20.522812850798257</v>
      </c>
      <c r="AD77" s="105">
        <f>AC77*(1+Inputs!$J$61)</f>
        <v>22.443748133632972</v>
      </c>
      <c r="AE77" s="105">
        <f>AD77*(1+Inputs!$J$61)</f>
        <v>24.544482958941018</v>
      </c>
      <c r="AF77" s="105">
        <f>AE77*(1+Inputs!$J$61)</f>
        <v>26.841846563897896</v>
      </c>
      <c r="AG77" s="105">
        <f>AF77*(1+Inputs!$J$61)</f>
        <v>29.354243402278737</v>
      </c>
      <c r="AH77" s="105">
        <f>AG77*(1+Inputs!$J$61)</f>
        <v>32.101800584732025</v>
      </c>
      <c r="AI77" s="105">
        <f>AH77*(1+Inputs!$J$61)</f>
        <v>35.106529119462941</v>
      </c>
      <c r="AJ77" s="105">
        <f>AI77*(1+Inputs!$J$61)</f>
        <v>38.392500245044666</v>
      </c>
      <c r="AK77" s="105">
        <f>AJ77*(1+Inputs!$J$61)</f>
        <v>41.986038267980845</v>
      </c>
      <c r="AL77" s="105">
        <f>AK77*(1+Inputs!$J$61)</f>
        <v>45.915931449863848</v>
      </c>
    </row>
    <row r="78" spans="4:41">
      <c r="D78" s="7" t="s">
        <v>125</v>
      </c>
      <c r="E78" s="16" t="s">
        <v>118</v>
      </c>
      <c r="K78">
        <f>Inputs!E57</f>
        <v>0</v>
      </c>
      <c r="L78">
        <f>Inputs!F57</f>
        <v>0</v>
      </c>
      <c r="M78">
        <f>Inputs!G57</f>
        <v>10.1</v>
      </c>
      <c r="N78" s="105">
        <f>Inputs!H57</f>
        <v>11.045359999999999</v>
      </c>
      <c r="O78" s="105">
        <f>Inputs!I57</f>
        <v>12.079205695999997</v>
      </c>
      <c r="P78" s="105">
        <f>Inputs!J57</f>
        <v>13.209819349145596</v>
      </c>
      <c r="Q78" s="105">
        <f>P78*(1+Inputs!$J$61)</f>
        <v>14.446258440225622</v>
      </c>
      <c r="R78" s="105">
        <f>Q78*(1+Inputs!$J$61)</f>
        <v>15.798428230230739</v>
      </c>
      <c r="S78" s="105">
        <f>R78*(1+Inputs!$J$61)</f>
        <v>17.277161112580334</v>
      </c>
      <c r="T78" s="105">
        <f>S78*(1+Inputs!$J$61)</f>
        <v>18.894303392717852</v>
      </c>
      <c r="U78" s="105">
        <f>T78*(1+Inputs!$J$61)</f>
        <v>20.66281019027624</v>
      </c>
      <c r="V78" s="105">
        <f>U78*(1+Inputs!$J$61)</f>
        <v>22.596849224086093</v>
      </c>
      <c r="W78" s="105">
        <f>V78*(1+Inputs!$J$61)</f>
        <v>24.71191431146055</v>
      </c>
      <c r="X78" s="105">
        <f>W78*(1+Inputs!$J$61)</f>
        <v>27.024949491013256</v>
      </c>
      <c r="Y78" s="105">
        <f>X78*(1+Inputs!$J$61)</f>
        <v>29.554484763372095</v>
      </c>
      <c r="Z78" s="105">
        <f>Y78*(1+Inputs!$J$61)</f>
        <v>32.320784537223723</v>
      </c>
      <c r="AA78" s="105">
        <f>Z78*(1+Inputs!$J$61)</f>
        <v>35.346009969907861</v>
      </c>
      <c r="AB78" s="105">
        <f>AA78*(1+Inputs!$J$61)</f>
        <v>38.654396503091235</v>
      </c>
      <c r="AC78" s="105">
        <f>AB78*(1+Inputs!$J$61)</f>
        <v>42.272448015780569</v>
      </c>
      <c r="AD78" s="105">
        <f>AC78*(1+Inputs!$J$61)</f>
        <v>46.229149150057623</v>
      </c>
      <c r="AE78" s="105">
        <f>AD78*(1+Inputs!$J$61)</f>
        <v>50.556197510503011</v>
      </c>
      <c r="AF78" s="105">
        <f>AE78*(1+Inputs!$J$61)</f>
        <v>55.288257597486087</v>
      </c>
      <c r="AG78" s="105">
        <f>AF78*(1+Inputs!$J$61)</f>
        <v>60.463238508610779</v>
      </c>
      <c r="AH78" s="105">
        <f>AG78*(1+Inputs!$J$61)</f>
        <v>66.122597633016738</v>
      </c>
      <c r="AI78" s="105">
        <f>AH78*(1+Inputs!$J$61)</f>
        <v>72.311672771467101</v>
      </c>
      <c r="AJ78" s="105">
        <f>AI78*(1+Inputs!$J$61)</f>
        <v>79.080045342876417</v>
      </c>
      <c r="AK78" s="105">
        <f>AJ78*(1+Inputs!$J$61)</f>
        <v>86.481937586969636</v>
      </c>
      <c r="AL78" s="105">
        <f>AK78*(1+Inputs!$J$61)</f>
        <v>94.576646945109985</v>
      </c>
    </row>
    <row r="79" spans="4:41">
      <c r="D79" s="7" t="s">
        <v>154</v>
      </c>
      <c r="E79" s="16" t="s">
        <v>118</v>
      </c>
      <c r="K79">
        <f>Inputs!E58</f>
        <v>0</v>
      </c>
      <c r="L79">
        <f>Inputs!F58</f>
        <v>0</v>
      </c>
      <c r="M79">
        <f>Inputs!G58</f>
        <v>0</v>
      </c>
      <c r="N79">
        <f>Inputs!H58</f>
        <v>0</v>
      </c>
      <c r="O79">
        <f>Inputs!I58</f>
        <v>0</v>
      </c>
      <c r="P79">
        <f>Inputs!J58</f>
        <v>45</v>
      </c>
      <c r="Q79" s="105">
        <f>P79*(1+Inputs!$J$61)</f>
        <v>49.211999999999996</v>
      </c>
      <c r="R79" s="105">
        <f>Q79*(1+Inputs!$J$61)</f>
        <v>53.818243199999991</v>
      </c>
      <c r="S79" s="105">
        <f>R79*(1+Inputs!$J$61)</f>
        <v>58.855630763519983</v>
      </c>
      <c r="T79" s="105">
        <f>S79*(1+Inputs!$J$61)</f>
        <v>64.364517802985446</v>
      </c>
      <c r="U79" s="105">
        <f>T79*(1+Inputs!$J$61)</f>
        <v>70.389036669344875</v>
      </c>
      <c r="V79" s="105">
        <f>U79*(1+Inputs!$J$61)</f>
        <v>76.977450501595555</v>
      </c>
      <c r="W79" s="105">
        <f>V79*(1+Inputs!$J$61)</f>
        <v>84.182539868544893</v>
      </c>
      <c r="X79" s="105">
        <f>W79*(1+Inputs!$J$61)</f>
        <v>92.062025600240688</v>
      </c>
      <c r="Y79" s="105">
        <f>X79*(1+Inputs!$J$61)</f>
        <v>100.67903119642321</v>
      </c>
      <c r="Z79" s="105">
        <f>Y79*(1+Inputs!$J$61)</f>
        <v>110.10258851640842</v>
      </c>
      <c r="AA79" s="105">
        <f>Z79*(1+Inputs!$J$61)</f>
        <v>120.40819080154424</v>
      </c>
      <c r="AB79" s="105">
        <f>AA79*(1+Inputs!$J$61)</f>
        <v>131.67839746056876</v>
      </c>
      <c r="AC79" s="105">
        <f>AB79*(1+Inputs!$J$61)</f>
        <v>144.00349546287799</v>
      </c>
      <c r="AD79" s="105">
        <f>AC79*(1+Inputs!$J$61)</f>
        <v>157.48222263820335</v>
      </c>
      <c r="AE79" s="105">
        <f>AD79*(1+Inputs!$J$61)</f>
        <v>172.22255867713918</v>
      </c>
      <c r="AF79" s="105">
        <f>AE79*(1+Inputs!$J$61)</f>
        <v>188.34259016931938</v>
      </c>
      <c r="AG79" s="105">
        <f>AF79*(1+Inputs!$J$61)</f>
        <v>205.97145660916766</v>
      </c>
      <c r="AH79" s="105">
        <f>AG79*(1+Inputs!$J$61)</f>
        <v>225.25038494778573</v>
      </c>
      <c r="AI79" s="105">
        <f>AH79*(1+Inputs!$J$61)</f>
        <v>246.33382097889844</v>
      </c>
      <c r="AJ79" s="105">
        <f>AI79*(1+Inputs!$J$61)</f>
        <v>269.39066662252333</v>
      </c>
      <c r="AK79" s="105">
        <f>AJ79*(1+Inputs!$J$61)</f>
        <v>294.60563301839147</v>
      </c>
      <c r="AL79" s="105">
        <f>AK79*(1+Inputs!$J$61)</f>
        <v>322.18072026891286</v>
      </c>
    </row>
    <row r="80" spans="4:41">
      <c r="D80" s="7" t="s">
        <v>423</v>
      </c>
      <c r="E80" s="16" t="s">
        <v>118</v>
      </c>
      <c r="O80">
        <f>Inputs!I59</f>
        <v>0</v>
      </c>
      <c r="P80">
        <f>Inputs!J59</f>
        <v>0</v>
      </c>
      <c r="Q80" s="105">
        <f>P80*(1+Inputs!$J$61)</f>
        <v>0</v>
      </c>
      <c r="R80" s="105">
        <f>Q80*(1+Inputs!$J$61)</f>
        <v>0</v>
      </c>
      <c r="S80" s="105">
        <f>R80*(1+Inputs!$J$61)</f>
        <v>0</v>
      </c>
      <c r="T80" s="105">
        <f>S80*(1+Inputs!$J$61)</f>
        <v>0</v>
      </c>
      <c r="U80" s="105">
        <f>T80*(1+Inputs!$J$61)</f>
        <v>0</v>
      </c>
      <c r="V80" s="105">
        <f>U80*(1+Inputs!$J$61)</f>
        <v>0</v>
      </c>
      <c r="W80" s="105">
        <f>V80*(1+Inputs!$J$61)</f>
        <v>0</v>
      </c>
      <c r="X80" s="105">
        <f>W80*(1+Inputs!$J$61)</f>
        <v>0</v>
      </c>
      <c r="Y80" s="105">
        <f>X80*(1+Inputs!$J$61)</f>
        <v>0</v>
      </c>
      <c r="Z80" s="105">
        <f>Y80*(1+Inputs!$J$61)</f>
        <v>0</v>
      </c>
      <c r="AA80" s="105">
        <f>Z80*(1+Inputs!$J$61)</f>
        <v>0</v>
      </c>
      <c r="AB80" s="105">
        <f>Inputs!E190</f>
        <v>11.33</v>
      </c>
      <c r="AC80" s="105">
        <f>AB80*(1+Inputs!$J$61)</f>
        <v>12.390488</v>
      </c>
      <c r="AD80" s="105">
        <f>AC80*(1+Inputs!$J$61)</f>
        <v>13.550237676799998</v>
      </c>
      <c r="AE80" s="105">
        <f>AD80*(1+Inputs!$J$61)</f>
        <v>14.818539923348476</v>
      </c>
      <c r="AF80" s="105">
        <f>AE80*(1+Inputs!$J$61)</f>
        <v>16.205555260173892</v>
      </c>
      <c r="AG80" s="105">
        <f>AF80*(1+Inputs!$J$61)</f>
        <v>17.722395232526168</v>
      </c>
      <c r="AH80" s="105">
        <f>AG80*(1+Inputs!$J$61)</f>
        <v>19.381211426290616</v>
      </c>
      <c r="AI80" s="105">
        <f>AH80*(1+Inputs!$J$61)</f>
        <v>21.195292815791415</v>
      </c>
      <c r="AJ80" s="105">
        <f>AI80*(1+Inputs!$J$61)</f>
        <v>23.179172223349489</v>
      </c>
      <c r="AK80" s="105">
        <f>AJ80*(1+Inputs!$J$61)</f>
        <v>25.348742743454999</v>
      </c>
      <c r="AL80" s="105">
        <f>AK80*(1+Inputs!$J$61)</f>
        <v>27.721385064242384</v>
      </c>
    </row>
    <row r="81" spans="4:40">
      <c r="D81" s="7" t="s">
        <v>401</v>
      </c>
      <c r="E81" s="16" t="s">
        <v>246</v>
      </c>
      <c r="K81">
        <f>(1-Inputs!E24)*'Initiative 4 Model'!L81</f>
        <v>1767200000</v>
      </c>
      <c r="L81">
        <f>(1-Inputs!F24)*'Initiative 4 Model'!M81</f>
        <v>1880000000</v>
      </c>
      <c r="M81">
        <f>Inputs!G27</f>
        <v>2000000000</v>
      </c>
      <c r="N81">
        <f>M81*(1+Inputs!H24)</f>
        <v>2120000000</v>
      </c>
      <c r="O81">
        <f>N81*(1+Inputs!I24)</f>
        <v>2247200000</v>
      </c>
      <c r="P81">
        <f>O81*(1+Inputs!$J$24)</f>
        <v>2382032000</v>
      </c>
      <c r="Q81">
        <f>P81*(1+Inputs!$J$24)</f>
        <v>2524953920</v>
      </c>
      <c r="R81">
        <f>Q81*(1+Inputs!$J$24)</f>
        <v>2676451155.2000003</v>
      </c>
      <c r="S81">
        <f>R81*(1+Inputs!$J$24)</f>
        <v>2837038224.5120006</v>
      </c>
      <c r="T81">
        <f>S81*(1+Inputs!$J$24)</f>
        <v>3007260517.9827209</v>
      </c>
      <c r="U81">
        <f>T81*(1+Inputs!$J$24)</f>
        <v>3187696149.0616841</v>
      </c>
      <c r="V81">
        <f>U81*(1+Inputs!$J$24)</f>
        <v>3378957918.0053854</v>
      </c>
      <c r="W81">
        <f>V81*(1+Inputs!$J$24)</f>
        <v>3581695393.0857086</v>
      </c>
      <c r="X81">
        <f>W81*(1+Inputs!$J$24)</f>
        <v>3796597116.6708512</v>
      </c>
      <c r="Y81">
        <f>X81*(1+Inputs!$J$24)</f>
        <v>4024392943.6711025</v>
      </c>
      <c r="Z81">
        <f>Y81*(1+Inputs!$J$24)</f>
        <v>4265856520.291369</v>
      </c>
      <c r="AA81">
        <f>Z81*(1+Inputs!$J$24)</f>
        <v>4521807911.5088511</v>
      </c>
      <c r="AB81">
        <f>AA81*(1+Inputs!$J$24)</f>
        <v>4793116386.1993828</v>
      </c>
      <c r="AC81">
        <f>AB81*(1+Inputs!$J$24)</f>
        <v>5080703369.3713465</v>
      </c>
      <c r="AD81">
        <f>AC81*(1+Inputs!$J$24)</f>
        <v>5385545571.5336275</v>
      </c>
      <c r="AE81">
        <f>AD81*(1+Inputs!$J$24)</f>
        <v>5708678305.8256454</v>
      </c>
      <c r="AF81">
        <f>AE81*(1+Inputs!$J$24)</f>
        <v>6051199004.1751842</v>
      </c>
      <c r="AG81">
        <f>AF81*(1+Inputs!$J$24)</f>
        <v>6414270944.4256954</v>
      </c>
      <c r="AH81">
        <f>AG81*(1+Inputs!$J$24)</f>
        <v>6799127201.0912371</v>
      </c>
      <c r="AI81">
        <f>AH81*(1+Inputs!$J$24)</f>
        <v>7207074833.1567116</v>
      </c>
      <c r="AJ81">
        <f>AI81*(1+Inputs!$J$24)</f>
        <v>7639499323.1461143</v>
      </c>
      <c r="AK81">
        <f>AJ81*(1+Inputs!$J$24)</f>
        <v>8097869282.5348816</v>
      </c>
      <c r="AL81">
        <f>AK81*(1+Inputs!$J$24)</f>
        <v>8583741439.4869747</v>
      </c>
    </row>
    <row r="83" spans="4:40" ht="24" thickBot="1">
      <c r="D83" s="57" t="s">
        <v>197</v>
      </c>
    </row>
    <row r="84" spans="4:40" ht="18">
      <c r="D84" s="15" t="s">
        <v>143</v>
      </c>
    </row>
    <row r="85" spans="4:40">
      <c r="D85" t="s">
        <v>190</v>
      </c>
      <c r="E85" s="16" t="s">
        <v>211</v>
      </c>
      <c r="K85" s="69">
        <f>SUM(K86:K90)</f>
        <v>4164940</v>
      </c>
      <c r="L85" s="69">
        <f t="shared" ref="L85:AK85" si="31">SUM(L86:L90)</f>
        <v>4195578.0786803216</v>
      </c>
      <c r="M85" s="69">
        <f t="shared" si="31"/>
        <v>4514988.1311923796</v>
      </c>
      <c r="N85" s="69">
        <f t="shared" si="31"/>
        <v>11125687.278505856</v>
      </c>
      <c r="O85" s="69">
        <f t="shared" si="31"/>
        <v>8306489.7706249347</v>
      </c>
      <c r="P85" s="69">
        <f t="shared" si="31"/>
        <v>9083977.2131554279</v>
      </c>
      <c r="Q85" s="69">
        <f t="shared" si="31"/>
        <v>11671110.50111958</v>
      </c>
      <c r="R85" s="69">
        <f t="shared" si="31"/>
        <v>12763526.444024369</v>
      </c>
      <c r="S85" s="69">
        <f t="shared" si="31"/>
        <v>16592319.490160089</v>
      </c>
      <c r="T85" s="69">
        <f t="shared" si="31"/>
        <v>18145360.594439071</v>
      </c>
      <c r="U85" s="69">
        <f t="shared" si="31"/>
        <v>29810536.415996712</v>
      </c>
      <c r="V85" s="69">
        <f t="shared" si="31"/>
        <v>32600802.624534003</v>
      </c>
      <c r="W85" s="69">
        <f t="shared" si="31"/>
        <v>35652237.750190377</v>
      </c>
      <c r="X85" s="69">
        <f t="shared" si="31"/>
        <v>39025001.087269694</v>
      </c>
      <c r="Y85" s="69">
        <f t="shared" si="31"/>
        <v>42638684.485865921</v>
      </c>
      <c r="Z85" s="69">
        <f t="shared" si="31"/>
        <v>46629665.353742972</v>
      </c>
      <c r="AA85" s="69">
        <f t="shared" si="31"/>
        <v>50994202.030853309</v>
      </c>
      <c r="AB85" s="69">
        <f t="shared" si="31"/>
        <v>55818341.716513254</v>
      </c>
      <c r="AC85" s="69">
        <f t="shared" si="31"/>
        <v>63253249.0255761</v>
      </c>
      <c r="AD85" s="69">
        <f t="shared" si="31"/>
        <v>68887803.426646188</v>
      </c>
      <c r="AE85" s="69">
        <f t="shared" si="31"/>
        <v>75032595.137193009</v>
      </c>
      <c r="AF85" s="69">
        <f t="shared" si="31"/>
        <v>81796083.654476687</v>
      </c>
      <c r="AG85" s="69">
        <f t="shared" si="31"/>
        <v>89044117.709502146</v>
      </c>
      <c r="AH85" s="69">
        <f t="shared" si="31"/>
        <v>97017642.209391475</v>
      </c>
      <c r="AI85" s="69">
        <f t="shared" si="31"/>
        <v>105715828.30740723</v>
      </c>
      <c r="AJ85" s="69">
        <f t="shared" si="31"/>
        <v>115303291.26279774</v>
      </c>
      <c r="AK85" s="69">
        <f t="shared" si="31"/>
        <v>125558449.23933685</v>
      </c>
      <c r="AL85" s="69">
        <f>SUM(AL86:AL90)</f>
        <v>136854959.69707048</v>
      </c>
    </row>
    <row r="86" spans="4:40">
      <c r="D86" t="s">
        <v>189</v>
      </c>
      <c r="E86" s="16" t="s">
        <v>211</v>
      </c>
      <c r="K86" s="65">
        <f>K27*K71</f>
        <v>3746323</v>
      </c>
      <c r="L86" s="65">
        <f t="shared" ref="L86:AK86" si="32">L27*L71</f>
        <v>3763296.7631000001</v>
      </c>
      <c r="M86" s="65">
        <f t="shared" si="32"/>
        <v>4022098.7544460809</v>
      </c>
      <c r="N86" s="65">
        <f t="shared" si="32"/>
        <v>7623200.1314147841</v>
      </c>
      <c r="O86" s="65">
        <f t="shared" si="32"/>
        <v>0</v>
      </c>
      <c r="P86" s="65">
        <f t="shared" si="32"/>
        <v>0</v>
      </c>
      <c r="Q86" s="65">
        <f t="shared" si="32"/>
        <v>0</v>
      </c>
      <c r="R86" s="65">
        <f t="shared" si="32"/>
        <v>0</v>
      </c>
      <c r="S86" s="65">
        <f t="shared" si="32"/>
        <v>0</v>
      </c>
      <c r="T86" s="65">
        <f t="shared" si="32"/>
        <v>0</v>
      </c>
      <c r="U86" s="65">
        <f t="shared" si="32"/>
        <v>0</v>
      </c>
      <c r="V86" s="65">
        <f t="shared" si="32"/>
        <v>0</v>
      </c>
      <c r="W86" s="65">
        <f t="shared" si="32"/>
        <v>0</v>
      </c>
      <c r="X86" s="65">
        <f t="shared" si="32"/>
        <v>0</v>
      </c>
      <c r="Y86" s="65">
        <f t="shared" si="32"/>
        <v>0</v>
      </c>
      <c r="Z86" s="65">
        <f t="shared" si="32"/>
        <v>0</v>
      </c>
      <c r="AA86" s="65">
        <f t="shared" si="32"/>
        <v>0</v>
      </c>
      <c r="AB86" s="65">
        <f t="shared" si="32"/>
        <v>0</v>
      </c>
      <c r="AC86" s="65">
        <f t="shared" si="32"/>
        <v>8510407.9679711144</v>
      </c>
      <c r="AD86" s="65">
        <f t="shared" si="32"/>
        <v>9021032.446049381</v>
      </c>
      <c r="AE86" s="65">
        <f t="shared" si="32"/>
        <v>9562294.3928123452</v>
      </c>
      <c r="AF86" s="65">
        <f t="shared" si="32"/>
        <v>10077694.359189065</v>
      </c>
      <c r="AG86" s="65">
        <f t="shared" si="32"/>
        <v>10744193.979763951</v>
      </c>
      <c r="AH86" s="65">
        <f t="shared" si="32"/>
        <v>11388845.61854979</v>
      </c>
      <c r="AI86" s="65">
        <f t="shared" si="32"/>
        <v>12072176.355662778</v>
      </c>
      <c r="AJ86" s="65">
        <f t="shared" si="32"/>
        <v>12722856.938398162</v>
      </c>
      <c r="AK86" s="65">
        <f t="shared" si="32"/>
        <v>13564297.353222698</v>
      </c>
      <c r="AL86" s="65">
        <f>AL27*AL71</f>
        <v>14378155.194416063</v>
      </c>
    </row>
    <row r="87" spans="4:40">
      <c r="D87" t="s">
        <v>144</v>
      </c>
      <c r="E87" s="16" t="s">
        <v>211</v>
      </c>
      <c r="K87" s="65">
        <f>K28*K74</f>
        <v>418617</v>
      </c>
      <c r="L87" s="65">
        <f t="shared" ref="L87:AK87" si="33">L28*L74</f>
        <v>432281.31558032165</v>
      </c>
      <c r="M87" s="65">
        <f t="shared" si="33"/>
        <v>492889.37674629915</v>
      </c>
      <c r="N87" s="65">
        <f t="shared" si="33"/>
        <v>3502487.1470910721</v>
      </c>
      <c r="O87" s="65">
        <f t="shared" si="33"/>
        <v>8306489.7706249347</v>
      </c>
      <c r="P87" s="65">
        <f t="shared" si="33"/>
        <v>9083977.2131554279</v>
      </c>
      <c r="Q87" s="65">
        <f t="shared" si="33"/>
        <v>11671110.50111958</v>
      </c>
      <c r="R87" s="65">
        <f t="shared" si="33"/>
        <v>12763526.444024369</v>
      </c>
      <c r="S87" s="65">
        <f t="shared" si="33"/>
        <v>16592319.490160089</v>
      </c>
      <c r="T87" s="65">
        <f t="shared" si="33"/>
        <v>18145360.594439071</v>
      </c>
      <c r="U87" s="65">
        <f t="shared" si="33"/>
        <v>13431887.445998525</v>
      </c>
      <c r="V87" s="65">
        <f t="shared" si="33"/>
        <v>14689112.110943986</v>
      </c>
      <c r="W87" s="65">
        <f t="shared" si="33"/>
        <v>16064013.00452834</v>
      </c>
      <c r="X87" s="65">
        <f t="shared" si="33"/>
        <v>17544628.964093532</v>
      </c>
      <c r="Y87" s="65">
        <f t="shared" si="33"/>
        <v>19211932.414348196</v>
      </c>
      <c r="Z87" s="65">
        <f t="shared" si="33"/>
        <v>21010169.288331185</v>
      </c>
      <c r="AA87" s="65">
        <f t="shared" si="33"/>
        <v>22976721.133718982</v>
      </c>
      <c r="AB87" s="65">
        <f t="shared" si="33"/>
        <v>25094479.629026048</v>
      </c>
      <c r="AC87" s="65">
        <f t="shared" si="33"/>
        <v>21235027.707086559</v>
      </c>
      <c r="AD87" s="65">
        <f t="shared" si="33"/>
        <v>23222626.30046986</v>
      </c>
      <c r="AE87" s="65">
        <f t="shared" si="33"/>
        <v>25396264.122193839</v>
      </c>
      <c r="AF87" s="65">
        <f t="shared" si="33"/>
        <v>27773354.444031179</v>
      </c>
      <c r="AG87" s="65">
        <f t="shared" si="33"/>
        <v>30372940.419992499</v>
      </c>
      <c r="AH87" s="65">
        <f t="shared" si="33"/>
        <v>33215847.643303793</v>
      </c>
      <c r="AI87" s="65">
        <f t="shared" si="33"/>
        <v>36324850.982717022</v>
      </c>
      <c r="AJ87" s="65">
        <f t="shared" si="33"/>
        <v>39724857.034699336</v>
      </c>
      <c r="AK87" s="65">
        <f t="shared" si="33"/>
        <v>43443103.653147191</v>
      </c>
      <c r="AL87" s="65">
        <f>AL28*AL74</f>
        <v>47509378.155081764</v>
      </c>
      <c r="AM87" s="65">
        <f>SUM(M87:AL87)</f>
        <v>558799354.99107265</v>
      </c>
    </row>
    <row r="88" spans="4:40">
      <c r="D88" t="s">
        <v>125</v>
      </c>
      <c r="E88" s="16" t="s">
        <v>211</v>
      </c>
      <c r="K88" s="65">
        <f>K78*K29</f>
        <v>0</v>
      </c>
      <c r="L88" s="65">
        <f t="shared" ref="L88:AK88" si="34">L78*L29</f>
        <v>0</v>
      </c>
      <c r="M88" s="65">
        <f t="shared" si="34"/>
        <v>0</v>
      </c>
      <c r="N88" s="65">
        <f t="shared" si="34"/>
        <v>0</v>
      </c>
      <c r="O88" s="65">
        <f t="shared" si="34"/>
        <v>0</v>
      </c>
      <c r="P88" s="65">
        <f t="shared" si="34"/>
        <v>0</v>
      </c>
      <c r="Q88" s="65">
        <f t="shared" si="34"/>
        <v>0</v>
      </c>
      <c r="R88" s="65">
        <f t="shared" si="34"/>
        <v>0</v>
      </c>
      <c r="S88" s="65">
        <f t="shared" si="34"/>
        <v>0</v>
      </c>
      <c r="T88" s="65">
        <f t="shared" si="34"/>
        <v>0</v>
      </c>
      <c r="U88" s="65">
        <f t="shared" si="34"/>
        <v>0</v>
      </c>
      <c r="V88" s="65">
        <f t="shared" si="34"/>
        <v>0</v>
      </c>
      <c r="W88" s="65">
        <f t="shared" si="34"/>
        <v>0</v>
      </c>
      <c r="X88" s="65">
        <f t="shared" si="34"/>
        <v>0</v>
      </c>
      <c r="Y88" s="65">
        <f t="shared" si="34"/>
        <v>0</v>
      </c>
      <c r="Z88" s="65">
        <f t="shared" si="34"/>
        <v>0</v>
      </c>
      <c r="AA88" s="65">
        <f t="shared" si="34"/>
        <v>0</v>
      </c>
      <c r="AB88" s="65">
        <f t="shared" si="34"/>
        <v>0</v>
      </c>
      <c r="AC88" s="65">
        <f t="shared" si="34"/>
        <v>0</v>
      </c>
      <c r="AD88" s="65">
        <f t="shared" si="34"/>
        <v>0</v>
      </c>
      <c r="AE88" s="65">
        <f t="shared" si="34"/>
        <v>0</v>
      </c>
      <c r="AF88" s="65">
        <f t="shared" si="34"/>
        <v>0</v>
      </c>
      <c r="AG88" s="65">
        <f t="shared" si="34"/>
        <v>0</v>
      </c>
      <c r="AH88" s="65">
        <f t="shared" si="34"/>
        <v>0</v>
      </c>
      <c r="AI88" s="65">
        <f t="shared" si="34"/>
        <v>0</v>
      </c>
      <c r="AJ88" s="65">
        <f t="shared" si="34"/>
        <v>0</v>
      </c>
      <c r="AK88" s="65">
        <f t="shared" si="34"/>
        <v>0</v>
      </c>
      <c r="AL88" s="65">
        <f>AL78*AL29</f>
        <v>0</v>
      </c>
      <c r="AM88" s="65">
        <f t="shared" ref="AM88:AM90" si="35">SUM(M88:AL88)</f>
        <v>0</v>
      </c>
    </row>
    <row r="89" spans="4:40">
      <c r="D89" t="s">
        <v>154</v>
      </c>
      <c r="E89" s="16" t="s">
        <v>211</v>
      </c>
      <c r="K89" s="65">
        <f>K30*K79</f>
        <v>0</v>
      </c>
      <c r="L89" s="65">
        <f t="shared" ref="L89:AK89" si="36">L30*L79</f>
        <v>0</v>
      </c>
      <c r="M89" s="65">
        <f t="shared" si="36"/>
        <v>0</v>
      </c>
      <c r="N89" s="65">
        <f t="shared" si="36"/>
        <v>0</v>
      </c>
      <c r="O89" s="65">
        <f t="shared" si="36"/>
        <v>0</v>
      </c>
      <c r="P89" s="65">
        <f t="shared" si="36"/>
        <v>0</v>
      </c>
      <c r="Q89" s="65">
        <f t="shared" si="36"/>
        <v>0</v>
      </c>
      <c r="R89" s="65">
        <f t="shared" si="36"/>
        <v>0</v>
      </c>
      <c r="S89" s="65">
        <f t="shared" si="36"/>
        <v>0</v>
      </c>
      <c r="T89" s="65">
        <f t="shared" si="36"/>
        <v>0</v>
      </c>
      <c r="U89" s="65">
        <f t="shared" si="36"/>
        <v>16378648.969998186</v>
      </c>
      <c r="V89" s="65">
        <f t="shared" si="36"/>
        <v>17911690.513590015</v>
      </c>
      <c r="W89" s="65">
        <f t="shared" si="36"/>
        <v>19588224.745662041</v>
      </c>
      <c r="X89" s="65">
        <f t="shared" si="36"/>
        <v>21480372.123176157</v>
      </c>
      <c r="Y89" s="65">
        <f t="shared" si="36"/>
        <v>23426752.071517725</v>
      </c>
      <c r="Z89" s="65">
        <f t="shared" si="36"/>
        <v>25619496.065411784</v>
      </c>
      <c r="AA89" s="65">
        <f t="shared" si="36"/>
        <v>28017480.897134326</v>
      </c>
      <c r="AB89" s="65">
        <f t="shared" si="36"/>
        <v>30723862.087487206</v>
      </c>
      <c r="AC89" s="65">
        <f t="shared" si="36"/>
        <v>33507813.350518424</v>
      </c>
      <c r="AD89" s="65">
        <f t="shared" si="36"/>
        <v>36644144.680126943</v>
      </c>
      <c r="AE89" s="65">
        <f t="shared" si="36"/>
        <v>40074036.622186825</v>
      </c>
      <c r="AF89" s="65">
        <f t="shared" si="36"/>
        <v>43945034.851256445</v>
      </c>
      <c r="AG89" s="65">
        <f t="shared" si="36"/>
        <v>47926983.309745699</v>
      </c>
      <c r="AH89" s="65">
        <f t="shared" si="36"/>
        <v>52412948.947537892</v>
      </c>
      <c r="AI89" s="65">
        <f t="shared" si="36"/>
        <v>57318800.96902743</v>
      </c>
      <c r="AJ89" s="65">
        <f t="shared" si="36"/>
        <v>62855577.289700255</v>
      </c>
      <c r="AK89" s="65">
        <f t="shared" si="36"/>
        <v>68551048.232966959</v>
      </c>
      <c r="AL89" s="65">
        <f>AL30*AL79</f>
        <v>74967426.347572669</v>
      </c>
      <c r="AM89" s="65">
        <f t="shared" si="35"/>
        <v>701350342.07461703</v>
      </c>
    </row>
    <row r="90" spans="4:40">
      <c r="D90" t="s">
        <v>423</v>
      </c>
      <c r="E90" s="16" t="s">
        <v>211</v>
      </c>
      <c r="K90" s="65">
        <f>K80*K31</f>
        <v>0</v>
      </c>
      <c r="L90" s="65">
        <f t="shared" ref="L90:AK90" si="37">L80*L31</f>
        <v>0</v>
      </c>
      <c r="M90" s="65">
        <f t="shared" si="37"/>
        <v>0</v>
      </c>
      <c r="N90" s="65">
        <f t="shared" si="37"/>
        <v>0</v>
      </c>
      <c r="O90" s="65">
        <f t="shared" si="37"/>
        <v>0</v>
      </c>
      <c r="P90" s="65">
        <f t="shared" si="37"/>
        <v>0</v>
      </c>
      <c r="Q90" s="65">
        <f t="shared" si="37"/>
        <v>0</v>
      </c>
      <c r="R90" s="65">
        <f t="shared" si="37"/>
        <v>0</v>
      </c>
      <c r="S90" s="65">
        <f t="shared" si="37"/>
        <v>0</v>
      </c>
      <c r="T90" s="65">
        <f t="shared" si="37"/>
        <v>0</v>
      </c>
      <c r="U90" s="65">
        <f t="shared" si="37"/>
        <v>0</v>
      </c>
      <c r="V90" s="65">
        <f t="shared" si="37"/>
        <v>0</v>
      </c>
      <c r="W90" s="65">
        <f t="shared" si="37"/>
        <v>0</v>
      </c>
      <c r="X90" s="65">
        <f t="shared" si="37"/>
        <v>0</v>
      </c>
      <c r="Y90" s="65">
        <f t="shared" si="37"/>
        <v>0</v>
      </c>
      <c r="Z90" s="65">
        <f t="shared" si="37"/>
        <v>0</v>
      </c>
      <c r="AA90" s="65">
        <f t="shared" si="37"/>
        <v>0</v>
      </c>
      <c r="AB90" s="65">
        <f t="shared" si="37"/>
        <v>0</v>
      </c>
      <c r="AC90" s="65">
        <f t="shared" si="37"/>
        <v>0</v>
      </c>
      <c r="AD90" s="65">
        <f t="shared" si="37"/>
        <v>0</v>
      </c>
      <c r="AE90" s="65">
        <f t="shared" si="37"/>
        <v>0</v>
      </c>
      <c r="AF90" s="65">
        <f t="shared" si="37"/>
        <v>0</v>
      </c>
      <c r="AG90" s="65">
        <f t="shared" si="37"/>
        <v>0</v>
      </c>
      <c r="AH90" s="65">
        <f t="shared" si="37"/>
        <v>0</v>
      </c>
      <c r="AI90" s="65">
        <f t="shared" si="37"/>
        <v>0</v>
      </c>
      <c r="AJ90" s="65">
        <f t="shared" si="37"/>
        <v>0</v>
      </c>
      <c r="AK90" s="65">
        <f t="shared" si="37"/>
        <v>0</v>
      </c>
      <c r="AL90" s="65">
        <f>AL80*AL31</f>
        <v>0</v>
      </c>
      <c r="AM90" s="65">
        <f t="shared" si="35"/>
        <v>0</v>
      </c>
      <c r="AN90" s="65">
        <f>SUM(AM87:AM90)</f>
        <v>1260149697.0656896</v>
      </c>
    </row>
    <row r="91" spans="4:40">
      <c r="D91" t="s">
        <v>528</v>
      </c>
      <c r="E91" s="16" t="s">
        <v>211</v>
      </c>
      <c r="K91" s="65">
        <f>SUM(K87:K90)</f>
        <v>418617</v>
      </c>
      <c r="L91" s="65">
        <f t="shared" ref="L91:AL91" si="38">SUM(L87:L90)</f>
        <v>432281.31558032165</v>
      </c>
      <c r="M91" s="65">
        <f t="shared" si="38"/>
        <v>492889.37674629915</v>
      </c>
      <c r="N91" s="65">
        <f t="shared" si="38"/>
        <v>3502487.1470910721</v>
      </c>
      <c r="O91" s="65">
        <f t="shared" si="38"/>
        <v>8306489.7706249347</v>
      </c>
      <c r="P91" s="65">
        <f t="shared" si="38"/>
        <v>9083977.2131554279</v>
      </c>
      <c r="Q91" s="65">
        <f t="shared" si="38"/>
        <v>11671110.50111958</v>
      </c>
      <c r="R91" s="65">
        <f t="shared" si="38"/>
        <v>12763526.444024369</v>
      </c>
      <c r="S91" s="65">
        <f t="shared" si="38"/>
        <v>16592319.490160089</v>
      </c>
      <c r="T91" s="65">
        <f t="shared" si="38"/>
        <v>18145360.594439071</v>
      </c>
      <c r="U91" s="65">
        <f t="shared" si="38"/>
        <v>29810536.415996712</v>
      </c>
      <c r="V91" s="65">
        <f t="shared" si="38"/>
        <v>32600802.624534003</v>
      </c>
      <c r="W91" s="65">
        <f t="shared" si="38"/>
        <v>35652237.750190377</v>
      </c>
      <c r="X91" s="65">
        <f t="shared" si="38"/>
        <v>39025001.087269694</v>
      </c>
      <c r="Y91" s="65">
        <f t="shared" si="38"/>
        <v>42638684.485865921</v>
      </c>
      <c r="Z91" s="65">
        <f t="shared" si="38"/>
        <v>46629665.353742972</v>
      </c>
      <c r="AA91" s="65">
        <f t="shared" si="38"/>
        <v>50994202.030853309</v>
      </c>
      <c r="AB91" s="65">
        <f t="shared" si="38"/>
        <v>55818341.716513254</v>
      </c>
      <c r="AC91" s="65">
        <f t="shared" si="38"/>
        <v>54742841.057604983</v>
      </c>
      <c r="AD91" s="65">
        <f t="shared" si="38"/>
        <v>59866770.980596803</v>
      </c>
      <c r="AE91" s="65">
        <f t="shared" si="38"/>
        <v>65470300.744380668</v>
      </c>
      <c r="AF91" s="65">
        <f t="shared" si="38"/>
        <v>71718389.295287624</v>
      </c>
      <c r="AG91" s="65">
        <f t="shared" si="38"/>
        <v>78299923.729738206</v>
      </c>
      <c r="AH91" s="65">
        <f t="shared" si="38"/>
        <v>85628796.590841681</v>
      </c>
      <c r="AI91" s="65">
        <f t="shared" si="38"/>
        <v>93643651.951744452</v>
      </c>
      <c r="AJ91" s="65">
        <f t="shared" si="38"/>
        <v>102580434.32439959</v>
      </c>
      <c r="AK91" s="65">
        <f t="shared" si="38"/>
        <v>111994151.88611415</v>
      </c>
      <c r="AL91" s="65">
        <f t="shared" si="38"/>
        <v>122476804.50265443</v>
      </c>
      <c r="AM91" s="65"/>
      <c r="AN91" s="65"/>
    </row>
    <row r="92" spans="4:40" ht="18">
      <c r="D92" s="15" t="s">
        <v>212</v>
      </c>
      <c r="E92" s="16"/>
      <c r="K92" s="70">
        <f>SUM(K93:K96)</f>
        <v>3539306.375</v>
      </c>
      <c r="L92" s="70">
        <f t="shared" ref="L92:AK92" si="39">SUM(L93:L96)</f>
        <v>3615442.7379177581</v>
      </c>
      <c r="M92" s="70">
        <f t="shared" si="39"/>
        <v>4122346.3830767944</v>
      </c>
      <c r="N92" s="70">
        <f t="shared" si="39"/>
        <v>11283241.373082571</v>
      </c>
      <c r="O92" s="70">
        <f t="shared" si="39"/>
        <v>13379653.530326771</v>
      </c>
      <c r="P92" s="70">
        <f t="shared" si="39"/>
        <v>14631989.100765355</v>
      </c>
      <c r="Q92" s="70">
        <f t="shared" si="39"/>
        <v>18559175.457791578</v>
      </c>
      <c r="R92" s="70">
        <f t="shared" si="39"/>
        <v>20078256.246467352</v>
      </c>
      <c r="S92" s="70">
        <f t="shared" si="39"/>
        <v>25772655.80715774</v>
      </c>
      <c r="T92" s="70">
        <f t="shared" si="39"/>
        <v>27883194.69157258</v>
      </c>
      <c r="U92" s="70">
        <f t="shared" si="39"/>
        <v>30167439.261336971</v>
      </c>
      <c r="V92" s="70">
        <f t="shared" si="39"/>
        <v>32639764.949015327</v>
      </c>
      <c r="W92" s="70">
        <f t="shared" si="39"/>
        <v>35315743.937512942</v>
      </c>
      <c r="X92" s="70">
        <f t="shared" si="39"/>
        <v>38212245.421486251</v>
      </c>
      <c r="Y92" s="70">
        <f t="shared" si="39"/>
        <v>41347544.324621797</v>
      </c>
      <c r="Z92" s="70">
        <f t="shared" si="39"/>
        <v>44741439.190893903</v>
      </c>
      <c r="AA92" s="70">
        <f t="shared" si="39"/>
        <v>48415380.029330589</v>
      </c>
      <c r="AB92" s="70">
        <f t="shared" si="39"/>
        <v>52392606.958528303</v>
      </c>
      <c r="AC92" s="70">
        <f t="shared" si="39"/>
        <v>56698300.569616668</v>
      </c>
      <c r="AD92" s="70">
        <f t="shared" si="39"/>
        <v>61359745.005084746</v>
      </c>
      <c r="AE92" s="70">
        <f t="shared" si="39"/>
        <v>66406504.836382627</v>
      </c>
      <c r="AF92" s="70">
        <f t="shared" si="39"/>
        <v>71870616.916096941</v>
      </c>
      <c r="AG92" s="70">
        <f t="shared" si="39"/>
        <v>77786798.481407776</v>
      </c>
      <c r="AH92" s="70">
        <f t="shared" si="39"/>
        <v>84192672.895166889</v>
      </c>
      <c r="AI92" s="70">
        <f t="shared" si="39"/>
        <v>91129014.53004989</v>
      </c>
      <c r="AJ92" s="70">
        <f t="shared" si="39"/>
        <v>98640014.4306577</v>
      </c>
      <c r="AK92" s="70">
        <f t="shared" si="39"/>
        <v>106773568.52906939</v>
      </c>
      <c r="AL92" s="70">
        <f>SUM(AL93:AL96)</f>
        <v>115581590.3421609</v>
      </c>
    </row>
    <row r="93" spans="4:40">
      <c r="D93" s="7" t="s">
        <v>122</v>
      </c>
      <c r="E93" s="16" t="s">
        <v>211</v>
      </c>
      <c r="K93" s="65">
        <f>K47*K75</f>
        <v>634463.375</v>
      </c>
      <c r="L93" s="65">
        <f t="shared" ref="L93:AL94" si="40">L47*L75</f>
        <v>655173.25486669422</v>
      </c>
      <c r="M93" s="65">
        <f t="shared" si="40"/>
        <v>747031.91096420691</v>
      </c>
      <c r="N93" s="65">
        <f t="shared" si="40"/>
        <v>2044695.0793380849</v>
      </c>
      <c r="O93" s="65">
        <f t="shared" si="40"/>
        <v>2424596.8717793724</v>
      </c>
      <c r="P93" s="65">
        <f t="shared" si="40"/>
        <v>2651539.1389779216</v>
      </c>
      <c r="Q93" s="65">
        <f t="shared" si="40"/>
        <v>3406702.324642356</v>
      </c>
      <c r="R93" s="65">
        <f t="shared" si="40"/>
        <v>3725569.66222888</v>
      </c>
      <c r="S93" s="65">
        <f t="shared" si="40"/>
        <v>4843163.2425136184</v>
      </c>
      <c r="T93" s="65">
        <f t="shared" si="40"/>
        <v>5296483.3220128929</v>
      </c>
      <c r="U93" s="65">
        <f t="shared" si="40"/>
        <v>5792234.1609532991</v>
      </c>
      <c r="V93" s="65">
        <f t="shared" si="40"/>
        <v>6334387.278418527</v>
      </c>
      <c r="W93" s="65">
        <f t="shared" si="40"/>
        <v>6927285.9276785003</v>
      </c>
      <c r="X93" s="65">
        <f t="shared" si="40"/>
        <v>7575679.8905092077</v>
      </c>
      <c r="Y93" s="65">
        <f t="shared" si="40"/>
        <v>8284763.528260868</v>
      </c>
      <c r="Z93" s="65">
        <f t="shared" si="40"/>
        <v>9060217.3945060838</v>
      </c>
      <c r="AA93" s="65">
        <f t="shared" si="40"/>
        <v>9908253.7426318526</v>
      </c>
      <c r="AB93" s="65">
        <f t="shared" si="40"/>
        <v>10835666.292942192</v>
      </c>
      <c r="AC93" s="65">
        <f t="shared" si="40"/>
        <v>11849884.657961581</v>
      </c>
      <c r="AD93" s="65">
        <f t="shared" si="40"/>
        <v>12959033.861946784</v>
      </c>
      <c r="AE93" s="65">
        <f t="shared" si="40"/>
        <v>14171999.431425001</v>
      </c>
      <c r="AF93" s="65">
        <f t="shared" si="40"/>
        <v>15498498.578206381</v>
      </c>
      <c r="AG93" s="65">
        <f t="shared" si="40"/>
        <v>16949158.045126498</v>
      </c>
      <c r="AH93" s="65">
        <f t="shared" si="40"/>
        <v>18535599.238150336</v>
      </c>
      <c r="AI93" s="65">
        <f t="shared" si="40"/>
        <v>20270531.326841202</v>
      </c>
      <c r="AJ93" s="65">
        <f t="shared" si="40"/>
        <v>22167853.059033539</v>
      </c>
      <c r="AK93" s="65">
        <f t="shared" si="40"/>
        <v>24242764.105359074</v>
      </c>
      <c r="AL93" s="65">
        <f t="shared" si="40"/>
        <v>26511886.825620685</v>
      </c>
    </row>
    <row r="94" spans="4:40">
      <c r="D94" s="7" t="s">
        <v>123</v>
      </c>
      <c r="E94" s="16" t="s">
        <v>211</v>
      </c>
      <c r="K94" s="65">
        <f>K48*K76</f>
        <v>2857365</v>
      </c>
      <c r="L94" s="65">
        <f t="shared" si="40"/>
        <v>2911241.7266505295</v>
      </c>
      <c r="M94" s="65">
        <f t="shared" si="40"/>
        <v>3319412.7723986227</v>
      </c>
      <c r="N94" s="65">
        <f t="shared" si="40"/>
        <v>9085538.1977660321</v>
      </c>
      <c r="O94" s="65">
        <f t="shared" si="40"/>
        <v>10773619.849404017</v>
      </c>
      <c r="P94" s="65">
        <f t="shared" si="40"/>
        <v>11782030.667308232</v>
      </c>
      <c r="Q94" s="65">
        <f t="shared" si="40"/>
        <v>14935481.792706767</v>
      </c>
      <c r="R94" s="65">
        <f t="shared" si="40"/>
        <v>16115384.854330601</v>
      </c>
      <c r="S94" s="65">
        <f t="shared" si="40"/>
        <v>20669979.392816875</v>
      </c>
      <c r="T94" s="65">
        <f t="shared" si="40"/>
        <v>22302907.764849409</v>
      </c>
      <c r="U94" s="65">
        <f t="shared" si="40"/>
        <v>24064837.478272513</v>
      </c>
      <c r="V94" s="65">
        <f t="shared" si="40"/>
        <v>25965959.639056038</v>
      </c>
      <c r="W94" s="65">
        <f t="shared" si="40"/>
        <v>28017270.450541463</v>
      </c>
      <c r="X94" s="65">
        <f t="shared" si="40"/>
        <v>30230634.816134237</v>
      </c>
      <c r="Y94" s="65">
        <f t="shared" si="40"/>
        <v>32618854.966608841</v>
      </c>
      <c r="Z94" s="65">
        <f t="shared" si="40"/>
        <v>35195744.508970939</v>
      </c>
      <c r="AA94" s="65">
        <f t="shared" si="40"/>
        <v>37976208.325179636</v>
      </c>
      <c r="AB94" s="65">
        <f t="shared" si="40"/>
        <v>40976328.782868825</v>
      </c>
      <c r="AC94" s="65">
        <f t="shared" si="40"/>
        <v>44213458.756715462</v>
      </c>
      <c r="AD94" s="65">
        <f t="shared" si="40"/>
        <v>47706321.998495981</v>
      </c>
      <c r="AE94" s="65">
        <f t="shared" si="40"/>
        <v>51475121.436377153</v>
      </c>
      <c r="AF94" s="65">
        <f t="shared" si="40"/>
        <v>55541656.029850952</v>
      </c>
      <c r="AG94" s="65">
        <f t="shared" si="40"/>
        <v>59929446.856209174</v>
      </c>
      <c r="AH94" s="65">
        <f t="shared" si="40"/>
        <v>64663873.157849699</v>
      </c>
      <c r="AI94" s="65">
        <f t="shared" si="40"/>
        <v>69772319.137319818</v>
      </c>
      <c r="AJ94" s="65">
        <f t="shared" si="40"/>
        <v>75284332.349168092</v>
      </c>
      <c r="AK94" s="65">
        <f t="shared" si="40"/>
        <v>81231794.604752362</v>
      </c>
      <c r="AL94" s="65">
        <f t="shared" si="40"/>
        <v>87649106.37852779</v>
      </c>
    </row>
    <row r="95" spans="4:40">
      <c r="D95" s="63" t="s">
        <v>124</v>
      </c>
      <c r="E95" s="16" t="s">
        <v>211</v>
      </c>
      <c r="K95" s="65">
        <f>K77*K50</f>
        <v>47477.999999999993</v>
      </c>
      <c r="L95" s="65">
        <f t="shared" ref="L95:AL95" si="41">L77*L50</f>
        <v>49027.756400534403</v>
      </c>
      <c r="M95" s="65">
        <f t="shared" si="41"/>
        <v>55901.699713964757</v>
      </c>
      <c r="N95" s="65">
        <f t="shared" si="41"/>
        <v>153008.09597845364</v>
      </c>
      <c r="O95" s="65">
        <f t="shared" si="41"/>
        <v>181436.80914338207</v>
      </c>
      <c r="P95" s="65">
        <f t="shared" si="41"/>
        <v>198419.2944792026</v>
      </c>
      <c r="Q95" s="65">
        <f t="shared" si="41"/>
        <v>216991.34044245596</v>
      </c>
      <c r="R95" s="65">
        <f t="shared" si="41"/>
        <v>237301.7299078698</v>
      </c>
      <c r="S95" s="65">
        <f t="shared" si="41"/>
        <v>259513.17182724643</v>
      </c>
      <c r="T95" s="65">
        <f t="shared" si="41"/>
        <v>283803.60471027665</v>
      </c>
      <c r="U95" s="65">
        <f t="shared" si="41"/>
        <v>310367.62211115856</v>
      </c>
      <c r="V95" s="65">
        <f t="shared" si="41"/>
        <v>339418.03154076292</v>
      </c>
      <c r="W95" s="65">
        <f t="shared" si="41"/>
        <v>371187.55929297832</v>
      </c>
      <c r="X95" s="65">
        <f t="shared" si="41"/>
        <v>405930.7148428011</v>
      </c>
      <c r="Y95" s="65">
        <f t="shared" si="41"/>
        <v>443925.82975208719</v>
      </c>
      <c r="Z95" s="65">
        <f t="shared" si="41"/>
        <v>485477.28741688252</v>
      </c>
      <c r="AA95" s="65">
        <f t="shared" si="41"/>
        <v>530917.96151910268</v>
      </c>
      <c r="AB95" s="65">
        <f t="shared" si="41"/>
        <v>580611.88271729066</v>
      </c>
      <c r="AC95" s="65">
        <f t="shared" si="41"/>
        <v>634957.15493962902</v>
      </c>
      <c r="AD95" s="65">
        <f t="shared" si="41"/>
        <v>694389.14464197832</v>
      </c>
      <c r="AE95" s="65">
        <f t="shared" si="41"/>
        <v>759383.96858046739</v>
      </c>
      <c r="AF95" s="65">
        <f t="shared" si="41"/>
        <v>830462.30803959921</v>
      </c>
      <c r="AG95" s="65">
        <f t="shared" si="41"/>
        <v>908193.58007210563</v>
      </c>
      <c r="AH95" s="65">
        <f t="shared" si="41"/>
        <v>993200.49916685466</v>
      </c>
      <c r="AI95" s="65">
        <f t="shared" si="41"/>
        <v>1086164.0658888721</v>
      </c>
      <c r="AJ95" s="65">
        <f t="shared" si="41"/>
        <v>1187829.0224560704</v>
      </c>
      <c r="AK95" s="65">
        <f t="shared" si="41"/>
        <v>1299009.8189579586</v>
      </c>
      <c r="AL95" s="65">
        <f t="shared" si="41"/>
        <v>1420597.1380124234</v>
      </c>
    </row>
    <row r="96" spans="4:40">
      <c r="D96" s="7" t="s">
        <v>233</v>
      </c>
      <c r="E96" s="16" t="s">
        <v>211</v>
      </c>
      <c r="W96"/>
      <c r="AB96"/>
    </row>
    <row r="97" spans="4:40" ht="18">
      <c r="D97" s="15" t="s">
        <v>234</v>
      </c>
      <c r="K97" s="69">
        <f>SUM(K98:K99)</f>
        <v>1742558.4</v>
      </c>
      <c r="L97" s="69">
        <f t="shared" ref="L97:AK97" si="42">SUM(L98:L99)</f>
        <v>1750689.2990336004</v>
      </c>
      <c r="M97" s="69">
        <f t="shared" si="42"/>
        <v>1936490.0635776964</v>
      </c>
      <c r="N97" s="69">
        <f t="shared" si="42"/>
        <v>5423644.0497468477</v>
      </c>
      <c r="O97" s="69">
        <f t="shared" si="42"/>
        <v>6896688.4326810278</v>
      </c>
      <c r="P97" s="69">
        <f t="shared" si="42"/>
        <v>7310489.7386418898</v>
      </c>
      <c r="Q97" s="69">
        <f t="shared" si="42"/>
        <v>10648675.065098453</v>
      </c>
      <c r="R97" s="69">
        <f t="shared" si="42"/>
        <v>11287595.569004361</v>
      </c>
      <c r="S97" s="69">
        <f t="shared" si="42"/>
        <v>16096228.569996506</v>
      </c>
      <c r="T97" s="69">
        <f t="shared" si="42"/>
        <v>17062002.284196295</v>
      </c>
      <c r="U97" s="69">
        <f t="shared" si="42"/>
        <v>9310524.482663095</v>
      </c>
      <c r="V97" s="69">
        <f t="shared" si="42"/>
        <v>9869155.951622881</v>
      </c>
      <c r="W97" s="69">
        <f t="shared" si="42"/>
        <v>10461305.308720255</v>
      </c>
      <c r="X97" s="69">
        <f t="shared" si="42"/>
        <v>11060349.651495464</v>
      </c>
      <c r="Y97" s="69">
        <f t="shared" si="42"/>
        <v>11754322.64487808</v>
      </c>
      <c r="Z97" s="69">
        <f t="shared" si="42"/>
        <v>12459582.003570765</v>
      </c>
      <c r="AA97" s="69">
        <f t="shared" si="42"/>
        <v>13207156.92378501</v>
      </c>
      <c r="AB97" s="69">
        <f t="shared" si="42"/>
        <v>13963436.604557056</v>
      </c>
      <c r="AC97" s="69">
        <f t="shared" si="42"/>
        <v>14839561.519564839</v>
      </c>
      <c r="AD97" s="69">
        <f t="shared" si="42"/>
        <v>15729935.21073873</v>
      </c>
      <c r="AE97" s="69">
        <f t="shared" si="42"/>
        <v>16673731.323383056</v>
      </c>
      <c r="AF97" s="69">
        <f t="shared" si="42"/>
        <v>17628516.995673917</v>
      </c>
      <c r="AG97" s="69">
        <f t="shared" si="42"/>
        <v>18734604.514953203</v>
      </c>
      <c r="AH97" s="69">
        <f t="shared" si="42"/>
        <v>19858680.785850398</v>
      </c>
      <c r="AI97" s="69">
        <f t="shared" si="42"/>
        <v>21050201.633001421</v>
      </c>
      <c r="AJ97" s="69">
        <f t="shared" si="42"/>
        <v>22255596.546006747</v>
      </c>
      <c r="AK97" s="69">
        <f t="shared" si="42"/>
        <v>23652006.554840401</v>
      </c>
      <c r="AL97" s="69">
        <f>SUM(AL98:AL99)</f>
        <v>25071126.948130824</v>
      </c>
    </row>
    <row r="98" spans="4:40">
      <c r="D98" s="7" t="s">
        <v>236</v>
      </c>
      <c r="E98" s="16" t="s">
        <v>211</v>
      </c>
      <c r="K98" s="65">
        <f t="shared" ref="K98:AK98" si="43">K59*K72</f>
        <v>1501269.7999999998</v>
      </c>
      <c r="L98" s="65">
        <f t="shared" si="43"/>
        <v>1508307.4736136002</v>
      </c>
      <c r="M98" s="65">
        <f t="shared" si="43"/>
        <v>1667172.0942583524</v>
      </c>
      <c r="N98" s="65">
        <f t="shared" si="43"/>
        <v>4669962.6426580157</v>
      </c>
      <c r="O98" s="65">
        <f t="shared" si="43"/>
        <v>5938309.5651668655</v>
      </c>
      <c r="P98" s="65">
        <f t="shared" si="43"/>
        <v>6294608.1390768783</v>
      </c>
      <c r="Q98" s="65">
        <f t="shared" si="43"/>
        <v>9168911.9513908401</v>
      </c>
      <c r="R98" s="65">
        <f t="shared" si="43"/>
        <v>9719046.6684742905</v>
      </c>
      <c r="S98" s="65">
        <f t="shared" si="43"/>
        <v>13859461.539161459</v>
      </c>
      <c r="T98" s="65">
        <f t="shared" si="43"/>
        <v>14691029.231511148</v>
      </c>
      <c r="U98" s="65">
        <f t="shared" si="43"/>
        <v>8016713.6926360335</v>
      </c>
      <c r="V98" s="65">
        <f t="shared" si="43"/>
        <v>8497716.5141941961</v>
      </c>
      <c r="W98" s="65">
        <f t="shared" si="43"/>
        <v>9007579.505045848</v>
      </c>
      <c r="X98" s="65">
        <f t="shared" si="43"/>
        <v>9523379.33932635</v>
      </c>
      <c r="Y98" s="65">
        <f t="shared" si="43"/>
        <v>10120916.331869517</v>
      </c>
      <c r="Z98" s="65">
        <f t="shared" si="43"/>
        <v>10728171.311781688</v>
      </c>
      <c r="AA98" s="65">
        <f t="shared" si="43"/>
        <v>11371861.590488588</v>
      </c>
      <c r="AB98" s="65">
        <f t="shared" si="43"/>
        <v>12023046.997239541</v>
      </c>
      <c r="AC98" s="65">
        <f t="shared" si="43"/>
        <v>12777423.683072979</v>
      </c>
      <c r="AD98" s="65">
        <f t="shared" si="43"/>
        <v>13544069.104057359</v>
      </c>
      <c r="AE98" s="65">
        <f t="shared" si="43"/>
        <v>14356713.250300802</v>
      </c>
      <c r="AF98" s="65">
        <f t="shared" si="43"/>
        <v>15178819.823012108</v>
      </c>
      <c r="AG98" s="65">
        <f t="shared" si="43"/>
        <v>16131203.008037981</v>
      </c>
      <c r="AH98" s="65">
        <f t="shared" si="43"/>
        <v>17099075.188520264</v>
      </c>
      <c r="AI98" s="65">
        <f t="shared" si="43"/>
        <v>18125019.699831478</v>
      </c>
      <c r="AJ98" s="65">
        <f t="shared" si="43"/>
        <v>19162910.306544069</v>
      </c>
      <c r="AK98" s="65">
        <f t="shared" si="43"/>
        <v>20365272.134730652</v>
      </c>
      <c r="AL98" s="65">
        <f>AL59*AL72</f>
        <v>21587188.462814491</v>
      </c>
    </row>
    <row r="99" spans="4:40">
      <c r="D99" s="7" t="s">
        <v>237</v>
      </c>
      <c r="E99" s="16" t="s">
        <v>211</v>
      </c>
      <c r="K99" s="106">
        <f t="shared" ref="K99:AL99" si="44">K59*K73</f>
        <v>241288.6</v>
      </c>
      <c r="L99" s="106">
        <f t="shared" si="44"/>
        <v>242381.82542000004</v>
      </c>
      <c r="M99" s="106">
        <f t="shared" si="44"/>
        <v>269317.96931934403</v>
      </c>
      <c r="N99" s="106">
        <f t="shared" si="44"/>
        <v>753681.407088832</v>
      </c>
      <c r="O99" s="106">
        <f t="shared" si="44"/>
        <v>958378.86751416209</v>
      </c>
      <c r="P99" s="106">
        <f t="shared" si="44"/>
        <v>1015881.5995650118</v>
      </c>
      <c r="Q99" s="106">
        <f t="shared" si="44"/>
        <v>1479763.1137076125</v>
      </c>
      <c r="R99" s="106">
        <f t="shared" si="44"/>
        <v>1568548.9005300694</v>
      </c>
      <c r="S99" s="106">
        <f t="shared" si="44"/>
        <v>2236767.0308350464</v>
      </c>
      <c r="T99" s="106">
        <f t="shared" si="44"/>
        <v>2370973.052685149</v>
      </c>
      <c r="U99" s="106">
        <f t="shared" si="44"/>
        <v>1293810.7900270615</v>
      </c>
      <c r="V99" s="106">
        <f t="shared" si="44"/>
        <v>1371439.4374286854</v>
      </c>
      <c r="W99" s="106">
        <f t="shared" si="44"/>
        <v>1453725.8036744066</v>
      </c>
      <c r="X99" s="106">
        <f t="shared" si="44"/>
        <v>1536970.3121691148</v>
      </c>
      <c r="Y99" s="106">
        <f t="shared" si="44"/>
        <v>1633406.3130085634</v>
      </c>
      <c r="Z99" s="106">
        <f t="shared" si="44"/>
        <v>1731410.6917890771</v>
      </c>
      <c r="AA99" s="106">
        <f t="shared" si="44"/>
        <v>1835295.3332964219</v>
      </c>
      <c r="AB99" s="106">
        <f t="shared" si="44"/>
        <v>1940389.6073175152</v>
      </c>
      <c r="AC99" s="106">
        <f t="shared" si="44"/>
        <v>2062137.8364918598</v>
      </c>
      <c r="AD99" s="106">
        <f t="shared" si="44"/>
        <v>2185866.1066813716</v>
      </c>
      <c r="AE99" s="106">
        <f t="shared" si="44"/>
        <v>2317018.0730822538</v>
      </c>
      <c r="AF99" s="106">
        <f t="shared" si="44"/>
        <v>2449697.1726618111</v>
      </c>
      <c r="AG99" s="106">
        <f t="shared" si="44"/>
        <v>2603401.506915221</v>
      </c>
      <c r="AH99" s="106">
        <f t="shared" si="44"/>
        <v>2759605.5973301344</v>
      </c>
      <c r="AI99" s="106">
        <f t="shared" si="44"/>
        <v>2925181.9331699423</v>
      </c>
      <c r="AJ99" s="106">
        <f t="shared" si="44"/>
        <v>3092686.2394626793</v>
      </c>
      <c r="AK99" s="106">
        <f t="shared" si="44"/>
        <v>3286734.4201097479</v>
      </c>
      <c r="AL99" s="106">
        <f t="shared" si="44"/>
        <v>3483938.4853163329</v>
      </c>
    </row>
    <row r="100" spans="4:40" ht="18">
      <c r="D100" s="15" t="s">
        <v>428</v>
      </c>
      <c r="K100" s="69">
        <f>SUM(K101)</f>
        <v>0</v>
      </c>
      <c r="L100" s="69">
        <f t="shared" ref="L100:AK100" si="45">SUM(L101)</f>
        <v>0</v>
      </c>
      <c r="M100" s="69">
        <f t="shared" si="45"/>
        <v>0</v>
      </c>
      <c r="N100" s="69">
        <f t="shared" si="45"/>
        <v>0</v>
      </c>
      <c r="O100" s="69">
        <f t="shared" si="45"/>
        <v>0</v>
      </c>
      <c r="P100" s="69">
        <f t="shared" si="45"/>
        <v>0</v>
      </c>
      <c r="Q100" s="69">
        <f t="shared" si="45"/>
        <v>50000</v>
      </c>
      <c r="R100" s="69">
        <f t="shared" si="45"/>
        <v>50000</v>
      </c>
      <c r="S100" s="69">
        <f t="shared" si="45"/>
        <v>50000</v>
      </c>
      <c r="T100" s="69">
        <f t="shared" si="45"/>
        <v>50000</v>
      </c>
      <c r="U100" s="69">
        <f t="shared" si="45"/>
        <v>50000</v>
      </c>
      <c r="V100" s="69">
        <f t="shared" si="45"/>
        <v>50000</v>
      </c>
      <c r="W100" s="69">
        <f t="shared" si="45"/>
        <v>50000</v>
      </c>
      <c r="X100" s="69">
        <f t="shared" si="45"/>
        <v>50000</v>
      </c>
      <c r="Y100" s="69">
        <f t="shared" si="45"/>
        <v>50000</v>
      </c>
      <c r="Z100" s="69">
        <f t="shared" si="45"/>
        <v>50000</v>
      </c>
      <c r="AA100" s="69">
        <f t="shared" si="45"/>
        <v>50000</v>
      </c>
      <c r="AB100" s="69">
        <f t="shared" si="45"/>
        <v>50000</v>
      </c>
      <c r="AC100" s="69">
        <f t="shared" si="45"/>
        <v>50000</v>
      </c>
      <c r="AD100" s="69">
        <f t="shared" si="45"/>
        <v>50000</v>
      </c>
      <c r="AE100" s="69">
        <f t="shared" si="45"/>
        <v>50000</v>
      </c>
      <c r="AF100" s="69">
        <f t="shared" si="45"/>
        <v>50000</v>
      </c>
      <c r="AG100" s="69">
        <f t="shared" si="45"/>
        <v>50000</v>
      </c>
      <c r="AH100" s="69">
        <f t="shared" si="45"/>
        <v>50000</v>
      </c>
      <c r="AI100" s="69">
        <f t="shared" si="45"/>
        <v>50000</v>
      </c>
      <c r="AJ100" s="69">
        <f t="shared" si="45"/>
        <v>50000</v>
      </c>
      <c r="AK100" s="69">
        <f t="shared" si="45"/>
        <v>50000</v>
      </c>
      <c r="AL100" s="69">
        <f>SUM(AL101)</f>
        <v>50000</v>
      </c>
    </row>
    <row r="101" spans="4:40">
      <c r="D101" s="7" t="s">
        <v>429</v>
      </c>
      <c r="E101" s="16" t="s">
        <v>211</v>
      </c>
      <c r="K101" s="65">
        <f>K61*K74</f>
        <v>0</v>
      </c>
      <c r="L101" s="65">
        <f t="shared" ref="L101:P101" si="46">L61*L74</f>
        <v>0</v>
      </c>
      <c r="M101" s="65">
        <f t="shared" si="46"/>
        <v>0</v>
      </c>
      <c r="N101" s="65">
        <f t="shared" si="46"/>
        <v>0</v>
      </c>
      <c r="O101" s="65">
        <f t="shared" si="46"/>
        <v>0</v>
      </c>
      <c r="P101" s="65">
        <f t="shared" si="46"/>
        <v>0</v>
      </c>
      <c r="Q101" s="65">
        <f>Inputs!$E$200</f>
        <v>50000</v>
      </c>
      <c r="R101" s="65">
        <f>Inputs!$E$200</f>
        <v>50000</v>
      </c>
      <c r="S101" s="65">
        <f>Inputs!$E$200</f>
        <v>50000</v>
      </c>
      <c r="T101" s="65">
        <f>Inputs!$E$200</f>
        <v>50000</v>
      </c>
      <c r="U101" s="65">
        <f>Inputs!$E$200</f>
        <v>50000</v>
      </c>
      <c r="V101" s="65">
        <f>Inputs!$E$200</f>
        <v>50000</v>
      </c>
      <c r="W101" s="65">
        <f>Inputs!$E$200</f>
        <v>50000</v>
      </c>
      <c r="X101" s="65">
        <f>Inputs!$E$200</f>
        <v>50000</v>
      </c>
      <c r="Y101" s="65">
        <f>Inputs!$E$200</f>
        <v>50000</v>
      </c>
      <c r="Z101" s="65">
        <f>Inputs!$E$200</f>
        <v>50000</v>
      </c>
      <c r="AA101" s="65">
        <f>Inputs!$E$200</f>
        <v>50000</v>
      </c>
      <c r="AB101" s="65">
        <f>Inputs!$E$200</f>
        <v>50000</v>
      </c>
      <c r="AC101" s="65">
        <f>Inputs!$E$200</f>
        <v>50000</v>
      </c>
      <c r="AD101" s="65">
        <f>Inputs!$E$200</f>
        <v>50000</v>
      </c>
      <c r="AE101" s="65">
        <f>Inputs!$E$200</f>
        <v>50000</v>
      </c>
      <c r="AF101" s="65">
        <f>Inputs!$E$200</f>
        <v>50000</v>
      </c>
      <c r="AG101" s="65">
        <f>Inputs!$E$200</f>
        <v>50000</v>
      </c>
      <c r="AH101" s="65">
        <f>Inputs!$E$200</f>
        <v>50000</v>
      </c>
      <c r="AI101" s="65">
        <f>Inputs!$E$200</f>
        <v>50000</v>
      </c>
      <c r="AJ101" s="65">
        <f>Inputs!$E$200</f>
        <v>50000</v>
      </c>
      <c r="AK101" s="65">
        <f>Inputs!$E$200</f>
        <v>50000</v>
      </c>
      <c r="AL101" s="65">
        <f>Inputs!$E$200</f>
        <v>50000</v>
      </c>
    </row>
    <row r="102" spans="4:40">
      <c r="D102" s="23" t="s">
        <v>338</v>
      </c>
      <c r="E102" s="16" t="s">
        <v>211</v>
      </c>
      <c r="K102" s="70">
        <f>K97+K100+K92+K85</f>
        <v>9446804.7750000004</v>
      </c>
      <c r="L102" s="70">
        <f t="shared" ref="L102:AK102" si="47">L97+L100+L92+L85</f>
        <v>9561710.1156316809</v>
      </c>
      <c r="M102" s="70">
        <f t="shared" si="47"/>
        <v>10573824.57784687</v>
      </c>
      <c r="N102" s="70">
        <f t="shared" si="47"/>
        <v>27832572.701335274</v>
      </c>
      <c r="O102" s="70">
        <f t="shared" si="47"/>
        <v>28582831.733632736</v>
      </c>
      <c r="P102" s="70">
        <f t="shared" si="47"/>
        <v>31026456.052562669</v>
      </c>
      <c r="Q102" s="70">
        <f t="shared" si="47"/>
        <v>40928961.024009615</v>
      </c>
      <c r="R102" s="70">
        <f t="shared" si="47"/>
        <v>44179378.259496078</v>
      </c>
      <c r="S102" s="70">
        <f t="shared" si="47"/>
        <v>58511203.867314339</v>
      </c>
      <c r="T102" s="70">
        <f t="shared" si="47"/>
        <v>63140557.570207953</v>
      </c>
      <c r="U102" s="70">
        <f t="shared" si="47"/>
        <v>69338500.159996778</v>
      </c>
      <c r="V102" s="70">
        <f t="shared" si="47"/>
        <v>75159723.525172204</v>
      </c>
      <c r="W102" s="70">
        <f t="shared" si="47"/>
        <v>81479286.996423572</v>
      </c>
      <c r="X102" s="70">
        <f t="shared" si="47"/>
        <v>88347596.160251409</v>
      </c>
      <c r="Y102" s="70">
        <f t="shared" si="47"/>
        <v>95790551.455365807</v>
      </c>
      <c r="Z102" s="70">
        <f t="shared" si="47"/>
        <v>103880686.54820764</v>
      </c>
      <c r="AA102" s="70">
        <f t="shared" si="47"/>
        <v>112666738.98396891</v>
      </c>
      <c r="AB102" s="70">
        <f t="shared" si="47"/>
        <v>122224385.27959862</v>
      </c>
      <c r="AC102" s="70">
        <f t="shared" si="47"/>
        <v>134841111.1147576</v>
      </c>
      <c r="AD102" s="70">
        <f t="shared" si="47"/>
        <v>146027483.64246964</v>
      </c>
      <c r="AE102" s="70">
        <f t="shared" si="47"/>
        <v>158162831.29695868</v>
      </c>
      <c r="AF102" s="70">
        <f t="shared" si="47"/>
        <v>171345217.56624752</v>
      </c>
      <c r="AG102" s="70">
        <f t="shared" si="47"/>
        <v>185615520.70586312</v>
      </c>
      <c r="AH102" s="70">
        <f t="shared" si="47"/>
        <v>201118995.89040875</v>
      </c>
      <c r="AI102" s="70">
        <f t="shared" si="47"/>
        <v>217945044.47045854</v>
      </c>
      <c r="AJ102" s="70">
        <f t="shared" si="47"/>
        <v>236248902.2394622</v>
      </c>
      <c r="AK102" s="70">
        <f t="shared" si="47"/>
        <v>256034024.32324666</v>
      </c>
      <c r="AL102" s="70">
        <f>AL97+AL100+AL92+AL85</f>
        <v>277557676.98736221</v>
      </c>
    </row>
    <row r="103" spans="4:40" s="110" customFormat="1">
      <c r="D103" s="143" t="s">
        <v>468</v>
      </c>
      <c r="E103" s="112" t="s">
        <v>211</v>
      </c>
      <c r="K103" s="144">
        <f>K85+K97</f>
        <v>5907498.4000000004</v>
      </c>
      <c r="L103" s="144">
        <f t="shared" ref="L103:AK103" si="48">L85+L97</f>
        <v>5946267.3777139224</v>
      </c>
      <c r="M103" s="144">
        <f t="shared" si="48"/>
        <v>6451478.1947700763</v>
      </c>
      <c r="N103" s="144">
        <f t="shared" si="48"/>
        <v>16549331.328252703</v>
      </c>
      <c r="O103" s="144">
        <f t="shared" si="48"/>
        <v>15203178.203305963</v>
      </c>
      <c r="P103" s="144">
        <f t="shared" si="48"/>
        <v>16394466.951797318</v>
      </c>
      <c r="Q103" s="144">
        <f t="shared" si="48"/>
        <v>22319785.566218033</v>
      </c>
      <c r="R103" s="144">
        <f t="shared" si="48"/>
        <v>24051122.01302873</v>
      </c>
      <c r="S103" s="144">
        <f t="shared" si="48"/>
        <v>32688548.060156595</v>
      </c>
      <c r="T103" s="144">
        <f t="shared" si="48"/>
        <v>35207362.878635362</v>
      </c>
      <c r="U103" s="144">
        <f t="shared" si="48"/>
        <v>39121060.89865981</v>
      </c>
      <c r="V103" s="144">
        <f t="shared" si="48"/>
        <v>42469958.576156884</v>
      </c>
      <c r="W103" s="144">
        <f t="shared" si="48"/>
        <v>46113543.058910631</v>
      </c>
      <c r="X103" s="144">
        <f t="shared" si="48"/>
        <v>50085350.738765158</v>
      </c>
      <c r="Y103" s="144">
        <f t="shared" si="48"/>
        <v>54393007.130744003</v>
      </c>
      <c r="Z103" s="144">
        <f t="shared" si="48"/>
        <v>59089247.357313737</v>
      </c>
      <c r="AA103" s="144">
        <f t="shared" si="48"/>
        <v>64201358.954638317</v>
      </c>
      <c r="AB103" s="144">
        <f t="shared" si="48"/>
        <v>69781778.321070313</v>
      </c>
      <c r="AC103" s="144">
        <f t="shared" si="48"/>
        <v>78092810.545140937</v>
      </c>
      <c r="AD103" s="144">
        <f t="shared" si="48"/>
        <v>84617738.637384921</v>
      </c>
      <c r="AE103" s="144">
        <f t="shared" si="48"/>
        <v>91706326.460576057</v>
      </c>
      <c r="AF103" s="144">
        <f t="shared" si="48"/>
        <v>99424600.650150597</v>
      </c>
      <c r="AG103" s="144">
        <f t="shared" si="48"/>
        <v>107778722.22445536</v>
      </c>
      <c r="AH103" s="144">
        <f t="shared" si="48"/>
        <v>116876322.99524188</v>
      </c>
      <c r="AI103" s="144">
        <f t="shared" si="48"/>
        <v>126766029.94040865</v>
      </c>
      <c r="AJ103" s="144">
        <f t="shared" si="48"/>
        <v>137558887.80880448</v>
      </c>
      <c r="AK103" s="144">
        <f t="shared" si="48"/>
        <v>149210455.79417723</v>
      </c>
      <c r="AL103" s="144">
        <f>AL85+AL97</f>
        <v>161926086.6452013</v>
      </c>
      <c r="AM103" s="122">
        <f>SUM(M103:AL103)/10^6</f>
        <v>1748.0785599339652</v>
      </c>
    </row>
    <row r="105" spans="4:40">
      <c r="D105" s="110" t="s">
        <v>241</v>
      </c>
      <c r="E105" s="112" t="s">
        <v>337</v>
      </c>
      <c r="F105" s="110"/>
      <c r="G105" s="110"/>
      <c r="H105" s="110"/>
      <c r="I105" s="110"/>
      <c r="J105" s="110"/>
      <c r="K105" s="113">
        <f t="shared" ref="K105:AL105" si="49">K102/K26</f>
        <v>48.947175000000001</v>
      </c>
      <c r="L105" s="113">
        <f t="shared" si="49"/>
        <v>52.467112299999997</v>
      </c>
      <c r="M105" s="113">
        <f t="shared" si="49"/>
        <v>55.649234971279995</v>
      </c>
      <c r="N105" s="113">
        <f t="shared" si="49"/>
        <v>58.526095696191916</v>
      </c>
      <c r="O105" s="113">
        <f t="shared" si="49"/>
        <v>55.430521746398021</v>
      </c>
      <c r="P105" s="113">
        <f t="shared" si="49"/>
        <v>60.169428381428531</v>
      </c>
      <c r="Q105" s="113">
        <f t="shared" si="49"/>
        <v>67.561112275778328</v>
      </c>
      <c r="R105" s="113">
        <f t="shared" si="49"/>
        <v>72.92655030048175</v>
      </c>
      <c r="S105" s="113">
        <f t="shared" si="49"/>
        <v>81.250714143972701</v>
      </c>
      <c r="T105" s="113">
        <f t="shared" si="49"/>
        <v>87.679197400583149</v>
      </c>
      <c r="U105" s="113">
        <f t="shared" si="49"/>
        <v>96.285878315671965</v>
      </c>
      <c r="V105" s="113">
        <f t="shared" si="49"/>
        <v>104.36943367516611</v>
      </c>
      <c r="W105" s="113">
        <f t="shared" si="49"/>
        <v>113.14500162078092</v>
      </c>
      <c r="X105" s="113">
        <f t="shared" si="49"/>
        <v>122.68257712150216</v>
      </c>
      <c r="Y105" s="113">
        <f t="shared" si="49"/>
        <v>133.01812643682794</v>
      </c>
      <c r="Z105" s="113">
        <f t="shared" si="49"/>
        <v>144.25237236526991</v>
      </c>
      <c r="AA105" s="113">
        <f t="shared" si="49"/>
        <v>156.45299357502731</v>
      </c>
      <c r="AB105" s="113">
        <f t="shared" si="49"/>
        <v>169.725077137287</v>
      </c>
      <c r="AC105" s="113">
        <f t="shared" si="49"/>
        <v>187.24510606354247</v>
      </c>
      <c r="AD105" s="113">
        <f t="shared" si="49"/>
        <v>202.77889611541411</v>
      </c>
      <c r="AE105" s="113">
        <f t="shared" si="49"/>
        <v>219.63046638131704</v>
      </c>
      <c r="AF105" s="113">
        <f t="shared" si="49"/>
        <v>237.93599126729097</v>
      </c>
      <c r="AG105" s="113">
        <f t="shared" si="49"/>
        <v>257.75223575568117</v>
      </c>
      <c r="AH105" s="113">
        <f t="shared" si="49"/>
        <v>279.28090628712738</v>
      </c>
      <c r="AI105" s="113">
        <f t="shared" si="49"/>
        <v>302.64614871916581</v>
      </c>
      <c r="AJ105" s="113">
        <f t="shared" si="49"/>
        <v>328.06352893054844</v>
      </c>
      <c r="AK105" s="113">
        <f t="shared" si="49"/>
        <v>355.53784483043353</v>
      </c>
      <c r="AL105" s="113">
        <f t="shared" si="49"/>
        <v>385.42634539712816</v>
      </c>
    </row>
    <row r="106" spans="4:40">
      <c r="D106" s="7" t="s">
        <v>241</v>
      </c>
      <c r="E106" s="16" t="s">
        <v>320</v>
      </c>
      <c r="K106" s="65">
        <f>(K97+K92+K85)/Inputs!F34</f>
        <v>3.1326192000000002</v>
      </c>
      <c r="L106" s="65">
        <f>(L97+L92+L85)/Inputs!G34</f>
        <v>3.0430925134000004</v>
      </c>
      <c r="M106" s="65">
        <f>(M97+M92+M85)/Inputs!H34</f>
        <v>3.8397972130183198</v>
      </c>
      <c r="N106" s="65">
        <f t="shared" ref="N106:AL106" si="50">(N97+N92+N85)/N65</f>
        <v>8.6865096644803792</v>
      </c>
      <c r="O106" s="65">
        <f t="shared" si="50"/>
        <v>8.9206645306096934</v>
      </c>
      <c r="P106" s="65">
        <f t="shared" si="50"/>
        <v>9.6833164956479738</v>
      </c>
      <c r="Q106" s="65">
        <f t="shared" si="50"/>
        <v>12.758270455966166</v>
      </c>
      <c r="R106" s="65">
        <f t="shared" si="50"/>
        <v>13.772721438727531</v>
      </c>
      <c r="S106" s="65">
        <f t="shared" si="50"/>
        <v>18.245665531530999</v>
      </c>
      <c r="T106" s="65">
        <f t="shared" si="50"/>
        <v>19.690480788532167</v>
      </c>
      <c r="U106" s="65">
        <f t="shared" si="50"/>
        <v>21.624850592711724</v>
      </c>
      <c r="V106" s="65">
        <f t="shared" si="50"/>
        <v>23.441646817886749</v>
      </c>
      <c r="W106" s="65">
        <f t="shared" si="50"/>
        <v>25.41397434065609</v>
      </c>
      <c r="X106" s="65">
        <f t="shared" si="50"/>
        <v>27.557564678870399</v>
      </c>
      <c r="Y106" s="65">
        <f t="shared" si="50"/>
        <v>29.880501325693739</v>
      </c>
      <c r="Z106" s="65">
        <f t="shared" si="50"/>
        <v>32.405421943885493</v>
      </c>
      <c r="AA106" s="65">
        <f t="shared" si="50"/>
        <v>18.225451417545564</v>
      </c>
      <c r="AB106" s="65">
        <f t="shared" si="50"/>
        <v>19.772223414307788</v>
      </c>
      <c r="AC106" s="65">
        <f t="shared" si="50"/>
        <v>21.814064847755038</v>
      </c>
      <c r="AD106" s="65">
        <f t="shared" si="50"/>
        <v>23.624423510967656</v>
      </c>
      <c r="AE106" s="65">
        <f t="shared" si="50"/>
        <v>25.58836058735023</v>
      </c>
      <c r="AF106" s="65">
        <f t="shared" si="50"/>
        <v>27.721746287254433</v>
      </c>
      <c r="AG106" s="65">
        <f t="shared" si="50"/>
        <v>30.03119618725318</v>
      </c>
      <c r="AH106" s="65">
        <f t="shared" si="50"/>
        <v>32.540217815195028</v>
      </c>
      <c r="AI106" s="65">
        <f t="shared" si="50"/>
        <v>35.263279535074986</v>
      </c>
      <c r="AJ106" s="65">
        <f t="shared" si="50"/>
        <v>38.225504098957337</v>
      </c>
      <c r="AK106" s="65">
        <f t="shared" si="50"/>
        <v>41.42745067085685</v>
      </c>
      <c r="AL106" s="65">
        <f t="shared" si="50"/>
        <v>44.910754214336336</v>
      </c>
      <c r="AN106" s="65">
        <f>'BaU Model'!AM92-'Initiative 4 Model'!AM103</f>
        <v>-144.27531452623271</v>
      </c>
    </row>
    <row r="107" spans="4:40">
      <c r="D107" s="7"/>
      <c r="E107" s="7"/>
      <c r="K107" s="65"/>
    </row>
    <row r="108" spans="4:40">
      <c r="D108" s="7" t="s">
        <v>469</v>
      </c>
      <c r="E108" s="7" t="s">
        <v>337</v>
      </c>
      <c r="K108" s="65">
        <f>K103/K26</f>
        <v>30.608800000000002</v>
      </c>
      <c r="L108" s="65">
        <f t="shared" ref="L108:AK108" si="51">L103/L26</f>
        <v>32.628418400000001</v>
      </c>
      <c r="M108" s="65">
        <f t="shared" si="51"/>
        <v>33.953639322240001</v>
      </c>
      <c r="N108" s="65">
        <f t="shared" si="51"/>
        <v>34.799792294401783</v>
      </c>
      <c r="O108" s="65">
        <f t="shared" si="51"/>
        <v>29.483436346200332</v>
      </c>
      <c r="P108" s="65">
        <f t="shared" si="51"/>
        <v>31.79369578777235</v>
      </c>
      <c r="Q108" s="65">
        <f t="shared" si="51"/>
        <v>36.843093518204981</v>
      </c>
      <c r="R108" s="65">
        <f t="shared" si="51"/>
        <v>39.700996898686775</v>
      </c>
      <c r="S108" s="65">
        <f t="shared" si="51"/>
        <v>45.39246671868564</v>
      </c>
      <c r="T108" s="65">
        <f t="shared" si="51"/>
        <v>48.890181502710895</v>
      </c>
      <c r="U108" s="65">
        <f t="shared" si="51"/>
        <v>54.324880125421593</v>
      </c>
      <c r="V108" s="65">
        <f t="shared" si="51"/>
        <v>58.975277141842071</v>
      </c>
      <c r="W108" s="65">
        <f t="shared" si="51"/>
        <v>64.034886613200356</v>
      </c>
      <c r="X108" s="65">
        <f t="shared" si="51"/>
        <v>69.550278351892132</v>
      </c>
      <c r="Y108" s="65">
        <f t="shared" si="51"/>
        <v>75.532041416087907</v>
      </c>
      <c r="Z108" s="65">
        <f t="shared" si="51"/>
        <v>82.053405650290557</v>
      </c>
      <c r="AA108" s="65">
        <f t="shared" si="51"/>
        <v>89.152263486273966</v>
      </c>
      <c r="AB108" s="65">
        <f t="shared" si="51"/>
        <v>96.901429949737235</v>
      </c>
      <c r="AC108" s="65">
        <f t="shared" si="51"/>
        <v>108.44242139832599</v>
      </c>
      <c r="AD108" s="65">
        <f t="shared" si="51"/>
        <v>117.50316587446298</v>
      </c>
      <c r="AE108" s="65">
        <f t="shared" si="51"/>
        <v>127.34662806356158</v>
      </c>
      <c r="AF108" s="65">
        <f t="shared" si="51"/>
        <v>138.06449487218219</v>
      </c>
      <c r="AG108" s="65">
        <f t="shared" si="51"/>
        <v>149.66532170693841</v>
      </c>
      <c r="AH108" s="65">
        <f t="shared" si="51"/>
        <v>162.29856988449109</v>
      </c>
      <c r="AI108" s="65">
        <f t="shared" si="51"/>
        <v>176.03176453540965</v>
      </c>
      <c r="AJ108" s="65">
        <f t="shared" si="51"/>
        <v>191.01910630076046</v>
      </c>
      <c r="AK108" s="65">
        <f t="shared" si="51"/>
        <v>207.19888311505076</v>
      </c>
      <c r="AL108" s="65">
        <f>AL103/AL26</f>
        <v>224.85625502248436</v>
      </c>
    </row>
    <row r="110" spans="4:40" ht="24" thickBot="1">
      <c r="D110" s="57" t="s">
        <v>198</v>
      </c>
    </row>
    <row r="112" spans="4:40" ht="18">
      <c r="D112" s="15" t="s">
        <v>248</v>
      </c>
    </row>
    <row r="113" spans="4:38" ht="15">
      <c r="D113" s="4" t="s">
        <v>250</v>
      </c>
      <c r="E113" s="7"/>
      <c r="M113" s="7"/>
    </row>
    <row r="114" spans="4:38">
      <c r="D114" s="3" t="s">
        <v>134</v>
      </c>
      <c r="E114" s="7"/>
      <c r="M114" s="7"/>
    </row>
    <row r="115" spans="4:38">
      <c r="D115" s="7" t="s">
        <v>299</v>
      </c>
      <c r="E115" s="16" t="s">
        <v>169</v>
      </c>
      <c r="K115" t="str">
        <f>Inputs!E73</f>
        <v>Good</v>
      </c>
      <c r="L115" t="str">
        <f>Inputs!F73</f>
        <v>Good</v>
      </c>
      <c r="M115" t="str">
        <f>Inputs!G73</f>
        <v>Good</v>
      </c>
      <c r="N115" t="str">
        <f>Inputs!H73</f>
        <v>Good</v>
      </c>
      <c r="O115" t="str">
        <f>Inputs!I73</f>
        <v>Good</v>
      </c>
      <c r="P115" t="str">
        <f>Inputs!J73</f>
        <v>Good</v>
      </c>
      <c r="Q115" t="str">
        <f>P115</f>
        <v>Good</v>
      </c>
      <c r="R115" t="str">
        <f t="shared" ref="R115:AL115" si="52">Q115</f>
        <v>Good</v>
      </c>
      <c r="S115" t="str">
        <f t="shared" si="52"/>
        <v>Good</v>
      </c>
      <c r="T115" t="str">
        <f t="shared" si="52"/>
        <v>Good</v>
      </c>
      <c r="U115" t="str">
        <f t="shared" si="52"/>
        <v>Good</v>
      </c>
      <c r="V115" t="str">
        <f t="shared" si="52"/>
        <v>Good</v>
      </c>
      <c r="W115" t="str">
        <f t="shared" si="52"/>
        <v>Good</v>
      </c>
      <c r="X115" t="str">
        <f t="shared" si="52"/>
        <v>Good</v>
      </c>
      <c r="Y115" t="str">
        <f t="shared" si="52"/>
        <v>Good</v>
      </c>
      <c r="Z115" t="str">
        <f t="shared" si="52"/>
        <v>Good</v>
      </c>
      <c r="AA115" t="str">
        <f t="shared" si="52"/>
        <v>Good</v>
      </c>
      <c r="AB115" t="str">
        <f t="shared" si="52"/>
        <v>Good</v>
      </c>
      <c r="AC115" t="str">
        <f t="shared" si="52"/>
        <v>Good</v>
      </c>
      <c r="AD115" t="str">
        <f t="shared" si="52"/>
        <v>Good</v>
      </c>
      <c r="AE115" t="str">
        <f t="shared" si="52"/>
        <v>Good</v>
      </c>
      <c r="AF115" t="str">
        <f t="shared" si="52"/>
        <v>Good</v>
      </c>
      <c r="AG115" t="str">
        <f t="shared" si="52"/>
        <v>Good</v>
      </c>
      <c r="AH115" t="str">
        <f t="shared" si="52"/>
        <v>Good</v>
      </c>
      <c r="AI115" t="str">
        <f t="shared" si="52"/>
        <v>Good</v>
      </c>
      <c r="AJ115" t="str">
        <f t="shared" si="52"/>
        <v>Good</v>
      </c>
      <c r="AK115" t="str">
        <f t="shared" si="52"/>
        <v>Good</v>
      </c>
      <c r="AL115" t="str">
        <f t="shared" si="52"/>
        <v>Good</v>
      </c>
    </row>
    <row r="116" spans="4:38">
      <c r="D116" s="7" t="s">
        <v>300</v>
      </c>
      <c r="E116" s="16" t="s">
        <v>303</v>
      </c>
      <c r="K116">
        <f>INDEX('Availability Model'!$C$4:$T$8, MATCH($K$115,'Availability Model'!$B$4:$B$8, 0), MATCH($K$10, 'Availability Model'!$C$1:$T$1, 0))</f>
        <v>1</v>
      </c>
      <c r="L116">
        <f>INDEX('Availability Model'!$C$4:$T$8, MATCH($K$115,'Availability Model'!$B$4:$B$8, 0), MATCH($K$10, 'Availability Model'!$C$1:$T$1, 0))</f>
        <v>1</v>
      </c>
      <c r="M116">
        <f>INDEX('Availability Model'!$C$4:$T$8, MATCH($K$115,'Availability Model'!$B$4:$B$8, 0), MATCH($K$10, 'Availability Model'!$C$1:$T$1, 0))</f>
        <v>1</v>
      </c>
      <c r="N116">
        <f>INDEX('Availability Model'!$C$4:$T$8, MATCH($K$115,'Availability Model'!$B$4:$B$8, 0), MATCH($K$10, 'Availability Model'!$C$1:$T$1, 0))</f>
        <v>1</v>
      </c>
      <c r="O116">
        <f>INDEX('Availability Model'!$C$4:$T$8, MATCH($K$115,'Availability Model'!$B$4:$B$8, 0), MATCH($K$10, 'Availability Model'!$C$1:$T$1, 0))</f>
        <v>1</v>
      </c>
      <c r="P116">
        <f>INDEX('Availability Model'!$C$4:$T$8, MATCH($K$115,'Availability Model'!$B$4:$B$8, 0), MATCH($K$10, 'Availability Model'!$C$1:$T$1, 0))</f>
        <v>1</v>
      </c>
      <c r="Q116">
        <f>INDEX('Availability Model'!$C$4:$T$8, MATCH($K$115,'Availability Model'!$B$4:$B$8, 0), MATCH($K$10, 'Availability Model'!$C$1:$T$1, 0))</f>
        <v>1</v>
      </c>
      <c r="R116">
        <f>INDEX('Availability Model'!$C$4:$T$8, MATCH($K$115,'Availability Model'!$B$4:$B$8, 0), MATCH($K$10, 'Availability Model'!$C$1:$T$1, 0))</f>
        <v>1</v>
      </c>
      <c r="S116">
        <f>INDEX('Availability Model'!$C$4:$T$8, MATCH($K$115,'Availability Model'!$B$4:$B$8, 0), MATCH($K$10, 'Availability Model'!$C$1:$T$1, 0))</f>
        <v>1</v>
      </c>
      <c r="T116">
        <f>INDEX('Availability Model'!$C$4:$T$8, MATCH($K$115,'Availability Model'!$B$4:$B$8, 0), MATCH($K$10, 'Availability Model'!$C$1:$T$1, 0))</f>
        <v>1</v>
      </c>
      <c r="U116">
        <f>INDEX('Availability Model'!$C$4:$T$8, MATCH($K$115,'Availability Model'!$B$4:$B$8, 0), MATCH($K$10, 'Availability Model'!$C$1:$T$1, 0))</f>
        <v>1</v>
      </c>
      <c r="V116">
        <f>INDEX('Availability Model'!$C$4:$T$8, MATCH($K$115,'Availability Model'!$B$4:$B$8, 0), MATCH($K$10, 'Availability Model'!$C$1:$T$1, 0))</f>
        <v>1</v>
      </c>
      <c r="W116">
        <f>INDEX('Availability Model'!$C$4:$T$8, MATCH($K$115,'Availability Model'!$B$4:$B$8, 0), MATCH($K$10, 'Availability Model'!$C$1:$T$1, 0))</f>
        <v>1</v>
      </c>
      <c r="X116">
        <f>INDEX('Availability Model'!$C$4:$T$8, MATCH($K$115,'Availability Model'!$B$4:$B$8, 0), MATCH($K$10, 'Availability Model'!$C$1:$T$1, 0))</f>
        <v>1</v>
      </c>
      <c r="Y116">
        <f>INDEX('Availability Model'!$C$4:$T$8, MATCH($K$115,'Availability Model'!$B$4:$B$8, 0), MATCH($K$10, 'Availability Model'!$C$1:$T$1, 0))</f>
        <v>1</v>
      </c>
      <c r="Z116">
        <f>INDEX('Availability Model'!$C$4:$T$8, MATCH($K$115,'Availability Model'!$B$4:$B$8, 0), MATCH($K$10, 'Availability Model'!$C$1:$T$1, 0))</f>
        <v>1</v>
      </c>
      <c r="AA116">
        <f>INDEX('Availability Model'!$C$4:$T$8, MATCH($K$115,'Availability Model'!$B$4:$B$8, 0), MATCH($K$10, 'Availability Model'!$C$1:$T$1, 0))</f>
        <v>1</v>
      </c>
      <c r="AB116">
        <f>INDEX('Availability Model'!$C$4:$T$8, MATCH($K$115,'Availability Model'!$B$4:$B$8, 0), MATCH($K$10, 'Availability Model'!$C$1:$T$1, 0))</f>
        <v>1</v>
      </c>
      <c r="AC116">
        <f>INDEX('Availability Model'!$C$4:$T$8, MATCH($K$115,'Availability Model'!$B$4:$B$8, 0), MATCH($K$10, 'Availability Model'!$C$1:$T$1, 0))</f>
        <v>1</v>
      </c>
      <c r="AD116">
        <f>INDEX('Availability Model'!$C$4:$T$8, MATCH($K$115,'Availability Model'!$B$4:$B$8, 0), MATCH($K$10, 'Availability Model'!$C$1:$T$1, 0))</f>
        <v>1</v>
      </c>
      <c r="AE116">
        <f>INDEX('Availability Model'!$C$4:$T$8, MATCH($K$115,'Availability Model'!$B$4:$B$8, 0), MATCH($K$10, 'Availability Model'!$C$1:$T$1, 0))</f>
        <v>1</v>
      </c>
      <c r="AF116">
        <f>INDEX('Availability Model'!$C$4:$T$8, MATCH($K$115,'Availability Model'!$B$4:$B$8, 0), MATCH($K$10, 'Availability Model'!$C$1:$T$1, 0))</f>
        <v>1</v>
      </c>
      <c r="AG116">
        <f>INDEX('Availability Model'!$C$4:$T$8, MATCH($K$115,'Availability Model'!$B$4:$B$8, 0), MATCH($K$10, 'Availability Model'!$C$1:$T$1, 0))</f>
        <v>1</v>
      </c>
      <c r="AH116">
        <f>INDEX('Availability Model'!$C$4:$T$8, MATCH($K$115,'Availability Model'!$B$4:$B$8, 0), MATCH($K$10, 'Availability Model'!$C$1:$T$1, 0))</f>
        <v>1</v>
      </c>
      <c r="AI116">
        <f>INDEX('Availability Model'!$C$4:$T$8, MATCH($K$115,'Availability Model'!$B$4:$B$8, 0), MATCH($K$10, 'Availability Model'!$C$1:$T$1, 0))</f>
        <v>1</v>
      </c>
      <c r="AJ116">
        <f>INDEX('Availability Model'!$C$4:$T$8, MATCH($K$115,'Availability Model'!$B$4:$B$8, 0), MATCH($K$10, 'Availability Model'!$C$1:$T$1, 0))</f>
        <v>1</v>
      </c>
      <c r="AK116">
        <f>INDEX('Availability Model'!$C$4:$T$8, MATCH($K$115,'Availability Model'!$B$4:$B$8, 0), MATCH($K$10, 'Availability Model'!$C$1:$T$1, 0))</f>
        <v>1</v>
      </c>
      <c r="AL116">
        <f>INDEX('Availability Model'!$C$4:$T$8, MATCH($K$115,'Availability Model'!$B$4:$B$8, 0), MATCH($K$10, 'Availability Model'!$C$1:$T$1, 0))</f>
        <v>1</v>
      </c>
    </row>
    <row r="117" spans="4:38">
      <c r="D117" s="7" t="s">
        <v>301</v>
      </c>
      <c r="E117" s="16" t="s">
        <v>106</v>
      </c>
      <c r="K117">
        <f>K116*INDEX('Availability Model'!$C$11:$T$15, MATCH($K$115,'Availability Model'!$B$11:$B$15, 0), MATCH($K$10, 'Availability Model'!$C$1:$T$1, 0))</f>
        <v>0.5</v>
      </c>
      <c r="L117">
        <f>L116*INDEX('Availability Model'!$C$11:$T$15, MATCH($K$115,'Availability Model'!$B$11:$B$15, 0), MATCH($K$10, 'Availability Model'!$C$1:$T$1, 0))</f>
        <v>0.5</v>
      </c>
      <c r="M117">
        <f>M116*INDEX('Availability Model'!$C$11:$T$15, MATCH($K$115,'Availability Model'!$B$11:$B$15, 0), MATCH($K$10, 'Availability Model'!$C$1:$T$1, 0))</f>
        <v>0.5</v>
      </c>
      <c r="N117">
        <f>N116*INDEX('Availability Model'!$C$11:$T$15, MATCH($K$115,'Availability Model'!$B$11:$B$15, 0), MATCH($K$10, 'Availability Model'!$C$1:$T$1, 0))</f>
        <v>0.5</v>
      </c>
      <c r="O117">
        <f>O116*INDEX('Availability Model'!$C$11:$T$15, MATCH($K$115,'Availability Model'!$B$11:$B$15, 0), MATCH($K$10, 'Availability Model'!$C$1:$T$1, 0))</f>
        <v>0.5</v>
      </c>
      <c r="P117">
        <f>P116*INDEX('Availability Model'!$C$11:$T$15, MATCH($K$115,'Availability Model'!$B$11:$B$15, 0), MATCH($K$10, 'Availability Model'!$C$1:$T$1, 0))</f>
        <v>0.5</v>
      </c>
      <c r="Q117">
        <f>Q116*INDEX('Availability Model'!$C$11:$T$15, MATCH($K$115,'Availability Model'!$B$11:$B$15, 0), MATCH($K$10, 'Availability Model'!$C$1:$T$1, 0))</f>
        <v>0.5</v>
      </c>
      <c r="R117">
        <f>R116*INDEX('Availability Model'!$C$11:$T$15, MATCH($K$115,'Availability Model'!$B$11:$B$15, 0), MATCH($K$10, 'Availability Model'!$C$1:$T$1, 0))</f>
        <v>0.5</v>
      </c>
      <c r="S117">
        <f>S116*INDEX('Availability Model'!$C$11:$T$15, MATCH($K$115,'Availability Model'!$B$11:$B$15, 0), MATCH($K$10, 'Availability Model'!$C$1:$T$1, 0))</f>
        <v>0.5</v>
      </c>
      <c r="T117">
        <f>T116*INDEX('Availability Model'!$C$11:$T$15, MATCH($K$115,'Availability Model'!$B$11:$B$15, 0), MATCH($K$10, 'Availability Model'!$C$1:$T$1, 0))</f>
        <v>0.5</v>
      </c>
      <c r="U117">
        <f>U116*INDEX('Availability Model'!$C$11:$T$15, MATCH($K$115,'Availability Model'!$B$11:$B$15, 0), MATCH($K$10, 'Availability Model'!$C$1:$T$1, 0))</f>
        <v>0.5</v>
      </c>
      <c r="V117">
        <f>V116*INDEX('Availability Model'!$C$11:$T$15, MATCH($K$115,'Availability Model'!$B$11:$B$15, 0), MATCH($K$10, 'Availability Model'!$C$1:$T$1, 0))</f>
        <v>0.5</v>
      </c>
      <c r="W117">
        <f>W116*INDEX('Availability Model'!$C$11:$T$15, MATCH($K$115,'Availability Model'!$B$11:$B$15, 0), MATCH($K$10, 'Availability Model'!$C$1:$T$1, 0))</f>
        <v>0.5</v>
      </c>
      <c r="X117">
        <f>X116*INDEX('Availability Model'!$C$11:$T$15, MATCH($K$115,'Availability Model'!$B$11:$B$15, 0), MATCH($K$10, 'Availability Model'!$C$1:$T$1, 0))</f>
        <v>0.5</v>
      </c>
      <c r="Y117">
        <f>Y116*INDEX('Availability Model'!$C$11:$T$15, MATCH($K$115,'Availability Model'!$B$11:$B$15, 0), MATCH($K$10, 'Availability Model'!$C$1:$T$1, 0))</f>
        <v>0.5</v>
      </c>
      <c r="Z117">
        <f>Z116*INDEX('Availability Model'!$C$11:$T$15, MATCH($K$115,'Availability Model'!$B$11:$B$15, 0), MATCH($K$10, 'Availability Model'!$C$1:$T$1, 0))</f>
        <v>0.5</v>
      </c>
      <c r="AA117">
        <f>AA116*INDEX('Availability Model'!$C$11:$T$15, MATCH($K$115,'Availability Model'!$B$11:$B$15, 0), MATCH($K$10, 'Availability Model'!$C$1:$T$1, 0))</f>
        <v>0.5</v>
      </c>
      <c r="AB117">
        <f>AB116*INDEX('Availability Model'!$C$11:$T$15, MATCH($K$115,'Availability Model'!$B$11:$B$15, 0), MATCH($K$10, 'Availability Model'!$C$1:$T$1, 0))</f>
        <v>0.5</v>
      </c>
      <c r="AC117">
        <f>AC116*INDEX('Availability Model'!$C$11:$T$15, MATCH($K$115,'Availability Model'!$B$11:$B$15, 0), MATCH($K$10, 'Availability Model'!$C$1:$T$1, 0))</f>
        <v>0.5</v>
      </c>
      <c r="AD117">
        <f>AD116*INDEX('Availability Model'!$C$11:$T$15, MATCH($K$115,'Availability Model'!$B$11:$B$15, 0), MATCH($K$10, 'Availability Model'!$C$1:$T$1, 0))</f>
        <v>0.5</v>
      </c>
      <c r="AE117">
        <f>AE116*INDEX('Availability Model'!$C$11:$T$15, MATCH($K$115,'Availability Model'!$B$11:$B$15, 0), MATCH($K$10, 'Availability Model'!$C$1:$T$1, 0))</f>
        <v>0.5</v>
      </c>
      <c r="AF117">
        <f>AF116*INDEX('Availability Model'!$C$11:$T$15, MATCH($K$115,'Availability Model'!$B$11:$B$15, 0), MATCH($K$10, 'Availability Model'!$C$1:$T$1, 0))</f>
        <v>0.5</v>
      </c>
      <c r="AG117">
        <f>AG116*INDEX('Availability Model'!$C$11:$T$15, MATCH($K$115,'Availability Model'!$B$11:$B$15, 0), MATCH($K$10, 'Availability Model'!$C$1:$T$1, 0))</f>
        <v>0.5</v>
      </c>
      <c r="AH117">
        <f>AH116*INDEX('Availability Model'!$C$11:$T$15, MATCH($K$115,'Availability Model'!$B$11:$B$15, 0), MATCH($K$10, 'Availability Model'!$C$1:$T$1, 0))</f>
        <v>0.5</v>
      </c>
      <c r="AI117">
        <f>AI116*INDEX('Availability Model'!$C$11:$T$15, MATCH($K$115,'Availability Model'!$B$11:$B$15, 0), MATCH($K$10, 'Availability Model'!$C$1:$T$1, 0))</f>
        <v>0.5</v>
      </c>
      <c r="AJ117">
        <f>AJ116*INDEX('Availability Model'!$C$11:$T$15, MATCH($K$115,'Availability Model'!$B$11:$B$15, 0), MATCH($K$10, 'Availability Model'!$C$1:$T$1, 0))</f>
        <v>0.5</v>
      </c>
      <c r="AK117">
        <f>AK116*INDEX('Availability Model'!$C$11:$T$15, MATCH($K$115,'Availability Model'!$B$11:$B$15, 0), MATCH($K$10, 'Availability Model'!$C$1:$T$1, 0))</f>
        <v>0.5</v>
      </c>
      <c r="AL117">
        <f>AL116*INDEX('Availability Model'!$C$11:$T$15, MATCH($K$115,'Availability Model'!$B$11:$B$15, 0), MATCH($K$10, 'Availability Model'!$C$1:$T$1, 0))</f>
        <v>0.5</v>
      </c>
    </row>
    <row r="118" spans="4:38">
      <c r="D118" s="7" t="s">
        <v>302</v>
      </c>
      <c r="E118" s="16" t="s">
        <v>106</v>
      </c>
      <c r="K118" s="65">
        <f t="shared" ref="K118:AL118" si="53">K22</f>
        <v>1.8129533678756478</v>
      </c>
      <c r="L118" s="65">
        <f t="shared" si="53"/>
        <v>1.9066551166747128</v>
      </c>
      <c r="M118" s="65">
        <f t="shared" si="53"/>
        <v>1.8367738032705883</v>
      </c>
      <c r="N118" s="65">
        <f t="shared" si="53"/>
        <v>1.8815339776532183</v>
      </c>
      <c r="O118" s="65">
        <f t="shared" si="53"/>
        <v>2.274116334125547</v>
      </c>
      <c r="P118" s="65">
        <f t="shared" si="53"/>
        <v>2.277607063808083</v>
      </c>
      <c r="Q118" s="65">
        <f t="shared" si="53"/>
        <v>2.0845047041176494</v>
      </c>
      <c r="R118" s="65">
        <f t="shared" si="53"/>
        <v>2.0845047041176494</v>
      </c>
      <c r="S118" s="65">
        <f t="shared" si="53"/>
        <v>1.9123332911358926</v>
      </c>
      <c r="T118" s="65">
        <f t="shared" si="53"/>
        <v>1.9148328343992786</v>
      </c>
      <c r="U118" s="65">
        <f t="shared" si="53"/>
        <v>1.9123332911358926</v>
      </c>
      <c r="V118" s="65">
        <f t="shared" si="53"/>
        <v>1.9123332911358926</v>
      </c>
      <c r="W118" s="65">
        <f t="shared" si="53"/>
        <v>1.9123332911358926</v>
      </c>
      <c r="X118" s="65">
        <f t="shared" si="53"/>
        <v>1.9148328343992786</v>
      </c>
      <c r="Y118" s="65">
        <f t="shared" si="53"/>
        <v>1.9123332911358926</v>
      </c>
      <c r="Z118" s="65">
        <f t="shared" si="53"/>
        <v>1.9123332911358926</v>
      </c>
      <c r="AA118" s="65">
        <f t="shared" si="53"/>
        <v>1.9123332911358926</v>
      </c>
      <c r="AB118" s="65">
        <f t="shared" si="53"/>
        <v>1.9148328343992786</v>
      </c>
      <c r="AC118" s="65">
        <f t="shared" si="53"/>
        <v>1.7585224186644333</v>
      </c>
      <c r="AD118" s="65">
        <f t="shared" si="53"/>
        <v>1.7585224186644333</v>
      </c>
      <c r="AE118" s="65">
        <f t="shared" si="53"/>
        <v>1.7585224186644333</v>
      </c>
      <c r="AF118" s="65">
        <f t="shared" si="53"/>
        <v>1.7619072168336016</v>
      </c>
      <c r="AG118" s="65">
        <f t="shared" si="53"/>
        <v>1.7585224186644333</v>
      </c>
      <c r="AH118" s="65">
        <f t="shared" si="53"/>
        <v>1.7585224186644333</v>
      </c>
      <c r="AI118" s="65">
        <f t="shared" si="53"/>
        <v>1.7585224186644333</v>
      </c>
      <c r="AJ118" s="65">
        <f t="shared" si="53"/>
        <v>1.7619072168336016</v>
      </c>
      <c r="AK118" s="65">
        <f t="shared" si="53"/>
        <v>1.7585224186644333</v>
      </c>
      <c r="AL118" s="65">
        <f t="shared" si="53"/>
        <v>1.7585224186644333</v>
      </c>
    </row>
    <row r="119" spans="4:38">
      <c r="D119" s="7" t="s">
        <v>304</v>
      </c>
      <c r="E119" s="16" t="s">
        <v>106</v>
      </c>
      <c r="K119">
        <f>IF((K117-K118)&gt;0, K117-K118,0)</f>
        <v>0</v>
      </c>
      <c r="L119">
        <f t="shared" ref="L119:AL119" si="54">IF((L117-L118)&gt;0, L117-L118,0)</f>
        <v>0</v>
      </c>
      <c r="M119">
        <f t="shared" si="54"/>
        <v>0</v>
      </c>
      <c r="N119">
        <f t="shared" si="54"/>
        <v>0</v>
      </c>
      <c r="O119">
        <f t="shared" si="54"/>
        <v>0</v>
      </c>
      <c r="P119">
        <f t="shared" si="54"/>
        <v>0</v>
      </c>
      <c r="Q119">
        <f t="shared" si="54"/>
        <v>0</v>
      </c>
      <c r="R119">
        <f t="shared" si="54"/>
        <v>0</v>
      </c>
      <c r="S119">
        <f t="shared" si="54"/>
        <v>0</v>
      </c>
      <c r="T119">
        <f t="shared" si="54"/>
        <v>0</v>
      </c>
      <c r="U119">
        <f t="shared" si="54"/>
        <v>0</v>
      </c>
      <c r="V119">
        <f t="shared" si="54"/>
        <v>0</v>
      </c>
      <c r="W119">
        <f t="shared" si="54"/>
        <v>0</v>
      </c>
      <c r="X119">
        <f t="shared" si="54"/>
        <v>0</v>
      </c>
      <c r="Y119">
        <f t="shared" si="54"/>
        <v>0</v>
      </c>
      <c r="Z119">
        <f t="shared" si="54"/>
        <v>0</v>
      </c>
      <c r="AA119">
        <f t="shared" si="54"/>
        <v>0</v>
      </c>
      <c r="AB119">
        <f t="shared" si="54"/>
        <v>0</v>
      </c>
      <c r="AC119">
        <f t="shared" si="54"/>
        <v>0</v>
      </c>
      <c r="AD119">
        <f t="shared" si="54"/>
        <v>0</v>
      </c>
      <c r="AE119">
        <f t="shared" si="54"/>
        <v>0</v>
      </c>
      <c r="AF119">
        <f t="shared" si="54"/>
        <v>0</v>
      </c>
      <c r="AG119">
        <f t="shared" si="54"/>
        <v>0</v>
      </c>
      <c r="AH119">
        <f t="shared" si="54"/>
        <v>0</v>
      </c>
      <c r="AI119">
        <f t="shared" si="54"/>
        <v>0</v>
      </c>
      <c r="AJ119">
        <f t="shared" si="54"/>
        <v>0</v>
      </c>
      <c r="AK119">
        <f t="shared" si="54"/>
        <v>0</v>
      </c>
      <c r="AL119">
        <f t="shared" si="54"/>
        <v>0</v>
      </c>
    </row>
    <row r="120" spans="4:38">
      <c r="D120" s="7"/>
      <c r="E120" s="7"/>
      <c r="M120" s="7"/>
    </row>
    <row r="121" spans="4:38">
      <c r="D121" s="3" t="s">
        <v>297</v>
      </c>
      <c r="M121" s="7"/>
    </row>
    <row r="122" spans="4:38">
      <c r="D122" s="7" t="s">
        <v>299</v>
      </c>
      <c r="E122" s="16" t="s">
        <v>169</v>
      </c>
      <c r="K122" t="str">
        <f>Inputs!E74</f>
        <v>Very Poor</v>
      </c>
      <c r="L122" t="str">
        <f>Inputs!F74</f>
        <v>Very Poor</v>
      </c>
      <c r="M122" t="str">
        <f>Inputs!G74</f>
        <v>Very Poor</v>
      </c>
      <c r="N122" t="str">
        <f>Inputs!H74</f>
        <v>Very Poor</v>
      </c>
      <c r="O122" t="str">
        <f>Inputs!I74</f>
        <v>Very Poor</v>
      </c>
      <c r="P122" t="str">
        <f>Inputs!J74</f>
        <v>Very Poor</v>
      </c>
      <c r="Q122" t="str">
        <f>P122</f>
        <v>Very Poor</v>
      </c>
      <c r="R122" t="str">
        <f t="shared" ref="R122:AL122" si="55">Q122</f>
        <v>Very Poor</v>
      </c>
      <c r="S122" t="str">
        <f t="shared" si="55"/>
        <v>Very Poor</v>
      </c>
      <c r="T122" t="str">
        <f t="shared" si="55"/>
        <v>Very Poor</v>
      </c>
      <c r="U122" t="str">
        <f t="shared" si="55"/>
        <v>Very Poor</v>
      </c>
      <c r="V122" t="str">
        <f t="shared" si="55"/>
        <v>Very Poor</v>
      </c>
      <c r="W122" t="str">
        <f t="shared" si="55"/>
        <v>Very Poor</v>
      </c>
      <c r="X122" t="str">
        <f t="shared" si="55"/>
        <v>Very Poor</v>
      </c>
      <c r="Y122" t="str">
        <f t="shared" si="55"/>
        <v>Very Poor</v>
      </c>
      <c r="Z122" t="str">
        <f t="shared" si="55"/>
        <v>Very Poor</v>
      </c>
      <c r="AA122" t="str">
        <f t="shared" si="55"/>
        <v>Very Poor</v>
      </c>
      <c r="AB122" t="str">
        <f t="shared" si="55"/>
        <v>Very Poor</v>
      </c>
      <c r="AC122" t="str">
        <f t="shared" si="55"/>
        <v>Very Poor</v>
      </c>
      <c r="AD122" t="str">
        <f t="shared" si="55"/>
        <v>Very Poor</v>
      </c>
      <c r="AE122" t="str">
        <f t="shared" si="55"/>
        <v>Very Poor</v>
      </c>
      <c r="AF122" t="str">
        <f t="shared" si="55"/>
        <v>Very Poor</v>
      </c>
      <c r="AG122" t="str">
        <f t="shared" si="55"/>
        <v>Very Poor</v>
      </c>
      <c r="AH122" t="str">
        <f t="shared" si="55"/>
        <v>Very Poor</v>
      </c>
      <c r="AI122" t="str">
        <f t="shared" si="55"/>
        <v>Very Poor</v>
      </c>
      <c r="AJ122" t="str">
        <f t="shared" si="55"/>
        <v>Very Poor</v>
      </c>
      <c r="AK122" t="str">
        <f t="shared" si="55"/>
        <v>Very Poor</v>
      </c>
      <c r="AL122" t="str">
        <f t="shared" si="55"/>
        <v>Very Poor</v>
      </c>
    </row>
    <row r="123" spans="4:38">
      <c r="D123" s="7" t="s">
        <v>300</v>
      </c>
      <c r="E123" s="16" t="s">
        <v>303</v>
      </c>
      <c r="K123">
        <f>INDEX('Availability Model'!$C$18:$T$22, MATCH($K$122,'Availability Model'!$B$18:$B$22, 0), MATCH($K$10, 'Availability Model'!$C$1:$T$1, 0))</f>
        <v>3</v>
      </c>
      <c r="L123">
        <f>INDEX('Availability Model'!$C$18:$T$22, MATCH($K$122,'Availability Model'!$B$18:$B$22, 0), MATCH($K$10, 'Availability Model'!$C$1:$T$1, 0))</f>
        <v>3</v>
      </c>
      <c r="M123">
        <f>INDEX('Availability Model'!$C$18:$T$22, MATCH($K$122,'Availability Model'!$B$18:$B$22, 0), MATCH($K$10, 'Availability Model'!$C$1:$T$1, 0))</f>
        <v>3</v>
      </c>
      <c r="N123">
        <f>INDEX('Availability Model'!$C$18:$T$22, MATCH($K$122,'Availability Model'!$B$18:$B$22, 0), MATCH($K$10, 'Availability Model'!$C$1:$T$1, 0))</f>
        <v>3</v>
      </c>
      <c r="O123">
        <f>INDEX('Availability Model'!$C$18:$T$22, MATCH($K$122,'Availability Model'!$B$18:$B$22, 0), MATCH($K$10, 'Availability Model'!$C$1:$T$1, 0))</f>
        <v>3</v>
      </c>
      <c r="P123">
        <f>INDEX('Availability Model'!$C$18:$T$22, MATCH($K$122,'Availability Model'!$B$18:$B$22, 0), MATCH($K$10, 'Availability Model'!$C$1:$T$1, 0))</f>
        <v>3</v>
      </c>
      <c r="Q123">
        <f>INDEX('Availability Model'!$C$18:$T$22, MATCH($K$122,'Availability Model'!$B$18:$B$22, 0), MATCH($K$10, 'Availability Model'!$C$1:$T$1, 0))</f>
        <v>3</v>
      </c>
      <c r="R123">
        <f>INDEX('Availability Model'!$C$18:$T$22, MATCH($K$122,'Availability Model'!$B$18:$B$22, 0), MATCH($K$10, 'Availability Model'!$C$1:$T$1, 0))</f>
        <v>3</v>
      </c>
      <c r="S123">
        <f>INDEX('Availability Model'!$C$18:$T$22, MATCH($K$122,'Availability Model'!$B$18:$B$22, 0), MATCH($K$10, 'Availability Model'!$C$1:$T$1, 0))</f>
        <v>3</v>
      </c>
      <c r="T123">
        <f>INDEX('Availability Model'!$C$18:$T$22, MATCH($K$122,'Availability Model'!$B$18:$B$22, 0), MATCH($K$10, 'Availability Model'!$C$1:$T$1, 0))</f>
        <v>3</v>
      </c>
      <c r="U123">
        <f>INDEX('Availability Model'!$C$18:$T$22, MATCH($K$122,'Availability Model'!$B$18:$B$22, 0), MATCH($K$10, 'Availability Model'!$C$1:$T$1, 0))</f>
        <v>3</v>
      </c>
      <c r="V123">
        <f>INDEX('Availability Model'!$C$18:$T$22, MATCH($K$122,'Availability Model'!$B$18:$B$22, 0), MATCH($K$10, 'Availability Model'!$C$1:$T$1, 0))</f>
        <v>3</v>
      </c>
      <c r="W123">
        <f>INDEX('Availability Model'!$C$18:$T$22, MATCH($K$122,'Availability Model'!$B$18:$B$22, 0), MATCH($K$10, 'Availability Model'!$C$1:$T$1, 0))</f>
        <v>3</v>
      </c>
      <c r="X123">
        <f>INDEX('Availability Model'!$C$18:$T$22, MATCH($K$122,'Availability Model'!$B$18:$B$22, 0), MATCH($K$10, 'Availability Model'!$C$1:$T$1, 0))</f>
        <v>3</v>
      </c>
      <c r="Y123">
        <f>INDEX('Availability Model'!$C$18:$T$22, MATCH($K$122,'Availability Model'!$B$18:$B$22, 0), MATCH($K$10, 'Availability Model'!$C$1:$T$1, 0))</f>
        <v>3</v>
      </c>
      <c r="Z123">
        <f>INDEX('Availability Model'!$C$18:$T$22, MATCH($K$122,'Availability Model'!$B$18:$B$22, 0), MATCH($K$10, 'Availability Model'!$C$1:$T$1, 0))</f>
        <v>3</v>
      </c>
      <c r="AA123">
        <f>INDEX('Availability Model'!$C$18:$T$22, MATCH($K$122,'Availability Model'!$B$18:$B$22, 0), MATCH($K$10, 'Availability Model'!$C$1:$T$1, 0))</f>
        <v>3</v>
      </c>
      <c r="AB123">
        <f>INDEX('Availability Model'!$C$18:$T$22, MATCH($K$122,'Availability Model'!$B$18:$B$22, 0), MATCH($K$10, 'Availability Model'!$C$1:$T$1, 0))</f>
        <v>3</v>
      </c>
      <c r="AC123">
        <f>INDEX('Availability Model'!$C$18:$T$22, MATCH($K$122,'Availability Model'!$B$18:$B$22, 0), MATCH($K$10, 'Availability Model'!$C$1:$T$1, 0))</f>
        <v>3</v>
      </c>
      <c r="AD123">
        <f>INDEX('Availability Model'!$C$18:$T$22, MATCH($K$122,'Availability Model'!$B$18:$B$22, 0), MATCH($K$10, 'Availability Model'!$C$1:$T$1, 0))</f>
        <v>3</v>
      </c>
      <c r="AE123">
        <f>INDEX('Availability Model'!$C$18:$T$22, MATCH($K$122,'Availability Model'!$B$18:$B$22, 0), MATCH($K$10, 'Availability Model'!$C$1:$T$1, 0))</f>
        <v>3</v>
      </c>
      <c r="AF123">
        <f>INDEX('Availability Model'!$C$18:$T$22, MATCH($K$122,'Availability Model'!$B$18:$B$22, 0), MATCH($K$10, 'Availability Model'!$C$1:$T$1, 0))</f>
        <v>3</v>
      </c>
      <c r="AG123">
        <f>INDEX('Availability Model'!$C$18:$T$22, MATCH($K$122,'Availability Model'!$B$18:$B$22, 0), MATCH($K$10, 'Availability Model'!$C$1:$T$1, 0))</f>
        <v>3</v>
      </c>
      <c r="AH123">
        <f>INDEX('Availability Model'!$C$18:$T$22, MATCH($K$122,'Availability Model'!$B$18:$B$22, 0), MATCH($K$10, 'Availability Model'!$C$1:$T$1, 0))</f>
        <v>3</v>
      </c>
      <c r="AI123">
        <f>INDEX('Availability Model'!$C$18:$T$22, MATCH($K$122,'Availability Model'!$B$18:$B$22, 0), MATCH($K$10, 'Availability Model'!$C$1:$T$1, 0))</f>
        <v>3</v>
      </c>
      <c r="AJ123">
        <f>INDEX('Availability Model'!$C$18:$T$22, MATCH($K$122,'Availability Model'!$B$18:$B$22, 0), MATCH($K$10, 'Availability Model'!$C$1:$T$1, 0))</f>
        <v>3</v>
      </c>
      <c r="AK123">
        <f>INDEX('Availability Model'!$C$18:$T$22, MATCH($K$122,'Availability Model'!$B$18:$B$22, 0), MATCH($K$10, 'Availability Model'!$C$1:$T$1, 0))</f>
        <v>3</v>
      </c>
      <c r="AL123">
        <f>INDEX('Availability Model'!$C$18:$T$22, MATCH($K$122,'Availability Model'!$B$18:$B$22, 0), MATCH($K$10, 'Availability Model'!$C$1:$T$1, 0))</f>
        <v>3</v>
      </c>
    </row>
    <row r="124" spans="4:38">
      <c r="D124" s="7" t="s">
        <v>301</v>
      </c>
      <c r="E124" s="16" t="s">
        <v>106</v>
      </c>
      <c r="K124">
        <f>K123*INDEX('Availability Model'!$C$25:$T$30, MATCH($K$122,'Availability Model'!$B$25:$B$30, 0), MATCH($K$10, 'Availability Model'!$C$1:$T$1, 0))</f>
        <v>9</v>
      </c>
      <c r="L124">
        <f>L123*INDEX('Availability Model'!$C$25:$T$30, MATCH($K$122,'Availability Model'!$B$25:$B$30, 0), MATCH($K$10, 'Availability Model'!$C$1:$T$1, 0))</f>
        <v>9</v>
      </c>
      <c r="M124">
        <f>M123*INDEX('Availability Model'!$C$25:$T$30, MATCH($K$122,'Availability Model'!$B$25:$B$30, 0), MATCH($K$10, 'Availability Model'!$C$1:$T$1, 0))</f>
        <v>9</v>
      </c>
      <c r="N124">
        <f>N123*INDEX('Availability Model'!$C$25:$T$30, MATCH($K$122,'Availability Model'!$B$25:$B$30, 0), MATCH($K$10, 'Availability Model'!$C$1:$T$1, 0))</f>
        <v>9</v>
      </c>
      <c r="O124">
        <f>O123*INDEX('Availability Model'!$C$25:$T$30, MATCH($K$122,'Availability Model'!$B$25:$B$30, 0), MATCH($K$10, 'Availability Model'!$C$1:$T$1, 0))</f>
        <v>9</v>
      </c>
      <c r="P124">
        <f>P123*INDEX('Availability Model'!$C$25:$T$30, MATCH($K$122,'Availability Model'!$B$25:$B$30, 0), MATCH($K$10, 'Availability Model'!$C$1:$T$1, 0))</f>
        <v>9</v>
      </c>
      <c r="Q124">
        <f>Q123*INDEX('Availability Model'!$C$25:$T$30, MATCH($K$122,'Availability Model'!$B$25:$B$30, 0), MATCH($K$10, 'Availability Model'!$C$1:$T$1, 0))</f>
        <v>9</v>
      </c>
      <c r="R124">
        <f>R123*INDEX('Availability Model'!$C$25:$T$30, MATCH($K$122,'Availability Model'!$B$25:$B$30, 0), MATCH($K$10, 'Availability Model'!$C$1:$T$1, 0))</f>
        <v>9</v>
      </c>
      <c r="S124">
        <f>S123*INDEX('Availability Model'!$C$25:$T$30, MATCH($K$122,'Availability Model'!$B$25:$B$30, 0), MATCH($K$10, 'Availability Model'!$C$1:$T$1, 0))</f>
        <v>9</v>
      </c>
      <c r="T124">
        <f>T123*INDEX('Availability Model'!$C$25:$T$30, MATCH($K$122,'Availability Model'!$B$25:$B$30, 0), MATCH($K$10, 'Availability Model'!$C$1:$T$1, 0))</f>
        <v>9</v>
      </c>
      <c r="U124">
        <f>U123*INDEX('Availability Model'!$C$25:$T$30, MATCH($K$122,'Availability Model'!$B$25:$B$30, 0), MATCH($K$10, 'Availability Model'!$C$1:$T$1, 0))</f>
        <v>9</v>
      </c>
      <c r="V124">
        <f>V123*INDEX('Availability Model'!$C$25:$T$30, MATCH($K$122,'Availability Model'!$B$25:$B$30, 0), MATCH($K$10, 'Availability Model'!$C$1:$T$1, 0))</f>
        <v>9</v>
      </c>
      <c r="W124">
        <f>W123*INDEX('Availability Model'!$C$25:$T$30, MATCH($K$122,'Availability Model'!$B$25:$B$30, 0), MATCH($K$10, 'Availability Model'!$C$1:$T$1, 0))</f>
        <v>9</v>
      </c>
      <c r="X124">
        <f>X123*INDEX('Availability Model'!$C$25:$T$30, MATCH($K$122,'Availability Model'!$B$25:$B$30, 0), MATCH($K$10, 'Availability Model'!$C$1:$T$1, 0))</f>
        <v>9</v>
      </c>
      <c r="Y124">
        <f>Y123*INDEX('Availability Model'!$C$25:$T$30, MATCH($K$122,'Availability Model'!$B$25:$B$30, 0), MATCH($K$10, 'Availability Model'!$C$1:$T$1, 0))</f>
        <v>9</v>
      </c>
      <c r="Z124">
        <f>Z123*INDEX('Availability Model'!$C$25:$T$30, MATCH($K$122,'Availability Model'!$B$25:$B$30, 0), MATCH($K$10, 'Availability Model'!$C$1:$T$1, 0))</f>
        <v>9</v>
      </c>
      <c r="AA124">
        <f>AA123*INDEX('Availability Model'!$C$25:$T$30, MATCH($K$122,'Availability Model'!$B$25:$B$30, 0), MATCH($K$10, 'Availability Model'!$C$1:$T$1, 0))</f>
        <v>9</v>
      </c>
      <c r="AB124">
        <f>AB123*INDEX('Availability Model'!$C$25:$T$30, MATCH($K$122,'Availability Model'!$B$25:$B$30, 0), MATCH($K$10, 'Availability Model'!$C$1:$T$1, 0))</f>
        <v>9</v>
      </c>
      <c r="AC124">
        <f>AC123*INDEX('Availability Model'!$C$25:$T$30, MATCH($K$122,'Availability Model'!$B$25:$B$30, 0), MATCH($K$10, 'Availability Model'!$C$1:$T$1, 0))</f>
        <v>9</v>
      </c>
      <c r="AD124">
        <f>AD123*INDEX('Availability Model'!$C$25:$T$30, MATCH($K$122,'Availability Model'!$B$25:$B$30, 0), MATCH($K$10, 'Availability Model'!$C$1:$T$1, 0))</f>
        <v>9</v>
      </c>
      <c r="AE124">
        <f>AE123*INDEX('Availability Model'!$C$25:$T$30, MATCH($K$122,'Availability Model'!$B$25:$B$30, 0), MATCH($K$10, 'Availability Model'!$C$1:$T$1, 0))</f>
        <v>9</v>
      </c>
      <c r="AF124">
        <f>AF123*INDEX('Availability Model'!$C$25:$T$30, MATCH($K$122,'Availability Model'!$B$25:$B$30, 0), MATCH($K$10, 'Availability Model'!$C$1:$T$1, 0))</f>
        <v>9</v>
      </c>
      <c r="AG124">
        <f>AG123*INDEX('Availability Model'!$C$25:$T$30, MATCH($K$122,'Availability Model'!$B$25:$B$30, 0), MATCH($K$10, 'Availability Model'!$C$1:$T$1, 0))</f>
        <v>9</v>
      </c>
      <c r="AH124">
        <f>AH123*INDEX('Availability Model'!$C$25:$T$30, MATCH($K$122,'Availability Model'!$B$25:$B$30, 0), MATCH($K$10, 'Availability Model'!$C$1:$T$1, 0))</f>
        <v>9</v>
      </c>
      <c r="AI124">
        <f>AI123*INDEX('Availability Model'!$C$25:$T$30, MATCH($K$122,'Availability Model'!$B$25:$B$30, 0), MATCH($K$10, 'Availability Model'!$C$1:$T$1, 0))</f>
        <v>9</v>
      </c>
      <c r="AJ124">
        <f>AJ123*INDEX('Availability Model'!$C$25:$T$30, MATCH($K$122,'Availability Model'!$B$25:$B$30, 0), MATCH($K$10, 'Availability Model'!$C$1:$T$1, 0))</f>
        <v>9</v>
      </c>
      <c r="AK124">
        <f>AK123*INDEX('Availability Model'!$C$25:$T$30, MATCH($K$122,'Availability Model'!$B$25:$B$30, 0), MATCH($K$10, 'Availability Model'!$C$1:$T$1, 0))</f>
        <v>9</v>
      </c>
      <c r="AL124">
        <f>AL123*INDEX('Availability Model'!$C$25:$T$30, MATCH($K$122,'Availability Model'!$B$25:$B$30, 0), MATCH($K$10, 'Availability Model'!$C$1:$T$1, 0))</f>
        <v>9</v>
      </c>
    </row>
    <row r="125" spans="4:38">
      <c r="D125" s="7" t="s">
        <v>302</v>
      </c>
      <c r="E125" s="16" t="s">
        <v>106</v>
      </c>
      <c r="K125" s="65">
        <f>K118</f>
        <v>1.8129533678756478</v>
      </c>
      <c r="L125" s="65">
        <f t="shared" ref="L125:AL125" si="56">L118</f>
        <v>1.9066551166747128</v>
      </c>
      <c r="M125" s="65">
        <f t="shared" si="56"/>
        <v>1.8367738032705883</v>
      </c>
      <c r="N125" s="65">
        <f t="shared" si="56"/>
        <v>1.8815339776532183</v>
      </c>
      <c r="O125" s="65">
        <f t="shared" si="56"/>
        <v>2.274116334125547</v>
      </c>
      <c r="P125" s="65">
        <f t="shared" si="56"/>
        <v>2.277607063808083</v>
      </c>
      <c r="Q125" s="65">
        <f t="shared" si="56"/>
        <v>2.0845047041176494</v>
      </c>
      <c r="R125" s="65">
        <f t="shared" si="56"/>
        <v>2.0845047041176494</v>
      </c>
      <c r="S125" s="65">
        <f t="shared" si="56"/>
        <v>1.9123332911358926</v>
      </c>
      <c r="T125" s="65">
        <f t="shared" si="56"/>
        <v>1.9148328343992786</v>
      </c>
      <c r="U125" s="65">
        <f t="shared" si="56"/>
        <v>1.9123332911358926</v>
      </c>
      <c r="V125" s="65">
        <f t="shared" si="56"/>
        <v>1.9123332911358926</v>
      </c>
      <c r="W125" s="65">
        <f t="shared" si="56"/>
        <v>1.9123332911358926</v>
      </c>
      <c r="X125" s="65">
        <f t="shared" si="56"/>
        <v>1.9148328343992786</v>
      </c>
      <c r="Y125" s="65">
        <f t="shared" si="56"/>
        <v>1.9123332911358926</v>
      </c>
      <c r="Z125" s="65">
        <f t="shared" si="56"/>
        <v>1.9123332911358926</v>
      </c>
      <c r="AA125" s="65">
        <f t="shared" si="56"/>
        <v>1.9123332911358926</v>
      </c>
      <c r="AB125" s="65">
        <f t="shared" si="56"/>
        <v>1.9148328343992786</v>
      </c>
      <c r="AC125" s="65">
        <f t="shared" si="56"/>
        <v>1.7585224186644333</v>
      </c>
      <c r="AD125" s="65">
        <f t="shared" si="56"/>
        <v>1.7585224186644333</v>
      </c>
      <c r="AE125" s="65">
        <f t="shared" si="56"/>
        <v>1.7585224186644333</v>
      </c>
      <c r="AF125" s="65">
        <f t="shared" si="56"/>
        <v>1.7619072168336016</v>
      </c>
      <c r="AG125" s="65">
        <f t="shared" si="56"/>
        <v>1.7585224186644333</v>
      </c>
      <c r="AH125" s="65">
        <f t="shared" si="56"/>
        <v>1.7585224186644333</v>
      </c>
      <c r="AI125" s="65">
        <f t="shared" si="56"/>
        <v>1.7585224186644333</v>
      </c>
      <c r="AJ125" s="65">
        <f t="shared" si="56"/>
        <v>1.7619072168336016</v>
      </c>
      <c r="AK125" s="65">
        <f t="shared" si="56"/>
        <v>1.7585224186644333</v>
      </c>
      <c r="AL125" s="65">
        <f t="shared" si="56"/>
        <v>1.7585224186644333</v>
      </c>
    </row>
    <row r="126" spans="4:38">
      <c r="D126" s="7" t="s">
        <v>304</v>
      </c>
      <c r="E126" s="16" t="s">
        <v>106</v>
      </c>
      <c r="K126" s="140">
        <f>ROUND(K124-K125,0)</f>
        <v>7</v>
      </c>
      <c r="L126" s="140">
        <f t="shared" ref="L126:AL126" si="57">ROUND(L124-L125,0)</f>
        <v>7</v>
      </c>
      <c r="M126" s="140">
        <f t="shared" si="57"/>
        <v>7</v>
      </c>
      <c r="N126" s="140">
        <f t="shared" si="57"/>
        <v>7</v>
      </c>
      <c r="O126" s="140">
        <f t="shared" si="57"/>
        <v>7</v>
      </c>
      <c r="P126" s="140">
        <f t="shared" si="57"/>
        <v>7</v>
      </c>
      <c r="Q126" s="140">
        <f t="shared" si="57"/>
        <v>7</v>
      </c>
      <c r="R126" s="140">
        <f t="shared" si="57"/>
        <v>7</v>
      </c>
      <c r="S126" s="140">
        <f t="shared" si="57"/>
        <v>7</v>
      </c>
      <c r="T126" s="140">
        <f t="shared" si="57"/>
        <v>7</v>
      </c>
      <c r="U126" s="140">
        <f t="shared" si="57"/>
        <v>7</v>
      </c>
      <c r="V126" s="140">
        <f t="shared" si="57"/>
        <v>7</v>
      </c>
      <c r="W126" s="140">
        <f t="shared" si="57"/>
        <v>7</v>
      </c>
      <c r="X126" s="140">
        <f t="shared" si="57"/>
        <v>7</v>
      </c>
      <c r="Y126" s="140">
        <f t="shared" si="57"/>
        <v>7</v>
      </c>
      <c r="Z126" s="140">
        <f t="shared" si="57"/>
        <v>7</v>
      </c>
      <c r="AA126" s="140">
        <f t="shared" si="57"/>
        <v>7</v>
      </c>
      <c r="AB126" s="140">
        <f t="shared" si="57"/>
        <v>7</v>
      </c>
      <c r="AC126" s="140">
        <f t="shared" si="57"/>
        <v>7</v>
      </c>
      <c r="AD126" s="140">
        <f t="shared" si="57"/>
        <v>7</v>
      </c>
      <c r="AE126" s="140">
        <f t="shared" si="57"/>
        <v>7</v>
      </c>
      <c r="AF126" s="140">
        <f t="shared" si="57"/>
        <v>7</v>
      </c>
      <c r="AG126" s="140">
        <f t="shared" si="57"/>
        <v>7</v>
      </c>
      <c r="AH126" s="140">
        <f t="shared" si="57"/>
        <v>7</v>
      </c>
      <c r="AI126" s="140">
        <f t="shared" si="57"/>
        <v>7</v>
      </c>
      <c r="AJ126" s="140">
        <f t="shared" si="57"/>
        <v>7</v>
      </c>
      <c r="AK126" s="140">
        <f t="shared" si="57"/>
        <v>7</v>
      </c>
      <c r="AL126" s="140">
        <f t="shared" si="57"/>
        <v>7</v>
      </c>
    </row>
    <row r="127" spans="4:38">
      <c r="D127" s="7"/>
      <c r="E127" s="16"/>
    </row>
    <row r="128" spans="4:38">
      <c r="D128" s="3" t="s">
        <v>298</v>
      </c>
    </row>
    <row r="129" spans="4:38">
      <c r="D129" s="7" t="s">
        <v>299</v>
      </c>
      <c r="E129" s="16" t="s">
        <v>169</v>
      </c>
      <c r="K129" t="str">
        <f>Inputs!E75</f>
        <v>Average</v>
      </c>
      <c r="L129" t="str">
        <f>Inputs!F75</f>
        <v>Average</v>
      </c>
      <c r="M129" t="str">
        <f>Inputs!G75</f>
        <v>Average</v>
      </c>
      <c r="N129" t="str">
        <f>Inputs!H75</f>
        <v>Average</v>
      </c>
      <c r="O129" t="str">
        <f>Inputs!I75</f>
        <v>Average</v>
      </c>
      <c r="P129" t="str">
        <f>Inputs!J75</f>
        <v>Average</v>
      </c>
      <c r="Q129" t="str">
        <f>P129</f>
        <v>Average</v>
      </c>
      <c r="R129" t="str">
        <f t="shared" ref="R129:AL129" si="58">Q129</f>
        <v>Average</v>
      </c>
      <c r="S129" t="str">
        <f t="shared" si="58"/>
        <v>Average</v>
      </c>
      <c r="T129" t="str">
        <f t="shared" si="58"/>
        <v>Average</v>
      </c>
      <c r="U129" t="str">
        <f t="shared" si="58"/>
        <v>Average</v>
      </c>
      <c r="V129" t="str">
        <f t="shared" si="58"/>
        <v>Average</v>
      </c>
      <c r="W129" t="str">
        <f t="shared" si="58"/>
        <v>Average</v>
      </c>
      <c r="X129" t="str">
        <f t="shared" si="58"/>
        <v>Average</v>
      </c>
      <c r="Y129" t="str">
        <f t="shared" si="58"/>
        <v>Average</v>
      </c>
      <c r="Z129" t="str">
        <f t="shared" si="58"/>
        <v>Average</v>
      </c>
      <c r="AA129" t="str">
        <f t="shared" si="58"/>
        <v>Average</v>
      </c>
      <c r="AB129" t="str">
        <f t="shared" si="58"/>
        <v>Average</v>
      </c>
      <c r="AC129" t="str">
        <f t="shared" si="58"/>
        <v>Average</v>
      </c>
      <c r="AD129" t="str">
        <f t="shared" si="58"/>
        <v>Average</v>
      </c>
      <c r="AE129" t="str">
        <f t="shared" si="58"/>
        <v>Average</v>
      </c>
      <c r="AF129" t="str">
        <f t="shared" si="58"/>
        <v>Average</v>
      </c>
      <c r="AG129" t="str">
        <f t="shared" si="58"/>
        <v>Average</v>
      </c>
      <c r="AH129" t="str">
        <f t="shared" si="58"/>
        <v>Average</v>
      </c>
      <c r="AI129" t="str">
        <f t="shared" si="58"/>
        <v>Average</v>
      </c>
      <c r="AJ129" t="str">
        <f t="shared" si="58"/>
        <v>Average</v>
      </c>
      <c r="AK129" t="str">
        <f t="shared" si="58"/>
        <v>Average</v>
      </c>
      <c r="AL129" t="str">
        <f t="shared" si="58"/>
        <v>Average</v>
      </c>
    </row>
    <row r="130" spans="4:38">
      <c r="D130" s="7" t="s">
        <v>300</v>
      </c>
      <c r="E130" s="16" t="s">
        <v>303</v>
      </c>
      <c r="K130">
        <f>INDEX('Availability Model'!$C$32:$T$36, MATCH($K$129,'Availability Model'!$B$32:$B$36, 0), MATCH($K$10, 'Availability Model'!$C$1:$T$1, 0))</f>
        <v>2</v>
      </c>
      <c r="L130">
        <f>INDEX('Availability Model'!$C$32:$T$36, MATCH($K$129,'Availability Model'!$B$32:$B$36, 0), MATCH($K$10, 'Availability Model'!$C$1:$T$1, 0))</f>
        <v>2</v>
      </c>
      <c r="M130">
        <f>INDEX('Availability Model'!$C$32:$T$36, MATCH($K$129,'Availability Model'!$B$32:$B$36, 0), MATCH($K$10, 'Availability Model'!$C$1:$T$1, 0))</f>
        <v>2</v>
      </c>
      <c r="N130">
        <f>INDEX('Availability Model'!$C$32:$T$36, MATCH($K$129,'Availability Model'!$B$32:$B$36, 0), MATCH($K$10, 'Availability Model'!$C$1:$T$1, 0))</f>
        <v>2</v>
      </c>
      <c r="O130">
        <f>INDEX('Availability Model'!$C$32:$T$36, MATCH($K$129,'Availability Model'!$B$32:$B$36, 0), MATCH($K$10, 'Availability Model'!$C$1:$T$1, 0))</f>
        <v>2</v>
      </c>
      <c r="P130">
        <f>INDEX('Availability Model'!$C$32:$T$36, MATCH($K$129,'Availability Model'!$B$32:$B$36, 0), MATCH($K$10, 'Availability Model'!$C$1:$T$1, 0))</f>
        <v>2</v>
      </c>
      <c r="Q130">
        <f>INDEX('Availability Model'!$C$32:$T$36, MATCH($K$129,'Availability Model'!$B$32:$B$36, 0), MATCH($K$10, 'Availability Model'!$C$1:$T$1, 0))</f>
        <v>2</v>
      </c>
      <c r="R130">
        <f>INDEX('Availability Model'!$C$32:$T$36, MATCH($K$129,'Availability Model'!$B$32:$B$36, 0), MATCH($K$10, 'Availability Model'!$C$1:$T$1, 0))</f>
        <v>2</v>
      </c>
      <c r="S130">
        <f>INDEX('Availability Model'!$C$32:$T$36, MATCH($K$129,'Availability Model'!$B$32:$B$36, 0), MATCH($K$10, 'Availability Model'!$C$1:$T$1, 0))</f>
        <v>2</v>
      </c>
      <c r="T130">
        <f>INDEX('Availability Model'!$C$32:$T$36, MATCH($K$129,'Availability Model'!$B$32:$B$36, 0), MATCH($K$10, 'Availability Model'!$C$1:$T$1, 0))</f>
        <v>2</v>
      </c>
      <c r="U130">
        <f>INDEX('Availability Model'!$C$32:$T$36, MATCH($K$129,'Availability Model'!$B$32:$B$36, 0), MATCH($K$10, 'Availability Model'!$C$1:$T$1, 0))</f>
        <v>2</v>
      </c>
      <c r="V130">
        <f>INDEX('Availability Model'!$C$32:$T$36, MATCH($K$129,'Availability Model'!$B$32:$B$36, 0), MATCH($K$10, 'Availability Model'!$C$1:$T$1, 0))</f>
        <v>2</v>
      </c>
      <c r="W130">
        <f>INDEX('Availability Model'!$C$32:$T$36, MATCH($K$129,'Availability Model'!$B$32:$B$36, 0), MATCH($K$10, 'Availability Model'!$C$1:$T$1, 0))</f>
        <v>2</v>
      </c>
      <c r="X130">
        <f>INDEX('Availability Model'!$C$32:$T$36, MATCH($K$129,'Availability Model'!$B$32:$B$36, 0), MATCH($K$10, 'Availability Model'!$C$1:$T$1, 0))</f>
        <v>2</v>
      </c>
      <c r="Y130">
        <f>INDEX('Availability Model'!$C$32:$T$36, MATCH($K$129,'Availability Model'!$B$32:$B$36, 0), MATCH($K$10, 'Availability Model'!$C$1:$T$1, 0))</f>
        <v>2</v>
      </c>
      <c r="Z130">
        <f>INDEX('Availability Model'!$C$32:$T$36, MATCH($K$129,'Availability Model'!$B$32:$B$36, 0), MATCH($K$10, 'Availability Model'!$C$1:$T$1, 0))</f>
        <v>2</v>
      </c>
      <c r="AA130">
        <f>INDEX('Availability Model'!$C$32:$T$36, MATCH($K$129,'Availability Model'!$B$32:$B$36, 0), MATCH($K$10, 'Availability Model'!$C$1:$T$1, 0))</f>
        <v>2</v>
      </c>
      <c r="AB130">
        <f>INDEX('Availability Model'!$C$32:$T$36, MATCH($K$129,'Availability Model'!$B$32:$B$36, 0), MATCH($K$10, 'Availability Model'!$C$1:$T$1, 0))</f>
        <v>2</v>
      </c>
      <c r="AC130">
        <f>INDEX('Availability Model'!$C$32:$T$36, MATCH($K$129,'Availability Model'!$B$32:$B$36, 0), MATCH($K$10, 'Availability Model'!$C$1:$T$1, 0))</f>
        <v>2</v>
      </c>
      <c r="AD130">
        <f>INDEX('Availability Model'!$C$32:$T$36, MATCH($K$129,'Availability Model'!$B$32:$B$36, 0), MATCH($K$10, 'Availability Model'!$C$1:$T$1, 0))</f>
        <v>2</v>
      </c>
      <c r="AE130">
        <f>INDEX('Availability Model'!$C$32:$T$36, MATCH($K$129,'Availability Model'!$B$32:$B$36, 0), MATCH($K$10, 'Availability Model'!$C$1:$T$1, 0))</f>
        <v>2</v>
      </c>
      <c r="AF130">
        <f>INDEX('Availability Model'!$C$32:$T$36, MATCH($K$129,'Availability Model'!$B$32:$B$36, 0), MATCH($K$10, 'Availability Model'!$C$1:$T$1, 0))</f>
        <v>2</v>
      </c>
      <c r="AG130">
        <f>INDEX('Availability Model'!$C$32:$T$36, MATCH($K$129,'Availability Model'!$B$32:$B$36, 0), MATCH($K$10, 'Availability Model'!$C$1:$T$1, 0))</f>
        <v>2</v>
      </c>
      <c r="AH130">
        <f>INDEX('Availability Model'!$C$32:$T$36, MATCH($K$129,'Availability Model'!$B$32:$B$36, 0), MATCH($K$10, 'Availability Model'!$C$1:$T$1, 0))</f>
        <v>2</v>
      </c>
      <c r="AI130">
        <f>INDEX('Availability Model'!$C$32:$T$36, MATCH($K$129,'Availability Model'!$B$32:$B$36, 0), MATCH($K$10, 'Availability Model'!$C$1:$T$1, 0))</f>
        <v>2</v>
      </c>
      <c r="AJ130">
        <f>INDEX('Availability Model'!$C$32:$T$36, MATCH($K$129,'Availability Model'!$B$32:$B$36, 0), MATCH($K$10, 'Availability Model'!$C$1:$T$1, 0))</f>
        <v>2</v>
      </c>
      <c r="AK130">
        <f>INDEX('Availability Model'!$C$32:$T$36, MATCH($K$129,'Availability Model'!$B$32:$B$36, 0), MATCH($K$10, 'Availability Model'!$C$1:$T$1, 0))</f>
        <v>2</v>
      </c>
      <c r="AL130">
        <f>INDEX('Availability Model'!$C$32:$T$36, MATCH($K$129,'Availability Model'!$B$32:$B$36, 0), MATCH($K$10, 'Availability Model'!$C$1:$T$1, 0))</f>
        <v>2</v>
      </c>
    </row>
    <row r="131" spans="4:38">
      <c r="D131" s="7" t="s">
        <v>301</v>
      </c>
      <c r="E131" s="16" t="s">
        <v>106</v>
      </c>
      <c r="K131">
        <f>K130*INDEX('Availability Model'!$C$39:$T$43, MATCH($K$129,'Availability Model'!$B$39:$B$43, 0), MATCH($K$10, 'Availability Model'!$C$1:$T$1, 0))</f>
        <v>6</v>
      </c>
      <c r="L131">
        <f>L130*INDEX('Availability Model'!$C$39:$T$43, MATCH($K$129,'Availability Model'!$B$39:$B$43, 0), MATCH($K$10, 'Availability Model'!$C$1:$T$1, 0))</f>
        <v>6</v>
      </c>
      <c r="M131">
        <f>M130*INDEX('Availability Model'!$C$39:$T$43, MATCH($K$129,'Availability Model'!$B$39:$B$43, 0), MATCH($K$10, 'Availability Model'!$C$1:$T$1, 0))</f>
        <v>6</v>
      </c>
      <c r="N131">
        <f>N130*INDEX('Availability Model'!$C$39:$T$43, MATCH($K$129,'Availability Model'!$B$39:$B$43, 0), MATCH($K$10, 'Availability Model'!$C$1:$T$1, 0))</f>
        <v>6</v>
      </c>
      <c r="O131">
        <f>O130*INDEX('Availability Model'!$C$39:$T$43, MATCH($K$129,'Availability Model'!$B$39:$B$43, 0), MATCH($K$10, 'Availability Model'!$C$1:$T$1, 0))</f>
        <v>6</v>
      </c>
      <c r="P131">
        <f>P130*INDEX('Availability Model'!$C$39:$T$43, MATCH($K$129,'Availability Model'!$B$39:$B$43, 0), MATCH($K$10, 'Availability Model'!$C$1:$T$1, 0))</f>
        <v>6</v>
      </c>
      <c r="Q131">
        <f>Q130*INDEX('Availability Model'!$C$39:$T$43, MATCH($K$129,'Availability Model'!$B$39:$B$43, 0), MATCH($K$10, 'Availability Model'!$C$1:$T$1, 0))</f>
        <v>6</v>
      </c>
      <c r="R131">
        <f>R130*INDEX('Availability Model'!$C$39:$T$43, MATCH($K$129,'Availability Model'!$B$39:$B$43, 0), MATCH($K$10, 'Availability Model'!$C$1:$T$1, 0))</f>
        <v>6</v>
      </c>
      <c r="S131">
        <f>S130*INDEX('Availability Model'!$C$39:$T$43, MATCH($K$129,'Availability Model'!$B$39:$B$43, 0), MATCH($K$10, 'Availability Model'!$C$1:$T$1, 0))</f>
        <v>6</v>
      </c>
      <c r="T131">
        <f>T130*INDEX('Availability Model'!$C$39:$T$43, MATCH($K$129,'Availability Model'!$B$39:$B$43, 0), MATCH($K$10, 'Availability Model'!$C$1:$T$1, 0))</f>
        <v>6</v>
      </c>
      <c r="U131">
        <f>U130*INDEX('Availability Model'!$C$39:$T$43, MATCH($K$129,'Availability Model'!$B$39:$B$43, 0), MATCH($K$10, 'Availability Model'!$C$1:$T$1, 0))</f>
        <v>6</v>
      </c>
      <c r="V131">
        <f>V130*INDEX('Availability Model'!$C$39:$T$43, MATCH($K$129,'Availability Model'!$B$39:$B$43, 0), MATCH($K$10, 'Availability Model'!$C$1:$T$1, 0))</f>
        <v>6</v>
      </c>
      <c r="W131">
        <f>W130*INDEX('Availability Model'!$C$39:$T$43, MATCH($K$129,'Availability Model'!$B$39:$B$43, 0), MATCH($K$10, 'Availability Model'!$C$1:$T$1, 0))</f>
        <v>6</v>
      </c>
      <c r="X131">
        <f>X130*INDEX('Availability Model'!$C$39:$T$43, MATCH($K$129,'Availability Model'!$B$39:$B$43, 0), MATCH($K$10, 'Availability Model'!$C$1:$T$1, 0))</f>
        <v>6</v>
      </c>
      <c r="Y131">
        <f>Y130*INDEX('Availability Model'!$C$39:$T$43, MATCH($K$129,'Availability Model'!$B$39:$B$43, 0), MATCH($K$10, 'Availability Model'!$C$1:$T$1, 0))</f>
        <v>6</v>
      </c>
      <c r="Z131">
        <f>Z130*INDEX('Availability Model'!$C$39:$T$43, MATCH($K$129,'Availability Model'!$B$39:$B$43, 0), MATCH($K$10, 'Availability Model'!$C$1:$T$1, 0))</f>
        <v>6</v>
      </c>
      <c r="AA131">
        <f>AA130*INDEX('Availability Model'!$C$39:$T$43, MATCH($K$129,'Availability Model'!$B$39:$B$43, 0), MATCH($K$10, 'Availability Model'!$C$1:$T$1, 0))</f>
        <v>6</v>
      </c>
      <c r="AB131">
        <f>AB130*INDEX('Availability Model'!$C$39:$T$43, MATCH($K$129,'Availability Model'!$B$39:$B$43, 0), MATCH($K$10, 'Availability Model'!$C$1:$T$1, 0))</f>
        <v>6</v>
      </c>
      <c r="AC131">
        <f>AC130*INDEX('Availability Model'!$C$39:$T$43, MATCH($K$129,'Availability Model'!$B$39:$B$43, 0), MATCH($K$10, 'Availability Model'!$C$1:$T$1, 0))</f>
        <v>6</v>
      </c>
      <c r="AD131">
        <f>AD130*INDEX('Availability Model'!$C$39:$T$43, MATCH($K$129,'Availability Model'!$B$39:$B$43, 0), MATCH($K$10, 'Availability Model'!$C$1:$T$1, 0))</f>
        <v>6</v>
      </c>
      <c r="AE131">
        <f>AE130*INDEX('Availability Model'!$C$39:$T$43, MATCH($K$129,'Availability Model'!$B$39:$B$43, 0), MATCH($K$10, 'Availability Model'!$C$1:$T$1, 0))</f>
        <v>6</v>
      </c>
      <c r="AF131">
        <f>AF130*INDEX('Availability Model'!$C$39:$T$43, MATCH($K$129,'Availability Model'!$B$39:$B$43, 0), MATCH($K$10, 'Availability Model'!$C$1:$T$1, 0))</f>
        <v>6</v>
      </c>
      <c r="AG131">
        <f>AG130*INDEX('Availability Model'!$C$39:$T$43, MATCH($K$129,'Availability Model'!$B$39:$B$43, 0), MATCH($K$10, 'Availability Model'!$C$1:$T$1, 0))</f>
        <v>6</v>
      </c>
      <c r="AH131">
        <f>AH130*INDEX('Availability Model'!$C$39:$T$43, MATCH($K$129,'Availability Model'!$B$39:$B$43, 0), MATCH($K$10, 'Availability Model'!$C$1:$T$1, 0))</f>
        <v>6</v>
      </c>
      <c r="AI131">
        <f>AI130*INDEX('Availability Model'!$C$39:$T$43, MATCH($K$129,'Availability Model'!$B$39:$B$43, 0), MATCH($K$10, 'Availability Model'!$C$1:$T$1, 0))</f>
        <v>6</v>
      </c>
      <c r="AJ131">
        <f>AJ130*INDEX('Availability Model'!$C$39:$T$43, MATCH($K$129,'Availability Model'!$B$39:$B$43, 0), MATCH($K$10, 'Availability Model'!$C$1:$T$1, 0))</f>
        <v>6</v>
      </c>
      <c r="AK131">
        <f>AK130*INDEX('Availability Model'!$C$39:$T$43, MATCH($K$129,'Availability Model'!$B$39:$B$43, 0), MATCH($K$10, 'Availability Model'!$C$1:$T$1, 0))</f>
        <v>6</v>
      </c>
      <c r="AL131">
        <f>AL130*INDEX('Availability Model'!$C$39:$T$43, MATCH($K$129,'Availability Model'!$B$39:$B$43, 0), MATCH($K$10, 'Availability Model'!$C$1:$T$1, 0))</f>
        <v>6</v>
      </c>
    </row>
    <row r="132" spans="4:38">
      <c r="D132" s="7" t="s">
        <v>302</v>
      </c>
      <c r="E132" s="16" t="s">
        <v>106</v>
      </c>
      <c r="K132" s="65">
        <f>K125</f>
        <v>1.8129533678756478</v>
      </c>
      <c r="L132" s="65">
        <f t="shared" ref="L132:AL132" si="59">L125</f>
        <v>1.9066551166747128</v>
      </c>
      <c r="M132" s="65">
        <f t="shared" si="59"/>
        <v>1.8367738032705883</v>
      </c>
      <c r="N132" s="65">
        <f t="shared" si="59"/>
        <v>1.8815339776532183</v>
      </c>
      <c r="O132" s="65">
        <f t="shared" si="59"/>
        <v>2.274116334125547</v>
      </c>
      <c r="P132" s="65">
        <f t="shared" si="59"/>
        <v>2.277607063808083</v>
      </c>
      <c r="Q132" s="65">
        <f t="shared" si="59"/>
        <v>2.0845047041176494</v>
      </c>
      <c r="R132" s="65">
        <f t="shared" si="59"/>
        <v>2.0845047041176494</v>
      </c>
      <c r="S132" s="65">
        <f t="shared" si="59"/>
        <v>1.9123332911358926</v>
      </c>
      <c r="T132" s="65">
        <f t="shared" si="59"/>
        <v>1.9148328343992786</v>
      </c>
      <c r="U132" s="65">
        <f t="shared" si="59"/>
        <v>1.9123332911358926</v>
      </c>
      <c r="V132" s="65">
        <f t="shared" si="59"/>
        <v>1.9123332911358926</v>
      </c>
      <c r="W132" s="65">
        <f t="shared" si="59"/>
        <v>1.9123332911358926</v>
      </c>
      <c r="X132" s="65">
        <f t="shared" si="59"/>
        <v>1.9148328343992786</v>
      </c>
      <c r="Y132" s="65">
        <f t="shared" si="59"/>
        <v>1.9123332911358926</v>
      </c>
      <c r="Z132" s="65">
        <f t="shared" si="59"/>
        <v>1.9123332911358926</v>
      </c>
      <c r="AA132" s="65">
        <f t="shared" si="59"/>
        <v>1.9123332911358926</v>
      </c>
      <c r="AB132" s="65">
        <f t="shared" si="59"/>
        <v>1.9148328343992786</v>
      </c>
      <c r="AC132" s="65">
        <f t="shared" si="59"/>
        <v>1.7585224186644333</v>
      </c>
      <c r="AD132" s="65">
        <f t="shared" si="59"/>
        <v>1.7585224186644333</v>
      </c>
      <c r="AE132" s="65">
        <f t="shared" si="59"/>
        <v>1.7585224186644333</v>
      </c>
      <c r="AF132" s="65">
        <f t="shared" si="59"/>
        <v>1.7619072168336016</v>
      </c>
      <c r="AG132" s="65">
        <f t="shared" si="59"/>
        <v>1.7585224186644333</v>
      </c>
      <c r="AH132" s="65">
        <f t="shared" si="59"/>
        <v>1.7585224186644333</v>
      </c>
      <c r="AI132" s="65">
        <f t="shared" si="59"/>
        <v>1.7585224186644333</v>
      </c>
      <c r="AJ132" s="65">
        <f t="shared" si="59"/>
        <v>1.7619072168336016</v>
      </c>
      <c r="AK132" s="65">
        <f t="shared" si="59"/>
        <v>1.7585224186644333</v>
      </c>
      <c r="AL132" s="65">
        <f t="shared" si="59"/>
        <v>1.7585224186644333</v>
      </c>
    </row>
    <row r="133" spans="4:38">
      <c r="D133" s="7" t="s">
        <v>304</v>
      </c>
      <c r="E133" s="16" t="s">
        <v>106</v>
      </c>
      <c r="K133" s="140">
        <f>ROUND(K131-K132,0)</f>
        <v>4</v>
      </c>
      <c r="L133" s="140">
        <f t="shared" ref="L133:AL133" si="60">ROUND(L131-L132,0)</f>
        <v>4</v>
      </c>
      <c r="M133" s="140">
        <f t="shared" si="60"/>
        <v>4</v>
      </c>
      <c r="N133" s="140">
        <f t="shared" si="60"/>
        <v>4</v>
      </c>
      <c r="O133" s="140">
        <f t="shared" si="60"/>
        <v>4</v>
      </c>
      <c r="P133" s="140">
        <f t="shared" si="60"/>
        <v>4</v>
      </c>
      <c r="Q133" s="140">
        <f t="shared" si="60"/>
        <v>4</v>
      </c>
      <c r="R133" s="140">
        <f t="shared" si="60"/>
        <v>4</v>
      </c>
      <c r="S133" s="140">
        <f t="shared" si="60"/>
        <v>4</v>
      </c>
      <c r="T133" s="140">
        <f t="shared" si="60"/>
        <v>4</v>
      </c>
      <c r="U133" s="140">
        <f t="shared" si="60"/>
        <v>4</v>
      </c>
      <c r="V133" s="140">
        <f t="shared" si="60"/>
        <v>4</v>
      </c>
      <c r="W133" s="140">
        <f t="shared" si="60"/>
        <v>4</v>
      </c>
      <c r="X133" s="140">
        <f t="shared" si="60"/>
        <v>4</v>
      </c>
      <c r="Y133" s="140">
        <f t="shared" si="60"/>
        <v>4</v>
      </c>
      <c r="Z133" s="140">
        <f t="shared" si="60"/>
        <v>4</v>
      </c>
      <c r="AA133" s="140">
        <f t="shared" si="60"/>
        <v>4</v>
      </c>
      <c r="AB133" s="140">
        <f t="shared" si="60"/>
        <v>4</v>
      </c>
      <c r="AC133" s="140">
        <f t="shared" si="60"/>
        <v>4</v>
      </c>
      <c r="AD133" s="140">
        <f t="shared" si="60"/>
        <v>4</v>
      </c>
      <c r="AE133" s="140">
        <f t="shared" si="60"/>
        <v>4</v>
      </c>
      <c r="AF133" s="140">
        <f t="shared" si="60"/>
        <v>4</v>
      </c>
      <c r="AG133" s="140">
        <f t="shared" si="60"/>
        <v>4</v>
      </c>
      <c r="AH133" s="140">
        <f t="shared" si="60"/>
        <v>4</v>
      </c>
      <c r="AI133" s="140">
        <f t="shared" si="60"/>
        <v>4</v>
      </c>
      <c r="AJ133" s="140">
        <f t="shared" si="60"/>
        <v>4</v>
      </c>
      <c r="AK133" s="140">
        <f t="shared" si="60"/>
        <v>4</v>
      </c>
      <c r="AL133" s="140">
        <f t="shared" si="60"/>
        <v>4</v>
      </c>
    </row>
    <row r="134" spans="4:38">
      <c r="D134" s="7"/>
      <c r="W134"/>
      <c r="AB134"/>
    </row>
    <row r="135" spans="4:38">
      <c r="D135" s="3" t="s">
        <v>309</v>
      </c>
      <c r="E135" s="16" t="s">
        <v>106</v>
      </c>
      <c r="K135">
        <f>K119+K126+K133</f>
        <v>11</v>
      </c>
      <c r="L135">
        <f t="shared" ref="L135:AL135" si="61">L119+L126+L133</f>
        <v>11</v>
      </c>
      <c r="M135">
        <f t="shared" si="61"/>
        <v>11</v>
      </c>
      <c r="N135">
        <f t="shared" si="61"/>
        <v>11</v>
      </c>
      <c r="O135">
        <f t="shared" si="61"/>
        <v>11</v>
      </c>
      <c r="P135">
        <f t="shared" si="61"/>
        <v>11</v>
      </c>
      <c r="Q135">
        <f t="shared" si="61"/>
        <v>11</v>
      </c>
      <c r="R135">
        <f t="shared" si="61"/>
        <v>11</v>
      </c>
      <c r="S135">
        <f t="shared" si="61"/>
        <v>11</v>
      </c>
      <c r="T135">
        <f t="shared" si="61"/>
        <v>11</v>
      </c>
      <c r="U135">
        <f t="shared" si="61"/>
        <v>11</v>
      </c>
      <c r="V135">
        <f t="shared" si="61"/>
        <v>11</v>
      </c>
      <c r="W135">
        <f t="shared" si="61"/>
        <v>11</v>
      </c>
      <c r="X135">
        <f t="shared" si="61"/>
        <v>11</v>
      </c>
      <c r="Y135">
        <f t="shared" si="61"/>
        <v>11</v>
      </c>
      <c r="Z135">
        <f t="shared" si="61"/>
        <v>11</v>
      </c>
      <c r="AA135">
        <f t="shared" si="61"/>
        <v>11</v>
      </c>
      <c r="AB135">
        <f t="shared" si="61"/>
        <v>11</v>
      </c>
      <c r="AC135">
        <f t="shared" si="61"/>
        <v>11</v>
      </c>
      <c r="AD135">
        <f t="shared" si="61"/>
        <v>11</v>
      </c>
      <c r="AE135">
        <f t="shared" si="61"/>
        <v>11</v>
      </c>
      <c r="AF135">
        <f t="shared" si="61"/>
        <v>11</v>
      </c>
      <c r="AG135">
        <f t="shared" si="61"/>
        <v>11</v>
      </c>
      <c r="AH135">
        <f t="shared" si="61"/>
        <v>11</v>
      </c>
      <c r="AI135">
        <f t="shared" si="61"/>
        <v>11</v>
      </c>
      <c r="AJ135">
        <f t="shared" si="61"/>
        <v>11</v>
      </c>
      <c r="AK135">
        <f t="shared" si="61"/>
        <v>11</v>
      </c>
      <c r="AL135">
        <f t="shared" si="61"/>
        <v>11</v>
      </c>
    </row>
    <row r="136" spans="4:38" ht="15">
      <c r="D136" s="4"/>
    </row>
    <row r="137" spans="4:38" ht="15">
      <c r="D137" s="4" t="s">
        <v>137</v>
      </c>
    </row>
    <row r="138" spans="4:38">
      <c r="D138" s="7" t="s">
        <v>299</v>
      </c>
      <c r="E138" s="16" t="s">
        <v>169</v>
      </c>
      <c r="K138" t="str">
        <f>Inputs!E76</f>
        <v>Average</v>
      </c>
      <c r="L138" t="str">
        <f>Inputs!F76</f>
        <v>Average</v>
      </c>
      <c r="M138" t="str">
        <f>Inputs!G76</f>
        <v>Average</v>
      </c>
      <c r="N138" t="str">
        <f>Inputs!H76</f>
        <v>Average</v>
      </c>
      <c r="O138" t="str">
        <f>Inputs!I76</f>
        <v>Average</v>
      </c>
      <c r="P138" t="str">
        <f>Inputs!J76</f>
        <v>Average</v>
      </c>
      <c r="Q138" t="str">
        <f>P138</f>
        <v>Average</v>
      </c>
      <c r="R138" t="str">
        <f t="shared" ref="R138:AL138" si="62">Q138</f>
        <v>Average</v>
      </c>
      <c r="S138" t="str">
        <f t="shared" si="62"/>
        <v>Average</v>
      </c>
      <c r="T138" t="str">
        <f t="shared" si="62"/>
        <v>Average</v>
      </c>
      <c r="U138" t="str">
        <f t="shared" si="62"/>
        <v>Average</v>
      </c>
      <c r="V138" t="str">
        <f t="shared" si="62"/>
        <v>Average</v>
      </c>
      <c r="W138" t="str">
        <f t="shared" si="62"/>
        <v>Average</v>
      </c>
      <c r="X138" t="str">
        <f t="shared" si="62"/>
        <v>Average</v>
      </c>
      <c r="Y138" t="str">
        <f t="shared" si="62"/>
        <v>Average</v>
      </c>
      <c r="Z138" t="str">
        <f t="shared" si="62"/>
        <v>Average</v>
      </c>
      <c r="AA138" t="str">
        <f t="shared" si="62"/>
        <v>Average</v>
      </c>
      <c r="AB138" t="str">
        <f t="shared" si="62"/>
        <v>Average</v>
      </c>
      <c r="AC138" t="str">
        <f t="shared" si="62"/>
        <v>Average</v>
      </c>
      <c r="AD138" t="str">
        <f t="shared" si="62"/>
        <v>Average</v>
      </c>
      <c r="AE138" t="str">
        <f t="shared" si="62"/>
        <v>Average</v>
      </c>
      <c r="AF138" t="str">
        <f t="shared" si="62"/>
        <v>Average</v>
      </c>
      <c r="AG138" t="str">
        <f t="shared" si="62"/>
        <v>Average</v>
      </c>
      <c r="AH138" t="str">
        <f t="shared" si="62"/>
        <v>Average</v>
      </c>
      <c r="AI138" t="str">
        <f t="shared" si="62"/>
        <v>Average</v>
      </c>
      <c r="AJ138" t="str">
        <f t="shared" si="62"/>
        <v>Average</v>
      </c>
      <c r="AK138" t="str">
        <f t="shared" si="62"/>
        <v>Average</v>
      </c>
      <c r="AL138" t="str">
        <f t="shared" si="62"/>
        <v>Average</v>
      </c>
    </row>
    <row r="139" spans="4:38">
      <c r="D139" s="7" t="s">
        <v>300</v>
      </c>
      <c r="E139" s="16" t="s">
        <v>303</v>
      </c>
      <c r="K139">
        <f>INDEX('Availability Model'!$C$46:$T$50, MATCH($K$138,'Availability Model'!$B$46:$B$50, 0), MATCH($K$10, 'Availability Model'!$C$1:$T$1, 0))</f>
        <v>2</v>
      </c>
      <c r="L139">
        <f>INDEX('Availability Model'!$C$46:$T$50, MATCH($K$138,'Availability Model'!$B$46:$B$50, 0), MATCH($K$10, 'Availability Model'!$C$1:$T$1, 0))</f>
        <v>2</v>
      </c>
      <c r="M139">
        <f>INDEX('Availability Model'!$C$46:$T$50, MATCH($K$138,'Availability Model'!$B$46:$B$50, 0), MATCH($K$10, 'Availability Model'!$C$1:$T$1, 0))</f>
        <v>2</v>
      </c>
      <c r="N139">
        <f>INDEX('Availability Model'!$C$46:$T$50, MATCH($K$138,'Availability Model'!$B$46:$B$50, 0), MATCH($K$10, 'Availability Model'!$C$1:$T$1, 0))</f>
        <v>2</v>
      </c>
      <c r="O139">
        <f>INDEX('Availability Model'!$C$46:$T$50, MATCH($K$138,'Availability Model'!$B$46:$B$50, 0), MATCH($K$10, 'Availability Model'!$C$1:$T$1, 0))</f>
        <v>2</v>
      </c>
      <c r="P139">
        <f>INDEX('Availability Model'!$C$46:$T$50, MATCH($K$138,'Availability Model'!$B$46:$B$50, 0), MATCH($K$10, 'Availability Model'!$C$1:$T$1, 0))</f>
        <v>2</v>
      </c>
      <c r="Q139">
        <f>INDEX('Availability Model'!$C$46:$T$50, MATCH($K$138,'Availability Model'!$B$46:$B$50, 0), MATCH($K$10, 'Availability Model'!$C$1:$T$1, 0))</f>
        <v>2</v>
      </c>
      <c r="R139">
        <f>INDEX('Availability Model'!$C$46:$T$50, MATCH($K$138,'Availability Model'!$B$46:$B$50, 0), MATCH($K$10, 'Availability Model'!$C$1:$T$1, 0))</f>
        <v>2</v>
      </c>
      <c r="S139">
        <f>INDEX('Availability Model'!$C$46:$T$50, MATCH($K$138,'Availability Model'!$B$46:$B$50, 0), MATCH($K$10, 'Availability Model'!$C$1:$T$1, 0))</f>
        <v>2</v>
      </c>
      <c r="T139">
        <f>INDEX('Availability Model'!$C$46:$T$50, MATCH($K$138,'Availability Model'!$B$46:$B$50, 0), MATCH($K$10, 'Availability Model'!$C$1:$T$1, 0))</f>
        <v>2</v>
      </c>
      <c r="U139">
        <f>INDEX('Availability Model'!$C$46:$T$50, MATCH($K$138,'Availability Model'!$B$46:$B$50, 0), MATCH($K$10, 'Availability Model'!$C$1:$T$1, 0))</f>
        <v>2</v>
      </c>
      <c r="V139">
        <f>INDEX('Availability Model'!$C$46:$T$50, MATCH($K$138,'Availability Model'!$B$46:$B$50, 0), MATCH($K$10, 'Availability Model'!$C$1:$T$1, 0))</f>
        <v>2</v>
      </c>
      <c r="W139">
        <f>INDEX('Availability Model'!$C$46:$T$50, MATCH($K$138,'Availability Model'!$B$46:$B$50, 0), MATCH($K$10, 'Availability Model'!$C$1:$T$1, 0))</f>
        <v>2</v>
      </c>
      <c r="X139">
        <f>INDEX('Availability Model'!$C$46:$T$50, MATCH($K$138,'Availability Model'!$B$46:$B$50, 0), MATCH($K$10, 'Availability Model'!$C$1:$T$1, 0))</f>
        <v>2</v>
      </c>
      <c r="Y139">
        <f>INDEX('Availability Model'!$C$46:$T$50, MATCH($K$138,'Availability Model'!$B$46:$B$50, 0), MATCH($K$10, 'Availability Model'!$C$1:$T$1, 0))</f>
        <v>2</v>
      </c>
      <c r="Z139">
        <f>INDEX('Availability Model'!$C$46:$T$50, MATCH($K$138,'Availability Model'!$B$46:$B$50, 0), MATCH($K$10, 'Availability Model'!$C$1:$T$1, 0))</f>
        <v>2</v>
      </c>
      <c r="AA139">
        <f>INDEX('Availability Model'!$C$46:$T$50, MATCH($K$138,'Availability Model'!$B$46:$B$50, 0), MATCH($K$10, 'Availability Model'!$C$1:$T$1, 0))</f>
        <v>2</v>
      </c>
      <c r="AB139">
        <f>INDEX('Availability Model'!$C$46:$T$50, MATCH($K$138,'Availability Model'!$B$46:$B$50, 0), MATCH($K$10, 'Availability Model'!$C$1:$T$1, 0))</f>
        <v>2</v>
      </c>
      <c r="AC139">
        <f>INDEX('Availability Model'!$C$46:$T$50, MATCH($K$138,'Availability Model'!$B$46:$B$50, 0), MATCH($K$10, 'Availability Model'!$C$1:$T$1, 0))</f>
        <v>2</v>
      </c>
      <c r="AD139">
        <f>INDEX('Availability Model'!$C$46:$T$50, MATCH($K$138,'Availability Model'!$B$46:$B$50, 0), MATCH($K$10, 'Availability Model'!$C$1:$T$1, 0))</f>
        <v>2</v>
      </c>
      <c r="AE139">
        <f>INDEX('Availability Model'!$C$46:$T$50, MATCH($K$138,'Availability Model'!$B$46:$B$50, 0), MATCH($K$10, 'Availability Model'!$C$1:$T$1, 0))</f>
        <v>2</v>
      </c>
      <c r="AF139">
        <f>INDEX('Availability Model'!$C$46:$T$50, MATCH($K$138,'Availability Model'!$B$46:$B$50, 0), MATCH($K$10, 'Availability Model'!$C$1:$T$1, 0))</f>
        <v>2</v>
      </c>
      <c r="AG139">
        <f>INDEX('Availability Model'!$C$46:$T$50, MATCH($K$138,'Availability Model'!$B$46:$B$50, 0), MATCH($K$10, 'Availability Model'!$C$1:$T$1, 0))</f>
        <v>2</v>
      </c>
      <c r="AH139">
        <f>INDEX('Availability Model'!$C$46:$T$50, MATCH($K$138,'Availability Model'!$B$46:$B$50, 0), MATCH($K$10, 'Availability Model'!$C$1:$T$1, 0))</f>
        <v>2</v>
      </c>
      <c r="AI139">
        <f>INDEX('Availability Model'!$C$46:$T$50, MATCH($K$138,'Availability Model'!$B$46:$B$50, 0), MATCH($K$10, 'Availability Model'!$C$1:$T$1, 0))</f>
        <v>2</v>
      </c>
      <c r="AJ139">
        <f>INDEX('Availability Model'!$C$46:$T$50, MATCH($K$138,'Availability Model'!$B$46:$B$50, 0), MATCH($K$10, 'Availability Model'!$C$1:$T$1, 0))</f>
        <v>2</v>
      </c>
      <c r="AK139">
        <f>INDEX('Availability Model'!$C$46:$T$50, MATCH($K$138,'Availability Model'!$B$46:$B$50, 0), MATCH($K$10, 'Availability Model'!$C$1:$T$1, 0))</f>
        <v>2</v>
      </c>
      <c r="AL139">
        <f>INDEX('Availability Model'!$C$46:$T$50, MATCH($K$138,'Availability Model'!$B$46:$B$50, 0), MATCH($K$10, 'Availability Model'!$C$1:$T$1, 0))</f>
        <v>2</v>
      </c>
    </row>
    <row r="140" spans="4:38">
      <c r="D140" s="7" t="s">
        <v>312</v>
      </c>
      <c r="E140" s="16" t="s">
        <v>106</v>
      </c>
      <c r="K140">
        <f>K139*INDEX('Availability Model'!$C$53:$T$57, MATCH($K$138,'Availability Model'!$B$53:$B$57, 0), MATCH($K$10, 'Availability Model'!$C$1:$T$1, 0))</f>
        <v>4</v>
      </c>
      <c r="L140">
        <f>L139*INDEX('Availability Model'!$C$53:$T$57, MATCH($K$138,'Availability Model'!$B$53:$B$57, 0), MATCH($K$10, 'Availability Model'!$C$1:$T$1, 0))</f>
        <v>4</v>
      </c>
      <c r="M140">
        <f>M139*INDEX('Availability Model'!$C$53:$T$57, MATCH($K$138,'Availability Model'!$B$53:$B$57, 0), MATCH($K$10, 'Availability Model'!$C$1:$T$1, 0))</f>
        <v>4</v>
      </c>
      <c r="N140">
        <f>N139*INDEX('Availability Model'!$C$53:$T$57, MATCH($K$138,'Availability Model'!$B$53:$B$57, 0), MATCH($K$10, 'Availability Model'!$C$1:$T$1, 0))</f>
        <v>4</v>
      </c>
      <c r="O140">
        <f>O139*INDEX('Availability Model'!$C$53:$T$57, MATCH($K$138,'Availability Model'!$B$53:$B$57, 0), MATCH($K$10, 'Availability Model'!$C$1:$T$1, 0))</f>
        <v>4</v>
      </c>
      <c r="P140">
        <f>P139*INDEX('Availability Model'!$C$53:$T$57, MATCH($K$138,'Availability Model'!$B$53:$B$57, 0), MATCH($K$10, 'Availability Model'!$C$1:$T$1, 0))</f>
        <v>4</v>
      </c>
      <c r="Q140">
        <f>Q139*INDEX('Availability Model'!$C$53:$T$57, MATCH($K$138,'Availability Model'!$B$53:$B$57, 0), MATCH($K$10, 'Availability Model'!$C$1:$T$1, 0))</f>
        <v>4</v>
      </c>
      <c r="R140">
        <f>R139*INDEX('Availability Model'!$C$53:$T$57, MATCH($K$138,'Availability Model'!$B$53:$B$57, 0), MATCH($K$10, 'Availability Model'!$C$1:$T$1, 0))</f>
        <v>4</v>
      </c>
      <c r="S140">
        <f>S139*INDEX('Availability Model'!$C$53:$T$57, MATCH($K$138,'Availability Model'!$B$53:$B$57, 0), MATCH($K$10, 'Availability Model'!$C$1:$T$1, 0))</f>
        <v>4</v>
      </c>
      <c r="T140">
        <f>T139*INDEX('Availability Model'!$C$53:$T$57, MATCH($K$138,'Availability Model'!$B$53:$B$57, 0), MATCH($K$10, 'Availability Model'!$C$1:$T$1, 0))</f>
        <v>4</v>
      </c>
      <c r="U140">
        <f>U139*INDEX('Availability Model'!$C$53:$T$57, MATCH($K$138,'Availability Model'!$B$53:$B$57, 0), MATCH($K$10, 'Availability Model'!$C$1:$T$1, 0))</f>
        <v>4</v>
      </c>
      <c r="V140">
        <f>V139*INDEX('Availability Model'!$C$53:$T$57, MATCH($K$138,'Availability Model'!$B$53:$B$57, 0), MATCH($K$10, 'Availability Model'!$C$1:$T$1, 0))</f>
        <v>4</v>
      </c>
      <c r="W140">
        <f>W139*INDEX('Availability Model'!$C$53:$T$57, MATCH($K$138,'Availability Model'!$B$53:$B$57, 0), MATCH($K$10, 'Availability Model'!$C$1:$T$1, 0))</f>
        <v>4</v>
      </c>
      <c r="X140">
        <f>X139*INDEX('Availability Model'!$C$53:$T$57, MATCH($K$138,'Availability Model'!$B$53:$B$57, 0), MATCH($K$10, 'Availability Model'!$C$1:$T$1, 0))</f>
        <v>4</v>
      </c>
      <c r="Y140">
        <f>Y139*INDEX('Availability Model'!$C$53:$T$57, MATCH($K$138,'Availability Model'!$B$53:$B$57, 0), MATCH($K$10, 'Availability Model'!$C$1:$T$1, 0))</f>
        <v>4</v>
      </c>
      <c r="Z140">
        <f>Z139*INDEX('Availability Model'!$C$53:$T$57, MATCH($K$138,'Availability Model'!$B$53:$B$57, 0), MATCH($K$10, 'Availability Model'!$C$1:$T$1, 0))</f>
        <v>4</v>
      </c>
      <c r="AA140">
        <f>AA139*INDEX('Availability Model'!$C$53:$T$57, MATCH($K$138,'Availability Model'!$B$53:$B$57, 0), MATCH($K$10, 'Availability Model'!$C$1:$T$1, 0))</f>
        <v>4</v>
      </c>
      <c r="AB140">
        <f>AB139*INDEX('Availability Model'!$C$53:$T$57, MATCH($K$138,'Availability Model'!$B$53:$B$57, 0), MATCH($K$10, 'Availability Model'!$C$1:$T$1, 0))</f>
        <v>4</v>
      </c>
      <c r="AC140">
        <f>AC139*INDEX('Availability Model'!$C$53:$T$57, MATCH($K$138,'Availability Model'!$B$53:$B$57, 0), MATCH($K$10, 'Availability Model'!$C$1:$T$1, 0))</f>
        <v>4</v>
      </c>
      <c r="AD140">
        <f>AD139*INDEX('Availability Model'!$C$53:$T$57, MATCH($K$138,'Availability Model'!$B$53:$B$57, 0), MATCH($K$10, 'Availability Model'!$C$1:$T$1, 0))</f>
        <v>4</v>
      </c>
      <c r="AE140">
        <f>AE139*INDEX('Availability Model'!$C$53:$T$57, MATCH($K$138,'Availability Model'!$B$53:$B$57, 0), MATCH($K$10, 'Availability Model'!$C$1:$T$1, 0))</f>
        <v>4</v>
      </c>
      <c r="AF140">
        <f>AF139*INDEX('Availability Model'!$C$53:$T$57, MATCH($K$138,'Availability Model'!$B$53:$B$57, 0), MATCH($K$10, 'Availability Model'!$C$1:$T$1, 0))</f>
        <v>4</v>
      </c>
      <c r="AG140">
        <f>AG139*INDEX('Availability Model'!$C$53:$T$57, MATCH($K$138,'Availability Model'!$B$53:$B$57, 0), MATCH($K$10, 'Availability Model'!$C$1:$T$1, 0))</f>
        <v>4</v>
      </c>
      <c r="AH140">
        <f>AH139*INDEX('Availability Model'!$C$53:$T$57, MATCH($K$138,'Availability Model'!$B$53:$B$57, 0), MATCH($K$10, 'Availability Model'!$C$1:$T$1, 0))</f>
        <v>4</v>
      </c>
      <c r="AI140">
        <f>AI139*INDEX('Availability Model'!$C$53:$T$57, MATCH($K$138,'Availability Model'!$B$53:$B$57, 0), MATCH($K$10, 'Availability Model'!$C$1:$T$1, 0))</f>
        <v>4</v>
      </c>
      <c r="AJ140">
        <f>AJ139*INDEX('Availability Model'!$C$53:$T$57, MATCH($K$138,'Availability Model'!$B$53:$B$57, 0), MATCH($K$10, 'Availability Model'!$C$1:$T$1, 0))</f>
        <v>4</v>
      </c>
      <c r="AK140">
        <f>AK139*INDEX('Availability Model'!$C$53:$T$57, MATCH($K$138,'Availability Model'!$B$53:$B$57, 0), MATCH($K$10, 'Availability Model'!$C$1:$T$1, 0))</f>
        <v>4</v>
      </c>
      <c r="AL140">
        <f>AL139*INDEX('Availability Model'!$C$53:$T$57, MATCH($K$138,'Availability Model'!$B$53:$B$57, 0), MATCH($K$10, 'Availability Model'!$C$1:$T$1, 0))</f>
        <v>4</v>
      </c>
    </row>
    <row r="141" spans="4:38">
      <c r="D141" s="7" t="s">
        <v>302</v>
      </c>
      <c r="E141" s="16" t="s">
        <v>106</v>
      </c>
      <c r="K141" s="65">
        <f>K132</f>
        <v>1.8129533678756478</v>
      </c>
      <c r="L141" s="65">
        <f t="shared" ref="L141:AL141" si="63">L132</f>
        <v>1.9066551166747128</v>
      </c>
      <c r="M141" s="65">
        <f t="shared" si="63"/>
        <v>1.8367738032705883</v>
      </c>
      <c r="N141" s="65">
        <f t="shared" si="63"/>
        <v>1.8815339776532183</v>
      </c>
      <c r="O141" s="65">
        <f t="shared" si="63"/>
        <v>2.274116334125547</v>
      </c>
      <c r="P141" s="65">
        <f t="shared" si="63"/>
        <v>2.277607063808083</v>
      </c>
      <c r="Q141" s="65">
        <f t="shared" si="63"/>
        <v>2.0845047041176494</v>
      </c>
      <c r="R141" s="65">
        <f t="shared" si="63"/>
        <v>2.0845047041176494</v>
      </c>
      <c r="S141" s="65">
        <f t="shared" si="63"/>
        <v>1.9123332911358926</v>
      </c>
      <c r="T141" s="65">
        <f t="shared" si="63"/>
        <v>1.9148328343992786</v>
      </c>
      <c r="U141" s="65">
        <f t="shared" si="63"/>
        <v>1.9123332911358926</v>
      </c>
      <c r="V141" s="65">
        <f t="shared" si="63"/>
        <v>1.9123332911358926</v>
      </c>
      <c r="W141" s="65">
        <f t="shared" si="63"/>
        <v>1.9123332911358926</v>
      </c>
      <c r="X141" s="65">
        <f t="shared" si="63"/>
        <v>1.9148328343992786</v>
      </c>
      <c r="Y141" s="65">
        <f t="shared" si="63"/>
        <v>1.9123332911358926</v>
      </c>
      <c r="Z141" s="65">
        <f t="shared" si="63"/>
        <v>1.9123332911358926</v>
      </c>
      <c r="AA141" s="65">
        <f t="shared" si="63"/>
        <v>1.9123332911358926</v>
      </c>
      <c r="AB141" s="65">
        <f t="shared" si="63"/>
        <v>1.9148328343992786</v>
      </c>
      <c r="AC141" s="65">
        <f t="shared" si="63"/>
        <v>1.7585224186644333</v>
      </c>
      <c r="AD141" s="65">
        <f t="shared" si="63"/>
        <v>1.7585224186644333</v>
      </c>
      <c r="AE141" s="65">
        <f t="shared" si="63"/>
        <v>1.7585224186644333</v>
      </c>
      <c r="AF141" s="65">
        <f t="shared" si="63"/>
        <v>1.7619072168336016</v>
      </c>
      <c r="AG141" s="65">
        <f t="shared" si="63"/>
        <v>1.7585224186644333</v>
      </c>
      <c r="AH141" s="65">
        <f t="shared" si="63"/>
        <v>1.7585224186644333</v>
      </c>
      <c r="AI141" s="65">
        <f t="shared" si="63"/>
        <v>1.7585224186644333</v>
      </c>
      <c r="AJ141" s="65">
        <f t="shared" si="63"/>
        <v>1.7619072168336016</v>
      </c>
      <c r="AK141" s="65">
        <f t="shared" si="63"/>
        <v>1.7585224186644333</v>
      </c>
      <c r="AL141" s="65">
        <f t="shared" si="63"/>
        <v>1.7585224186644333</v>
      </c>
    </row>
    <row r="142" spans="4:38">
      <c r="D142" s="7" t="s">
        <v>313</v>
      </c>
      <c r="E142" s="16" t="s">
        <v>106</v>
      </c>
      <c r="K142" s="140">
        <f>ROUND(K140-K141,0)</f>
        <v>2</v>
      </c>
      <c r="L142" s="140">
        <f t="shared" ref="L142:AL142" si="64">ROUND(L140-L141,0)</f>
        <v>2</v>
      </c>
      <c r="M142" s="140">
        <f t="shared" si="64"/>
        <v>2</v>
      </c>
      <c r="N142" s="140">
        <f t="shared" si="64"/>
        <v>2</v>
      </c>
      <c r="O142" s="140">
        <f t="shared" si="64"/>
        <v>2</v>
      </c>
      <c r="P142" s="140">
        <f t="shared" si="64"/>
        <v>2</v>
      </c>
      <c r="Q142" s="140">
        <f t="shared" si="64"/>
        <v>2</v>
      </c>
      <c r="R142" s="140">
        <f t="shared" si="64"/>
        <v>2</v>
      </c>
      <c r="S142" s="140">
        <f t="shared" si="64"/>
        <v>2</v>
      </c>
      <c r="T142" s="140">
        <f t="shared" si="64"/>
        <v>2</v>
      </c>
      <c r="U142" s="140">
        <f t="shared" si="64"/>
        <v>2</v>
      </c>
      <c r="V142" s="140">
        <f t="shared" si="64"/>
        <v>2</v>
      </c>
      <c r="W142" s="140">
        <f t="shared" si="64"/>
        <v>2</v>
      </c>
      <c r="X142" s="140">
        <f t="shared" si="64"/>
        <v>2</v>
      </c>
      <c r="Y142" s="140">
        <f t="shared" si="64"/>
        <v>2</v>
      </c>
      <c r="Z142" s="140">
        <f t="shared" si="64"/>
        <v>2</v>
      </c>
      <c r="AA142" s="140">
        <f t="shared" si="64"/>
        <v>2</v>
      </c>
      <c r="AB142" s="140">
        <f t="shared" si="64"/>
        <v>2</v>
      </c>
      <c r="AC142" s="140">
        <f t="shared" si="64"/>
        <v>2</v>
      </c>
      <c r="AD142" s="140">
        <f t="shared" si="64"/>
        <v>2</v>
      </c>
      <c r="AE142" s="140">
        <f t="shared" si="64"/>
        <v>2</v>
      </c>
      <c r="AF142" s="140">
        <f t="shared" si="64"/>
        <v>2</v>
      </c>
      <c r="AG142" s="140">
        <f t="shared" si="64"/>
        <v>2</v>
      </c>
      <c r="AH142" s="140">
        <f t="shared" si="64"/>
        <v>2</v>
      </c>
      <c r="AI142" s="140">
        <f t="shared" si="64"/>
        <v>2</v>
      </c>
      <c r="AJ142" s="140">
        <f t="shared" si="64"/>
        <v>2</v>
      </c>
      <c r="AK142" s="140">
        <f t="shared" si="64"/>
        <v>2</v>
      </c>
      <c r="AL142" s="140">
        <f t="shared" si="64"/>
        <v>2</v>
      </c>
    </row>
    <row r="143" spans="4:38">
      <c r="D143" s="7" t="s">
        <v>314</v>
      </c>
      <c r="E143" s="16" t="s">
        <v>145</v>
      </c>
      <c r="K143" s="90">
        <f>K142*K34</f>
        <v>740.27397260273972</v>
      </c>
      <c r="L143" s="90">
        <f t="shared" ref="L143:AL143" si="65">L142*L34</f>
        <v>697.10044699453556</v>
      </c>
      <c r="M143" s="90">
        <f t="shared" si="65"/>
        <v>728.79951338082208</v>
      </c>
      <c r="N143" s="90">
        <f t="shared" si="65"/>
        <v>1302.8995515967122</v>
      </c>
      <c r="O143" s="90">
        <f t="shared" si="65"/>
        <v>0</v>
      </c>
      <c r="P143" s="90">
        <f t="shared" si="65"/>
        <v>0</v>
      </c>
      <c r="Q143" s="90">
        <f t="shared" si="65"/>
        <v>0</v>
      </c>
      <c r="R143" s="90">
        <f t="shared" si="65"/>
        <v>0</v>
      </c>
      <c r="S143" s="90">
        <f t="shared" si="65"/>
        <v>0</v>
      </c>
      <c r="T143" s="90">
        <f t="shared" si="65"/>
        <v>0</v>
      </c>
      <c r="U143" s="90">
        <f t="shared" si="65"/>
        <v>0</v>
      </c>
      <c r="V143" s="90">
        <f t="shared" si="65"/>
        <v>0</v>
      </c>
      <c r="W143" s="90">
        <f t="shared" si="65"/>
        <v>0</v>
      </c>
      <c r="X143" s="90">
        <f t="shared" si="65"/>
        <v>0</v>
      </c>
      <c r="Y143" s="90">
        <f t="shared" si="65"/>
        <v>0</v>
      </c>
      <c r="Z143" s="90">
        <f t="shared" si="65"/>
        <v>0</v>
      </c>
      <c r="AA143" s="90">
        <f t="shared" si="65"/>
        <v>0</v>
      </c>
      <c r="AB143" s="90">
        <f t="shared" si="65"/>
        <v>0</v>
      </c>
      <c r="AC143" s="90">
        <f t="shared" si="65"/>
        <v>606.92637907343169</v>
      </c>
      <c r="AD143" s="90">
        <f t="shared" si="65"/>
        <v>606.92637907343169</v>
      </c>
      <c r="AE143" s="90">
        <f t="shared" si="65"/>
        <v>606.92637907343169</v>
      </c>
      <c r="AF143" s="90">
        <f t="shared" si="65"/>
        <v>601.78450372077202</v>
      </c>
      <c r="AG143" s="90">
        <f t="shared" si="65"/>
        <v>606.92637907343169</v>
      </c>
      <c r="AH143" s="90">
        <f t="shared" si="65"/>
        <v>606.92637907343169</v>
      </c>
      <c r="AI143" s="90">
        <f t="shared" si="65"/>
        <v>606.92637907343169</v>
      </c>
      <c r="AJ143" s="90">
        <f t="shared" si="65"/>
        <v>601.78450372077202</v>
      </c>
      <c r="AK143" s="90">
        <f t="shared" si="65"/>
        <v>606.92637907343169</v>
      </c>
      <c r="AL143" s="90">
        <f t="shared" si="65"/>
        <v>606.92637907343169</v>
      </c>
    </row>
    <row r="144" spans="4:38">
      <c r="D144" s="7"/>
    </row>
    <row r="145" spans="4:38">
      <c r="D145" s="3" t="s">
        <v>315</v>
      </c>
      <c r="E145" s="16" t="s">
        <v>145</v>
      </c>
      <c r="K145" s="65">
        <f>K143*INDEX('Availability Model'!$C$60:$T$64, MATCH($K$138,'Availability Model'!$B$60:$B$64, 0), MATCH($K$10, 'Availability Model'!$C$1:$T$1, 0))</f>
        <v>222.08219178082192</v>
      </c>
      <c r="L145" s="65">
        <f>L143*INDEX('Availability Model'!$C$60:$T$64, MATCH($K$138,'Availability Model'!$B$60:$B$64, 0), MATCH($K$10, 'Availability Model'!$C$1:$T$1, 0))</f>
        <v>209.13013409836066</v>
      </c>
      <c r="M145" s="65">
        <f>M143*INDEX('Availability Model'!$C$60:$T$64, MATCH($K$138,'Availability Model'!$B$60:$B$64, 0), MATCH($K$10, 'Availability Model'!$C$1:$T$1, 0))</f>
        <v>218.63985401424662</v>
      </c>
      <c r="N145" s="65">
        <f>N143*INDEX('Availability Model'!$C$60:$T$64, MATCH($N$138,'Availability Model'!$B$60:$B$64, 0), MATCH($K$10, 'Availability Model'!$C$1:$T$1, 0))</f>
        <v>390.86986547901364</v>
      </c>
      <c r="O145" s="65">
        <f>O143*INDEX('Availability Model'!$C$60:$T$64, MATCH($K$138,'Availability Model'!$B$60:$B$64, 0), MATCH($K$10, 'Availability Model'!$C$1:$T$1, 0))</f>
        <v>0</v>
      </c>
      <c r="P145" s="65">
        <f>P143*INDEX('Availability Model'!$C$60:$T$64, MATCH($K$138,'Availability Model'!$B$60:$B$64, 0), MATCH($K$10, 'Availability Model'!$C$1:$T$1, 0))</f>
        <v>0</v>
      </c>
      <c r="Q145" s="65">
        <f>Q143*INDEX('Availability Model'!$C$60:$T$64, MATCH($K$138,'Availability Model'!$B$60:$B$64, 0), MATCH($K$10, 'Availability Model'!$C$1:$T$1, 0))</f>
        <v>0</v>
      </c>
      <c r="R145" s="65">
        <f>R143*INDEX('Availability Model'!$C$60:$T$64, MATCH($K$138,'Availability Model'!$B$60:$B$64, 0), MATCH($K$10, 'Availability Model'!$C$1:$T$1, 0))</f>
        <v>0</v>
      </c>
      <c r="S145" s="65">
        <f>S143*INDEX('Availability Model'!$C$60:$T$64, MATCH($K$138,'Availability Model'!$B$60:$B$64, 0), MATCH($K$10, 'Availability Model'!$C$1:$T$1, 0))</f>
        <v>0</v>
      </c>
      <c r="T145" s="65">
        <f>T143*INDEX('Availability Model'!$C$60:$T$64, MATCH($K$138,'Availability Model'!$B$60:$B$64, 0), MATCH($K$10, 'Availability Model'!$C$1:$T$1, 0))</f>
        <v>0</v>
      </c>
      <c r="U145" s="65">
        <f>U143*INDEX('Availability Model'!$C$60:$T$64, MATCH($K$138,'Availability Model'!$B$60:$B$64, 0), MATCH($K$10, 'Availability Model'!$C$1:$T$1, 0))</f>
        <v>0</v>
      </c>
      <c r="V145" s="65">
        <f>V143*INDEX('Availability Model'!$C$60:$T$64, MATCH($K$138,'Availability Model'!$B$60:$B$64, 0), MATCH($K$10, 'Availability Model'!$C$1:$T$1, 0))</f>
        <v>0</v>
      </c>
      <c r="W145" s="65">
        <f>W143*INDEX('Availability Model'!$C$60:$T$64, MATCH($K$138,'Availability Model'!$B$60:$B$64, 0), MATCH($K$10, 'Availability Model'!$C$1:$T$1, 0))</f>
        <v>0</v>
      </c>
      <c r="X145" s="65">
        <f>X143*INDEX('Availability Model'!$C$60:$T$64, MATCH($K$138,'Availability Model'!$B$60:$B$64, 0), MATCH($K$10, 'Availability Model'!$C$1:$T$1, 0))</f>
        <v>0</v>
      </c>
      <c r="Y145" s="65">
        <f>Y143*INDEX('Availability Model'!$C$60:$T$64, MATCH($K$138,'Availability Model'!$B$60:$B$64, 0), MATCH($K$10, 'Availability Model'!$C$1:$T$1, 0))</f>
        <v>0</v>
      </c>
      <c r="Z145" s="65">
        <f>Z143*INDEX('Availability Model'!$C$60:$T$64, MATCH($K$138,'Availability Model'!$B$60:$B$64, 0), MATCH($K$10, 'Availability Model'!$C$1:$T$1, 0))</f>
        <v>0</v>
      </c>
      <c r="AA145" s="65">
        <f>AA143*INDEX('Availability Model'!$C$60:$T$64, MATCH($K$138,'Availability Model'!$B$60:$B$64, 0), MATCH($K$10, 'Availability Model'!$C$1:$T$1, 0))</f>
        <v>0</v>
      </c>
      <c r="AB145" s="65">
        <f>AB143*INDEX('Availability Model'!$C$60:$T$64, MATCH($K$138,'Availability Model'!$B$60:$B$64, 0), MATCH($K$10, 'Availability Model'!$C$1:$T$1, 0))</f>
        <v>0</v>
      </c>
      <c r="AC145" s="65">
        <f>AC143*INDEX('Availability Model'!$C$60:$T$64, MATCH($K$138,'Availability Model'!$B$60:$B$64, 0), MATCH($K$10, 'Availability Model'!$C$1:$T$1, 0))</f>
        <v>182.07791372202951</v>
      </c>
      <c r="AD145" s="65">
        <f>AD143*INDEX('Availability Model'!$C$60:$T$64, MATCH($K$138,'Availability Model'!$B$60:$B$64, 0), MATCH($K$10, 'Availability Model'!$C$1:$T$1, 0))</f>
        <v>182.07791372202951</v>
      </c>
      <c r="AE145" s="65">
        <f>AE143*INDEX('Availability Model'!$C$60:$T$64, MATCH($K$138,'Availability Model'!$B$60:$B$64, 0), MATCH($K$10, 'Availability Model'!$C$1:$T$1, 0))</f>
        <v>182.07791372202951</v>
      </c>
      <c r="AF145" s="65">
        <f>AF143*INDEX('Availability Model'!$C$60:$T$64, MATCH($K$138,'Availability Model'!$B$60:$B$64, 0), MATCH($K$10, 'Availability Model'!$C$1:$T$1, 0))</f>
        <v>180.5353511162316</v>
      </c>
      <c r="AG145" s="65">
        <f>AG143*INDEX('Availability Model'!$C$60:$T$64, MATCH($K$138,'Availability Model'!$B$60:$B$64, 0), MATCH($K$10, 'Availability Model'!$C$1:$T$1, 0))</f>
        <v>182.07791372202951</v>
      </c>
      <c r="AH145" s="65">
        <f>AH143*INDEX('Availability Model'!$C$60:$T$64, MATCH($K$138,'Availability Model'!$B$60:$B$64, 0), MATCH($K$10, 'Availability Model'!$C$1:$T$1, 0))</f>
        <v>182.07791372202951</v>
      </c>
      <c r="AI145" s="65">
        <f>AI143*INDEX('Availability Model'!$C$60:$T$64, MATCH($K$138,'Availability Model'!$B$60:$B$64, 0), MATCH($K$10, 'Availability Model'!$C$1:$T$1, 0))</f>
        <v>182.07791372202951</v>
      </c>
      <c r="AJ145" s="65">
        <f>AJ143*INDEX('Availability Model'!$C$60:$T$64, MATCH($K$138,'Availability Model'!$B$60:$B$64, 0), MATCH($K$10, 'Availability Model'!$C$1:$T$1, 0))</f>
        <v>180.5353511162316</v>
      </c>
      <c r="AK145" s="65">
        <f>AK143*INDEX('Availability Model'!$C$60:$T$64, MATCH($K$138,'Availability Model'!$B$60:$B$64, 0), MATCH($K$10, 'Availability Model'!$C$1:$T$1, 0))</f>
        <v>182.07791372202951</v>
      </c>
      <c r="AL145" s="65">
        <f>AL143*INDEX('Availability Model'!$C$60:$T$64, MATCH($K$138,'Availability Model'!$B$60:$B$64, 0), MATCH($K$10, 'Availability Model'!$C$1:$T$1, 0))</f>
        <v>182.07791372202951</v>
      </c>
    </row>
    <row r="146" spans="4:38">
      <c r="D146" t="s">
        <v>317</v>
      </c>
      <c r="E146" s="16" t="s">
        <v>211</v>
      </c>
      <c r="K146" s="65">
        <f>K145*K71</f>
        <v>6158.3391780821921</v>
      </c>
      <c r="L146" s="65">
        <f t="shared" ref="L146:AL146" si="66">L145*L71</f>
        <v>6169.3389559016396</v>
      </c>
      <c r="M146" s="65">
        <f t="shared" si="66"/>
        <v>6611.6691853908178</v>
      </c>
      <c r="N146" s="65">
        <f t="shared" si="66"/>
        <v>12531.287887257178</v>
      </c>
      <c r="O146" s="65">
        <f t="shared" si="66"/>
        <v>0</v>
      </c>
      <c r="P146" s="65">
        <f t="shared" si="66"/>
        <v>0</v>
      </c>
      <c r="Q146" s="65">
        <f t="shared" si="66"/>
        <v>0</v>
      </c>
      <c r="R146" s="65">
        <f t="shared" si="66"/>
        <v>0</v>
      </c>
      <c r="S146" s="65">
        <f t="shared" si="66"/>
        <v>0</v>
      </c>
      <c r="T146" s="65">
        <f t="shared" si="66"/>
        <v>0</v>
      </c>
      <c r="U146" s="65">
        <f t="shared" si="66"/>
        <v>0</v>
      </c>
      <c r="V146" s="65">
        <f t="shared" si="66"/>
        <v>0</v>
      </c>
      <c r="W146" s="65">
        <f t="shared" si="66"/>
        <v>0</v>
      </c>
      <c r="X146" s="65">
        <f t="shared" si="66"/>
        <v>0</v>
      </c>
      <c r="Y146" s="65">
        <f t="shared" si="66"/>
        <v>0</v>
      </c>
      <c r="Z146" s="65">
        <f t="shared" si="66"/>
        <v>0</v>
      </c>
      <c r="AA146" s="65">
        <f t="shared" si="66"/>
        <v>0</v>
      </c>
      <c r="AB146" s="65">
        <f t="shared" si="66"/>
        <v>0</v>
      </c>
      <c r="AC146" s="65">
        <f t="shared" si="66"/>
        <v>13989.711728171696</v>
      </c>
      <c r="AD146" s="65">
        <f t="shared" si="66"/>
        <v>14829.094431861997</v>
      </c>
      <c r="AE146" s="65">
        <f t="shared" si="66"/>
        <v>15718.840097773718</v>
      </c>
      <c r="AF146" s="65">
        <f t="shared" si="66"/>
        <v>16520.810424900108</v>
      </c>
      <c r="AG146" s="65">
        <f t="shared" si="66"/>
        <v>17661.688733858551</v>
      </c>
      <c r="AH146" s="65">
        <f t="shared" si="66"/>
        <v>18721.390057890065</v>
      </c>
      <c r="AI146" s="65">
        <f t="shared" si="66"/>
        <v>19844.673461363473</v>
      </c>
      <c r="AJ146" s="65">
        <f t="shared" si="66"/>
        <v>20857.142521964201</v>
      </c>
      <c r="AK146" s="65">
        <f t="shared" si="66"/>
        <v>22297.475101188</v>
      </c>
      <c r="AL146" s="65">
        <f t="shared" si="66"/>
        <v>23635.323607259284</v>
      </c>
    </row>
    <row r="147" spans="4:38">
      <c r="D147" t="s">
        <v>318</v>
      </c>
      <c r="E147" s="16" t="s">
        <v>211</v>
      </c>
      <c r="K147" s="65">
        <f>(Inputs!$E$117*Inputs!$E$118*'Initiative 4 Model'!K145*K75)+(Inputs!$E$114*0.25*'Initiative 4 Model'!K145*K77)</f>
        <v>995.4834246575341</v>
      </c>
      <c r="L147" s="65">
        <f>(Inputs!$E$117*Inputs!$E$118*'Initiative 4 Model'!L145*L75)+(Inputs!$E$114*0.25*'Initiative 4 Model'!L145*L77)</f>
        <v>1025.1688834184779</v>
      </c>
      <c r="M147" s="65">
        <f>(Inputs!$E$117*Inputs!$E$118*'Initiative 4 Model'!M145*M75)+(Inputs!$E$114*0.25*'Initiative 4 Model'!M145*M77)</f>
        <v>1172.1053008853519</v>
      </c>
      <c r="N147" s="65">
        <f>(Inputs!$E$117*Inputs!$E$118*'Initiative 4 Model'!N145*N75)+(Inputs!$E$114*0.25*'Initiative 4 Model'!N145*N77)</f>
        <v>2291.5429008467036</v>
      </c>
      <c r="O147" s="65">
        <f>(Inputs!$E$117*Inputs!$E$118*'Initiative 4 Model'!O145*O75)+(Inputs!$E$114*0.25*'Initiative 4 Model'!O145*O77)</f>
        <v>0</v>
      </c>
      <c r="P147" s="65">
        <f>(Inputs!$E$117*Inputs!$E$118*'Initiative 4 Model'!P145*P75)+(Inputs!$E$114*0.25*'Initiative 4 Model'!P145*P77)</f>
        <v>0</v>
      </c>
      <c r="Q147" s="65">
        <f>(Inputs!$E$117*Inputs!$E$118*'Initiative 4 Model'!Q145*Q75)+(Inputs!$E$114*0.25*'Initiative 4 Model'!Q145*Q77)</f>
        <v>0</v>
      </c>
      <c r="R147" s="65">
        <f>(Inputs!$E$117*Inputs!$E$118*'Initiative 4 Model'!R145*R75)+(Inputs!$E$114*0.25*'Initiative 4 Model'!R145*R77)</f>
        <v>0</v>
      </c>
      <c r="S147" s="65">
        <f>(Inputs!$E$117*Inputs!$E$118*'Initiative 4 Model'!S145*S75)+(Inputs!$E$114*0.25*'Initiative 4 Model'!S145*S77)</f>
        <v>0</v>
      </c>
      <c r="T147" s="65">
        <f>(Inputs!$E$117*Inputs!$E$118*'Initiative 4 Model'!T145*T75)+(Inputs!$E$114*0.25*'Initiative 4 Model'!T145*T77)</f>
        <v>0</v>
      </c>
      <c r="U147" s="65">
        <f>(Inputs!$E$117*Inputs!$E$118*'Initiative 4 Model'!U145*U75)+(Inputs!$E$114*0.25*'Initiative 4 Model'!U145*U77)</f>
        <v>0</v>
      </c>
      <c r="V147" s="65">
        <f>(Inputs!$E$117*Inputs!$E$118*'Initiative 4 Model'!V145*V75)+(Inputs!$E$114*0.25*'Initiative 4 Model'!V145*V77)</f>
        <v>0</v>
      </c>
      <c r="W147" s="65">
        <f>(Inputs!$E$117*Inputs!$E$118*'Initiative 4 Model'!W145*W75)+(Inputs!$E$114*0.25*'Initiative 4 Model'!W145*W77)</f>
        <v>0</v>
      </c>
      <c r="X147" s="65">
        <f>(Inputs!$E$117*Inputs!$E$118*'Initiative 4 Model'!X145*X75)+(Inputs!$E$114*0.25*'Initiative 4 Model'!X145*X77)</f>
        <v>0</v>
      </c>
      <c r="Y147" s="65">
        <f>(Inputs!$E$117*Inputs!$E$118*'Initiative 4 Model'!Y145*Y75)+(Inputs!$E$114*0.25*'Initiative 4 Model'!Y145*Y77)</f>
        <v>0</v>
      </c>
      <c r="Z147" s="65">
        <f>(Inputs!$E$117*Inputs!$E$118*'Initiative 4 Model'!Z145*Z75)+(Inputs!$E$114*0.25*'Initiative 4 Model'!Z145*Z77)</f>
        <v>0</v>
      </c>
      <c r="AA147" s="65">
        <f>(Inputs!$E$117*Inputs!$E$118*'Initiative 4 Model'!AA145*AA75)+(Inputs!$E$114*0.25*'Initiative 4 Model'!AA145*AA77)</f>
        <v>0</v>
      </c>
      <c r="AB147" s="65">
        <f>(Inputs!$E$117*Inputs!$E$118*'Initiative 4 Model'!AB145*AB75)+(Inputs!$E$114*0.25*'Initiative 4 Model'!AB145*AB77)</f>
        <v>0</v>
      </c>
      <c r="AC147" s="65">
        <f>(Inputs!$E$117*Inputs!$E$118*'Initiative 4 Model'!AC145*AC75)+(Inputs!$E$114*0.25*'Initiative 4 Model'!AC145*AC77)</f>
        <v>4085.3624689102048</v>
      </c>
      <c r="AD147" s="65">
        <f>(Inputs!$E$117*Inputs!$E$118*'Initiative 4 Model'!AD145*AD75)+(Inputs!$E$114*0.25*'Initiative 4 Model'!AD145*AD77)</f>
        <v>4467.7523960002</v>
      </c>
      <c r="AE147" s="65">
        <f>(Inputs!$E$117*Inputs!$E$118*'Initiative 4 Model'!AE145*AE75)+(Inputs!$E$114*0.25*'Initiative 4 Model'!AE145*AE77)</f>
        <v>4885.9340202658186</v>
      </c>
      <c r="AF147" s="65">
        <f>(Inputs!$E$117*Inputs!$E$118*'Initiative 4 Model'!AF145*AF75)+(Inputs!$E$114*0.25*'Initiative 4 Model'!AF145*AF77)</f>
        <v>5297.9894109025763</v>
      </c>
      <c r="AG147" s="65">
        <f>(Inputs!$E$117*Inputs!$E$118*'Initiative 4 Model'!AG145*AG75)+(Inputs!$E$114*0.25*'Initiative 4 Model'!AG145*AG77)</f>
        <v>5843.3863413737663</v>
      </c>
      <c r="AH147" s="65">
        <f>(Inputs!$E$117*Inputs!$E$118*'Initiative 4 Model'!AH145*AH75)+(Inputs!$E$114*0.25*'Initiative 4 Model'!AH145*AH77)</f>
        <v>6390.3273029263501</v>
      </c>
      <c r="AI147" s="65">
        <f>(Inputs!$E$117*Inputs!$E$118*'Initiative 4 Model'!AI145*AI75)+(Inputs!$E$114*0.25*'Initiative 4 Model'!AI145*AI77)</f>
        <v>6988.4619384802563</v>
      </c>
      <c r="AJ147" s="65">
        <f>(Inputs!$E$117*Inputs!$E$118*'Initiative 4 Model'!AJ145*AJ75)+(Inputs!$E$114*0.25*'Initiative 4 Model'!AJ145*AJ77)</f>
        <v>7577.8340835126055</v>
      </c>
      <c r="AK147" s="65">
        <f>(Inputs!$E$117*Inputs!$E$118*'Initiative 4 Model'!AK145*AK75)+(Inputs!$E$114*0.25*'Initiative 4 Model'!AK145*AK77)</f>
        <v>8357.9276488683063</v>
      </c>
      <c r="AL147" s="65">
        <f>(Inputs!$E$117*Inputs!$E$118*'Initiative 4 Model'!AL145*AL75)+(Inputs!$E$114*0.25*'Initiative 4 Model'!AL145*AL77)</f>
        <v>9140.2296768023789</v>
      </c>
    </row>
    <row r="148" spans="4:38">
      <c r="D148" s="3" t="s">
        <v>319</v>
      </c>
      <c r="E148" s="16" t="s">
        <v>211</v>
      </c>
      <c r="K148" s="65">
        <f>IF(K27&gt;0,K146+K147,0)</f>
        <v>7153.8226027397259</v>
      </c>
      <c r="L148" s="65">
        <f t="shared" ref="L148:AL148" si="67">IF(L27&gt;0,L146+L147,0)</f>
        <v>7194.5078393201175</v>
      </c>
      <c r="M148" s="65">
        <f t="shared" si="67"/>
        <v>7783.7744862761701</v>
      </c>
      <c r="N148" s="65">
        <f t="shared" si="67"/>
        <v>14822.830788103882</v>
      </c>
      <c r="O148" s="65">
        <f t="shared" si="67"/>
        <v>0</v>
      </c>
      <c r="P148" s="65">
        <f t="shared" si="67"/>
        <v>0</v>
      </c>
      <c r="Q148" s="65">
        <f t="shared" si="67"/>
        <v>0</v>
      </c>
      <c r="R148" s="65">
        <f t="shared" si="67"/>
        <v>0</v>
      </c>
      <c r="S148" s="65">
        <f t="shared" si="67"/>
        <v>0</v>
      </c>
      <c r="T148" s="65">
        <f t="shared" si="67"/>
        <v>0</v>
      </c>
      <c r="U148" s="65">
        <f t="shared" si="67"/>
        <v>0</v>
      </c>
      <c r="V148" s="65">
        <f t="shared" si="67"/>
        <v>0</v>
      </c>
      <c r="W148" s="65">
        <f t="shared" si="67"/>
        <v>0</v>
      </c>
      <c r="X148" s="65">
        <f t="shared" si="67"/>
        <v>0</v>
      </c>
      <c r="Y148" s="65">
        <f t="shared" si="67"/>
        <v>0</v>
      </c>
      <c r="Z148" s="65">
        <f t="shared" si="67"/>
        <v>0</v>
      </c>
      <c r="AA148" s="65">
        <f t="shared" si="67"/>
        <v>0</v>
      </c>
      <c r="AB148" s="65">
        <f t="shared" si="67"/>
        <v>0</v>
      </c>
      <c r="AC148" s="65">
        <f t="shared" si="67"/>
        <v>18075.0741970819</v>
      </c>
      <c r="AD148" s="65">
        <f t="shared" si="67"/>
        <v>19296.846827862195</v>
      </c>
      <c r="AE148" s="65">
        <f t="shared" si="67"/>
        <v>20604.774118039539</v>
      </c>
      <c r="AF148" s="65">
        <f t="shared" si="67"/>
        <v>21818.799835802685</v>
      </c>
      <c r="AG148" s="65">
        <f t="shared" si="67"/>
        <v>23505.075075232318</v>
      </c>
      <c r="AH148" s="65">
        <f t="shared" si="67"/>
        <v>25111.717360816416</v>
      </c>
      <c r="AI148" s="65">
        <f t="shared" si="67"/>
        <v>26833.13539984373</v>
      </c>
      <c r="AJ148" s="65">
        <f t="shared" si="67"/>
        <v>28434.976605476804</v>
      </c>
      <c r="AK148" s="65">
        <f t="shared" si="67"/>
        <v>30655.402750056306</v>
      </c>
      <c r="AL148" s="65">
        <f t="shared" si="67"/>
        <v>32775.553284061665</v>
      </c>
    </row>
    <row r="149" spans="4:38">
      <c r="D149" s="3"/>
      <c r="E149" s="16"/>
      <c r="K149" s="65"/>
      <c r="L149" s="65"/>
      <c r="M149" s="65"/>
      <c r="N149" s="65"/>
      <c r="O149" s="65"/>
      <c r="P149" s="65"/>
    </row>
    <row r="150" spans="4:38">
      <c r="D150" s="3" t="s">
        <v>323</v>
      </c>
      <c r="E150" s="16" t="s">
        <v>211</v>
      </c>
      <c r="K150" s="65">
        <f>K93*INDEX('Availability Model'!$C$67:$T$71, MATCH($K$138,'Availability Model'!$B$67:$B$71, 0), MATCH($K$10, 'Availability Model'!$C$1:$T$1, 0))</f>
        <v>190339.01249999998</v>
      </c>
      <c r="L150" s="65">
        <f>L93*INDEX('Availability Model'!$C$67:$T$71, MATCH($K$138,'Availability Model'!$B$67:$B$71, 0), MATCH($K$10, 'Availability Model'!$C$1:$T$1, 0))</f>
        <v>196551.97646000827</v>
      </c>
      <c r="M150" s="65">
        <f>M93*INDEX('Availability Model'!$C$67:$T$71, MATCH($K$138,'Availability Model'!$B$67:$B$71, 0), MATCH($K$10, 'Availability Model'!$C$1:$T$1, 0))</f>
        <v>224109.57328926207</v>
      </c>
      <c r="N150" s="65">
        <f>N93*INDEX('Availability Model'!$C$67:$T$71, MATCH($K$138,'Availability Model'!$B$67:$B$71, 0), MATCH($K$10, 'Availability Model'!$C$1:$T$1, 0))</f>
        <v>613408.52380142547</v>
      </c>
      <c r="O150" s="65">
        <f>O93*INDEX('Availability Model'!$C$67:$T$71, MATCH($K$138,'Availability Model'!$B$67:$B$71, 0), MATCH($K$10, 'Availability Model'!$C$1:$T$1, 0))</f>
        <v>727379.06153381173</v>
      </c>
      <c r="P150" s="65">
        <f>P93*INDEX('Availability Model'!$C$67:$T$71, MATCH($K$138,'Availability Model'!$B$67:$B$71, 0), MATCH($K$10, 'Availability Model'!$C$1:$T$1, 0))</f>
        <v>795461.74169337645</v>
      </c>
      <c r="Q150" s="65">
        <f>Q93*INDEX('Availability Model'!$C$67:$T$71, MATCH($K$138,'Availability Model'!$B$67:$B$71, 0), MATCH($K$10, 'Availability Model'!$C$1:$T$1, 0))</f>
        <v>1022010.6973927068</v>
      </c>
      <c r="R150" s="65">
        <f>R93*INDEX('Availability Model'!$C$67:$T$71, MATCH($K$138,'Availability Model'!$B$67:$B$71, 0), MATCH($K$10, 'Availability Model'!$C$1:$T$1, 0))</f>
        <v>1117670.898668664</v>
      </c>
      <c r="S150" s="65">
        <f>S93*INDEX('Availability Model'!$C$67:$T$71, MATCH($K$138,'Availability Model'!$B$67:$B$71, 0), MATCH($K$10, 'Availability Model'!$C$1:$T$1, 0))</f>
        <v>1452948.9727540854</v>
      </c>
      <c r="T150" s="65">
        <f>T93*INDEX('Availability Model'!$C$67:$T$71, MATCH($K$138,'Availability Model'!$B$67:$B$71, 0), MATCH($K$10, 'Availability Model'!$C$1:$T$1, 0))</f>
        <v>1588944.9966038677</v>
      </c>
      <c r="U150" s="65">
        <f>U93*INDEX('Availability Model'!$C$67:$T$71, MATCH($K$138,'Availability Model'!$B$67:$B$71, 0), MATCH($K$10, 'Availability Model'!$C$1:$T$1, 0))</f>
        <v>1737670.2482859897</v>
      </c>
      <c r="V150" s="65">
        <f>V93*INDEX('Availability Model'!$C$67:$T$71, MATCH($K$138,'Availability Model'!$B$67:$B$71, 0), MATCH($K$10, 'Availability Model'!$C$1:$T$1, 0))</f>
        <v>1900316.1835255581</v>
      </c>
      <c r="W150" s="65">
        <f>W93*INDEX('Availability Model'!$C$67:$T$71, MATCH($K$138,'Availability Model'!$B$67:$B$71, 0), MATCH($K$10, 'Availability Model'!$C$1:$T$1, 0))</f>
        <v>2078185.7783035501</v>
      </c>
      <c r="X150" s="65">
        <f>X93*INDEX('Availability Model'!$C$67:$T$71, MATCH($K$138,'Availability Model'!$B$67:$B$71, 0), MATCH($K$10, 'Availability Model'!$C$1:$T$1, 0))</f>
        <v>2272703.9671527622</v>
      </c>
      <c r="Y150" s="65">
        <f>Y93*INDEX('Availability Model'!$C$67:$T$71, MATCH($K$138,'Availability Model'!$B$67:$B$71, 0), MATCH($K$10, 'Availability Model'!$C$1:$T$1, 0))</f>
        <v>2485429.0584782604</v>
      </c>
      <c r="Z150" s="65">
        <f>Z93*INDEX('Availability Model'!$C$67:$T$71, MATCH($K$138,'Availability Model'!$B$67:$B$71, 0), MATCH($K$10, 'Availability Model'!$C$1:$T$1, 0))</f>
        <v>2718065.2183518251</v>
      </c>
      <c r="AA150" s="65">
        <f>AA93*INDEX('Availability Model'!$C$67:$T$71, MATCH($K$138,'Availability Model'!$B$67:$B$71, 0), MATCH($K$10, 'Availability Model'!$C$1:$T$1, 0))</f>
        <v>2972476.1227895557</v>
      </c>
      <c r="AB150" s="65">
        <f>AB93*INDEX('Availability Model'!$C$67:$T$71, MATCH($K$138,'Availability Model'!$B$67:$B$71, 0), MATCH($K$10, 'Availability Model'!$C$1:$T$1, 0))</f>
        <v>3250699.8878826578</v>
      </c>
      <c r="AC150" s="65">
        <f>AC93*INDEX('Availability Model'!$C$67:$T$71, MATCH($K$138,'Availability Model'!$B$67:$B$71, 0), MATCH($K$10, 'Availability Model'!$C$1:$T$1, 0))</f>
        <v>3554965.3973884741</v>
      </c>
      <c r="AD150" s="65">
        <f>AD93*INDEX('Availability Model'!$C$67:$T$71, MATCH($K$138,'Availability Model'!$B$67:$B$71, 0), MATCH($K$10, 'Availability Model'!$C$1:$T$1, 0))</f>
        <v>3887710.158584035</v>
      </c>
      <c r="AE150" s="65">
        <f>AE93*INDEX('Availability Model'!$C$67:$T$71, MATCH($K$138,'Availability Model'!$B$67:$B$71, 0), MATCH($K$10, 'Availability Model'!$C$1:$T$1, 0))</f>
        <v>4251599.8294275003</v>
      </c>
      <c r="AF150" s="65">
        <f>AF93*INDEX('Availability Model'!$C$67:$T$71, MATCH($K$138,'Availability Model'!$B$67:$B$71, 0), MATCH($K$10, 'Availability Model'!$C$1:$T$1, 0))</f>
        <v>4649549.5734619144</v>
      </c>
      <c r="AG150" s="65">
        <f>AG93*INDEX('Availability Model'!$C$67:$T$71, MATCH($K$138,'Availability Model'!$B$67:$B$71, 0), MATCH($K$10, 'Availability Model'!$C$1:$T$1, 0))</f>
        <v>5084747.4135379493</v>
      </c>
      <c r="AH150" s="65">
        <f>AH93*INDEX('Availability Model'!$C$67:$T$71, MATCH($K$138,'Availability Model'!$B$67:$B$71, 0), MATCH($K$10, 'Availability Model'!$C$1:$T$1, 0))</f>
        <v>5560679.7714451002</v>
      </c>
      <c r="AI150" s="65">
        <f>AI93*INDEX('Availability Model'!$C$67:$T$71, MATCH($K$138,'Availability Model'!$B$67:$B$71, 0), MATCH($K$10, 'Availability Model'!$C$1:$T$1, 0))</f>
        <v>6081159.3980523599</v>
      </c>
      <c r="AJ150" s="65">
        <f>AJ93*INDEX('Availability Model'!$C$67:$T$71, MATCH($K$138,'Availability Model'!$B$67:$B$71, 0), MATCH($K$10, 'Availability Model'!$C$1:$T$1, 0))</f>
        <v>6650355.9177100612</v>
      </c>
      <c r="AK150" s="65">
        <f>AK93*INDEX('Availability Model'!$C$67:$T$71, MATCH($K$138,'Availability Model'!$B$67:$B$71, 0), MATCH($K$10, 'Availability Model'!$C$1:$T$1, 0))</f>
        <v>7272829.2316077221</v>
      </c>
      <c r="AL150" s="65">
        <f>AL93*INDEX('Availability Model'!$C$67:$T$71, MATCH($K$138,'Availability Model'!$B$67:$B$71, 0), MATCH($K$10, 'Availability Model'!$C$1:$T$1, 0))</f>
        <v>7953566.0476862052</v>
      </c>
    </row>
    <row r="151" spans="4:38">
      <c r="D151" s="3" t="s">
        <v>324</v>
      </c>
      <c r="E151" s="16" t="s">
        <v>211</v>
      </c>
      <c r="K151" s="65">
        <f>K95*INDEX('Availability Model'!$C$67:$T$71, MATCH($K$138,'Availability Model'!$B$67:$B$71, 0), MATCH($K$10, 'Availability Model'!$C$1:$T$1, 0))</f>
        <v>14243.399999999998</v>
      </c>
      <c r="L151" s="65">
        <f>L95*INDEX('Availability Model'!$C$67:$T$71, MATCH($K$138,'Availability Model'!$B$67:$B$71, 0), MATCH($K$10, 'Availability Model'!$C$1:$T$1, 0))</f>
        <v>14708.32692016032</v>
      </c>
      <c r="M151" s="65">
        <f>M95*INDEX('Availability Model'!$C$67:$T$71, MATCH($K$138,'Availability Model'!$B$67:$B$71, 0), MATCH($K$10, 'Availability Model'!$C$1:$T$1, 0))</f>
        <v>16770.509914189428</v>
      </c>
      <c r="N151" s="65">
        <f>N95*INDEX('Availability Model'!$C$67:$T$71, MATCH($K$138,'Availability Model'!$B$67:$B$71, 0), MATCH($K$10, 'Availability Model'!$C$1:$T$1, 0))</f>
        <v>45902.428793536092</v>
      </c>
      <c r="O151" s="65">
        <f>O95*INDEX('Availability Model'!$C$67:$T$71, MATCH($K$138,'Availability Model'!$B$67:$B$71, 0), MATCH($K$10, 'Availability Model'!$C$1:$T$1, 0))</f>
        <v>54431.042743014616</v>
      </c>
      <c r="P151" s="65">
        <f>P95*INDEX('Availability Model'!$C$67:$T$71, MATCH($K$138,'Availability Model'!$B$67:$B$71, 0), MATCH($K$10, 'Availability Model'!$C$1:$T$1, 0))</f>
        <v>59525.788343760774</v>
      </c>
      <c r="Q151" s="65">
        <f>Q95*INDEX('Availability Model'!$C$67:$T$71, MATCH($K$138,'Availability Model'!$B$67:$B$71, 0), MATCH($K$10, 'Availability Model'!$C$1:$T$1, 0))</f>
        <v>65097.402132736781</v>
      </c>
      <c r="R151" s="65">
        <f>R95*INDEX('Availability Model'!$C$67:$T$71, MATCH($K$138,'Availability Model'!$B$67:$B$71, 0), MATCH($K$10, 'Availability Model'!$C$1:$T$1, 0))</f>
        <v>71190.518972360936</v>
      </c>
      <c r="S151" s="65">
        <f>S95*INDEX('Availability Model'!$C$67:$T$71, MATCH($K$138,'Availability Model'!$B$67:$B$71, 0), MATCH($K$10, 'Availability Model'!$C$1:$T$1, 0))</f>
        <v>77853.951548173922</v>
      </c>
      <c r="T151" s="65">
        <f>T95*INDEX('Availability Model'!$C$67:$T$71, MATCH($K$138,'Availability Model'!$B$67:$B$71, 0), MATCH($K$10, 'Availability Model'!$C$1:$T$1, 0))</f>
        <v>85141.081413082997</v>
      </c>
      <c r="U151" s="65">
        <f>U95*INDEX('Availability Model'!$C$67:$T$71, MATCH($K$138,'Availability Model'!$B$67:$B$71, 0), MATCH($K$10, 'Availability Model'!$C$1:$T$1, 0))</f>
        <v>93110.286633347569</v>
      </c>
      <c r="V151" s="65">
        <f>V95*INDEX('Availability Model'!$C$67:$T$71, MATCH($K$138,'Availability Model'!$B$67:$B$71, 0), MATCH($K$10, 'Availability Model'!$C$1:$T$1, 0))</f>
        <v>101825.40946222887</v>
      </c>
      <c r="W151" s="65">
        <f>W95*INDEX('Availability Model'!$C$67:$T$71, MATCH($K$138,'Availability Model'!$B$67:$B$71, 0), MATCH($K$10, 'Availability Model'!$C$1:$T$1, 0))</f>
        <v>111356.26778789349</v>
      </c>
      <c r="X151" s="65">
        <f>X95*INDEX('Availability Model'!$C$67:$T$71, MATCH($K$138,'Availability Model'!$B$67:$B$71, 0), MATCH($K$10, 'Availability Model'!$C$1:$T$1, 0))</f>
        <v>121779.21445284033</v>
      </c>
      <c r="Y151" s="65">
        <f>Y95*INDEX('Availability Model'!$C$67:$T$71, MATCH($K$138,'Availability Model'!$B$67:$B$71, 0), MATCH($K$10, 'Availability Model'!$C$1:$T$1, 0))</f>
        <v>133177.74892562616</v>
      </c>
      <c r="Z151" s="65">
        <f>Z95*INDEX('Availability Model'!$C$67:$T$71, MATCH($K$138,'Availability Model'!$B$67:$B$71, 0), MATCH($K$10, 'Availability Model'!$C$1:$T$1, 0))</f>
        <v>145643.18622506474</v>
      </c>
      <c r="AA151" s="65">
        <f>AA95*INDEX('Availability Model'!$C$67:$T$71, MATCH($K$138,'Availability Model'!$B$67:$B$71, 0), MATCH($K$10, 'Availability Model'!$C$1:$T$1, 0))</f>
        <v>159275.3884557308</v>
      </c>
      <c r="AB151" s="65">
        <f>AB95*INDEX('Availability Model'!$C$67:$T$71, MATCH($K$138,'Availability Model'!$B$67:$B$71, 0), MATCH($K$10, 'Availability Model'!$C$1:$T$1, 0))</f>
        <v>174183.56481518719</v>
      </c>
      <c r="AC151" s="65">
        <f>AC95*INDEX('Availability Model'!$C$67:$T$71, MATCH($K$138,'Availability Model'!$B$67:$B$71, 0), MATCH($K$10, 'Availability Model'!$C$1:$T$1, 0))</f>
        <v>190487.14648188869</v>
      </c>
      <c r="AD151" s="65">
        <f>AD95*INDEX('Availability Model'!$C$67:$T$71, MATCH($K$138,'Availability Model'!$B$67:$B$71, 0), MATCH($K$10, 'Availability Model'!$C$1:$T$1, 0))</f>
        <v>208316.74339259349</v>
      </c>
      <c r="AE151" s="65">
        <f>AE95*INDEX('Availability Model'!$C$67:$T$71, MATCH($K$138,'Availability Model'!$B$67:$B$71, 0), MATCH($K$10, 'Availability Model'!$C$1:$T$1, 0))</f>
        <v>227815.1905741402</v>
      </c>
      <c r="AF151" s="65">
        <f>AF95*INDEX('Availability Model'!$C$67:$T$71, MATCH($K$138,'Availability Model'!$B$67:$B$71, 0), MATCH($K$10, 'Availability Model'!$C$1:$T$1, 0))</f>
        <v>249138.69241187975</v>
      </c>
      <c r="AG151" s="65">
        <f>AG95*INDEX('Availability Model'!$C$67:$T$71, MATCH($K$138,'Availability Model'!$B$67:$B$71, 0), MATCH($K$10, 'Availability Model'!$C$1:$T$1, 0))</f>
        <v>272458.07402163168</v>
      </c>
      <c r="AH151" s="65">
        <f>AH95*INDEX('Availability Model'!$C$67:$T$71, MATCH($K$138,'Availability Model'!$B$67:$B$71, 0), MATCH($K$10, 'Availability Model'!$C$1:$T$1, 0))</f>
        <v>297960.14975005639</v>
      </c>
      <c r="AI151" s="65">
        <f>AI95*INDEX('Availability Model'!$C$67:$T$71, MATCH($K$138,'Availability Model'!$B$67:$B$71, 0), MATCH($K$10, 'Availability Model'!$C$1:$T$1, 0))</f>
        <v>325849.21976666164</v>
      </c>
      <c r="AJ151" s="65">
        <f>AJ95*INDEX('Availability Model'!$C$67:$T$71, MATCH($K$138,'Availability Model'!$B$67:$B$71, 0), MATCH($K$10, 'Availability Model'!$C$1:$T$1, 0))</f>
        <v>356348.7067368211</v>
      </c>
      <c r="AK151" s="65">
        <f>AK95*INDEX('Availability Model'!$C$67:$T$71, MATCH($K$138,'Availability Model'!$B$67:$B$71, 0), MATCH($K$10, 'Availability Model'!$C$1:$T$1, 0))</f>
        <v>389702.94568738755</v>
      </c>
      <c r="AL151" s="65">
        <f>AL95*INDEX('Availability Model'!$C$67:$T$71, MATCH($K$138,'Availability Model'!$B$67:$B$71, 0), MATCH($K$10, 'Availability Model'!$C$1:$T$1, 0))</f>
        <v>426179.141403727</v>
      </c>
    </row>
    <row r="152" spans="4:38">
      <c r="D152" s="3" t="s">
        <v>321</v>
      </c>
      <c r="E152" s="3" t="s">
        <v>211</v>
      </c>
      <c r="K152" s="65">
        <f>IF(K27&gt;0,K150+K151,0)</f>
        <v>204582.41249999998</v>
      </c>
      <c r="L152" s="65">
        <f t="shared" ref="L152:AL152" si="68">IF(L27&gt;0,L150+L151,0)</f>
        <v>211260.3033801686</v>
      </c>
      <c r="M152" s="65">
        <f t="shared" si="68"/>
        <v>240880.0832034515</v>
      </c>
      <c r="N152" s="65">
        <f t="shared" si="68"/>
        <v>659310.95259496151</v>
      </c>
      <c r="O152" s="65">
        <f t="shared" si="68"/>
        <v>0</v>
      </c>
      <c r="P152" s="65">
        <f t="shared" si="68"/>
        <v>0</v>
      </c>
      <c r="Q152" s="65">
        <f t="shared" si="68"/>
        <v>0</v>
      </c>
      <c r="R152" s="65">
        <f t="shared" si="68"/>
        <v>0</v>
      </c>
      <c r="S152" s="65">
        <f t="shared" si="68"/>
        <v>0</v>
      </c>
      <c r="T152" s="65">
        <f t="shared" si="68"/>
        <v>0</v>
      </c>
      <c r="U152" s="65">
        <f t="shared" si="68"/>
        <v>0</v>
      </c>
      <c r="V152" s="65">
        <f t="shared" si="68"/>
        <v>0</v>
      </c>
      <c r="W152" s="65">
        <f t="shared" si="68"/>
        <v>0</v>
      </c>
      <c r="X152" s="65">
        <f t="shared" si="68"/>
        <v>0</v>
      </c>
      <c r="Y152" s="65">
        <f t="shared" si="68"/>
        <v>0</v>
      </c>
      <c r="Z152" s="65">
        <f t="shared" si="68"/>
        <v>0</v>
      </c>
      <c r="AA152" s="65">
        <f t="shared" si="68"/>
        <v>0</v>
      </c>
      <c r="AB152" s="65">
        <f t="shared" si="68"/>
        <v>0</v>
      </c>
      <c r="AC152" s="65">
        <f t="shared" si="68"/>
        <v>3745452.5438703629</v>
      </c>
      <c r="AD152" s="65">
        <f t="shared" si="68"/>
        <v>4096026.9019766287</v>
      </c>
      <c r="AE152" s="65">
        <f t="shared" si="68"/>
        <v>4479415.0200016405</v>
      </c>
      <c r="AF152" s="65">
        <f t="shared" si="68"/>
        <v>4898688.2658737944</v>
      </c>
      <c r="AG152" s="65">
        <f t="shared" si="68"/>
        <v>5357205.4875595812</v>
      </c>
      <c r="AH152" s="65">
        <f t="shared" si="68"/>
        <v>5858639.9211951569</v>
      </c>
      <c r="AI152" s="65">
        <f t="shared" si="68"/>
        <v>6407008.6178190215</v>
      </c>
      <c r="AJ152" s="65">
        <f t="shared" si="68"/>
        <v>7006704.6244468819</v>
      </c>
      <c r="AK152" s="65">
        <f t="shared" si="68"/>
        <v>7662532.1772951093</v>
      </c>
      <c r="AL152" s="65">
        <f t="shared" si="68"/>
        <v>8379745.1890899325</v>
      </c>
    </row>
    <row r="153" spans="4:38">
      <c r="D153" s="7"/>
      <c r="E153" s="16"/>
    </row>
    <row r="154" spans="4:38" ht="18">
      <c r="D154" s="15" t="s">
        <v>249</v>
      </c>
    </row>
    <row r="155" spans="4:38" ht="15">
      <c r="D155" s="100" t="s">
        <v>250</v>
      </c>
      <c r="E155" s="101"/>
      <c r="F155" s="101"/>
      <c r="G155" s="101"/>
      <c r="H155" s="101"/>
      <c r="I155" s="101"/>
      <c r="J155" s="101"/>
      <c r="K155" s="101"/>
    </row>
    <row r="156" spans="4:38">
      <c r="D156" s="102" t="s">
        <v>299</v>
      </c>
      <c r="E156" s="103" t="s">
        <v>169</v>
      </c>
      <c r="F156" s="101"/>
      <c r="G156" s="101"/>
      <c r="H156" s="101"/>
      <c r="I156" s="101"/>
      <c r="J156" s="101"/>
      <c r="K156" s="101" t="str">
        <f>Inputs!E69</f>
        <v>Low</v>
      </c>
      <c r="M156" s="7"/>
    </row>
    <row r="157" spans="4:38">
      <c r="D157" s="102" t="s">
        <v>329</v>
      </c>
      <c r="E157" s="103" t="s">
        <v>303</v>
      </c>
      <c r="F157" s="101"/>
      <c r="G157" s="101"/>
      <c r="H157" s="101"/>
      <c r="I157" s="101"/>
      <c r="J157" s="101"/>
      <c r="K157" s="101">
        <f>INDEX('Availability Model'!$C$4:$T$8, MATCH($K$129,'Availability Model'!$B$4:$B$8, 0), MATCH($K$10, 'Availability Model'!$C$1:$T$1, 0))</f>
        <v>2</v>
      </c>
      <c r="M157" s="7"/>
    </row>
    <row r="158" spans="4:38">
      <c r="D158" s="102" t="s">
        <v>301</v>
      </c>
      <c r="E158" s="103" t="s">
        <v>106</v>
      </c>
      <c r="F158" s="101"/>
      <c r="G158" s="101"/>
      <c r="H158" s="101"/>
      <c r="I158" s="101"/>
      <c r="J158" s="101"/>
      <c r="K158" s="101"/>
      <c r="M158" s="7"/>
    </row>
    <row r="159" spans="4:38">
      <c r="D159" s="102" t="s">
        <v>302</v>
      </c>
      <c r="E159" s="103" t="s">
        <v>106</v>
      </c>
      <c r="F159" s="101"/>
      <c r="G159" s="101"/>
      <c r="H159" s="101"/>
      <c r="I159" s="101"/>
      <c r="J159" s="101"/>
      <c r="K159" s="101">
        <f>Inputs!E132</f>
        <v>376680</v>
      </c>
      <c r="M159" s="7"/>
    </row>
    <row r="160" spans="4:38">
      <c r="D160" s="102" t="s">
        <v>326</v>
      </c>
      <c r="E160" s="103" t="s">
        <v>106</v>
      </c>
      <c r="F160" s="101"/>
      <c r="G160" s="101"/>
      <c r="H160" s="101"/>
      <c r="I160" s="101"/>
      <c r="J160" s="101"/>
      <c r="K160" s="101">
        <f>K158-K159</f>
        <v>-376680</v>
      </c>
      <c r="M160" s="7"/>
    </row>
    <row r="161" spans="4:38">
      <c r="D161" s="7"/>
    </row>
    <row r="163" spans="4:38" ht="15">
      <c r="D163" s="4" t="s">
        <v>137</v>
      </c>
    </row>
    <row r="164" spans="4:38">
      <c r="D164" s="7" t="s">
        <v>299</v>
      </c>
      <c r="E164" s="16" t="s">
        <v>169</v>
      </c>
      <c r="K164" t="str">
        <f>Inputs!E70</f>
        <v>Good</v>
      </c>
      <c r="L164" t="str">
        <f>Inputs!F70</f>
        <v>Good</v>
      </c>
      <c r="M164" t="str">
        <f>Inputs!G70</f>
        <v>Good</v>
      </c>
      <c r="N164" t="str">
        <f>Inputs!H70</f>
        <v>Good</v>
      </c>
      <c r="O164" t="str">
        <f>Inputs!I70</f>
        <v>Good</v>
      </c>
      <c r="P164" t="str">
        <f>Inputs!J70</f>
        <v>Good</v>
      </c>
      <c r="Q164" t="str">
        <f>P164</f>
        <v>Good</v>
      </c>
      <c r="R164" t="str">
        <f t="shared" ref="R164:AL164" si="69">Q164</f>
        <v>Good</v>
      </c>
      <c r="S164" t="str">
        <f t="shared" si="69"/>
        <v>Good</v>
      </c>
      <c r="T164" t="str">
        <f t="shared" si="69"/>
        <v>Good</v>
      </c>
      <c r="U164" t="str">
        <f t="shared" si="69"/>
        <v>Good</v>
      </c>
      <c r="V164" t="str">
        <f t="shared" si="69"/>
        <v>Good</v>
      </c>
      <c r="W164" t="str">
        <f t="shared" si="69"/>
        <v>Good</v>
      </c>
      <c r="X164" t="str">
        <f t="shared" si="69"/>
        <v>Good</v>
      </c>
      <c r="Y164" t="str">
        <f t="shared" si="69"/>
        <v>Good</v>
      </c>
      <c r="Z164" t="str">
        <f t="shared" si="69"/>
        <v>Good</v>
      </c>
      <c r="AA164" t="str">
        <f t="shared" si="69"/>
        <v>Good</v>
      </c>
      <c r="AB164" t="str">
        <f t="shared" si="69"/>
        <v>Good</v>
      </c>
      <c r="AC164" t="str">
        <f t="shared" si="69"/>
        <v>Good</v>
      </c>
      <c r="AD164" t="str">
        <f t="shared" si="69"/>
        <v>Good</v>
      </c>
      <c r="AE164" t="str">
        <f t="shared" si="69"/>
        <v>Good</v>
      </c>
      <c r="AF164" t="str">
        <f t="shared" si="69"/>
        <v>Good</v>
      </c>
      <c r="AG164" t="str">
        <f t="shared" si="69"/>
        <v>Good</v>
      </c>
      <c r="AH164" t="str">
        <f t="shared" si="69"/>
        <v>Good</v>
      </c>
      <c r="AI164" t="str">
        <f t="shared" si="69"/>
        <v>Good</v>
      </c>
      <c r="AJ164" t="str">
        <f t="shared" si="69"/>
        <v>Good</v>
      </c>
      <c r="AK164" t="str">
        <f t="shared" si="69"/>
        <v>Good</v>
      </c>
      <c r="AL164" t="str">
        <f t="shared" si="69"/>
        <v>Good</v>
      </c>
    </row>
    <row r="165" spans="4:38">
      <c r="D165" s="7" t="s">
        <v>300</v>
      </c>
      <c r="E165" s="16" t="s">
        <v>303</v>
      </c>
      <c r="K165">
        <f>INDEX('Availability Model'!$C$81:$T$84, MATCH($K$164,'Availability Model'!$B$81:$B$84, 0), MATCH($K$10, 'Availability Model'!$C$1:$T$1, 0))</f>
        <v>0</v>
      </c>
      <c r="L165">
        <f>INDEX('Availability Model'!$C$81:$T$84, MATCH($K$164,'Availability Model'!$B$81:$B$84, 0), MATCH($K$10, 'Availability Model'!$C$1:$T$1, 0))</f>
        <v>0</v>
      </c>
      <c r="M165">
        <f>INDEX('Availability Model'!$C$81:$T$84, MATCH($K$164,'Availability Model'!$B$81:$B$84, 0), MATCH($K$10, 'Availability Model'!$C$1:$T$1, 0))</f>
        <v>0</v>
      </c>
      <c r="N165">
        <f>INDEX('Availability Model'!$C$81:$T$84, MATCH($K$164,'Availability Model'!$B$81:$B$84, 0), MATCH($K$10, 'Availability Model'!$C$1:$T$1, 0))</f>
        <v>0</v>
      </c>
      <c r="O165">
        <f>INDEX('Availability Model'!$C$81:$T$84, MATCH($K$164,'Availability Model'!$B$81:$B$84, 0), MATCH($K$10, 'Availability Model'!$C$1:$T$1, 0))</f>
        <v>0</v>
      </c>
      <c r="P165">
        <f>INDEX('Availability Model'!$C$81:$T$84, MATCH($K$164,'Availability Model'!$B$81:$B$84, 0), MATCH($K$10, 'Availability Model'!$C$1:$T$1, 0))</f>
        <v>0</v>
      </c>
      <c r="Q165">
        <f>INDEX('Availability Model'!$C$81:$T$84, MATCH($K$164,'Availability Model'!$B$81:$B$84, 0), MATCH($K$10, 'Availability Model'!$C$1:$T$1, 0))</f>
        <v>0</v>
      </c>
      <c r="R165">
        <f>INDEX('Availability Model'!$C$81:$T$84, MATCH($K$164,'Availability Model'!$B$81:$B$84, 0), MATCH($K$10, 'Availability Model'!$C$1:$T$1, 0))</f>
        <v>0</v>
      </c>
      <c r="S165">
        <f>INDEX('Availability Model'!$C$81:$T$84, MATCH($K$164,'Availability Model'!$B$81:$B$84, 0), MATCH($K$10, 'Availability Model'!$C$1:$T$1, 0))</f>
        <v>0</v>
      </c>
      <c r="T165">
        <f>INDEX('Availability Model'!$C$81:$T$84, MATCH($K$164,'Availability Model'!$B$81:$B$84, 0), MATCH($K$10, 'Availability Model'!$C$1:$T$1, 0))</f>
        <v>0</v>
      </c>
      <c r="U165">
        <f>INDEX('Availability Model'!$C$81:$T$84, MATCH($K$164,'Availability Model'!$B$81:$B$84, 0), MATCH($K$10, 'Availability Model'!$C$1:$T$1, 0))</f>
        <v>0</v>
      </c>
      <c r="V165">
        <f>INDEX('Availability Model'!$C$81:$T$84, MATCH($K$164,'Availability Model'!$B$81:$B$84, 0), MATCH($K$10, 'Availability Model'!$C$1:$T$1, 0))</f>
        <v>0</v>
      </c>
      <c r="W165">
        <f>INDEX('Availability Model'!$C$81:$T$84, MATCH($K$164,'Availability Model'!$B$81:$B$84, 0), MATCH($K$10, 'Availability Model'!$C$1:$T$1, 0))</f>
        <v>0</v>
      </c>
      <c r="X165">
        <f>INDEX('Availability Model'!$C$81:$T$84, MATCH($K$164,'Availability Model'!$B$81:$B$84, 0), MATCH($K$10, 'Availability Model'!$C$1:$T$1, 0))</f>
        <v>0</v>
      </c>
      <c r="Y165">
        <f>INDEX('Availability Model'!$C$81:$T$84, MATCH($K$164,'Availability Model'!$B$81:$B$84, 0), MATCH($K$10, 'Availability Model'!$C$1:$T$1, 0))</f>
        <v>0</v>
      </c>
      <c r="Z165">
        <f>INDEX('Availability Model'!$C$81:$T$84, MATCH($K$164,'Availability Model'!$B$81:$B$84, 0), MATCH($K$10, 'Availability Model'!$C$1:$T$1, 0))</f>
        <v>0</v>
      </c>
      <c r="AA165">
        <f>INDEX('Availability Model'!$C$81:$T$84, MATCH($K$164,'Availability Model'!$B$81:$B$84, 0), MATCH($K$10, 'Availability Model'!$C$1:$T$1, 0))</f>
        <v>0</v>
      </c>
      <c r="AB165">
        <f>INDEX('Availability Model'!$C$81:$T$84, MATCH($K$164,'Availability Model'!$B$81:$B$84, 0), MATCH($K$10, 'Availability Model'!$C$1:$T$1, 0))</f>
        <v>0</v>
      </c>
      <c r="AC165">
        <f>INDEX('Availability Model'!$C$81:$T$84, MATCH($K$164,'Availability Model'!$B$81:$B$84, 0), MATCH($K$10, 'Availability Model'!$C$1:$T$1, 0))</f>
        <v>0</v>
      </c>
      <c r="AD165">
        <f>INDEX('Availability Model'!$C$81:$T$84, MATCH($K$164,'Availability Model'!$B$81:$B$84, 0), MATCH($K$10, 'Availability Model'!$C$1:$T$1, 0))</f>
        <v>0</v>
      </c>
      <c r="AE165">
        <f>INDEX('Availability Model'!$C$81:$T$84, MATCH($K$164,'Availability Model'!$B$81:$B$84, 0), MATCH($K$10, 'Availability Model'!$C$1:$T$1, 0))</f>
        <v>0</v>
      </c>
      <c r="AF165">
        <f>INDEX('Availability Model'!$C$81:$T$84, MATCH($K$164,'Availability Model'!$B$81:$B$84, 0), MATCH($K$10, 'Availability Model'!$C$1:$T$1, 0))</f>
        <v>0</v>
      </c>
      <c r="AG165">
        <f>INDEX('Availability Model'!$C$81:$T$84, MATCH($K$164,'Availability Model'!$B$81:$B$84, 0), MATCH($K$10, 'Availability Model'!$C$1:$T$1, 0))</f>
        <v>0</v>
      </c>
      <c r="AH165">
        <f>INDEX('Availability Model'!$C$81:$T$84, MATCH($K$164,'Availability Model'!$B$81:$B$84, 0), MATCH($K$10, 'Availability Model'!$C$1:$T$1, 0))</f>
        <v>0</v>
      </c>
      <c r="AI165">
        <f>INDEX('Availability Model'!$C$81:$T$84, MATCH($K$164,'Availability Model'!$B$81:$B$84, 0), MATCH($K$10, 'Availability Model'!$C$1:$T$1, 0))</f>
        <v>0</v>
      </c>
      <c r="AJ165">
        <f>INDEX('Availability Model'!$C$81:$T$84, MATCH($K$164,'Availability Model'!$B$81:$B$84, 0), MATCH($K$10, 'Availability Model'!$C$1:$T$1, 0))</f>
        <v>0</v>
      </c>
      <c r="AK165">
        <f>INDEX('Availability Model'!$C$81:$T$84, MATCH($K$164,'Availability Model'!$B$81:$B$84, 0), MATCH($K$10, 'Availability Model'!$C$1:$T$1, 0))</f>
        <v>0</v>
      </c>
      <c r="AL165">
        <f>INDEX('Availability Model'!$C$81:$T$84, MATCH($K$164,'Availability Model'!$B$81:$B$84, 0), MATCH($K$10, 'Availability Model'!$C$1:$T$1, 0))</f>
        <v>0</v>
      </c>
    </row>
    <row r="166" spans="4:38">
      <c r="D166" s="7" t="s">
        <v>312</v>
      </c>
      <c r="E166" s="16" t="s">
        <v>106</v>
      </c>
      <c r="K166">
        <f>K165*INDEX('Availability Model'!$C$81:$T$84, MATCH($K$164,'Availability Model'!$B$81:$B$84, 0), MATCH($K$10, 'Availability Model'!$C$1:$T$1, 0))</f>
        <v>0</v>
      </c>
      <c r="L166">
        <f>L165*INDEX('Availability Model'!$C$81:$T$84, MATCH($K$164,'Availability Model'!$B$81:$B$84, 0), MATCH($K$10, 'Availability Model'!$C$1:$T$1, 0))</f>
        <v>0</v>
      </c>
      <c r="M166">
        <f>M165*INDEX('Availability Model'!$C$81:$T$84, MATCH($K$164,'Availability Model'!$B$81:$B$84, 0), MATCH($K$10, 'Availability Model'!$C$1:$T$1, 0))</f>
        <v>0</v>
      </c>
      <c r="N166">
        <f>N165*INDEX('Availability Model'!$C$81:$T$84, MATCH($K$164,'Availability Model'!$B$81:$B$84, 0), MATCH($K$10, 'Availability Model'!$C$1:$T$1, 0))</f>
        <v>0</v>
      </c>
      <c r="O166">
        <f>O165*INDEX('Availability Model'!$C$81:$T$84, MATCH($K$164,'Availability Model'!$B$81:$B$84, 0), MATCH($K$10, 'Availability Model'!$C$1:$T$1, 0))</f>
        <v>0</v>
      </c>
      <c r="P166">
        <f>P165*INDEX('Availability Model'!$C$81:$T$84, MATCH($K$164,'Availability Model'!$B$81:$B$84, 0), MATCH($K$10, 'Availability Model'!$C$1:$T$1, 0))</f>
        <v>0</v>
      </c>
      <c r="Q166">
        <f>Q165*INDEX('Availability Model'!$C$81:$T$84, MATCH($K$164,'Availability Model'!$B$81:$B$84, 0), MATCH($K$10, 'Availability Model'!$C$1:$T$1, 0))</f>
        <v>0</v>
      </c>
      <c r="R166">
        <f>R165*INDEX('Availability Model'!$C$81:$T$84, MATCH($K$164,'Availability Model'!$B$81:$B$84, 0), MATCH($K$10, 'Availability Model'!$C$1:$T$1, 0))</f>
        <v>0</v>
      </c>
      <c r="S166">
        <f>S165*INDEX('Availability Model'!$C$81:$T$84, MATCH($K$164,'Availability Model'!$B$81:$B$84, 0), MATCH($K$10, 'Availability Model'!$C$1:$T$1, 0))</f>
        <v>0</v>
      </c>
      <c r="T166">
        <f>T165*INDEX('Availability Model'!$C$81:$T$84, MATCH($K$164,'Availability Model'!$B$81:$B$84, 0), MATCH($K$10, 'Availability Model'!$C$1:$T$1, 0))</f>
        <v>0</v>
      </c>
      <c r="U166">
        <f>U165*INDEX('Availability Model'!$C$81:$T$84, MATCH($K$164,'Availability Model'!$B$81:$B$84, 0), MATCH($K$10, 'Availability Model'!$C$1:$T$1, 0))</f>
        <v>0</v>
      </c>
      <c r="V166">
        <f>V165*INDEX('Availability Model'!$C$81:$T$84, MATCH($K$164,'Availability Model'!$B$81:$B$84, 0), MATCH($K$10, 'Availability Model'!$C$1:$T$1, 0))</f>
        <v>0</v>
      </c>
      <c r="W166">
        <f>W165*INDEX('Availability Model'!$C$81:$T$84, MATCH($K$164,'Availability Model'!$B$81:$B$84, 0), MATCH($K$10, 'Availability Model'!$C$1:$T$1, 0))</f>
        <v>0</v>
      </c>
      <c r="X166">
        <f>X165*INDEX('Availability Model'!$C$81:$T$84, MATCH($K$164,'Availability Model'!$B$81:$B$84, 0), MATCH($K$10, 'Availability Model'!$C$1:$T$1, 0))</f>
        <v>0</v>
      </c>
      <c r="Y166">
        <f>Y165*INDEX('Availability Model'!$C$81:$T$84, MATCH($K$164,'Availability Model'!$B$81:$B$84, 0), MATCH($K$10, 'Availability Model'!$C$1:$T$1, 0))</f>
        <v>0</v>
      </c>
      <c r="Z166">
        <f>Z165*INDEX('Availability Model'!$C$81:$T$84, MATCH($K$164,'Availability Model'!$B$81:$B$84, 0), MATCH($K$10, 'Availability Model'!$C$1:$T$1, 0))</f>
        <v>0</v>
      </c>
      <c r="AA166">
        <f>AA165*INDEX('Availability Model'!$C$81:$T$84, MATCH($K$164,'Availability Model'!$B$81:$B$84, 0), MATCH($K$10, 'Availability Model'!$C$1:$T$1, 0))</f>
        <v>0</v>
      </c>
      <c r="AB166">
        <f>AB165*INDEX('Availability Model'!$C$81:$T$84, MATCH($K$164,'Availability Model'!$B$81:$B$84, 0), MATCH($K$10, 'Availability Model'!$C$1:$T$1, 0))</f>
        <v>0</v>
      </c>
      <c r="AC166">
        <f>AC165*INDEX('Availability Model'!$C$81:$T$84, MATCH($K$164,'Availability Model'!$B$81:$B$84, 0), MATCH($K$10, 'Availability Model'!$C$1:$T$1, 0))</f>
        <v>0</v>
      </c>
      <c r="AD166">
        <f>AD165*INDEX('Availability Model'!$C$81:$T$84, MATCH($K$164,'Availability Model'!$B$81:$B$84, 0), MATCH($K$10, 'Availability Model'!$C$1:$T$1, 0))</f>
        <v>0</v>
      </c>
      <c r="AE166">
        <f>AE165*INDEX('Availability Model'!$C$81:$T$84, MATCH($K$164,'Availability Model'!$B$81:$B$84, 0), MATCH($K$10, 'Availability Model'!$C$1:$T$1, 0))</f>
        <v>0</v>
      </c>
      <c r="AF166">
        <f>AF165*INDEX('Availability Model'!$C$81:$T$84, MATCH($K$164,'Availability Model'!$B$81:$B$84, 0), MATCH($K$10, 'Availability Model'!$C$1:$T$1, 0))</f>
        <v>0</v>
      </c>
      <c r="AG166">
        <f>AG165*INDEX('Availability Model'!$C$81:$T$84, MATCH($K$164,'Availability Model'!$B$81:$B$84, 0), MATCH($K$10, 'Availability Model'!$C$1:$T$1, 0))</f>
        <v>0</v>
      </c>
      <c r="AH166">
        <f>AH165*INDEX('Availability Model'!$C$81:$T$84, MATCH($K$164,'Availability Model'!$B$81:$B$84, 0), MATCH($K$10, 'Availability Model'!$C$1:$T$1, 0))</f>
        <v>0</v>
      </c>
      <c r="AI166">
        <f>AI165*INDEX('Availability Model'!$C$81:$T$84, MATCH($K$164,'Availability Model'!$B$81:$B$84, 0), MATCH($K$10, 'Availability Model'!$C$1:$T$1, 0))</f>
        <v>0</v>
      </c>
      <c r="AJ166">
        <f>AJ165*INDEX('Availability Model'!$C$81:$T$84, MATCH($K$164,'Availability Model'!$B$81:$B$84, 0), MATCH($K$10, 'Availability Model'!$C$1:$T$1, 0))</f>
        <v>0</v>
      </c>
      <c r="AK166">
        <f>AK165*INDEX('Availability Model'!$C$81:$T$84, MATCH($K$164,'Availability Model'!$B$81:$B$84, 0), MATCH($K$10, 'Availability Model'!$C$1:$T$1, 0))</f>
        <v>0</v>
      </c>
      <c r="AL166">
        <f>AL165*INDEX('Availability Model'!$C$81:$T$84, MATCH($K$164,'Availability Model'!$B$81:$B$84, 0), MATCH($K$10, 'Availability Model'!$C$1:$T$1, 0))</f>
        <v>0</v>
      </c>
    </row>
    <row r="167" spans="4:38">
      <c r="D167" s="7" t="s">
        <v>302</v>
      </c>
      <c r="E167" s="16" t="s">
        <v>106</v>
      </c>
      <c r="K167" s="65">
        <f>K141</f>
        <v>1.8129533678756478</v>
      </c>
      <c r="L167" s="65">
        <f t="shared" ref="L167:AL167" si="70">L141</f>
        <v>1.9066551166747128</v>
      </c>
      <c r="M167" s="65">
        <f t="shared" si="70"/>
        <v>1.8367738032705883</v>
      </c>
      <c r="N167" s="65">
        <f t="shared" si="70"/>
        <v>1.8815339776532183</v>
      </c>
      <c r="O167" s="65">
        <f t="shared" si="70"/>
        <v>2.274116334125547</v>
      </c>
      <c r="P167" s="65">
        <f t="shared" si="70"/>
        <v>2.277607063808083</v>
      </c>
      <c r="Q167" s="65">
        <f t="shared" si="70"/>
        <v>2.0845047041176494</v>
      </c>
      <c r="R167" s="65">
        <f t="shared" si="70"/>
        <v>2.0845047041176494</v>
      </c>
      <c r="S167" s="65">
        <f t="shared" si="70"/>
        <v>1.9123332911358926</v>
      </c>
      <c r="T167" s="65">
        <f t="shared" si="70"/>
        <v>1.9148328343992786</v>
      </c>
      <c r="U167" s="65">
        <f t="shared" si="70"/>
        <v>1.9123332911358926</v>
      </c>
      <c r="V167" s="65">
        <f t="shared" si="70"/>
        <v>1.9123332911358926</v>
      </c>
      <c r="W167" s="65">
        <f t="shared" si="70"/>
        <v>1.9123332911358926</v>
      </c>
      <c r="X167" s="65">
        <f t="shared" si="70"/>
        <v>1.9148328343992786</v>
      </c>
      <c r="Y167" s="65">
        <f t="shared" si="70"/>
        <v>1.9123332911358926</v>
      </c>
      <c r="Z167" s="65">
        <f t="shared" si="70"/>
        <v>1.9123332911358926</v>
      </c>
      <c r="AA167" s="65">
        <f t="shared" si="70"/>
        <v>1.9123332911358926</v>
      </c>
      <c r="AB167" s="65">
        <f t="shared" si="70"/>
        <v>1.9148328343992786</v>
      </c>
      <c r="AC167" s="65">
        <f t="shared" si="70"/>
        <v>1.7585224186644333</v>
      </c>
      <c r="AD167" s="65">
        <f t="shared" si="70"/>
        <v>1.7585224186644333</v>
      </c>
      <c r="AE167" s="65">
        <f t="shared" si="70"/>
        <v>1.7585224186644333</v>
      </c>
      <c r="AF167" s="65">
        <f t="shared" si="70"/>
        <v>1.7619072168336016</v>
      </c>
      <c r="AG167" s="65">
        <f t="shared" si="70"/>
        <v>1.7585224186644333</v>
      </c>
      <c r="AH167" s="65">
        <f t="shared" si="70"/>
        <v>1.7585224186644333</v>
      </c>
      <c r="AI167" s="65">
        <f t="shared" si="70"/>
        <v>1.7585224186644333</v>
      </c>
      <c r="AJ167" s="65">
        <f t="shared" si="70"/>
        <v>1.7619072168336016</v>
      </c>
      <c r="AK167" s="65">
        <f t="shared" si="70"/>
        <v>1.7585224186644333</v>
      </c>
      <c r="AL167" s="65">
        <f t="shared" si="70"/>
        <v>1.7585224186644333</v>
      </c>
    </row>
    <row r="168" spans="4:38">
      <c r="D168" s="7" t="s">
        <v>313</v>
      </c>
      <c r="E168" s="16" t="s">
        <v>106</v>
      </c>
      <c r="K168" s="89">
        <f>IF((K166-K167)&gt;0, K166-K167,0)</f>
        <v>0</v>
      </c>
      <c r="L168" s="89">
        <f t="shared" ref="L168:AL168" si="71">IF((L166-L167)&gt;0, L166-L167,0)</f>
        <v>0</v>
      </c>
      <c r="M168" s="89">
        <f t="shared" si="71"/>
        <v>0</v>
      </c>
      <c r="N168" s="89">
        <f t="shared" si="71"/>
        <v>0</v>
      </c>
      <c r="O168" s="89">
        <f t="shared" si="71"/>
        <v>0</v>
      </c>
      <c r="P168" s="89">
        <f t="shared" si="71"/>
        <v>0</v>
      </c>
      <c r="Q168" s="89">
        <f t="shared" si="71"/>
        <v>0</v>
      </c>
      <c r="R168" s="89">
        <f t="shared" si="71"/>
        <v>0</v>
      </c>
      <c r="S168" s="89">
        <f t="shared" si="71"/>
        <v>0</v>
      </c>
      <c r="T168" s="89">
        <f t="shared" si="71"/>
        <v>0</v>
      </c>
      <c r="U168" s="89">
        <f t="shared" si="71"/>
        <v>0</v>
      </c>
      <c r="V168" s="89">
        <f t="shared" si="71"/>
        <v>0</v>
      </c>
      <c r="W168" s="89">
        <f t="shared" si="71"/>
        <v>0</v>
      </c>
      <c r="X168" s="89">
        <f t="shared" si="71"/>
        <v>0</v>
      </c>
      <c r="Y168" s="89">
        <f t="shared" si="71"/>
        <v>0</v>
      </c>
      <c r="Z168" s="89">
        <f t="shared" si="71"/>
        <v>0</v>
      </c>
      <c r="AA168" s="89">
        <f t="shared" si="71"/>
        <v>0</v>
      </c>
      <c r="AB168" s="89">
        <f t="shared" si="71"/>
        <v>0</v>
      </c>
      <c r="AC168" s="89">
        <f t="shared" si="71"/>
        <v>0</v>
      </c>
      <c r="AD168" s="89">
        <f t="shared" si="71"/>
        <v>0</v>
      </c>
      <c r="AE168" s="89">
        <f t="shared" si="71"/>
        <v>0</v>
      </c>
      <c r="AF168" s="89">
        <f t="shared" si="71"/>
        <v>0</v>
      </c>
      <c r="AG168" s="89">
        <f t="shared" si="71"/>
        <v>0</v>
      </c>
      <c r="AH168" s="89">
        <f t="shared" si="71"/>
        <v>0</v>
      </c>
      <c r="AI168" s="89">
        <f t="shared" si="71"/>
        <v>0</v>
      </c>
      <c r="AJ168" s="89">
        <f t="shared" si="71"/>
        <v>0</v>
      </c>
      <c r="AK168" s="89">
        <f t="shared" si="71"/>
        <v>0</v>
      </c>
      <c r="AL168" s="89">
        <f t="shared" si="71"/>
        <v>0</v>
      </c>
    </row>
    <row r="169" spans="4:38">
      <c r="D169" s="7" t="s">
        <v>314</v>
      </c>
      <c r="E169" s="16" t="s">
        <v>306</v>
      </c>
      <c r="K169" s="90">
        <f t="shared" ref="K169:AL169" si="72">IF(K168&gt;0,K168*K35,0)</f>
        <v>0</v>
      </c>
      <c r="L169" s="90">
        <f t="shared" si="72"/>
        <v>0</v>
      </c>
      <c r="M169" s="90">
        <f t="shared" si="72"/>
        <v>0</v>
      </c>
      <c r="N169" s="90">
        <f t="shared" si="72"/>
        <v>0</v>
      </c>
      <c r="O169" s="90">
        <f t="shared" si="72"/>
        <v>0</v>
      </c>
      <c r="P169" s="90">
        <f t="shared" si="72"/>
        <v>0</v>
      </c>
      <c r="Q169" s="90">
        <f t="shared" si="72"/>
        <v>0</v>
      </c>
      <c r="R169" s="90">
        <f t="shared" si="72"/>
        <v>0</v>
      </c>
      <c r="S169" s="90">
        <f t="shared" si="72"/>
        <v>0</v>
      </c>
      <c r="T169" s="90">
        <f t="shared" si="72"/>
        <v>0</v>
      </c>
      <c r="U169" s="90">
        <f t="shared" si="72"/>
        <v>0</v>
      </c>
      <c r="V169" s="90">
        <f t="shared" si="72"/>
        <v>0</v>
      </c>
      <c r="W169" s="90">
        <f t="shared" si="72"/>
        <v>0</v>
      </c>
      <c r="X169" s="90">
        <f t="shared" si="72"/>
        <v>0</v>
      </c>
      <c r="Y169" s="90">
        <f t="shared" si="72"/>
        <v>0</v>
      </c>
      <c r="Z169" s="90">
        <f t="shared" si="72"/>
        <v>0</v>
      </c>
      <c r="AA169" s="90">
        <f t="shared" si="72"/>
        <v>0</v>
      </c>
      <c r="AB169" s="90">
        <f t="shared" si="72"/>
        <v>0</v>
      </c>
      <c r="AC169" s="90">
        <f t="shared" si="72"/>
        <v>0</v>
      </c>
      <c r="AD169" s="90">
        <f t="shared" si="72"/>
        <v>0</v>
      </c>
      <c r="AE169" s="90">
        <f t="shared" si="72"/>
        <v>0</v>
      </c>
      <c r="AF169" s="90">
        <f t="shared" si="72"/>
        <v>0</v>
      </c>
      <c r="AG169" s="90">
        <f t="shared" si="72"/>
        <v>0</v>
      </c>
      <c r="AH169" s="90">
        <f t="shared" si="72"/>
        <v>0</v>
      </c>
      <c r="AI169" s="90">
        <f t="shared" si="72"/>
        <v>0</v>
      </c>
      <c r="AJ169" s="90">
        <f t="shared" si="72"/>
        <v>0</v>
      </c>
      <c r="AK169" s="90">
        <f t="shared" si="72"/>
        <v>0</v>
      </c>
      <c r="AL169" s="90">
        <f t="shared" si="72"/>
        <v>0</v>
      </c>
    </row>
    <row r="170" spans="4:38">
      <c r="D170" s="7"/>
    </row>
    <row r="171" spans="4:38">
      <c r="D171" s="3" t="s">
        <v>315</v>
      </c>
      <c r="E171" s="16" t="s">
        <v>306</v>
      </c>
      <c r="K171" s="65">
        <f>K169*INDEX('Availability Model'!$C$60:$T$64, MATCH($K$138,'Availability Model'!$B$60:$B$64, 0), MATCH($K$10, 'Availability Model'!$C$1:$T$1, 0))</f>
        <v>0</v>
      </c>
      <c r="L171" s="65">
        <f>L169*INDEX('Availability Model'!$C$60:$T$64, MATCH($K$138,'Availability Model'!$B$60:$B$64, 0), MATCH($K$10, 'Availability Model'!$C$1:$T$1, 0))</f>
        <v>0</v>
      </c>
      <c r="M171" s="65">
        <f>M169*INDEX('Availability Model'!$C$60:$T$64, MATCH($K$138,'Availability Model'!$B$60:$B$64, 0), MATCH($K$10, 'Availability Model'!$C$1:$T$1, 0))</f>
        <v>0</v>
      </c>
      <c r="N171" s="65">
        <f>N169*INDEX('Availability Model'!$C$60:$T$64, MATCH($K$138,'Availability Model'!$B$60:$B$64, 0), MATCH($K$10, 'Availability Model'!$C$1:$T$1, 0))</f>
        <v>0</v>
      </c>
      <c r="O171" s="65">
        <f>O169*INDEX('Availability Model'!$C$60:$T$64, MATCH($K$138,'Availability Model'!$B$60:$B$64, 0), MATCH($K$10, 'Availability Model'!$C$1:$T$1, 0))</f>
        <v>0</v>
      </c>
      <c r="P171" s="65">
        <f>P169*INDEX('Availability Model'!$C$60:$T$64, MATCH($K$138,'Availability Model'!$B$60:$B$64, 0), MATCH($K$10, 'Availability Model'!$C$1:$T$1, 0))</f>
        <v>0</v>
      </c>
    </row>
    <row r="172" spans="4:38">
      <c r="D172" s="3" t="s">
        <v>333</v>
      </c>
      <c r="E172" s="16" t="s">
        <v>246</v>
      </c>
      <c r="K172" s="65">
        <f>K171*Inputs!E52</f>
        <v>0</v>
      </c>
      <c r="L172" s="65">
        <f>L171*Inputs!F52</f>
        <v>0</v>
      </c>
      <c r="M172" s="65">
        <f>M171*Inputs!G52</f>
        <v>0</v>
      </c>
      <c r="N172" s="65">
        <f>N171*Inputs!H52</f>
        <v>0</v>
      </c>
      <c r="O172" s="65">
        <f>O171*Inputs!I52</f>
        <v>0</v>
      </c>
      <c r="P172" s="65">
        <f>P171*Inputs!J52</f>
        <v>0</v>
      </c>
    </row>
    <row r="173" spans="4:38">
      <c r="D173" s="89" t="s">
        <v>318</v>
      </c>
      <c r="E173" s="16" t="s">
        <v>211</v>
      </c>
      <c r="K173" s="65">
        <f>(K28*K74)*INDEX('Availability Model'!$C$93:$T$96, MATCH($K$164,'Availability Model'!$B$93:$B$96, 0), MATCH($K$10, 'Availability Model'!$C$1:$T$1, 0))</f>
        <v>104654.25</v>
      </c>
      <c r="L173" s="65">
        <f>(L28*L74)*INDEX('Availability Model'!$C$93:$T$96, MATCH($K$164,'Availability Model'!$B$93:$B$96, 0), MATCH($K$10, 'Availability Model'!$C$1:$T$1, 0))</f>
        <v>108070.32889508041</v>
      </c>
      <c r="M173" s="65">
        <f>(M28*M74)*INDEX('Availability Model'!$C$93:$T$96, MATCH($K$164,'Availability Model'!$B$93:$B$96, 0), MATCH($K$10, 'Availability Model'!$C$1:$T$1, 0))</f>
        <v>123222.34418657479</v>
      </c>
      <c r="N173" s="65">
        <f>(N28*N74)*INDEX('Availability Model'!$C$93:$T$96, MATCH($K$164,'Availability Model'!$B$93:$B$96, 0), MATCH($K$10, 'Availability Model'!$C$1:$T$1, 0))</f>
        <v>875621.78677276801</v>
      </c>
      <c r="O173" s="65">
        <f>(O28*O74)*INDEX('Availability Model'!$C$93:$T$96, MATCH($K$164,'Availability Model'!$B$93:$B$96, 0), MATCH($K$10, 'Availability Model'!$C$1:$T$1, 0))</f>
        <v>2076622.4426562337</v>
      </c>
      <c r="P173" s="65">
        <f>(P28*P74)*INDEX('Availability Model'!$C$93:$T$96, MATCH($K$164,'Availability Model'!$B$93:$B$96, 0), MATCH($K$10, 'Availability Model'!$C$1:$T$1, 0))</f>
        <v>2270994.303288857</v>
      </c>
      <c r="Q173" s="65">
        <f>(Q28*Q74)*INDEX('Availability Model'!$C$93:$T$96, MATCH($K$164,'Availability Model'!$B$93:$B$96, 0), MATCH($K$10, 'Availability Model'!$C$1:$T$1, 0))</f>
        <v>2917777.625279895</v>
      </c>
      <c r="R173" s="65">
        <f>(R28*R74)*INDEX('Availability Model'!$C$93:$T$96, MATCH($K$164,'Availability Model'!$B$93:$B$96, 0), MATCH($K$10, 'Availability Model'!$C$1:$T$1, 0))</f>
        <v>3190881.6110060923</v>
      </c>
      <c r="S173" s="65">
        <f>(S28*S74)*INDEX('Availability Model'!$C$93:$T$96, MATCH($K$164,'Availability Model'!$B$93:$B$96, 0), MATCH($K$10, 'Availability Model'!$C$1:$T$1, 0))</f>
        <v>4148079.8725400222</v>
      </c>
      <c r="T173" s="65">
        <f>(T28*T74)*INDEX('Availability Model'!$C$93:$T$96, MATCH($K$164,'Availability Model'!$B$93:$B$96, 0), MATCH($K$10, 'Availability Model'!$C$1:$T$1, 0))</f>
        <v>4536340.1486097677</v>
      </c>
      <c r="U173" s="65">
        <f>(U28*U74)*INDEX('Availability Model'!$C$93:$T$96, MATCH($K$164,'Availability Model'!$B$93:$B$96, 0), MATCH($K$10, 'Availability Model'!$C$1:$T$1, 0))</f>
        <v>3357971.8614996313</v>
      </c>
      <c r="V173" s="65">
        <f>(V28*V74)*INDEX('Availability Model'!$C$93:$T$96, MATCH($K$164,'Availability Model'!$B$93:$B$96, 0), MATCH($K$10, 'Availability Model'!$C$1:$T$1, 0))</f>
        <v>3672278.0277359965</v>
      </c>
      <c r="W173" s="65">
        <f>(W28*W74)*INDEX('Availability Model'!$C$93:$T$96, MATCH($K$164,'Availability Model'!$B$93:$B$96, 0), MATCH($K$10, 'Availability Model'!$C$1:$T$1, 0))</f>
        <v>4016003.251132085</v>
      </c>
      <c r="X173" s="65">
        <f>(X28*X74)*INDEX('Availability Model'!$C$93:$T$96, MATCH($K$164,'Availability Model'!$B$93:$B$96, 0), MATCH($K$10, 'Availability Model'!$C$1:$T$1, 0))</f>
        <v>4386157.2410233831</v>
      </c>
      <c r="Y173" s="65">
        <f>(Y28*Y74)*INDEX('Availability Model'!$C$93:$T$96, MATCH($K$164,'Availability Model'!$B$93:$B$96, 0), MATCH($K$10, 'Availability Model'!$C$1:$T$1, 0))</f>
        <v>4802983.1035870491</v>
      </c>
      <c r="Z173" s="65">
        <f>(Z28*Z74)*INDEX('Availability Model'!$C$93:$T$96, MATCH($K$164,'Availability Model'!$B$93:$B$96, 0), MATCH($K$10, 'Availability Model'!$C$1:$T$1, 0))</f>
        <v>5252542.3220827961</v>
      </c>
      <c r="AA173" s="65">
        <f>(AA28*AA74)*INDEX('Availability Model'!$C$93:$T$96, MATCH($K$164,'Availability Model'!$B$93:$B$96, 0), MATCH($K$10, 'Availability Model'!$C$1:$T$1, 0))</f>
        <v>5744180.2834297456</v>
      </c>
      <c r="AB173" s="65">
        <f>(AB28*AB74)*INDEX('Availability Model'!$C$93:$T$96, MATCH($K$164,'Availability Model'!$B$93:$B$96, 0), MATCH($K$10, 'Availability Model'!$C$1:$T$1, 0))</f>
        <v>6273619.907256512</v>
      </c>
      <c r="AC173" s="65">
        <f>(AC28*AC74)*INDEX('Availability Model'!$C$93:$T$96, MATCH($K$164,'Availability Model'!$B$93:$B$96, 0), MATCH($K$10, 'Availability Model'!$C$1:$T$1, 0))</f>
        <v>5308756.9267716398</v>
      </c>
      <c r="AD173" s="65">
        <f>(AD28*AD74)*INDEX('Availability Model'!$C$93:$T$96, MATCH($K$164,'Availability Model'!$B$93:$B$96, 0), MATCH($K$10, 'Availability Model'!$C$1:$T$1, 0))</f>
        <v>5805656.5751174651</v>
      </c>
      <c r="AE173" s="65">
        <f>(AE28*AE74)*INDEX('Availability Model'!$C$93:$T$96, MATCH($K$164,'Availability Model'!$B$93:$B$96, 0), MATCH($K$10, 'Availability Model'!$C$1:$T$1, 0))</f>
        <v>6349066.0305484599</v>
      </c>
      <c r="AF173" s="65">
        <f>(AF28*AF74)*INDEX('Availability Model'!$C$93:$T$96, MATCH($K$164,'Availability Model'!$B$93:$B$96, 0), MATCH($K$10, 'Availability Model'!$C$1:$T$1, 0))</f>
        <v>6943338.6110077947</v>
      </c>
      <c r="AG173" s="65">
        <f>(AG28*AG74)*INDEX('Availability Model'!$C$93:$T$96, MATCH($K$164,'Availability Model'!$B$93:$B$96, 0), MATCH($K$10, 'Availability Model'!$C$1:$T$1, 0))</f>
        <v>7593235.1049981248</v>
      </c>
      <c r="AH173" s="65">
        <f>(AH28*AH74)*INDEX('Availability Model'!$C$93:$T$96, MATCH($K$164,'Availability Model'!$B$93:$B$96, 0), MATCH($K$10, 'Availability Model'!$C$1:$T$1, 0))</f>
        <v>8303961.9108259482</v>
      </c>
      <c r="AI173" s="65">
        <f>(AI28*AI74)*INDEX('Availability Model'!$C$93:$T$96, MATCH($K$164,'Availability Model'!$B$93:$B$96, 0), MATCH($K$10, 'Availability Model'!$C$1:$T$1, 0))</f>
        <v>9081212.7456792556</v>
      </c>
      <c r="AJ173" s="65">
        <f>(AJ28*AJ74)*INDEX('Availability Model'!$C$93:$T$96, MATCH($K$164,'Availability Model'!$B$93:$B$96, 0), MATCH($K$10, 'Availability Model'!$C$1:$T$1, 0))</f>
        <v>9931214.2586748339</v>
      </c>
      <c r="AK173" s="65">
        <f>(AK28*AK74)*INDEX('Availability Model'!$C$93:$T$96, MATCH($K$164,'Availability Model'!$B$93:$B$96, 0), MATCH($K$10, 'Availability Model'!$C$1:$T$1, 0))</f>
        <v>10860775.913286798</v>
      </c>
      <c r="AL173" s="65">
        <f>(AL28*AL74)*INDEX('Availability Model'!$C$93:$T$96, MATCH($K$164,'Availability Model'!$B$93:$B$96, 0), MATCH($K$10, 'Availability Model'!$C$1:$T$1, 0))</f>
        <v>11877344.538770441</v>
      </c>
    </row>
    <row r="174" spans="4:38">
      <c r="E174" s="16"/>
      <c r="K174" s="65"/>
    </row>
    <row r="175" spans="4:38">
      <c r="D175" s="3" t="s">
        <v>474</v>
      </c>
      <c r="E175" s="16" t="s">
        <v>211</v>
      </c>
      <c r="K175" s="65">
        <f>K172+K173</f>
        <v>104654.25</v>
      </c>
      <c r="L175" s="65">
        <f t="shared" ref="L175:AK175" si="73">L172+L173</f>
        <v>108070.32889508041</v>
      </c>
      <c r="M175" s="65">
        <f t="shared" si="73"/>
        <v>123222.34418657479</v>
      </c>
      <c r="N175" s="65">
        <f t="shared" si="73"/>
        <v>875621.78677276801</v>
      </c>
      <c r="O175" s="65">
        <f t="shared" si="73"/>
        <v>2076622.4426562337</v>
      </c>
      <c r="P175" s="65">
        <f t="shared" si="73"/>
        <v>2270994.303288857</v>
      </c>
      <c r="Q175" s="65">
        <f t="shared" si="73"/>
        <v>2917777.625279895</v>
      </c>
      <c r="R175" s="65">
        <f t="shared" si="73"/>
        <v>3190881.6110060923</v>
      </c>
      <c r="S175" s="65">
        <f t="shared" si="73"/>
        <v>4148079.8725400222</v>
      </c>
      <c r="T175" s="65">
        <f t="shared" si="73"/>
        <v>4536340.1486097677</v>
      </c>
      <c r="U175" s="65">
        <f t="shared" si="73"/>
        <v>3357971.8614996313</v>
      </c>
      <c r="V175" s="65">
        <f t="shared" si="73"/>
        <v>3672278.0277359965</v>
      </c>
      <c r="W175" s="65">
        <f t="shared" si="73"/>
        <v>4016003.251132085</v>
      </c>
      <c r="X175" s="65">
        <f t="shared" si="73"/>
        <v>4386157.2410233831</v>
      </c>
      <c r="Y175" s="65">
        <f t="shared" si="73"/>
        <v>4802983.1035870491</v>
      </c>
      <c r="Z175" s="65">
        <f t="shared" si="73"/>
        <v>5252542.3220827961</v>
      </c>
      <c r="AA175" s="65">
        <f t="shared" si="73"/>
        <v>5744180.2834297456</v>
      </c>
      <c r="AB175" s="65">
        <f t="shared" si="73"/>
        <v>6273619.907256512</v>
      </c>
      <c r="AC175" s="65">
        <f t="shared" si="73"/>
        <v>5308756.9267716398</v>
      </c>
      <c r="AD175" s="65">
        <f t="shared" si="73"/>
        <v>5805656.5751174651</v>
      </c>
      <c r="AE175" s="65">
        <f t="shared" si="73"/>
        <v>6349066.0305484599</v>
      </c>
      <c r="AF175" s="65">
        <f t="shared" si="73"/>
        <v>6943338.6110077947</v>
      </c>
      <c r="AG175" s="65">
        <f t="shared" si="73"/>
        <v>7593235.1049981248</v>
      </c>
      <c r="AH175" s="65">
        <f t="shared" si="73"/>
        <v>8303961.9108259482</v>
      </c>
      <c r="AI175" s="65">
        <f t="shared" si="73"/>
        <v>9081212.7456792556</v>
      </c>
      <c r="AJ175" s="65">
        <f t="shared" si="73"/>
        <v>9931214.2586748339</v>
      </c>
      <c r="AK175" s="65">
        <f t="shared" si="73"/>
        <v>10860775.913286798</v>
      </c>
      <c r="AL175" s="65">
        <f>AL172+AL173</f>
        <v>11877344.538770441</v>
      </c>
    </row>
    <row r="176" spans="4:38">
      <c r="D176" s="7"/>
    </row>
    <row r="177" spans="4:39" ht="18">
      <c r="D177" s="15" t="s">
        <v>261</v>
      </c>
    </row>
    <row r="186" spans="4:39" ht="18">
      <c r="D186" s="71" t="s">
        <v>251</v>
      </c>
    </row>
    <row r="188" spans="4:39">
      <c r="D188" s="7" t="s">
        <v>242</v>
      </c>
      <c r="E188" s="7" t="s">
        <v>243</v>
      </c>
      <c r="K188" s="9">
        <f>Inputs!F34/'Initiative 4 Model'!K11</f>
        <v>8261.9863013698632</v>
      </c>
      <c r="L188" s="9">
        <f>Inputs!G34/'Initiative 4 Model'!L11</f>
        <v>8584.9808743169397</v>
      </c>
      <c r="M188" s="9">
        <f>Inputs!H34/'Initiative 4 Model'!M11</f>
        <v>7544.5084200913252</v>
      </c>
      <c r="N188" s="65">
        <f t="shared" ref="N188:AL188" si="74">N65/N11</f>
        <v>8778.396247123288</v>
      </c>
      <c r="O188" s="65">
        <f t="shared" si="74"/>
        <v>8778.396247123288</v>
      </c>
      <c r="P188" s="65">
        <f t="shared" si="74"/>
        <v>8754.4115579234967</v>
      </c>
      <c r="Q188" s="65">
        <f t="shared" si="74"/>
        <v>8778.396247123288</v>
      </c>
      <c r="R188" s="65">
        <f t="shared" si="74"/>
        <v>8778.396247123288</v>
      </c>
      <c r="S188" s="65">
        <f t="shared" si="74"/>
        <v>8778.396247123288</v>
      </c>
      <c r="T188" s="65">
        <f t="shared" si="74"/>
        <v>8754.4115579234967</v>
      </c>
      <c r="U188" s="65">
        <f t="shared" si="74"/>
        <v>8778.396247123288</v>
      </c>
      <c r="V188" s="65">
        <f t="shared" si="74"/>
        <v>8778.396247123288</v>
      </c>
      <c r="W188" s="65">
        <f t="shared" si="74"/>
        <v>8778.396247123288</v>
      </c>
      <c r="X188" s="65">
        <f t="shared" si="74"/>
        <v>8754.4115579234967</v>
      </c>
      <c r="Y188" s="65">
        <f t="shared" si="74"/>
        <v>8778.396247123288</v>
      </c>
      <c r="Z188" s="65">
        <f t="shared" si="74"/>
        <v>8778.396247123288</v>
      </c>
      <c r="AA188" s="65">
        <f t="shared" si="74"/>
        <v>16929.018867425919</v>
      </c>
      <c r="AB188" s="65">
        <f t="shared" si="74"/>
        <v>16882.764717514918</v>
      </c>
      <c r="AC188" s="65">
        <f t="shared" si="74"/>
        <v>16929.018867425919</v>
      </c>
      <c r="AD188" s="65">
        <f t="shared" si="74"/>
        <v>16929.018867425919</v>
      </c>
      <c r="AE188" s="65">
        <f t="shared" si="74"/>
        <v>16929.018867425919</v>
      </c>
      <c r="AF188" s="65">
        <f t="shared" si="74"/>
        <v>16882.764717514918</v>
      </c>
      <c r="AG188" s="65">
        <f t="shared" si="74"/>
        <v>16929.018867425919</v>
      </c>
      <c r="AH188" s="65">
        <f t="shared" si="74"/>
        <v>16929.018867425919</v>
      </c>
      <c r="AI188" s="65">
        <f t="shared" si="74"/>
        <v>16929.018867425919</v>
      </c>
      <c r="AJ188" s="65">
        <f t="shared" si="74"/>
        <v>16882.764717514918</v>
      </c>
      <c r="AK188" s="65">
        <f t="shared" si="74"/>
        <v>16929.018867425919</v>
      </c>
      <c r="AL188" s="65">
        <f t="shared" si="74"/>
        <v>16929.018867425919</v>
      </c>
    </row>
    <row r="189" spans="4:39">
      <c r="D189" s="7" t="s">
        <v>244</v>
      </c>
      <c r="E189" s="7" t="s">
        <v>106</v>
      </c>
      <c r="K189" s="9">
        <f>K135</f>
        <v>11</v>
      </c>
      <c r="L189" s="9">
        <f t="shared" ref="L189:AL189" si="75">L135</f>
        <v>11</v>
      </c>
      <c r="M189" s="9">
        <f t="shared" si="75"/>
        <v>11</v>
      </c>
      <c r="N189" s="9">
        <f t="shared" si="75"/>
        <v>11</v>
      </c>
      <c r="O189" s="9">
        <f t="shared" si="75"/>
        <v>11</v>
      </c>
      <c r="P189" s="9">
        <f t="shared" si="75"/>
        <v>11</v>
      </c>
      <c r="Q189" s="9">
        <f t="shared" si="75"/>
        <v>11</v>
      </c>
      <c r="R189" s="9">
        <f t="shared" si="75"/>
        <v>11</v>
      </c>
      <c r="S189" s="9">
        <f t="shared" si="75"/>
        <v>11</v>
      </c>
      <c r="T189" s="9">
        <f t="shared" si="75"/>
        <v>11</v>
      </c>
      <c r="U189" s="9">
        <f t="shared" si="75"/>
        <v>11</v>
      </c>
      <c r="V189" s="9">
        <f t="shared" si="75"/>
        <v>11</v>
      </c>
      <c r="W189" s="9">
        <f t="shared" si="75"/>
        <v>11</v>
      </c>
      <c r="X189" s="9">
        <f t="shared" si="75"/>
        <v>11</v>
      </c>
      <c r="Y189" s="9">
        <f t="shared" si="75"/>
        <v>11</v>
      </c>
      <c r="Z189" s="9">
        <f t="shared" si="75"/>
        <v>11</v>
      </c>
      <c r="AA189" s="9">
        <f t="shared" si="75"/>
        <v>11</v>
      </c>
      <c r="AB189" s="9">
        <f t="shared" si="75"/>
        <v>11</v>
      </c>
      <c r="AC189" s="9">
        <f t="shared" si="75"/>
        <v>11</v>
      </c>
      <c r="AD189" s="9">
        <f t="shared" si="75"/>
        <v>11</v>
      </c>
      <c r="AE189" s="9">
        <f t="shared" si="75"/>
        <v>11</v>
      </c>
      <c r="AF189" s="9">
        <f t="shared" si="75"/>
        <v>11</v>
      </c>
      <c r="AG189" s="9">
        <f t="shared" si="75"/>
        <v>11</v>
      </c>
      <c r="AH189" s="9">
        <f t="shared" si="75"/>
        <v>11</v>
      </c>
      <c r="AI189" s="9">
        <f t="shared" si="75"/>
        <v>11</v>
      </c>
      <c r="AJ189" s="9">
        <f t="shared" si="75"/>
        <v>11</v>
      </c>
      <c r="AK189" s="9">
        <f t="shared" si="75"/>
        <v>11</v>
      </c>
      <c r="AL189" s="9">
        <f t="shared" si="75"/>
        <v>11</v>
      </c>
    </row>
    <row r="190" spans="4:39">
      <c r="D190" s="7" t="s">
        <v>244</v>
      </c>
      <c r="E190" s="7" t="s">
        <v>113</v>
      </c>
      <c r="K190" s="9">
        <f>IF(K27&gt;0,K189*K188,0)</f>
        <v>90881.849315068495</v>
      </c>
      <c r="L190" s="9">
        <f t="shared" ref="L190:AL190" si="76">IF(L27&gt;0,L189*L188,0)</f>
        <v>94434.789617486342</v>
      </c>
      <c r="M190" s="9">
        <f t="shared" si="76"/>
        <v>82989.592621004573</v>
      </c>
      <c r="N190" s="9">
        <f t="shared" si="76"/>
        <v>96562.358718356176</v>
      </c>
      <c r="O190" s="9">
        <f t="shared" si="76"/>
        <v>0</v>
      </c>
      <c r="P190" s="9">
        <f t="shared" si="76"/>
        <v>0</v>
      </c>
      <c r="Q190" s="9">
        <f t="shared" si="76"/>
        <v>0</v>
      </c>
      <c r="R190" s="9">
        <f t="shared" si="76"/>
        <v>0</v>
      </c>
      <c r="S190" s="9">
        <f t="shared" si="76"/>
        <v>0</v>
      </c>
      <c r="T190" s="9">
        <f t="shared" si="76"/>
        <v>0</v>
      </c>
      <c r="U190" s="9">
        <f t="shared" si="76"/>
        <v>0</v>
      </c>
      <c r="V190" s="9">
        <f t="shared" si="76"/>
        <v>0</v>
      </c>
      <c r="W190" s="9">
        <f t="shared" si="76"/>
        <v>0</v>
      </c>
      <c r="X190" s="9">
        <f t="shared" si="76"/>
        <v>0</v>
      </c>
      <c r="Y190" s="9">
        <f t="shared" si="76"/>
        <v>0</v>
      </c>
      <c r="Z190" s="9">
        <f t="shared" si="76"/>
        <v>0</v>
      </c>
      <c r="AA190" s="9">
        <f t="shared" si="76"/>
        <v>0</v>
      </c>
      <c r="AB190" s="9">
        <f t="shared" si="76"/>
        <v>0</v>
      </c>
      <c r="AC190" s="9">
        <f t="shared" si="76"/>
        <v>186219.20754168511</v>
      </c>
      <c r="AD190" s="9">
        <f t="shared" si="76"/>
        <v>186219.20754168511</v>
      </c>
      <c r="AE190" s="9">
        <f t="shared" si="76"/>
        <v>186219.20754168511</v>
      </c>
      <c r="AF190" s="9">
        <f t="shared" si="76"/>
        <v>185710.41189266409</v>
      </c>
      <c r="AG190" s="9">
        <f t="shared" si="76"/>
        <v>186219.20754168511</v>
      </c>
      <c r="AH190" s="9">
        <f t="shared" si="76"/>
        <v>186219.20754168511</v>
      </c>
      <c r="AI190" s="9">
        <f t="shared" si="76"/>
        <v>186219.20754168511</v>
      </c>
      <c r="AJ190" s="9">
        <f t="shared" si="76"/>
        <v>185710.41189266409</v>
      </c>
      <c r="AK190" s="9">
        <f t="shared" si="76"/>
        <v>186219.20754168511</v>
      </c>
      <c r="AL190" s="9">
        <f t="shared" si="76"/>
        <v>186219.20754168511</v>
      </c>
      <c r="AM190" s="133">
        <f>SUM(M190:AL190)</f>
        <v>2040726.4354581698</v>
      </c>
    </row>
    <row r="191" spans="4:39">
      <c r="D191" s="109" t="s">
        <v>374</v>
      </c>
      <c r="E191" s="109"/>
      <c r="F191" s="110"/>
      <c r="G191" s="110"/>
      <c r="H191" s="110"/>
      <c r="I191" s="110"/>
      <c r="J191" s="110"/>
      <c r="K191" s="111">
        <f t="shared" ref="K191:AL191" si="77">K190/K65</f>
        <v>2.8364106720300351E-2</v>
      </c>
      <c r="L191" s="111">
        <f t="shared" si="77"/>
        <v>2.9472974757957317E-2</v>
      </c>
      <c r="M191" s="111">
        <f t="shared" si="77"/>
        <v>2.5900943692462208E-2</v>
      </c>
      <c r="N191" s="111">
        <f t="shared" si="77"/>
        <v>3.0136986301369868E-2</v>
      </c>
      <c r="O191" s="111">
        <f t="shared" si="77"/>
        <v>0</v>
      </c>
      <c r="P191" s="111">
        <f t="shared" si="77"/>
        <v>0</v>
      </c>
      <c r="Q191" s="111">
        <f t="shared" si="77"/>
        <v>0</v>
      </c>
      <c r="R191" s="111">
        <f t="shared" si="77"/>
        <v>0</v>
      </c>
      <c r="S191" s="111">
        <f t="shared" si="77"/>
        <v>0</v>
      </c>
      <c r="T191" s="111">
        <f t="shared" si="77"/>
        <v>0</v>
      </c>
      <c r="U191" s="111">
        <f t="shared" si="77"/>
        <v>0</v>
      </c>
      <c r="V191" s="111">
        <f t="shared" si="77"/>
        <v>0</v>
      </c>
      <c r="W191" s="111">
        <f t="shared" si="77"/>
        <v>0</v>
      </c>
      <c r="X191" s="111">
        <f t="shared" si="77"/>
        <v>0</v>
      </c>
      <c r="Y191" s="111">
        <f t="shared" si="77"/>
        <v>0</v>
      </c>
      <c r="Z191" s="111">
        <f t="shared" si="77"/>
        <v>0</v>
      </c>
      <c r="AA191" s="111">
        <f t="shared" si="77"/>
        <v>0</v>
      </c>
      <c r="AB191" s="111">
        <f t="shared" si="77"/>
        <v>0</v>
      </c>
      <c r="AC191" s="111">
        <f t="shared" si="77"/>
        <v>3.0136986301369864E-2</v>
      </c>
      <c r="AD191" s="111">
        <f t="shared" si="77"/>
        <v>3.0136986301369864E-2</v>
      </c>
      <c r="AE191" s="111">
        <f t="shared" si="77"/>
        <v>3.0136986301369864E-2</v>
      </c>
      <c r="AF191" s="111">
        <f t="shared" si="77"/>
        <v>3.0054644808743168E-2</v>
      </c>
      <c r="AG191" s="111">
        <f t="shared" si="77"/>
        <v>3.0136986301369864E-2</v>
      </c>
      <c r="AH191" s="111">
        <f t="shared" si="77"/>
        <v>3.0136986301369864E-2</v>
      </c>
      <c r="AI191" s="111">
        <f t="shared" si="77"/>
        <v>3.0136986301369864E-2</v>
      </c>
      <c r="AJ191" s="111">
        <f t="shared" si="77"/>
        <v>3.0054644808743168E-2</v>
      </c>
      <c r="AK191" s="111">
        <f t="shared" si="77"/>
        <v>3.0136986301369864E-2</v>
      </c>
      <c r="AL191" s="111">
        <f t="shared" si="77"/>
        <v>3.0136986301369864E-2</v>
      </c>
    </row>
    <row r="192" spans="4:39">
      <c r="K192" s="9"/>
    </row>
    <row r="193" spans="4:40">
      <c r="D193" t="s">
        <v>399</v>
      </c>
      <c r="E193" t="s">
        <v>108</v>
      </c>
      <c r="K193" s="9">
        <f>K81/Inputs!E34</f>
        <v>551.54081671843676</v>
      </c>
      <c r="L193" s="9">
        <f>L81/Inputs!F34</f>
        <v>623.41968911917104</v>
      </c>
      <c r="M193" s="9">
        <f>M81/Inputs!G34</f>
        <v>636.51637136020042</v>
      </c>
      <c r="N193" s="65">
        <f t="shared" ref="N193:AL193" si="78">N81/N65</f>
        <v>661.64923689626869</v>
      </c>
      <c r="O193" s="65">
        <f t="shared" si="78"/>
        <v>701.34819111004481</v>
      </c>
      <c r="P193" s="65">
        <f t="shared" si="78"/>
        <v>743.42908257664749</v>
      </c>
      <c r="Q193" s="65">
        <f t="shared" si="78"/>
        <v>788.03482753124626</v>
      </c>
      <c r="R193" s="65">
        <f t="shared" si="78"/>
        <v>835.31691718312118</v>
      </c>
      <c r="S193" s="65">
        <f t="shared" si="78"/>
        <v>885.43593221410856</v>
      </c>
      <c r="T193" s="65">
        <f t="shared" si="78"/>
        <v>938.56208814695515</v>
      </c>
      <c r="U193" s="65">
        <f t="shared" si="78"/>
        <v>994.87581343577244</v>
      </c>
      <c r="V193" s="65">
        <f t="shared" si="78"/>
        <v>1054.5683622419187</v>
      </c>
      <c r="W193" s="65">
        <f t="shared" si="78"/>
        <v>1117.8424639764339</v>
      </c>
      <c r="X193" s="65">
        <f t="shared" si="78"/>
        <v>1184.9130118150201</v>
      </c>
      <c r="Y193" s="65">
        <f t="shared" si="78"/>
        <v>1256.0077925239214</v>
      </c>
      <c r="Z193" s="65">
        <f t="shared" si="78"/>
        <v>1331.3682600753566</v>
      </c>
      <c r="AA193" s="65">
        <f t="shared" si="78"/>
        <v>731.79166040679934</v>
      </c>
      <c r="AB193" s="65">
        <f t="shared" si="78"/>
        <v>775.69916003120738</v>
      </c>
      <c r="AC193" s="65">
        <f t="shared" si="78"/>
        <v>822.24110963307999</v>
      </c>
      <c r="AD193" s="65">
        <f t="shared" si="78"/>
        <v>871.5755762110648</v>
      </c>
      <c r="AE193" s="65">
        <f t="shared" si="78"/>
        <v>923.87011078372871</v>
      </c>
      <c r="AF193" s="65">
        <f t="shared" si="78"/>
        <v>979.30231743075251</v>
      </c>
      <c r="AG193" s="65">
        <f t="shared" si="78"/>
        <v>1038.0604564765977</v>
      </c>
      <c r="AH193" s="65">
        <f t="shared" si="78"/>
        <v>1100.3440838651934</v>
      </c>
      <c r="AI193" s="65">
        <f t="shared" si="78"/>
        <v>1166.3647288971051</v>
      </c>
      <c r="AJ193" s="65">
        <f t="shared" si="78"/>
        <v>1236.3466126309315</v>
      </c>
      <c r="AK193" s="65">
        <f t="shared" si="78"/>
        <v>1310.5274093887874</v>
      </c>
      <c r="AL193" s="65">
        <f t="shared" si="78"/>
        <v>1389.1590539521146</v>
      </c>
    </row>
    <row r="194" spans="4:40">
      <c r="D194" s="7" t="s">
        <v>245</v>
      </c>
      <c r="E194" s="7" t="s">
        <v>211</v>
      </c>
      <c r="K194" s="9">
        <f t="shared" ref="K194:AL194" si="79">K190*K193</f>
        <v>50125049.396114781</v>
      </c>
      <c r="L194" s="9">
        <f t="shared" si="79"/>
        <v>58872507.185367659</v>
      </c>
      <c r="M194" s="9">
        <f t="shared" si="79"/>
        <v>52824234.355783097</v>
      </c>
      <c r="N194" s="9">
        <f t="shared" si="79"/>
        <v>63890410.958904125</v>
      </c>
      <c r="O194" s="9">
        <f t="shared" si="79"/>
        <v>0</v>
      </c>
      <c r="P194" s="9">
        <f t="shared" si="79"/>
        <v>0</v>
      </c>
      <c r="Q194" s="9">
        <f t="shared" si="79"/>
        <v>0</v>
      </c>
      <c r="R194" s="9">
        <f t="shared" si="79"/>
        <v>0</v>
      </c>
      <c r="S194" s="9">
        <f t="shared" si="79"/>
        <v>0</v>
      </c>
      <c r="T194" s="9">
        <f t="shared" si="79"/>
        <v>0</v>
      </c>
      <c r="U194" s="9">
        <f t="shared" si="79"/>
        <v>0</v>
      </c>
      <c r="V194" s="9">
        <f t="shared" si="79"/>
        <v>0</v>
      </c>
      <c r="W194" s="9">
        <f t="shared" si="79"/>
        <v>0</v>
      </c>
      <c r="X194" s="9">
        <f t="shared" si="79"/>
        <v>0</v>
      </c>
      <c r="Y194" s="9">
        <f t="shared" si="79"/>
        <v>0</v>
      </c>
      <c r="Z194" s="9">
        <f t="shared" si="79"/>
        <v>0</v>
      </c>
      <c r="AA194" s="9">
        <f t="shared" si="79"/>
        <v>0</v>
      </c>
      <c r="AB194" s="9">
        <f t="shared" si="79"/>
        <v>0</v>
      </c>
      <c r="AC194" s="9">
        <f t="shared" si="79"/>
        <v>153117087.84406799</v>
      </c>
      <c r="AD194" s="9">
        <f t="shared" si="79"/>
        <v>162304113.11471206</v>
      </c>
      <c r="AE194" s="9">
        <f t="shared" si="79"/>
        <v>172042359.90159479</v>
      </c>
      <c r="AF194" s="9">
        <f t="shared" si="79"/>
        <v>181866636.73750553</v>
      </c>
      <c r="AG194" s="9">
        <f t="shared" si="79"/>
        <v>193306795.58543193</v>
      </c>
      <c r="AH194" s="9">
        <f t="shared" si="79"/>
        <v>204905203.32055783</v>
      </c>
      <c r="AI194" s="9">
        <f t="shared" si="79"/>
        <v>217199515.51979131</v>
      </c>
      <c r="AJ194" s="9">
        <f t="shared" si="79"/>
        <v>229602438.67379031</v>
      </c>
      <c r="AK194" s="9">
        <f t="shared" si="79"/>
        <v>244045375.63803753</v>
      </c>
      <c r="AL194" s="9">
        <f t="shared" si="79"/>
        <v>258688098.17631978</v>
      </c>
    </row>
    <row r="195" spans="4:40">
      <c r="D195" t="s">
        <v>316</v>
      </c>
      <c r="E195" s="7" t="s">
        <v>211</v>
      </c>
      <c r="K195" s="65">
        <f>K152+K175+K148</f>
        <v>316390.48510273971</v>
      </c>
      <c r="L195" s="65">
        <f t="shared" ref="L195:AL195" si="80">L152+L175+L148</f>
        <v>326525.14011456911</v>
      </c>
      <c r="M195" s="65">
        <f t="shared" si="80"/>
        <v>371886.20187630242</v>
      </c>
      <c r="N195" s="65">
        <f t="shared" si="80"/>
        <v>1549755.5701558334</v>
      </c>
      <c r="O195" s="65">
        <f t="shared" si="80"/>
        <v>2076622.4426562337</v>
      </c>
      <c r="P195" s="65">
        <f t="shared" si="80"/>
        <v>2270994.303288857</v>
      </c>
      <c r="Q195" s="65">
        <f t="shared" si="80"/>
        <v>2917777.625279895</v>
      </c>
      <c r="R195" s="65">
        <f t="shared" si="80"/>
        <v>3190881.6110060923</v>
      </c>
      <c r="S195" s="65">
        <f t="shared" si="80"/>
        <v>4148079.8725400222</v>
      </c>
      <c r="T195" s="65">
        <f t="shared" si="80"/>
        <v>4536340.1486097677</v>
      </c>
      <c r="U195" s="65">
        <f t="shared" si="80"/>
        <v>3357971.8614996313</v>
      </c>
      <c r="V195" s="65">
        <f t="shared" si="80"/>
        <v>3672278.0277359965</v>
      </c>
      <c r="W195" s="65">
        <f t="shared" si="80"/>
        <v>4016003.251132085</v>
      </c>
      <c r="X195" s="65">
        <f t="shared" si="80"/>
        <v>4386157.2410233831</v>
      </c>
      <c r="Y195" s="65">
        <f t="shared" si="80"/>
        <v>4802983.1035870491</v>
      </c>
      <c r="Z195" s="65">
        <f t="shared" si="80"/>
        <v>5252542.3220827961</v>
      </c>
      <c r="AA195" s="65">
        <f t="shared" si="80"/>
        <v>5744180.2834297456</v>
      </c>
      <c r="AB195" s="65">
        <f t="shared" si="80"/>
        <v>6273619.907256512</v>
      </c>
      <c r="AC195" s="65">
        <f t="shared" si="80"/>
        <v>9072284.5448390841</v>
      </c>
      <c r="AD195" s="65">
        <f t="shared" si="80"/>
        <v>9920980.3239219561</v>
      </c>
      <c r="AE195" s="65">
        <f t="shared" si="80"/>
        <v>10849085.824668139</v>
      </c>
      <c r="AF195" s="65">
        <f t="shared" si="80"/>
        <v>11863845.676717391</v>
      </c>
      <c r="AG195" s="65">
        <f t="shared" si="80"/>
        <v>12973945.667632937</v>
      </c>
      <c r="AH195" s="65">
        <f t="shared" si="80"/>
        <v>14187713.549381923</v>
      </c>
      <c r="AI195" s="65">
        <f t="shared" si="80"/>
        <v>15515054.498898122</v>
      </c>
      <c r="AJ195" s="65">
        <f t="shared" si="80"/>
        <v>16966353.859727189</v>
      </c>
      <c r="AK195" s="65">
        <f t="shared" si="80"/>
        <v>18553963.493331965</v>
      </c>
      <c r="AL195" s="65">
        <f t="shared" si="80"/>
        <v>20289865.281144433</v>
      </c>
    </row>
    <row r="196" spans="4:40">
      <c r="D196" s="110" t="s">
        <v>335</v>
      </c>
      <c r="E196" s="109" t="s">
        <v>211</v>
      </c>
      <c r="F196" s="110"/>
      <c r="G196" s="110"/>
      <c r="H196" s="110"/>
      <c r="I196" s="110"/>
      <c r="J196" s="110"/>
      <c r="K196" s="122">
        <f>K194+K195</f>
        <v>50441439.881217524</v>
      </c>
      <c r="L196" s="122">
        <f t="shared" ref="L196:AL196" si="81">L194+L195</f>
        <v>59199032.325482227</v>
      </c>
      <c r="M196" s="122">
        <f>M194+M195</f>
        <v>53196120.557659402</v>
      </c>
      <c r="N196" s="122">
        <f t="shared" si="81"/>
        <v>65440166.529059961</v>
      </c>
      <c r="O196" s="122">
        <f t="shared" si="81"/>
        <v>2076622.4426562337</v>
      </c>
      <c r="P196" s="122">
        <f t="shared" si="81"/>
        <v>2270994.303288857</v>
      </c>
      <c r="Q196" s="122">
        <f t="shared" si="81"/>
        <v>2917777.625279895</v>
      </c>
      <c r="R196" s="122">
        <f t="shared" si="81"/>
        <v>3190881.6110060923</v>
      </c>
      <c r="S196" s="122">
        <f t="shared" si="81"/>
        <v>4148079.8725400222</v>
      </c>
      <c r="T196" s="122">
        <f t="shared" si="81"/>
        <v>4536340.1486097677</v>
      </c>
      <c r="U196" s="122">
        <f t="shared" si="81"/>
        <v>3357971.8614996313</v>
      </c>
      <c r="V196" s="122">
        <f t="shared" si="81"/>
        <v>3672278.0277359965</v>
      </c>
      <c r="W196" s="122">
        <f t="shared" si="81"/>
        <v>4016003.251132085</v>
      </c>
      <c r="X196" s="122">
        <f t="shared" si="81"/>
        <v>4386157.2410233831</v>
      </c>
      <c r="Y196" s="122">
        <f t="shared" si="81"/>
        <v>4802983.1035870491</v>
      </c>
      <c r="Z196" s="122">
        <f t="shared" si="81"/>
        <v>5252542.3220827961</v>
      </c>
      <c r="AA196" s="122">
        <f t="shared" si="81"/>
        <v>5744180.2834297456</v>
      </c>
      <c r="AB196" s="122">
        <f t="shared" si="81"/>
        <v>6273619.907256512</v>
      </c>
      <c r="AC196" s="122">
        <f t="shared" si="81"/>
        <v>162189372.38890707</v>
      </c>
      <c r="AD196" s="122">
        <f t="shared" si="81"/>
        <v>172225093.43863401</v>
      </c>
      <c r="AE196" s="122">
        <f t="shared" si="81"/>
        <v>182891445.72626293</v>
      </c>
      <c r="AF196" s="122">
        <f t="shared" si="81"/>
        <v>193730482.41422293</v>
      </c>
      <c r="AG196" s="122">
        <f t="shared" si="81"/>
        <v>206280741.25306487</v>
      </c>
      <c r="AH196" s="122">
        <f t="shared" si="81"/>
        <v>219092916.86993974</v>
      </c>
      <c r="AI196" s="122">
        <f t="shared" si="81"/>
        <v>232714570.01868942</v>
      </c>
      <c r="AJ196" s="122">
        <f t="shared" si="81"/>
        <v>246568792.53351748</v>
      </c>
      <c r="AK196" s="122">
        <f t="shared" si="81"/>
        <v>262599339.1313695</v>
      </c>
      <c r="AL196" s="122">
        <f t="shared" si="81"/>
        <v>278977963.45746422</v>
      </c>
    </row>
    <row r="197" spans="4:40">
      <c r="E197" s="7"/>
      <c r="K197" s="65">
        <f>K196/K26</f>
        <v>261.35461078351051</v>
      </c>
      <c r="L197" s="65">
        <f t="shared" ref="L197:N197" si="82">L196/L26</f>
        <v>324.83752796423408</v>
      </c>
      <c r="M197" s="65">
        <f t="shared" si="82"/>
        <v>279.96713872820197</v>
      </c>
      <c r="N197" s="65">
        <f t="shared" si="82"/>
        <v>137.60702216618142</v>
      </c>
      <c r="O197" s="65">
        <f>O175/O26</f>
        <v>4.0271819999999998</v>
      </c>
      <c r="P197" s="65">
        <f t="shared" ref="P197:AL197" si="83">P175/P26</f>
        <v>4.4041262351999997</v>
      </c>
      <c r="Q197" s="65">
        <f t="shared" si="83"/>
        <v>4.8163524508147191</v>
      </c>
      <c r="R197" s="65">
        <f t="shared" si="83"/>
        <v>5.2671630402109759</v>
      </c>
      <c r="S197" s="65">
        <f t="shared" si="83"/>
        <v>5.7601695007747225</v>
      </c>
      <c r="T197" s="65">
        <f t="shared" si="83"/>
        <v>6.299321366047236</v>
      </c>
      <c r="U197" s="65">
        <f t="shared" si="83"/>
        <v>4.6629977472506523</v>
      </c>
      <c r="V197" s="65">
        <f t="shared" si="83"/>
        <v>5.0994543363933129</v>
      </c>
      <c r="W197" s="65">
        <f t="shared" si="83"/>
        <v>5.5767632622797265</v>
      </c>
      <c r="X197" s="65">
        <f t="shared" si="83"/>
        <v>6.0907721021954186</v>
      </c>
      <c r="Y197" s="65">
        <f t="shared" si="83"/>
        <v>6.6695911448487921</v>
      </c>
      <c r="Z197" s="65">
        <f t="shared" si="83"/>
        <v>7.2938648760066389</v>
      </c>
      <c r="AA197" s="65">
        <f t="shared" si="83"/>
        <v>7.97657062840086</v>
      </c>
      <c r="AB197" s="65">
        <f t="shared" si="83"/>
        <v>8.7117690979040905</v>
      </c>
      <c r="AC197" s="65">
        <f t="shared" si="83"/>
        <v>7.3719264518143648</v>
      </c>
      <c r="AD197" s="65">
        <f t="shared" si="83"/>
        <v>8.0619387677041896</v>
      </c>
      <c r="AE197" s="65">
        <f t="shared" si="83"/>
        <v>8.8165362363613013</v>
      </c>
      <c r="AF197" s="65">
        <f t="shared" si="83"/>
        <v>9.641764028084717</v>
      </c>
      <c r="AG197" s="65">
        <f t="shared" si="83"/>
        <v>10.544233141113448</v>
      </c>
      <c r="AH197" s="65">
        <f t="shared" si="83"/>
        <v>11.531173363121665</v>
      </c>
      <c r="AI197" s="65">
        <f t="shared" si="83"/>
        <v>12.610491189909851</v>
      </c>
      <c r="AJ197" s="65">
        <f t="shared" si="83"/>
        <v>13.790833165285413</v>
      </c>
      <c r="AK197" s="65">
        <f t="shared" si="83"/>
        <v>15.081655149556127</v>
      </c>
      <c r="AL197" s="65">
        <f t="shared" si="83"/>
        <v>16.493298071554577</v>
      </c>
    </row>
    <row r="198" spans="4:40">
      <c r="D198" s="63" t="s">
        <v>247</v>
      </c>
      <c r="E198" s="7" t="s">
        <v>101</v>
      </c>
      <c r="K198" s="10">
        <f>K194/20000000000</f>
        <v>2.5062524698057391E-3</v>
      </c>
    </row>
    <row r="199" spans="4:40">
      <c r="D199" s="7"/>
      <c r="E199" s="7"/>
      <c r="K199" s="10"/>
    </row>
    <row r="200" spans="4:40">
      <c r="D200" s="7"/>
      <c r="E200" s="7"/>
      <c r="K200" s="10"/>
    </row>
    <row r="201" spans="4:40">
      <c r="D201" s="110" t="s">
        <v>348</v>
      </c>
      <c r="E201" s="110" t="s">
        <v>211</v>
      </c>
      <c r="F201" s="110"/>
      <c r="G201" s="110"/>
      <c r="H201" s="110"/>
      <c r="I201" s="110"/>
      <c r="J201" s="110"/>
      <c r="K201" s="122">
        <f t="shared" ref="K201:AL201" si="84">K85+K92+K97</f>
        <v>9446804.7750000004</v>
      </c>
      <c r="L201" s="122">
        <f t="shared" si="84"/>
        <v>9561710.1156316809</v>
      </c>
      <c r="M201" s="122">
        <f t="shared" si="84"/>
        <v>10573824.57784687</v>
      </c>
      <c r="N201" s="122">
        <f t="shared" si="84"/>
        <v>27832572.701335274</v>
      </c>
      <c r="O201" s="122">
        <f t="shared" si="84"/>
        <v>28582831.733632732</v>
      </c>
      <c r="P201" s="122">
        <f t="shared" si="84"/>
        <v>31026456.052562669</v>
      </c>
      <c r="Q201" s="122">
        <f t="shared" si="84"/>
        <v>40878961.024009615</v>
      </c>
      <c r="R201" s="122">
        <f t="shared" si="84"/>
        <v>44129378.259496078</v>
      </c>
      <c r="S201" s="122">
        <f t="shared" si="84"/>
        <v>58461203.867314339</v>
      </c>
      <c r="T201" s="122">
        <f t="shared" si="84"/>
        <v>63090557.570207946</v>
      </c>
      <c r="U201" s="122">
        <f t="shared" si="84"/>
        <v>69288500.159996778</v>
      </c>
      <c r="V201" s="122">
        <f t="shared" si="84"/>
        <v>75109723.525172204</v>
      </c>
      <c r="W201" s="122">
        <f t="shared" si="84"/>
        <v>81429286.996423572</v>
      </c>
      <c r="X201" s="122">
        <f t="shared" si="84"/>
        <v>88297596.160251409</v>
      </c>
      <c r="Y201" s="122">
        <f t="shared" si="84"/>
        <v>95740551.455365792</v>
      </c>
      <c r="Z201" s="122">
        <f t="shared" si="84"/>
        <v>103830686.54820764</v>
      </c>
      <c r="AA201" s="122">
        <f t="shared" si="84"/>
        <v>112616738.98396891</v>
      </c>
      <c r="AB201" s="122">
        <f t="shared" si="84"/>
        <v>122174385.27959861</v>
      </c>
      <c r="AC201" s="122">
        <f t="shared" si="84"/>
        <v>134791111.1147576</v>
      </c>
      <c r="AD201" s="122">
        <f t="shared" si="84"/>
        <v>145977483.64246964</v>
      </c>
      <c r="AE201" s="122">
        <f t="shared" si="84"/>
        <v>158112831.29695871</v>
      </c>
      <c r="AF201" s="122">
        <f t="shared" si="84"/>
        <v>171295217.56624755</v>
      </c>
      <c r="AG201" s="122">
        <f t="shared" si="84"/>
        <v>185565520.70586312</v>
      </c>
      <c r="AH201" s="122">
        <f t="shared" si="84"/>
        <v>201068995.89040875</v>
      </c>
      <c r="AI201" s="122">
        <f t="shared" si="84"/>
        <v>217895044.47045854</v>
      </c>
      <c r="AJ201" s="122">
        <f t="shared" si="84"/>
        <v>236198902.2394622</v>
      </c>
      <c r="AK201" s="122">
        <f t="shared" si="84"/>
        <v>255984024.32324666</v>
      </c>
      <c r="AL201" s="122">
        <f t="shared" si="84"/>
        <v>277507676.98736221</v>
      </c>
    </row>
    <row r="202" spans="4:40">
      <c r="D202" t="s">
        <v>336</v>
      </c>
      <c r="E202" t="s">
        <v>211</v>
      </c>
      <c r="K202" s="65">
        <f>K201+K196</f>
        <v>59888244.656217523</v>
      </c>
      <c r="L202" s="65">
        <f t="shared" ref="L202:AL202" si="85">L201+L196</f>
        <v>68760742.441113904</v>
      </c>
      <c r="M202" s="65">
        <f t="shared" si="85"/>
        <v>63769945.135506272</v>
      </c>
      <c r="N202" s="65">
        <f t="shared" si="85"/>
        <v>93272739.230395228</v>
      </c>
      <c r="O202" s="65">
        <f t="shared" si="85"/>
        <v>30659454.176288966</v>
      </c>
      <c r="P202" s="65">
        <f t="shared" si="85"/>
        <v>33297450.355851527</v>
      </c>
      <c r="Q202" s="65">
        <f t="shared" si="85"/>
        <v>43796738.649289511</v>
      </c>
      <c r="R202" s="65">
        <f t="shared" si="85"/>
        <v>47320259.870502174</v>
      </c>
      <c r="S202" s="65">
        <f t="shared" si="85"/>
        <v>62609283.739854358</v>
      </c>
      <c r="T202" s="65">
        <f t="shared" si="85"/>
        <v>67626897.718817711</v>
      </c>
      <c r="U202" s="65">
        <f t="shared" si="85"/>
        <v>72646472.021496415</v>
      </c>
      <c r="V202" s="65">
        <f t="shared" si="85"/>
        <v>78782001.552908197</v>
      </c>
      <c r="W202" s="65">
        <f t="shared" si="85"/>
        <v>85445290.247555658</v>
      </c>
      <c r="X202" s="65">
        <f t="shared" si="85"/>
        <v>92683753.401274785</v>
      </c>
      <c r="Y202" s="65">
        <f t="shared" si="85"/>
        <v>100543534.55895284</v>
      </c>
      <c r="Z202" s="65">
        <f t="shared" si="85"/>
        <v>109083228.87029044</v>
      </c>
      <c r="AA202" s="65">
        <f t="shared" si="85"/>
        <v>118360919.26739866</v>
      </c>
      <c r="AB202" s="65">
        <f t="shared" si="85"/>
        <v>128448005.18685512</v>
      </c>
      <c r="AC202" s="65">
        <f t="shared" si="85"/>
        <v>296980483.50366467</v>
      </c>
      <c r="AD202" s="65">
        <f t="shared" si="85"/>
        <v>318202577.08110368</v>
      </c>
      <c r="AE202" s="65">
        <f t="shared" si="85"/>
        <v>341004277.02322161</v>
      </c>
      <c r="AF202" s="65">
        <f t="shared" si="85"/>
        <v>365025699.98047048</v>
      </c>
      <c r="AG202" s="65">
        <f t="shared" si="85"/>
        <v>391846261.95892799</v>
      </c>
      <c r="AH202" s="65">
        <f t="shared" si="85"/>
        <v>420161912.7603485</v>
      </c>
      <c r="AI202" s="65">
        <f t="shared" si="85"/>
        <v>450609614.48914796</v>
      </c>
      <c r="AJ202" s="65">
        <f t="shared" si="85"/>
        <v>482767694.77297968</v>
      </c>
      <c r="AK202" s="65">
        <f t="shared" si="85"/>
        <v>518583363.45461619</v>
      </c>
      <c r="AL202" s="65">
        <f t="shared" si="85"/>
        <v>556485640.44482636</v>
      </c>
      <c r="AM202" s="65">
        <f>SUM(M202:AL202)/10^6</f>
        <v>5370.0134994525451</v>
      </c>
      <c r="AN202" s="65">
        <f>'BaU Model'!AM191-'Initiative 4 Model'!AM202</f>
        <v>1073.6676916560373</v>
      </c>
    </row>
    <row r="203" spans="4:40">
      <c r="D203" s="109" t="s">
        <v>336</v>
      </c>
      <c r="E203" s="110" t="s">
        <v>337</v>
      </c>
      <c r="F203" s="110"/>
      <c r="G203" s="110"/>
      <c r="H203" s="110"/>
      <c r="I203" s="110"/>
      <c r="J203" s="110">
        <f>K203/K105</f>
        <v>6.3395239006849824</v>
      </c>
      <c r="K203" s="113">
        <f t="shared" ref="K203:AL203" si="86">K202/K26</f>
        <v>310.30178578351047</v>
      </c>
      <c r="L203" s="113">
        <f t="shared" si="86"/>
        <v>377.30464026423408</v>
      </c>
      <c r="M203" s="113">
        <f t="shared" si="86"/>
        <v>335.61637369948198</v>
      </c>
      <c r="N203" s="113">
        <f t="shared" si="86"/>
        <v>196.13311786237333</v>
      </c>
      <c r="O203" s="113">
        <f t="shared" si="86"/>
        <v>59.457703746398018</v>
      </c>
      <c r="P203" s="113">
        <f t="shared" si="86"/>
        <v>64.573554616628527</v>
      </c>
      <c r="Q203" s="113">
        <f t="shared" si="86"/>
        <v>72.294930122017874</v>
      </c>
      <c r="R203" s="113">
        <f t="shared" si="86"/>
        <v>78.111178736117566</v>
      </c>
      <c r="S203" s="113">
        <f t="shared" si="86"/>
        <v>86.941451887431143</v>
      </c>
      <c r="T203" s="113">
        <f t="shared" si="86"/>
        <v>93.909087009314092</v>
      </c>
      <c r="U203" s="113">
        <f t="shared" si="86"/>
        <v>100.87944430560636</v>
      </c>
      <c r="V203" s="113">
        <f t="shared" si="86"/>
        <v>109.39945625424315</v>
      </c>
      <c r="W203" s="113">
        <f t="shared" si="86"/>
        <v>118.65233312574436</v>
      </c>
      <c r="X203" s="113">
        <f t="shared" si="86"/>
        <v>128.70391746638131</v>
      </c>
      <c r="Y203" s="113">
        <f t="shared" si="86"/>
        <v>139.61828582436044</v>
      </c>
      <c r="Z203" s="113">
        <f t="shared" si="86"/>
        <v>151.47680548396028</v>
      </c>
      <c r="AA203" s="113">
        <f t="shared" si="86"/>
        <v>164.36013244611189</v>
      </c>
      <c r="AB203" s="113">
        <f t="shared" si="86"/>
        <v>178.3674144778748</v>
      </c>
      <c r="AC203" s="113">
        <f t="shared" si="86"/>
        <v>412.39753716594686</v>
      </c>
      <c r="AD203" s="113">
        <f t="shared" si="86"/>
        <v>441.86728218618862</v>
      </c>
      <c r="AE203" s="113">
        <f t="shared" si="86"/>
        <v>473.530524121783</v>
      </c>
      <c r="AF203" s="113">
        <f t="shared" si="86"/>
        <v>506.88751630497046</v>
      </c>
      <c r="AG203" s="113">
        <f t="shared" si="86"/>
        <v>544.1314913124595</v>
      </c>
      <c r="AH203" s="113">
        <f t="shared" si="86"/>
        <v>583.45159920639355</v>
      </c>
      <c r="AI203" s="113">
        <f t="shared" si="86"/>
        <v>625.73234795184203</v>
      </c>
      <c r="AJ203" s="113">
        <f t="shared" si="86"/>
        <v>670.38818847232972</v>
      </c>
      <c r="AK203" s="113">
        <f t="shared" si="86"/>
        <v>720.12308479280182</v>
      </c>
      <c r="AL203" s="113">
        <f t="shared" si="86"/>
        <v>772.75551874717428</v>
      </c>
    </row>
    <row r="204" spans="4:40">
      <c r="E204" t="s">
        <v>108</v>
      </c>
      <c r="J204">
        <f>K204/K106</f>
        <v>5.9665863957588288</v>
      </c>
      <c r="K204" s="65">
        <f>K202/Inputs!E34</f>
        <v>18.691043101812905</v>
      </c>
      <c r="L204" s="65">
        <f>L202/Inputs!F34</f>
        <v>22.801489721405648</v>
      </c>
      <c r="M204" s="65">
        <f>M202/Inputs!G34</f>
        <v>20.295307039745762</v>
      </c>
      <c r="N204" s="65">
        <f>N202/Inputs!H34</f>
        <v>33.871226206817333</v>
      </c>
      <c r="O204" s="65">
        <f t="shared" ref="O204:AL204" si="87">O202/O65</f>
        <v>9.5687756883951476</v>
      </c>
      <c r="P204" s="65">
        <f t="shared" si="87"/>
        <v>10.392090857802147</v>
      </c>
      <c r="Q204" s="65">
        <f t="shared" si="87"/>
        <v>13.668905049928171</v>
      </c>
      <c r="R204" s="65">
        <f t="shared" si="87"/>
        <v>14.768591430684381</v>
      </c>
      <c r="S204" s="65">
        <f t="shared" si="87"/>
        <v>19.540275853347453</v>
      </c>
      <c r="T204" s="65">
        <f t="shared" si="87"/>
        <v>21.106266636470636</v>
      </c>
      <c r="U204" s="65">
        <f t="shared" si="87"/>
        <v>22.672869234070394</v>
      </c>
      <c r="V204" s="65">
        <f t="shared" si="87"/>
        <v>24.587760004076586</v>
      </c>
      <c r="W204" s="65">
        <f t="shared" si="87"/>
        <v>26.667363721073297</v>
      </c>
      <c r="X204" s="65">
        <f t="shared" si="87"/>
        <v>28.92647863709217</v>
      </c>
      <c r="Y204" s="65">
        <f t="shared" si="87"/>
        <v>31.379506092351303</v>
      </c>
      <c r="Z204" s="65">
        <f t="shared" si="87"/>
        <v>34.044733556702212</v>
      </c>
      <c r="AA204" s="65">
        <f t="shared" si="87"/>
        <v>19.155067029165917</v>
      </c>
      <c r="AB204" s="65">
        <f t="shared" si="87"/>
        <v>20.787521458483319</v>
      </c>
      <c r="AC204" s="65">
        <f t="shared" si="87"/>
        <v>48.062156859520869</v>
      </c>
      <c r="AD204" s="65">
        <f t="shared" si="87"/>
        <v>51.496657262958045</v>
      </c>
      <c r="AE204" s="65">
        <f t="shared" si="87"/>
        <v>55.186794966125589</v>
      </c>
      <c r="AF204" s="65">
        <f t="shared" si="87"/>
        <v>59.074327858993087</v>
      </c>
      <c r="AG204" s="65">
        <f t="shared" si="87"/>
        <v>63.414862434401371</v>
      </c>
      <c r="AH204" s="65">
        <f t="shared" si="87"/>
        <v>67.997356322019058</v>
      </c>
      <c r="AI204" s="65">
        <f t="shared" si="87"/>
        <v>72.924892971017101</v>
      </c>
      <c r="AJ204" s="65">
        <f t="shared" si="87"/>
        <v>78.129230578217175</v>
      </c>
      <c r="AK204" s="65">
        <f t="shared" si="87"/>
        <v>83.925497948709904</v>
      </c>
      <c r="AL204" s="65">
        <f t="shared" si="87"/>
        <v>90.059453825355959</v>
      </c>
    </row>
    <row r="206" spans="4:40">
      <c r="M206" s="65"/>
      <c r="N206" s="65"/>
      <c r="O206" s="65"/>
      <c r="P206" s="65"/>
      <c r="Q206" s="65"/>
      <c r="R206" s="65"/>
      <c r="S206" s="65"/>
      <c r="T206" s="65"/>
      <c r="U206" s="65"/>
      <c r="V206" s="65"/>
      <c r="W206" s="65"/>
      <c r="X206" s="65"/>
      <c r="Y206" s="65"/>
      <c r="Z206" s="65"/>
      <c r="AA206" s="65"/>
      <c r="AB206" s="65"/>
      <c r="AC206" s="65"/>
      <c r="AD206" s="65"/>
      <c r="AE206" s="65"/>
      <c r="AF206" s="65"/>
      <c r="AG206" s="65"/>
      <c r="AH206" s="65"/>
      <c r="AI206" s="65"/>
      <c r="AJ206" s="65"/>
      <c r="AK206" s="65"/>
      <c r="AL206" s="65"/>
    </row>
  </sheetData>
  <conditionalFormatting sqref="K6:AL6">
    <cfRule type="cellIs" dxfId="3" priority="2" operator="equal">
      <formula>1</formula>
    </cfRule>
  </conditionalFormatting>
  <conditionalFormatting sqref="K7:AL7">
    <cfRule type="cellIs" dxfId="2" priority="1" operator="equal">
      <formula>1</formula>
    </cfRule>
  </conditionalFormatting>
  <pageMargins left="0.7" right="0.7" top="0.75" bottom="0.75" header="0.3" footer="0.3"/>
  <pageSetup paperSize="9" orientation="portrait" r:id="rId1"/>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79695-1D50-48FB-90D6-665D6775587D}">
  <sheetPr codeName="Sheet26">
    <tabColor theme="0" tint="-0.14999847407452621"/>
  </sheetPr>
  <dimension ref="A1:AO206"/>
  <sheetViews>
    <sheetView topLeftCell="W177" zoomScale="67" zoomScaleNormal="85" workbookViewId="0">
      <selection activeCell="AM202" sqref="AM202"/>
    </sheetView>
  </sheetViews>
  <sheetFormatPr defaultColWidth="9.140625" defaultRowHeight="12.75"/>
  <cols>
    <col min="1" max="3" width="2.140625" customWidth="1"/>
    <col min="4" max="4" width="39.7109375" bestFit="1" customWidth="1"/>
    <col min="5" max="5" width="13.5703125" customWidth="1"/>
    <col min="6" max="6" width="14" customWidth="1"/>
    <col min="7" max="7" width="15.28515625" customWidth="1"/>
    <col min="8" max="8" width="2.140625" customWidth="1"/>
    <col min="9" max="9" width="2.42578125" customWidth="1"/>
    <col min="10" max="10" width="16.140625" bestFit="1" customWidth="1"/>
    <col min="11" max="11" width="17.5703125" customWidth="1"/>
    <col min="12" max="22" width="15.28515625" customWidth="1"/>
    <col min="23" max="23" width="15.28515625" style="128" customWidth="1"/>
    <col min="24" max="26" width="15.28515625" customWidth="1"/>
    <col min="27" max="27" width="15.5703125" customWidth="1"/>
    <col min="28" max="28" width="14.5703125" style="128" customWidth="1"/>
    <col min="29" max="29" width="14.85546875" customWidth="1"/>
    <col min="30" max="30" width="14.28515625" customWidth="1"/>
    <col min="31" max="31" width="19.42578125" customWidth="1"/>
    <col min="32" max="32" width="14.85546875" customWidth="1"/>
    <col min="33" max="33" width="15.28515625" customWidth="1"/>
    <col min="34" max="34" width="14.140625" customWidth="1"/>
    <col min="35" max="35" width="14.42578125" customWidth="1"/>
    <col min="36" max="36" width="19.7109375" customWidth="1"/>
    <col min="37" max="37" width="15.42578125" customWidth="1"/>
    <col min="38" max="38" width="29.42578125" customWidth="1"/>
    <col min="39" max="39" width="19.42578125" customWidth="1"/>
    <col min="40" max="40" width="15.28515625" customWidth="1"/>
    <col min="41" max="41" width="13.140625" customWidth="1"/>
    <col min="56" max="56" width="1.28515625" customWidth="1"/>
    <col min="57" max="57" width="0.7109375" customWidth="1"/>
    <col min="58" max="58" width="1.28515625" customWidth="1"/>
    <col min="60" max="69" width="14" customWidth="1"/>
    <col min="70" max="70" width="16.28515625" customWidth="1"/>
  </cols>
  <sheetData>
    <row r="1" spans="1:38" ht="23.25">
      <c r="A1" s="30" t="s">
        <v>162</v>
      </c>
      <c r="B1" s="30"/>
      <c r="C1" s="30"/>
      <c r="D1" s="30"/>
      <c r="E1" s="30"/>
      <c r="F1" s="30"/>
      <c r="G1" s="30"/>
      <c r="H1" s="30"/>
      <c r="I1" s="30"/>
      <c r="J1" s="30"/>
      <c r="K1" s="30"/>
      <c r="L1" s="30"/>
      <c r="M1" s="30"/>
      <c r="N1" s="30"/>
      <c r="O1" s="30"/>
      <c r="P1" s="30"/>
      <c r="Q1" s="30"/>
      <c r="R1" s="30"/>
      <c r="S1" s="30"/>
      <c r="T1" s="30"/>
      <c r="U1" s="30"/>
      <c r="V1" s="30"/>
      <c r="W1" s="124"/>
      <c r="X1" s="30"/>
      <c r="Y1" s="30"/>
      <c r="Z1" s="30"/>
      <c r="AA1" s="30"/>
    </row>
    <row r="2" spans="1:38" ht="15.75">
      <c r="A2" s="17" t="str">
        <f>Name_Model</f>
        <v>Aspen PE</v>
      </c>
      <c r="B2" s="17"/>
      <c r="C2" s="17"/>
      <c r="D2" s="17"/>
      <c r="E2" s="17"/>
      <c r="F2" s="17"/>
      <c r="G2" s="17"/>
      <c r="H2" s="17"/>
      <c r="I2" s="17"/>
      <c r="J2" s="17"/>
      <c r="K2" s="17"/>
      <c r="L2" s="17"/>
      <c r="M2" s="17"/>
      <c r="N2" s="17"/>
      <c r="O2" s="17"/>
      <c r="P2" s="17"/>
      <c r="Q2" s="17"/>
      <c r="R2" s="17"/>
      <c r="S2" s="17"/>
      <c r="T2" s="17"/>
      <c r="U2" s="17"/>
      <c r="V2" s="17"/>
      <c r="W2" s="125"/>
      <c r="X2" s="17"/>
      <c r="Y2" s="17"/>
      <c r="Z2" s="17"/>
      <c r="AA2" s="17"/>
    </row>
    <row r="3" spans="1:38" ht="15.75">
      <c r="A3" s="64"/>
      <c r="B3" s="64"/>
      <c r="C3" s="64"/>
      <c r="D3" s="64"/>
      <c r="E3" s="64"/>
      <c r="F3" s="64"/>
      <c r="G3" s="64"/>
      <c r="H3" s="64"/>
      <c r="I3" s="64"/>
      <c r="J3" s="64"/>
      <c r="K3" s="64"/>
      <c r="L3" s="64"/>
      <c r="M3" s="64"/>
      <c r="N3" s="64"/>
      <c r="O3" s="64"/>
      <c r="P3" s="64"/>
      <c r="Q3" s="64"/>
      <c r="R3" s="64"/>
      <c r="S3" s="64"/>
      <c r="T3" s="64"/>
      <c r="U3" s="64"/>
      <c r="V3" s="64"/>
      <c r="W3" s="125"/>
      <c r="X3" s="64"/>
      <c r="Y3" s="64"/>
      <c r="Z3" s="64"/>
      <c r="AA3" s="64"/>
    </row>
    <row r="4" spans="1:38">
      <c r="D4" t="s">
        <v>70</v>
      </c>
      <c r="E4" s="16" t="s">
        <v>17</v>
      </c>
      <c r="K4" s="37">
        <f>J5+1</f>
        <v>44743</v>
      </c>
      <c r="L4" s="37">
        <f t="shared" ref="L4:AL4" si="0">K5+1</f>
        <v>45108</v>
      </c>
      <c r="M4" s="37">
        <f t="shared" si="0"/>
        <v>45474</v>
      </c>
      <c r="N4" s="37">
        <f t="shared" si="0"/>
        <v>45839</v>
      </c>
      <c r="O4" s="37">
        <f t="shared" si="0"/>
        <v>46204</v>
      </c>
      <c r="P4" s="37">
        <f t="shared" si="0"/>
        <v>46569</v>
      </c>
      <c r="Q4" s="37">
        <f t="shared" si="0"/>
        <v>46935</v>
      </c>
      <c r="R4" s="37">
        <f t="shared" si="0"/>
        <v>47300</v>
      </c>
      <c r="S4" s="37">
        <f t="shared" si="0"/>
        <v>47665</v>
      </c>
      <c r="T4" s="37">
        <f t="shared" si="0"/>
        <v>48030</v>
      </c>
      <c r="U4" s="37">
        <f t="shared" si="0"/>
        <v>48396</v>
      </c>
      <c r="V4" s="37">
        <f t="shared" si="0"/>
        <v>48761</v>
      </c>
      <c r="W4" s="126">
        <f t="shared" si="0"/>
        <v>49126</v>
      </c>
      <c r="X4" s="37">
        <f t="shared" si="0"/>
        <v>49491</v>
      </c>
      <c r="Y4" s="37">
        <f t="shared" si="0"/>
        <v>49857</v>
      </c>
      <c r="Z4" s="37">
        <f t="shared" si="0"/>
        <v>50222</v>
      </c>
      <c r="AA4" s="37">
        <f t="shared" si="0"/>
        <v>50587</v>
      </c>
      <c r="AB4" s="126">
        <f t="shared" si="0"/>
        <v>50952</v>
      </c>
      <c r="AC4" s="37">
        <f t="shared" si="0"/>
        <v>51318</v>
      </c>
      <c r="AD4" s="37">
        <f t="shared" si="0"/>
        <v>51683</v>
      </c>
      <c r="AE4" s="37">
        <f t="shared" si="0"/>
        <v>52048</v>
      </c>
      <c r="AF4" s="37">
        <f t="shared" si="0"/>
        <v>52413</v>
      </c>
      <c r="AG4" s="37">
        <f t="shared" si="0"/>
        <v>52779</v>
      </c>
      <c r="AH4" s="37">
        <f t="shared" si="0"/>
        <v>53144</v>
      </c>
      <c r="AI4" s="37">
        <f t="shared" si="0"/>
        <v>53509</v>
      </c>
      <c r="AJ4" s="37">
        <f t="shared" si="0"/>
        <v>53874</v>
      </c>
      <c r="AK4" s="37">
        <f t="shared" si="0"/>
        <v>54240</v>
      </c>
      <c r="AL4" s="37">
        <f t="shared" si="0"/>
        <v>54605</v>
      </c>
    </row>
    <row r="5" spans="1:38">
      <c r="D5" t="s">
        <v>71</v>
      </c>
      <c r="E5" s="16" t="s">
        <v>17</v>
      </c>
      <c r="F5" s="36" t="s">
        <v>16</v>
      </c>
      <c r="G5" s="36" t="s">
        <v>18</v>
      </c>
      <c r="J5" s="38">
        <f>Model_Start</f>
        <v>44742</v>
      </c>
      <c r="K5" s="37">
        <f>EOMONTH(K4,11)</f>
        <v>45107</v>
      </c>
      <c r="L5" s="37">
        <f t="shared" ref="L5:AL5" si="1">EOMONTH(L4,11)</f>
        <v>45473</v>
      </c>
      <c r="M5" s="37">
        <f t="shared" si="1"/>
        <v>45838</v>
      </c>
      <c r="N5" s="37">
        <f t="shared" si="1"/>
        <v>46203</v>
      </c>
      <c r="O5" s="37">
        <f t="shared" si="1"/>
        <v>46568</v>
      </c>
      <c r="P5" s="37">
        <f t="shared" si="1"/>
        <v>46934</v>
      </c>
      <c r="Q5" s="37">
        <f t="shared" si="1"/>
        <v>47299</v>
      </c>
      <c r="R5" s="37">
        <f t="shared" si="1"/>
        <v>47664</v>
      </c>
      <c r="S5" s="37">
        <f t="shared" si="1"/>
        <v>48029</v>
      </c>
      <c r="T5" s="37">
        <f t="shared" si="1"/>
        <v>48395</v>
      </c>
      <c r="U5" s="37">
        <f t="shared" si="1"/>
        <v>48760</v>
      </c>
      <c r="V5" s="37">
        <f t="shared" si="1"/>
        <v>49125</v>
      </c>
      <c r="W5" s="126">
        <f t="shared" si="1"/>
        <v>49490</v>
      </c>
      <c r="X5" s="37">
        <f t="shared" si="1"/>
        <v>49856</v>
      </c>
      <c r="Y5" s="37">
        <f t="shared" si="1"/>
        <v>50221</v>
      </c>
      <c r="Z5" s="37">
        <f t="shared" si="1"/>
        <v>50586</v>
      </c>
      <c r="AA5" s="37">
        <f t="shared" si="1"/>
        <v>50951</v>
      </c>
      <c r="AB5" s="126">
        <f t="shared" si="1"/>
        <v>51317</v>
      </c>
      <c r="AC5" s="37">
        <f t="shared" si="1"/>
        <v>51682</v>
      </c>
      <c r="AD5" s="37">
        <f t="shared" si="1"/>
        <v>52047</v>
      </c>
      <c r="AE5" s="37">
        <f t="shared" si="1"/>
        <v>52412</v>
      </c>
      <c r="AF5" s="37">
        <f t="shared" si="1"/>
        <v>52778</v>
      </c>
      <c r="AG5" s="37">
        <f t="shared" si="1"/>
        <v>53143</v>
      </c>
      <c r="AH5" s="37">
        <f t="shared" si="1"/>
        <v>53508</v>
      </c>
      <c r="AI5" s="37">
        <f t="shared" si="1"/>
        <v>53873</v>
      </c>
      <c r="AJ5" s="37">
        <f t="shared" si="1"/>
        <v>54239</v>
      </c>
      <c r="AK5" s="37">
        <f t="shared" si="1"/>
        <v>54604</v>
      </c>
      <c r="AL5" s="37">
        <f t="shared" si="1"/>
        <v>54969</v>
      </c>
    </row>
    <row r="6" spans="1:38">
      <c r="D6" s="7" t="s">
        <v>95</v>
      </c>
      <c r="E6" s="16" t="s">
        <v>72</v>
      </c>
      <c r="F6" s="38">
        <f>Inputs!E9</f>
        <v>44743</v>
      </c>
      <c r="G6" s="38">
        <f>Inputs!E11</f>
        <v>45473</v>
      </c>
      <c r="K6" s="8">
        <f t="shared" ref="K6:Z7" si="2">IF(AND(K$4&gt;=$F6,K$5&lt;=$G6),1,0)</f>
        <v>1</v>
      </c>
      <c r="L6" s="8">
        <f t="shared" si="2"/>
        <v>1</v>
      </c>
      <c r="M6" s="8">
        <f t="shared" si="2"/>
        <v>0</v>
      </c>
      <c r="N6" s="8">
        <f t="shared" si="2"/>
        <v>0</v>
      </c>
      <c r="O6" s="8">
        <f t="shared" si="2"/>
        <v>0</v>
      </c>
      <c r="P6" s="8">
        <f t="shared" si="2"/>
        <v>0</v>
      </c>
      <c r="Q6" s="8">
        <f t="shared" si="2"/>
        <v>0</v>
      </c>
      <c r="R6" s="8">
        <f t="shared" si="2"/>
        <v>0</v>
      </c>
      <c r="S6" s="8">
        <f t="shared" si="2"/>
        <v>0</v>
      </c>
      <c r="T6" s="8">
        <f t="shared" si="2"/>
        <v>0</v>
      </c>
      <c r="U6" s="8">
        <f t="shared" si="2"/>
        <v>0</v>
      </c>
      <c r="V6" s="8">
        <f t="shared" si="2"/>
        <v>0</v>
      </c>
      <c r="W6" s="127">
        <f t="shared" si="2"/>
        <v>0</v>
      </c>
      <c r="X6" s="8">
        <f t="shared" si="2"/>
        <v>0</v>
      </c>
      <c r="Y6" s="8">
        <f t="shared" si="2"/>
        <v>0</v>
      </c>
      <c r="Z6" s="8">
        <f t="shared" si="2"/>
        <v>0</v>
      </c>
      <c r="AA6" s="8">
        <f t="shared" ref="AA6:AL7" si="3">IF(AND(AA$4&gt;=$F6,AA$5&lt;=$G6),1,0)</f>
        <v>0</v>
      </c>
      <c r="AB6" s="127">
        <f t="shared" si="3"/>
        <v>0</v>
      </c>
      <c r="AC6" s="8">
        <f t="shared" si="3"/>
        <v>0</v>
      </c>
      <c r="AD6" s="8">
        <f t="shared" si="3"/>
        <v>0</v>
      </c>
      <c r="AE6" s="8">
        <f t="shared" si="3"/>
        <v>0</v>
      </c>
      <c r="AF6" s="8">
        <f t="shared" si="3"/>
        <v>0</v>
      </c>
      <c r="AG6" s="8">
        <f t="shared" si="3"/>
        <v>0</v>
      </c>
      <c r="AH6" s="8">
        <f t="shared" si="3"/>
        <v>0</v>
      </c>
      <c r="AI6" s="8">
        <f t="shared" si="3"/>
        <v>0</v>
      </c>
      <c r="AJ6" s="8">
        <f t="shared" si="3"/>
        <v>0</v>
      </c>
      <c r="AK6" s="8">
        <f t="shared" si="3"/>
        <v>0</v>
      </c>
      <c r="AL6" s="8">
        <f t="shared" si="3"/>
        <v>0</v>
      </c>
    </row>
    <row r="7" spans="1:38">
      <c r="D7" s="7" t="s">
        <v>103</v>
      </c>
      <c r="E7" s="16" t="s">
        <v>72</v>
      </c>
      <c r="F7" s="38">
        <f>Inputs!E14</f>
        <v>45474</v>
      </c>
      <c r="G7" s="38">
        <f>Inputs!E16</f>
        <v>54604</v>
      </c>
      <c r="K7" s="8">
        <f t="shared" si="2"/>
        <v>0</v>
      </c>
      <c r="L7" s="8">
        <f t="shared" si="2"/>
        <v>0</v>
      </c>
      <c r="M7" s="8">
        <f t="shared" si="2"/>
        <v>1</v>
      </c>
      <c r="N7" s="8">
        <f t="shared" si="2"/>
        <v>1</v>
      </c>
      <c r="O7" s="8">
        <f t="shared" si="2"/>
        <v>1</v>
      </c>
      <c r="P7" s="8">
        <f t="shared" si="2"/>
        <v>1</v>
      </c>
      <c r="Q7" s="8">
        <f t="shared" si="2"/>
        <v>1</v>
      </c>
      <c r="R7" s="8">
        <f t="shared" si="2"/>
        <v>1</v>
      </c>
      <c r="S7" s="8">
        <f t="shared" si="2"/>
        <v>1</v>
      </c>
      <c r="T7" s="8">
        <f t="shared" si="2"/>
        <v>1</v>
      </c>
      <c r="U7" s="8">
        <f t="shared" si="2"/>
        <v>1</v>
      </c>
      <c r="V7" s="8">
        <f t="shared" si="2"/>
        <v>1</v>
      </c>
      <c r="W7" s="127">
        <f t="shared" si="2"/>
        <v>1</v>
      </c>
      <c r="X7" s="8">
        <f t="shared" si="2"/>
        <v>1</v>
      </c>
      <c r="Y7" s="8">
        <f t="shared" si="2"/>
        <v>1</v>
      </c>
      <c r="Z7" s="8">
        <f t="shared" si="2"/>
        <v>1</v>
      </c>
      <c r="AA7" s="8">
        <f t="shared" si="3"/>
        <v>1</v>
      </c>
      <c r="AB7" s="127">
        <f t="shared" si="3"/>
        <v>1</v>
      </c>
      <c r="AC7" s="8">
        <f t="shared" si="3"/>
        <v>1</v>
      </c>
      <c r="AD7" s="8">
        <f t="shared" si="3"/>
        <v>1</v>
      </c>
      <c r="AE7" s="8">
        <f t="shared" si="3"/>
        <v>1</v>
      </c>
      <c r="AF7" s="8">
        <f t="shared" si="3"/>
        <v>1</v>
      </c>
      <c r="AG7" s="8">
        <f t="shared" si="3"/>
        <v>1</v>
      </c>
      <c r="AH7" s="8">
        <f t="shared" si="3"/>
        <v>1</v>
      </c>
      <c r="AI7" s="8">
        <f t="shared" si="3"/>
        <v>1</v>
      </c>
      <c r="AJ7" s="8">
        <f t="shared" si="3"/>
        <v>1</v>
      </c>
      <c r="AK7" s="8">
        <f t="shared" si="3"/>
        <v>1</v>
      </c>
      <c r="AL7" s="8">
        <f t="shared" si="3"/>
        <v>0</v>
      </c>
    </row>
    <row r="9" spans="1:38" ht="18">
      <c r="D9" s="15" t="s">
        <v>74</v>
      </c>
    </row>
    <row r="10" spans="1:38">
      <c r="D10" s="7" t="s">
        <v>77</v>
      </c>
      <c r="E10" s="16" t="s">
        <v>21</v>
      </c>
      <c r="K10">
        <f t="shared" ref="K10:AL10" si="4">YEAR(K5)</f>
        <v>2023</v>
      </c>
      <c r="L10">
        <f t="shared" si="4"/>
        <v>2024</v>
      </c>
      <c r="M10">
        <f t="shared" si="4"/>
        <v>2025</v>
      </c>
      <c r="N10">
        <f t="shared" si="4"/>
        <v>2026</v>
      </c>
      <c r="O10">
        <f t="shared" si="4"/>
        <v>2027</v>
      </c>
      <c r="P10">
        <f t="shared" si="4"/>
        <v>2028</v>
      </c>
      <c r="Q10">
        <f t="shared" si="4"/>
        <v>2029</v>
      </c>
      <c r="R10">
        <f t="shared" si="4"/>
        <v>2030</v>
      </c>
      <c r="S10">
        <f t="shared" si="4"/>
        <v>2031</v>
      </c>
      <c r="T10">
        <f t="shared" si="4"/>
        <v>2032</v>
      </c>
      <c r="U10">
        <f t="shared" si="4"/>
        <v>2033</v>
      </c>
      <c r="V10">
        <f t="shared" si="4"/>
        <v>2034</v>
      </c>
      <c r="W10" s="128">
        <f t="shared" si="4"/>
        <v>2035</v>
      </c>
      <c r="X10">
        <f t="shared" si="4"/>
        <v>2036</v>
      </c>
      <c r="Y10">
        <f t="shared" si="4"/>
        <v>2037</v>
      </c>
      <c r="Z10">
        <f t="shared" si="4"/>
        <v>2038</v>
      </c>
      <c r="AA10">
        <f t="shared" si="4"/>
        <v>2039</v>
      </c>
      <c r="AB10" s="128">
        <f t="shared" si="4"/>
        <v>2040</v>
      </c>
      <c r="AC10">
        <f t="shared" si="4"/>
        <v>2041</v>
      </c>
      <c r="AD10">
        <f t="shared" si="4"/>
        <v>2042</v>
      </c>
      <c r="AE10">
        <f t="shared" si="4"/>
        <v>2043</v>
      </c>
      <c r="AF10">
        <f t="shared" si="4"/>
        <v>2044</v>
      </c>
      <c r="AG10">
        <f t="shared" si="4"/>
        <v>2045</v>
      </c>
      <c r="AH10">
        <f t="shared" si="4"/>
        <v>2046</v>
      </c>
      <c r="AI10">
        <f t="shared" si="4"/>
        <v>2047</v>
      </c>
      <c r="AJ10">
        <f t="shared" si="4"/>
        <v>2048</v>
      </c>
      <c r="AK10">
        <f t="shared" si="4"/>
        <v>2049</v>
      </c>
      <c r="AL10">
        <f t="shared" si="4"/>
        <v>2050</v>
      </c>
    </row>
    <row r="11" spans="1:38">
      <c r="D11" s="7" t="s">
        <v>78</v>
      </c>
      <c r="E11" s="16" t="s">
        <v>76</v>
      </c>
      <c r="K11">
        <f>K5-K4+1</f>
        <v>365</v>
      </c>
      <c r="L11">
        <f t="shared" ref="L11:AL11" si="5">L5-L4+1</f>
        <v>366</v>
      </c>
      <c r="M11">
        <f t="shared" si="5"/>
        <v>365</v>
      </c>
      <c r="N11">
        <f t="shared" si="5"/>
        <v>365</v>
      </c>
      <c r="O11">
        <f t="shared" si="5"/>
        <v>365</v>
      </c>
      <c r="P11">
        <f t="shared" si="5"/>
        <v>366</v>
      </c>
      <c r="Q11">
        <f t="shared" si="5"/>
        <v>365</v>
      </c>
      <c r="R11">
        <f t="shared" si="5"/>
        <v>365</v>
      </c>
      <c r="S11">
        <f t="shared" si="5"/>
        <v>365</v>
      </c>
      <c r="T11">
        <f t="shared" si="5"/>
        <v>366</v>
      </c>
      <c r="U11">
        <f t="shared" si="5"/>
        <v>365</v>
      </c>
      <c r="V11">
        <f t="shared" si="5"/>
        <v>365</v>
      </c>
      <c r="W11" s="128">
        <f t="shared" si="5"/>
        <v>365</v>
      </c>
      <c r="X11">
        <f t="shared" si="5"/>
        <v>366</v>
      </c>
      <c r="Y11">
        <f t="shared" si="5"/>
        <v>365</v>
      </c>
      <c r="Z11">
        <f t="shared" si="5"/>
        <v>365</v>
      </c>
      <c r="AA11">
        <f t="shared" si="5"/>
        <v>365</v>
      </c>
      <c r="AB11" s="128">
        <f t="shared" si="5"/>
        <v>366</v>
      </c>
      <c r="AC11">
        <f t="shared" si="5"/>
        <v>365</v>
      </c>
      <c r="AD11">
        <f t="shared" si="5"/>
        <v>365</v>
      </c>
      <c r="AE11">
        <f t="shared" si="5"/>
        <v>365</v>
      </c>
      <c r="AF11">
        <f t="shared" si="5"/>
        <v>366</v>
      </c>
      <c r="AG11">
        <f t="shared" si="5"/>
        <v>365</v>
      </c>
      <c r="AH11">
        <f t="shared" si="5"/>
        <v>365</v>
      </c>
      <c r="AI11">
        <f t="shared" si="5"/>
        <v>365</v>
      </c>
      <c r="AJ11">
        <f t="shared" si="5"/>
        <v>366</v>
      </c>
      <c r="AK11">
        <f t="shared" si="5"/>
        <v>365</v>
      </c>
      <c r="AL11">
        <f t="shared" si="5"/>
        <v>365</v>
      </c>
    </row>
    <row r="12" spans="1:38" ht="15.75">
      <c r="A12" s="64"/>
      <c r="B12" s="64"/>
      <c r="C12" s="64"/>
      <c r="D12" s="64"/>
      <c r="E12" s="64"/>
      <c r="F12" s="64"/>
      <c r="G12" s="64"/>
      <c r="H12" s="64"/>
      <c r="I12" s="64"/>
      <c r="J12" s="64"/>
      <c r="K12" s="64"/>
      <c r="L12" s="64"/>
      <c r="M12" s="64"/>
      <c r="N12" s="64"/>
      <c r="O12" s="64"/>
      <c r="P12" s="64"/>
      <c r="Q12" s="64"/>
      <c r="R12" s="64"/>
      <c r="S12" s="64"/>
      <c r="T12" s="64"/>
      <c r="U12" s="64"/>
      <c r="V12" s="64"/>
      <c r="W12" s="125"/>
      <c r="X12" s="64"/>
      <c r="Y12" s="64"/>
      <c r="Z12" s="64"/>
      <c r="AA12" s="64"/>
    </row>
    <row r="13" spans="1:38" ht="24" thickBot="1">
      <c r="D13" s="57" t="s">
        <v>188</v>
      </c>
      <c r="AD13">
        <f>12*60*60*24*365/1000</f>
        <v>378432</v>
      </c>
    </row>
    <row r="14" spans="1:38" ht="18">
      <c r="D14" s="15" t="s">
        <v>331</v>
      </c>
    </row>
    <row r="15" spans="1:38" ht="15">
      <c r="D15" s="4" t="s">
        <v>410</v>
      </c>
      <c r="AC15">
        <f>ABS(AC17)/AC26</f>
        <v>0.14657261177123754</v>
      </c>
    </row>
    <row r="16" spans="1:38">
      <c r="D16" s="7" t="s">
        <v>332</v>
      </c>
      <c r="K16">
        <f>Inputs!E86</f>
        <v>376680</v>
      </c>
      <c r="L16">
        <f>Inputs!F86</f>
        <v>376680</v>
      </c>
      <c r="M16">
        <f>Inputs!G86</f>
        <v>376680</v>
      </c>
      <c r="N16">
        <f>Inputs!H86</f>
        <v>753360</v>
      </c>
      <c r="O16">
        <f>Inputs!I86</f>
        <v>753360</v>
      </c>
      <c r="P16">
        <f>Inputs!J86</f>
        <v>753360</v>
      </c>
      <c r="Q16">
        <f>P16</f>
        <v>753360</v>
      </c>
      <c r="R16">
        <f t="shared" ref="R16:AA16" si="6">Q16</f>
        <v>753360</v>
      </c>
      <c r="S16">
        <f t="shared" si="6"/>
        <v>753360</v>
      </c>
      <c r="T16">
        <f t="shared" si="6"/>
        <v>753360</v>
      </c>
      <c r="U16">
        <f>T16</f>
        <v>753360</v>
      </c>
      <c r="V16">
        <f t="shared" si="6"/>
        <v>753360</v>
      </c>
      <c r="W16" s="128">
        <f>V16</f>
        <v>753360</v>
      </c>
      <c r="X16">
        <f t="shared" si="6"/>
        <v>753360</v>
      </c>
      <c r="Y16">
        <f t="shared" si="6"/>
        <v>753360</v>
      </c>
      <c r="Z16">
        <f t="shared" si="6"/>
        <v>753360</v>
      </c>
      <c r="AA16">
        <f t="shared" si="6"/>
        <v>753360</v>
      </c>
      <c r="AB16" s="128">
        <f>AA16+(Inputs!$E$194*'Initiative 5 Model'!AB11)</f>
        <v>991260</v>
      </c>
      <c r="AC16">
        <f>AB16-Inputs!$E$86</f>
        <v>614580</v>
      </c>
      <c r="AD16">
        <f>AC16</f>
        <v>614580</v>
      </c>
      <c r="AE16">
        <f t="shared" ref="AE16:AL16" si="7">AD16</f>
        <v>614580</v>
      </c>
      <c r="AF16">
        <f t="shared" si="7"/>
        <v>614580</v>
      </c>
      <c r="AG16">
        <f t="shared" si="7"/>
        <v>614580</v>
      </c>
      <c r="AH16">
        <f t="shared" si="7"/>
        <v>614580</v>
      </c>
      <c r="AI16">
        <f t="shared" si="7"/>
        <v>614580</v>
      </c>
      <c r="AJ16">
        <f t="shared" si="7"/>
        <v>614580</v>
      </c>
      <c r="AK16">
        <f t="shared" si="7"/>
        <v>614580</v>
      </c>
      <c r="AL16">
        <f t="shared" si="7"/>
        <v>614580</v>
      </c>
    </row>
    <row r="17" spans="4:39">
      <c r="D17" s="7" t="s">
        <v>402</v>
      </c>
      <c r="K17" s="65">
        <f t="shared" ref="K17:AL17" si="8">K16-K26</f>
        <v>183680</v>
      </c>
      <c r="L17" s="65">
        <f t="shared" si="8"/>
        <v>194438.02599999998</v>
      </c>
      <c r="M17" s="65">
        <f t="shared" si="8"/>
        <v>186671.55543999997</v>
      </c>
      <c r="N17" s="65">
        <f t="shared" si="8"/>
        <v>277801.66366720002</v>
      </c>
      <c r="O17" s="65">
        <f t="shared" si="8"/>
        <v>237708.49911023793</v>
      </c>
      <c r="P17" s="65">
        <f t="shared" si="8"/>
        <v>237708.49911023793</v>
      </c>
      <c r="Q17" s="65">
        <f t="shared" si="8"/>
        <v>147553.49911023793</v>
      </c>
      <c r="R17" s="65">
        <f t="shared" si="8"/>
        <v>147553.49911023793</v>
      </c>
      <c r="S17" s="65">
        <f t="shared" si="8"/>
        <v>33228.435819098726</v>
      </c>
      <c r="T17" s="65">
        <f t="shared" si="8"/>
        <v>33228.435819098726</v>
      </c>
      <c r="U17" s="65">
        <f t="shared" si="8"/>
        <v>33228.435819098726</v>
      </c>
      <c r="V17" s="65">
        <f t="shared" si="8"/>
        <v>33228.435819098726</v>
      </c>
      <c r="W17" s="65">
        <f t="shared" si="8"/>
        <v>33228.435819098726</v>
      </c>
      <c r="X17" s="65">
        <f t="shared" si="8"/>
        <v>33228.435819098726</v>
      </c>
      <c r="Y17" s="65">
        <f t="shared" si="8"/>
        <v>33228.435819098726</v>
      </c>
      <c r="Z17" s="65">
        <f t="shared" si="8"/>
        <v>33228.435819098726</v>
      </c>
      <c r="AA17" s="65">
        <f t="shared" si="8"/>
        <v>33228.435819098726</v>
      </c>
      <c r="AB17" s="65">
        <f t="shared" si="8"/>
        <v>271128.43581909873</v>
      </c>
      <c r="AC17" s="65">
        <f t="shared" si="8"/>
        <v>-105551.56418090127</v>
      </c>
      <c r="AD17" s="65">
        <f t="shared" si="8"/>
        <v>-105551.56418090127</v>
      </c>
      <c r="AE17" s="65">
        <f t="shared" si="8"/>
        <v>-105551.56418090127</v>
      </c>
      <c r="AF17" s="65">
        <f t="shared" si="8"/>
        <v>-105551.56418090127</v>
      </c>
      <c r="AG17" s="65">
        <f t="shared" si="8"/>
        <v>-105551.56418090127</v>
      </c>
      <c r="AH17" s="65">
        <f t="shared" si="8"/>
        <v>-105551.56418090127</v>
      </c>
      <c r="AI17" s="65">
        <f t="shared" si="8"/>
        <v>-105551.56418090127</v>
      </c>
      <c r="AJ17" s="65">
        <f t="shared" si="8"/>
        <v>-105551.56418090127</v>
      </c>
      <c r="AK17" s="65">
        <f t="shared" si="8"/>
        <v>-105551.56418090127</v>
      </c>
      <c r="AL17" s="65">
        <f t="shared" si="8"/>
        <v>-105551.56418090127</v>
      </c>
      <c r="AM17" s="145" t="s">
        <v>492</v>
      </c>
    </row>
    <row r="18" spans="4:39" ht="15">
      <c r="D18" s="4" t="s">
        <v>411</v>
      </c>
    </row>
    <row r="19" spans="4:39">
      <c r="D19" s="7" t="s">
        <v>332</v>
      </c>
      <c r="K19">
        <f>Inputs!E86</f>
        <v>376680</v>
      </c>
      <c r="L19">
        <f>Inputs!F86</f>
        <v>376680</v>
      </c>
      <c r="M19">
        <f>Inputs!G86</f>
        <v>376680</v>
      </c>
      <c r="N19">
        <f>Inputs!H86</f>
        <v>753360</v>
      </c>
      <c r="O19">
        <f>Inputs!I86</f>
        <v>753360</v>
      </c>
      <c r="P19">
        <f>Inputs!J86</f>
        <v>753360</v>
      </c>
      <c r="Q19">
        <f>P19</f>
        <v>753360</v>
      </c>
      <c r="R19">
        <f t="shared" ref="R19:AB19" si="9">Q19</f>
        <v>753360</v>
      </c>
      <c r="S19">
        <f t="shared" si="9"/>
        <v>753360</v>
      </c>
      <c r="T19">
        <f t="shared" si="9"/>
        <v>753360</v>
      </c>
      <c r="U19">
        <f t="shared" si="9"/>
        <v>753360</v>
      </c>
      <c r="V19">
        <f t="shared" si="9"/>
        <v>753360</v>
      </c>
      <c r="W19" s="128">
        <f t="shared" si="9"/>
        <v>753360</v>
      </c>
      <c r="X19">
        <f t="shared" si="9"/>
        <v>753360</v>
      </c>
      <c r="Y19">
        <f t="shared" si="9"/>
        <v>753360</v>
      </c>
      <c r="Z19">
        <f t="shared" si="9"/>
        <v>753360</v>
      </c>
      <c r="AA19">
        <f t="shared" si="9"/>
        <v>753360</v>
      </c>
      <c r="AB19" s="128">
        <f t="shared" si="9"/>
        <v>753360</v>
      </c>
      <c r="AC19">
        <f>AB19/2</f>
        <v>376680</v>
      </c>
      <c r="AD19">
        <f>AC19</f>
        <v>376680</v>
      </c>
      <c r="AE19">
        <f t="shared" ref="AE19:AK19" si="10">AD19</f>
        <v>376680</v>
      </c>
      <c r="AF19">
        <f t="shared" si="10"/>
        <v>376680</v>
      </c>
      <c r="AG19">
        <f t="shared" si="10"/>
        <v>376680</v>
      </c>
      <c r="AH19">
        <f t="shared" si="10"/>
        <v>376680</v>
      </c>
      <c r="AI19">
        <f t="shared" si="10"/>
        <v>376680</v>
      </c>
      <c r="AJ19">
        <f t="shared" si="10"/>
        <v>376680</v>
      </c>
      <c r="AK19">
        <f t="shared" si="10"/>
        <v>376680</v>
      </c>
      <c r="AL19">
        <f>AK19</f>
        <v>376680</v>
      </c>
    </row>
    <row r="20" spans="4:39">
      <c r="D20" s="7" t="s">
        <v>402</v>
      </c>
      <c r="K20" s="65">
        <f>K19-K26</f>
        <v>183680</v>
      </c>
      <c r="L20" s="65">
        <f t="shared" ref="L20:AL20" si="11">L19-L26</f>
        <v>194438.02599999998</v>
      </c>
      <c r="M20" s="65">
        <f t="shared" si="11"/>
        <v>186671.55543999997</v>
      </c>
      <c r="N20" s="65">
        <f t="shared" si="11"/>
        <v>277801.66366720002</v>
      </c>
      <c r="O20" s="65">
        <f t="shared" si="11"/>
        <v>237708.49911023793</v>
      </c>
      <c r="P20" s="65">
        <f t="shared" si="11"/>
        <v>237708.49911023793</v>
      </c>
      <c r="Q20" s="65">
        <f t="shared" si="11"/>
        <v>147553.49911023793</v>
      </c>
      <c r="R20" s="65">
        <f t="shared" si="11"/>
        <v>147553.49911023793</v>
      </c>
      <c r="S20" s="65">
        <f t="shared" si="11"/>
        <v>33228.435819098726</v>
      </c>
      <c r="T20" s="65">
        <f t="shared" si="11"/>
        <v>33228.435819098726</v>
      </c>
      <c r="U20" s="65">
        <f t="shared" si="11"/>
        <v>33228.435819098726</v>
      </c>
      <c r="V20" s="65">
        <f t="shared" si="11"/>
        <v>33228.435819098726</v>
      </c>
      <c r="W20" s="65">
        <f t="shared" si="11"/>
        <v>33228.435819098726</v>
      </c>
      <c r="X20" s="65">
        <f t="shared" si="11"/>
        <v>33228.435819098726</v>
      </c>
      <c r="Y20" s="65">
        <f t="shared" si="11"/>
        <v>33228.435819098726</v>
      </c>
      <c r="Z20" s="65">
        <f t="shared" si="11"/>
        <v>33228.435819098726</v>
      </c>
      <c r="AA20" s="65">
        <f t="shared" si="11"/>
        <v>33228.435819098726</v>
      </c>
      <c r="AB20" s="65">
        <f t="shared" si="11"/>
        <v>33228.435819098726</v>
      </c>
      <c r="AC20" s="65">
        <f t="shared" si="11"/>
        <v>-343451.56418090127</v>
      </c>
      <c r="AD20" s="65">
        <f t="shared" si="11"/>
        <v>-343451.56418090127</v>
      </c>
      <c r="AE20" s="65">
        <f t="shared" si="11"/>
        <v>-343451.56418090127</v>
      </c>
      <c r="AF20" s="65">
        <f t="shared" si="11"/>
        <v>-343451.56418090127</v>
      </c>
      <c r="AG20" s="65">
        <f t="shared" si="11"/>
        <v>-343451.56418090127</v>
      </c>
      <c r="AH20" s="65">
        <f t="shared" si="11"/>
        <v>-343451.56418090127</v>
      </c>
      <c r="AI20" s="65">
        <f t="shared" si="11"/>
        <v>-343451.56418090127</v>
      </c>
      <c r="AJ20" s="65">
        <f t="shared" si="11"/>
        <v>-343451.56418090127</v>
      </c>
      <c r="AK20" s="65">
        <f t="shared" si="11"/>
        <v>-343451.56418090127</v>
      </c>
      <c r="AL20" s="65">
        <f t="shared" si="11"/>
        <v>-343451.56418090127</v>
      </c>
    </row>
    <row r="21" spans="4:39" ht="15">
      <c r="D21" s="4" t="s">
        <v>180</v>
      </c>
      <c r="E21" s="16" t="s">
        <v>306</v>
      </c>
      <c r="K21" s="65">
        <f>'BaU Model'!K18</f>
        <v>800</v>
      </c>
      <c r="L21" s="65">
        <f>'BaU Model'!L18</f>
        <v>800</v>
      </c>
      <c r="M21" s="65">
        <f>'BaU Model'!M18</f>
        <v>800</v>
      </c>
      <c r="N21" s="65">
        <f>'BaU Model'!N18</f>
        <v>1800</v>
      </c>
      <c r="O21" s="65">
        <f>'BaU Model'!O18</f>
        <v>1800</v>
      </c>
      <c r="P21" s="65">
        <f>'BaU Model'!P18</f>
        <v>1800</v>
      </c>
      <c r="Q21" s="65">
        <f>P21</f>
        <v>1800</v>
      </c>
      <c r="R21" s="65">
        <f t="shared" ref="R21:AL21" si="12">Q21</f>
        <v>1800</v>
      </c>
      <c r="S21" s="65">
        <f t="shared" si="12"/>
        <v>1800</v>
      </c>
      <c r="T21" s="65">
        <f t="shared" si="12"/>
        <v>1800</v>
      </c>
      <c r="U21" s="65">
        <f t="shared" si="12"/>
        <v>1800</v>
      </c>
      <c r="V21" s="65">
        <f t="shared" si="12"/>
        <v>1800</v>
      </c>
      <c r="W21" s="65">
        <f t="shared" si="12"/>
        <v>1800</v>
      </c>
      <c r="X21" s="65">
        <f t="shared" si="12"/>
        <v>1800</v>
      </c>
      <c r="Y21" s="65">
        <f t="shared" si="12"/>
        <v>1800</v>
      </c>
      <c r="Z21" s="65">
        <f t="shared" si="12"/>
        <v>1800</v>
      </c>
      <c r="AA21" s="65">
        <f t="shared" si="12"/>
        <v>1800</v>
      </c>
      <c r="AB21" s="65">
        <f t="shared" si="12"/>
        <v>1800</v>
      </c>
      <c r="AC21" s="65">
        <f t="shared" si="12"/>
        <v>1800</v>
      </c>
      <c r="AD21" s="65">
        <f t="shared" si="12"/>
        <v>1800</v>
      </c>
      <c r="AE21" s="65">
        <f t="shared" si="12"/>
        <v>1800</v>
      </c>
      <c r="AF21" s="65">
        <f t="shared" si="12"/>
        <v>1800</v>
      </c>
      <c r="AG21" s="65">
        <f t="shared" si="12"/>
        <v>1800</v>
      </c>
      <c r="AH21" s="65">
        <f t="shared" si="12"/>
        <v>1800</v>
      </c>
      <c r="AI21" s="65">
        <f t="shared" si="12"/>
        <v>1800</v>
      </c>
      <c r="AJ21" s="65">
        <f t="shared" si="12"/>
        <v>1800</v>
      </c>
      <c r="AK21" s="65">
        <f t="shared" si="12"/>
        <v>1800</v>
      </c>
      <c r="AL21" s="65">
        <f t="shared" si="12"/>
        <v>1800</v>
      </c>
    </row>
    <row r="22" spans="4:39" ht="15">
      <c r="D22" s="4" t="s">
        <v>427</v>
      </c>
      <c r="E22" s="16" t="s">
        <v>106</v>
      </c>
      <c r="K22" s="65">
        <f>(K21+SUM(K35:K38))/K33</f>
        <v>1.8129533678756478</v>
      </c>
      <c r="L22" s="65">
        <f t="shared" ref="L22:O22" si="13">(L21+SUM(L35:L38))/L33</f>
        <v>1.9066551166747128</v>
      </c>
      <c r="M22" s="65">
        <f t="shared" si="13"/>
        <v>1.8367738032705883</v>
      </c>
      <c r="N22" s="65">
        <f t="shared" si="13"/>
        <v>1.8815339776532183</v>
      </c>
      <c r="O22" s="65">
        <f t="shared" si="13"/>
        <v>2.274116334125547</v>
      </c>
      <c r="P22" s="65">
        <f t="shared" ref="P22:AL22" si="14">(P21+SUM(P35:P38))/P33</f>
        <v>2.277607063808083</v>
      </c>
      <c r="Q22" s="65">
        <f t="shared" si="14"/>
        <v>2.0845047041176494</v>
      </c>
      <c r="R22" s="65">
        <f t="shared" si="14"/>
        <v>2.0845047041176494</v>
      </c>
      <c r="S22" s="65">
        <f t="shared" si="14"/>
        <v>1.9123332911358926</v>
      </c>
      <c r="T22" s="65">
        <f t="shared" si="14"/>
        <v>1.9148328343992786</v>
      </c>
      <c r="U22" s="65">
        <f t="shared" si="14"/>
        <v>1.9123332911358926</v>
      </c>
      <c r="V22" s="65">
        <f t="shared" si="14"/>
        <v>1.9123332911358926</v>
      </c>
      <c r="W22" s="65">
        <f t="shared" si="14"/>
        <v>1.9123332911358926</v>
      </c>
      <c r="X22" s="65">
        <f t="shared" si="14"/>
        <v>1.9148328343992786</v>
      </c>
      <c r="Y22" s="65">
        <f t="shared" si="14"/>
        <v>1.9123332911358926</v>
      </c>
      <c r="Z22" s="65">
        <f t="shared" si="14"/>
        <v>1.9123332911358926</v>
      </c>
      <c r="AA22" s="65">
        <f t="shared" si="14"/>
        <v>1.9123332911358926</v>
      </c>
      <c r="AB22" s="65">
        <f t="shared" si="14"/>
        <v>1.9148328343992786</v>
      </c>
      <c r="AC22" s="65">
        <f t="shared" si="14"/>
        <v>1.7648580665195435</v>
      </c>
      <c r="AD22" s="65">
        <f t="shared" si="14"/>
        <v>1.7648580665195435</v>
      </c>
      <c r="AE22" s="65">
        <f t="shared" si="14"/>
        <v>1.7648580665195435</v>
      </c>
      <c r="AF22" s="65">
        <f t="shared" si="14"/>
        <v>1.7682602226280411</v>
      </c>
      <c r="AG22" s="65">
        <f t="shared" si="14"/>
        <v>1.7648580665195435</v>
      </c>
      <c r="AH22" s="65">
        <f t="shared" si="14"/>
        <v>1.7648580665195435</v>
      </c>
      <c r="AI22" s="65">
        <f t="shared" si="14"/>
        <v>1.7648580665195435</v>
      </c>
      <c r="AJ22" s="65">
        <f t="shared" si="14"/>
        <v>1.7682602226280411</v>
      </c>
      <c r="AK22" s="65">
        <f t="shared" si="14"/>
        <v>1.7648580665195435</v>
      </c>
      <c r="AL22" s="65">
        <f t="shared" si="14"/>
        <v>1.7648580665195435</v>
      </c>
    </row>
    <row r="23" spans="4:39" ht="24" thickBot="1">
      <c r="D23" s="57"/>
    </row>
    <row r="24" spans="4:39" ht="18">
      <c r="D24" s="15" t="s">
        <v>225</v>
      </c>
      <c r="K24">
        <f>K29/K26</f>
        <v>0</v>
      </c>
      <c r="L24">
        <f t="shared" ref="L24:AL24" si="15">L29/L26</f>
        <v>0</v>
      </c>
      <c r="M24">
        <f t="shared" si="15"/>
        <v>0</v>
      </c>
      <c r="N24">
        <f t="shared" si="15"/>
        <v>0</v>
      </c>
      <c r="O24">
        <f t="shared" si="15"/>
        <v>0</v>
      </c>
      <c r="P24">
        <f t="shared" si="15"/>
        <v>0</v>
      </c>
      <c r="Q24">
        <f t="shared" si="15"/>
        <v>0</v>
      </c>
      <c r="R24">
        <f t="shared" si="15"/>
        <v>0</v>
      </c>
      <c r="S24">
        <f t="shared" si="15"/>
        <v>0</v>
      </c>
      <c r="T24">
        <f t="shared" si="15"/>
        <v>0</v>
      </c>
      <c r="U24">
        <f t="shared" si="15"/>
        <v>0</v>
      </c>
      <c r="V24">
        <f t="shared" si="15"/>
        <v>0</v>
      </c>
      <c r="W24">
        <f t="shared" si="15"/>
        <v>0</v>
      </c>
      <c r="X24">
        <f t="shared" si="15"/>
        <v>0</v>
      </c>
      <c r="Y24">
        <f t="shared" si="15"/>
        <v>0</v>
      </c>
      <c r="Z24">
        <f t="shared" si="15"/>
        <v>0</v>
      </c>
      <c r="AA24">
        <f t="shared" si="15"/>
        <v>0</v>
      </c>
      <c r="AB24">
        <f t="shared" si="15"/>
        <v>0</v>
      </c>
      <c r="AC24">
        <f t="shared" si="15"/>
        <v>0</v>
      </c>
      <c r="AD24">
        <f t="shared" si="15"/>
        <v>0</v>
      </c>
      <c r="AE24">
        <f t="shared" si="15"/>
        <v>0</v>
      </c>
      <c r="AF24">
        <f t="shared" si="15"/>
        <v>0</v>
      </c>
      <c r="AG24">
        <f t="shared" si="15"/>
        <v>0</v>
      </c>
      <c r="AH24">
        <f t="shared" si="15"/>
        <v>0</v>
      </c>
      <c r="AI24">
        <f t="shared" si="15"/>
        <v>0</v>
      </c>
      <c r="AJ24">
        <f t="shared" si="15"/>
        <v>0</v>
      </c>
      <c r="AK24">
        <f t="shared" si="15"/>
        <v>0</v>
      </c>
      <c r="AL24">
        <f t="shared" si="15"/>
        <v>0</v>
      </c>
    </row>
    <row r="25" spans="4:39" ht="15">
      <c r="D25" s="4" t="s">
        <v>310</v>
      </c>
      <c r="K25" s="65">
        <f>K26-SUM(K27:K31)</f>
        <v>0</v>
      </c>
      <c r="L25" s="65">
        <f t="shared" ref="L25:AL25" si="16">L26-SUM(L27:L31)</f>
        <v>0</v>
      </c>
      <c r="M25" s="65">
        <f t="shared" si="16"/>
        <v>0</v>
      </c>
      <c r="N25" s="65">
        <f t="shared" si="16"/>
        <v>0</v>
      </c>
      <c r="O25" s="65">
        <f t="shared" si="16"/>
        <v>0</v>
      </c>
      <c r="P25" s="65">
        <f t="shared" si="16"/>
        <v>0</v>
      </c>
      <c r="Q25" s="65">
        <f t="shared" si="16"/>
        <v>0</v>
      </c>
      <c r="R25" s="65">
        <f t="shared" si="16"/>
        <v>0</v>
      </c>
      <c r="S25" s="65">
        <f t="shared" si="16"/>
        <v>0</v>
      </c>
      <c r="T25" s="65">
        <f t="shared" si="16"/>
        <v>0</v>
      </c>
      <c r="U25" s="65">
        <f t="shared" si="16"/>
        <v>0</v>
      </c>
      <c r="V25" s="65">
        <f t="shared" si="16"/>
        <v>0</v>
      </c>
      <c r="W25" s="65">
        <f t="shared" si="16"/>
        <v>0</v>
      </c>
      <c r="X25" s="65">
        <f t="shared" si="16"/>
        <v>0</v>
      </c>
      <c r="Y25" s="65">
        <f t="shared" si="16"/>
        <v>0</v>
      </c>
      <c r="Z25" s="65">
        <f t="shared" si="16"/>
        <v>0</v>
      </c>
      <c r="AA25" s="65">
        <f t="shared" si="16"/>
        <v>0</v>
      </c>
      <c r="AB25" s="65">
        <f t="shared" si="16"/>
        <v>0</v>
      </c>
      <c r="AC25" s="65">
        <f t="shared" si="16"/>
        <v>0</v>
      </c>
      <c r="AD25" s="65">
        <f t="shared" si="16"/>
        <v>0</v>
      </c>
      <c r="AE25" s="65">
        <f t="shared" si="16"/>
        <v>0</v>
      </c>
      <c r="AF25" s="65">
        <f t="shared" si="16"/>
        <v>0</v>
      </c>
      <c r="AG25" s="65">
        <f t="shared" si="16"/>
        <v>0</v>
      </c>
      <c r="AH25" s="65">
        <f t="shared" si="16"/>
        <v>0</v>
      </c>
      <c r="AI25" s="65">
        <f t="shared" si="16"/>
        <v>0</v>
      </c>
      <c r="AJ25" s="65">
        <f t="shared" si="16"/>
        <v>0</v>
      </c>
      <c r="AK25" s="65">
        <f t="shared" si="16"/>
        <v>0</v>
      </c>
      <c r="AL25" s="65">
        <f t="shared" si="16"/>
        <v>0</v>
      </c>
    </row>
    <row r="26" spans="4:39">
      <c r="D26" t="s">
        <v>190</v>
      </c>
      <c r="E26" s="16" t="s">
        <v>145</v>
      </c>
      <c r="K26" s="59">
        <f>'BaU Model'!K23</f>
        <v>193000</v>
      </c>
      <c r="L26" s="59">
        <f>'BaU Model'!L23</f>
        <v>182241.97400000002</v>
      </c>
      <c r="M26" s="59">
        <f>'BaU Model'!M23</f>
        <v>190008.44456000003</v>
      </c>
      <c r="N26" s="59">
        <f>'BaU Model'!N23</f>
        <v>475558.33633279998</v>
      </c>
      <c r="O26" s="59">
        <f>'BaU Model'!O23</f>
        <v>515651.50088976207</v>
      </c>
      <c r="P26" s="59">
        <f>'BaU Model'!P23</f>
        <v>515651.50088976207</v>
      </c>
      <c r="Q26" s="59">
        <f>'BaU Model'!Q23</f>
        <v>605806.50088976207</v>
      </c>
      <c r="R26" s="59">
        <f>'BaU Model'!R23</f>
        <v>605806.50088976207</v>
      </c>
      <c r="S26" s="59">
        <f>'BaU Model'!S23</f>
        <v>720131.56418090127</v>
      </c>
      <c r="T26" s="59">
        <f>'BaU Model'!T23</f>
        <v>720131.56418090127</v>
      </c>
      <c r="U26" s="59">
        <f>'BaU Model'!U23</f>
        <v>720131.56418090127</v>
      </c>
      <c r="V26" s="59">
        <f>'BaU Model'!V23</f>
        <v>720131.56418090127</v>
      </c>
      <c r="W26" s="59">
        <f>'BaU Model'!W23</f>
        <v>720131.56418090127</v>
      </c>
      <c r="X26" s="59">
        <f>'BaU Model'!X23</f>
        <v>720131.56418090127</v>
      </c>
      <c r="Y26" s="59">
        <f>'BaU Model'!Y23</f>
        <v>720131.56418090127</v>
      </c>
      <c r="Z26" s="59">
        <f>'BaU Model'!Z23</f>
        <v>720131.56418090127</v>
      </c>
      <c r="AA26" s="59">
        <f>'BaU Model'!AA23</f>
        <v>720131.56418090127</v>
      </c>
      <c r="AB26" s="59">
        <f>'BaU Model'!AB23</f>
        <v>720131.56418090127</v>
      </c>
      <c r="AC26" s="59">
        <f>'BaU Model'!AC23</f>
        <v>720131.56418090127</v>
      </c>
      <c r="AD26" s="59">
        <f>'BaU Model'!AD23</f>
        <v>720131.56418090127</v>
      </c>
      <c r="AE26" s="59">
        <f>'BaU Model'!AE23</f>
        <v>720131.56418090127</v>
      </c>
      <c r="AF26" s="59">
        <f>'BaU Model'!AF23</f>
        <v>720131.56418090127</v>
      </c>
      <c r="AG26" s="59">
        <f>'BaU Model'!AG23</f>
        <v>720131.56418090127</v>
      </c>
      <c r="AH26" s="59">
        <f>'BaU Model'!AH23</f>
        <v>720131.56418090127</v>
      </c>
      <c r="AI26" s="59">
        <f>'BaU Model'!AI23</f>
        <v>720131.56418090127</v>
      </c>
      <c r="AJ26" s="59">
        <f>'BaU Model'!AJ23</f>
        <v>720131.56418090127</v>
      </c>
      <c r="AK26" s="59">
        <f>'BaU Model'!AK23</f>
        <v>720131.56418090127</v>
      </c>
      <c r="AL26" s="59">
        <f>'BaU Model'!AL23</f>
        <v>720131.56418090127</v>
      </c>
    </row>
    <row r="27" spans="4:39">
      <c r="D27" t="s">
        <v>189</v>
      </c>
      <c r="E27" s="16" t="s">
        <v>145</v>
      </c>
      <c r="K27" s="59">
        <f>Inputs!E93/100*'Initiative 5 Model'!K26</f>
        <v>135100</v>
      </c>
      <c r="L27" s="59">
        <f>Inputs!F93/100*'Initiative 5 Model'!L26</f>
        <v>127569.3818</v>
      </c>
      <c r="M27" s="59">
        <f>Inputs!G93/100*'Initiative 5 Model'!M26</f>
        <v>133005.91119200003</v>
      </c>
      <c r="N27" s="59">
        <f>Inputs!H93/100*'Initiative 5 Model'!N26</f>
        <v>237779.16816639999</v>
      </c>
      <c r="O27" s="59">
        <f>Inputs!I93/100*'Initiative 5 Model'!O26</f>
        <v>0</v>
      </c>
      <c r="P27" s="59">
        <f>P26-P28-P31</f>
        <v>0</v>
      </c>
      <c r="Q27" s="59">
        <f t="shared" ref="Q27:AL27" si="17">Q26-Q28-Q31</f>
        <v>0</v>
      </c>
      <c r="R27" s="59">
        <f t="shared" si="17"/>
        <v>0</v>
      </c>
      <c r="S27" s="59">
        <f t="shared" si="17"/>
        <v>0</v>
      </c>
      <c r="T27" s="59">
        <f t="shared" si="17"/>
        <v>0</v>
      </c>
      <c r="U27" s="59">
        <f t="shared" si="17"/>
        <v>0</v>
      </c>
      <c r="V27" s="59">
        <f t="shared" si="17"/>
        <v>0</v>
      </c>
      <c r="W27" s="59">
        <f t="shared" si="17"/>
        <v>0</v>
      </c>
      <c r="X27" s="59">
        <f t="shared" si="17"/>
        <v>0</v>
      </c>
      <c r="Y27" s="59">
        <f t="shared" si="17"/>
        <v>0</v>
      </c>
      <c r="Z27" s="59">
        <f t="shared" si="17"/>
        <v>0</v>
      </c>
      <c r="AA27" s="59">
        <f t="shared" si="17"/>
        <v>0</v>
      </c>
      <c r="AB27" s="59">
        <f>AB26-AB28-AB31</f>
        <v>0</v>
      </c>
      <c r="AC27" s="59">
        <f t="shared" si="17"/>
        <v>106201.56418090127</v>
      </c>
      <c r="AD27" s="59">
        <f t="shared" si="17"/>
        <v>106201.56418090127</v>
      </c>
      <c r="AE27" s="59">
        <f t="shared" si="17"/>
        <v>106201.56418090127</v>
      </c>
      <c r="AF27" s="59">
        <f t="shared" si="17"/>
        <v>105551.56418090127</v>
      </c>
      <c r="AG27" s="59">
        <f t="shared" si="17"/>
        <v>106201.56418090127</v>
      </c>
      <c r="AH27" s="59">
        <f t="shared" si="17"/>
        <v>106201.56418090127</v>
      </c>
      <c r="AI27" s="59">
        <f t="shared" si="17"/>
        <v>106201.56418090127</v>
      </c>
      <c r="AJ27" s="59">
        <f t="shared" si="17"/>
        <v>105551.56418090127</v>
      </c>
      <c r="AK27" s="59">
        <f t="shared" si="17"/>
        <v>106201.56418090127</v>
      </c>
      <c r="AL27" s="59">
        <f t="shared" si="17"/>
        <v>106201.56418090127</v>
      </c>
      <c r="AM27" s="105">
        <f>SUM(M27:AL27)</f>
        <v>1431500.7211674128</v>
      </c>
    </row>
    <row r="28" spans="4:39">
      <c r="D28" t="s">
        <v>144</v>
      </c>
      <c r="E28" s="16" t="s">
        <v>145</v>
      </c>
      <c r="K28" s="59">
        <f>Inputs!E89/100*'Initiative 5 Model'!K26</f>
        <v>57900</v>
      </c>
      <c r="L28" s="59">
        <f>Inputs!F89/100*'Initiative 5 Model'!L26</f>
        <v>54672.592200000006</v>
      </c>
      <c r="M28" s="59">
        <f>Inputs!G89/100*'Initiative 5 Model'!M26</f>
        <v>57002.533368000011</v>
      </c>
      <c r="N28" s="59">
        <f>Inputs!H89/100*'Initiative 5 Model'!N26</f>
        <v>237779.16816639999</v>
      </c>
      <c r="O28" s="59">
        <f>Inputs!I89/100*'Initiative 5 Model'!O26</f>
        <v>515651.50088976207</v>
      </c>
      <c r="P28" s="59">
        <f>IF(P26&lt;P19,P26,P19)</f>
        <v>515651.50088976207</v>
      </c>
      <c r="Q28" s="59">
        <f t="shared" ref="Q28:AA28" si="18">IF(Q26&lt;Q19,Q26,Q19)</f>
        <v>605806.50088976207</v>
      </c>
      <c r="R28" s="59">
        <f t="shared" si="18"/>
        <v>605806.50088976207</v>
      </c>
      <c r="S28" s="59">
        <f t="shared" si="18"/>
        <v>720131.56418090127</v>
      </c>
      <c r="T28" s="59">
        <f t="shared" si="18"/>
        <v>720131.56418090127</v>
      </c>
      <c r="U28" s="59">
        <f t="shared" si="18"/>
        <v>720131.56418090127</v>
      </c>
      <c r="V28" s="59">
        <f t="shared" si="18"/>
        <v>720131.56418090127</v>
      </c>
      <c r="W28" s="59">
        <f t="shared" si="18"/>
        <v>720131.56418090127</v>
      </c>
      <c r="X28" s="59">
        <f t="shared" si="18"/>
        <v>720131.56418090127</v>
      </c>
      <c r="Y28" s="59">
        <f t="shared" si="18"/>
        <v>720131.56418090127</v>
      </c>
      <c r="Z28" s="59">
        <f t="shared" si="18"/>
        <v>720131.56418090127</v>
      </c>
      <c r="AA28" s="59">
        <f t="shared" si="18"/>
        <v>720131.56418090127</v>
      </c>
      <c r="AB28" s="59">
        <f t="shared" ref="AB28:AL28" si="19">IF((AB26-AB31)&lt;AB19,AB26-AB31,AB19)</f>
        <v>482231.56418090127</v>
      </c>
      <c r="AC28" s="59">
        <f t="shared" si="19"/>
        <v>376680</v>
      </c>
      <c r="AD28" s="59">
        <f t="shared" si="19"/>
        <v>376680</v>
      </c>
      <c r="AE28" s="59">
        <f t="shared" si="19"/>
        <v>376680</v>
      </c>
      <c r="AF28" s="59">
        <f t="shared" si="19"/>
        <v>376680</v>
      </c>
      <c r="AG28" s="59">
        <f t="shared" si="19"/>
        <v>376680</v>
      </c>
      <c r="AH28" s="59">
        <f t="shared" si="19"/>
        <v>376680</v>
      </c>
      <c r="AI28" s="59">
        <f t="shared" si="19"/>
        <v>376680</v>
      </c>
      <c r="AJ28" s="59">
        <f t="shared" si="19"/>
        <v>376680</v>
      </c>
      <c r="AK28" s="59">
        <f t="shared" si="19"/>
        <v>376680</v>
      </c>
      <c r="AL28" s="59">
        <f t="shared" si="19"/>
        <v>376680</v>
      </c>
    </row>
    <row r="29" spans="4:39">
      <c r="D29" t="s">
        <v>125</v>
      </c>
      <c r="E29" s="16" t="s">
        <v>145</v>
      </c>
      <c r="K29" s="59">
        <f>Inputs!E99/100*'Initiative 5 Model'!K26</f>
        <v>0</v>
      </c>
      <c r="L29" s="59">
        <f>Inputs!F99/100*'Initiative 5 Model'!L26</f>
        <v>0</v>
      </c>
      <c r="M29" s="59">
        <f>Inputs!G99/100*'Initiative 5 Model'!M26</f>
        <v>0</v>
      </c>
      <c r="N29" s="59">
        <f>Inputs!H99/100*'Initiative 5 Model'!N26</f>
        <v>0</v>
      </c>
      <c r="O29" s="59">
        <f>Inputs!I99/100*'Initiative 5 Model'!O26</f>
        <v>0</v>
      </c>
      <c r="P29" s="59"/>
      <c r="Q29" s="59"/>
      <c r="R29" s="59"/>
      <c r="S29" s="59"/>
      <c r="T29" s="59"/>
      <c r="U29" s="59"/>
      <c r="V29" s="59"/>
      <c r="W29" s="59"/>
      <c r="X29" s="59"/>
      <c r="Y29" s="59"/>
      <c r="Z29" s="59"/>
      <c r="AA29" s="59"/>
      <c r="AB29" s="59"/>
      <c r="AC29" s="59"/>
      <c r="AD29" s="59"/>
      <c r="AE29" s="59"/>
      <c r="AF29" s="59"/>
      <c r="AG29" s="59"/>
      <c r="AH29" s="59"/>
      <c r="AI29" s="59"/>
      <c r="AJ29" s="59"/>
      <c r="AK29" s="59"/>
      <c r="AL29" s="59"/>
    </row>
    <row r="30" spans="4:39">
      <c r="D30" t="s">
        <v>191</v>
      </c>
      <c r="E30" s="16" t="s">
        <v>145</v>
      </c>
      <c r="K30" s="59">
        <f>Inputs!E104/100*'Initiative 5 Model'!K26</f>
        <v>0</v>
      </c>
      <c r="L30" s="59">
        <f>Inputs!F104/100*'Initiative 5 Model'!L26</f>
        <v>0</v>
      </c>
      <c r="M30" s="59">
        <f>Inputs!G104/100*'Initiative 5 Model'!M26</f>
        <v>0</v>
      </c>
      <c r="N30" s="59">
        <f>Inputs!H104/100*'Initiative 5 Model'!N26</f>
        <v>0</v>
      </c>
      <c r="O30" s="59">
        <f>Inputs!I104/100*'Initiative 5 Model'!O26</f>
        <v>0</v>
      </c>
      <c r="P30" s="59"/>
      <c r="Q30" s="59"/>
      <c r="R30" s="59"/>
      <c r="S30" s="59"/>
      <c r="T30" s="59"/>
      <c r="U30" s="59"/>
      <c r="V30" s="59"/>
      <c r="W30" s="59"/>
      <c r="X30" s="59"/>
      <c r="Y30" s="59"/>
      <c r="Z30" s="59"/>
      <c r="AA30" s="59"/>
      <c r="AB30" s="59"/>
      <c r="AC30" s="59"/>
      <c r="AD30" s="59"/>
      <c r="AE30" s="59"/>
      <c r="AF30" s="59"/>
      <c r="AG30" s="59"/>
      <c r="AH30" s="59"/>
      <c r="AI30" s="59"/>
      <c r="AJ30" s="59"/>
      <c r="AK30" s="59"/>
      <c r="AL30" s="59"/>
    </row>
    <row r="31" spans="4:39">
      <c r="D31" t="s">
        <v>424</v>
      </c>
      <c r="E31" s="16" t="s">
        <v>145</v>
      </c>
      <c r="K31" s="59">
        <v>0</v>
      </c>
      <c r="L31" s="59">
        <v>0</v>
      </c>
      <c r="M31" s="59">
        <v>0</v>
      </c>
      <c r="N31" s="59">
        <v>0</v>
      </c>
      <c r="O31" s="59">
        <v>0</v>
      </c>
      <c r="P31" s="59">
        <v>0</v>
      </c>
      <c r="Q31" s="59">
        <v>0</v>
      </c>
      <c r="R31" s="59">
        <v>0</v>
      </c>
      <c r="S31" s="59">
        <v>0</v>
      </c>
      <c r="T31" s="59">
        <v>0</v>
      </c>
      <c r="U31" s="59">
        <v>0</v>
      </c>
      <c r="V31" s="59">
        <v>0</v>
      </c>
      <c r="W31" s="59">
        <v>0</v>
      </c>
      <c r="X31" s="59">
        <v>0</v>
      </c>
      <c r="Y31" s="59">
        <v>0</v>
      </c>
      <c r="Z31" s="59">
        <v>0</v>
      </c>
      <c r="AA31" s="59">
        <v>0</v>
      </c>
      <c r="AB31" s="59">
        <f>Inputs!$E$194*'Initiative 5 Model'!AB11</f>
        <v>237900</v>
      </c>
      <c r="AC31" s="59">
        <f>Inputs!$E$194*'Initiative 5 Model'!AC11</f>
        <v>237250</v>
      </c>
      <c r="AD31" s="59">
        <f>Inputs!$E$194*'Initiative 5 Model'!AD11</f>
        <v>237250</v>
      </c>
      <c r="AE31" s="59">
        <f>Inputs!$E$194*'Initiative 5 Model'!AE11</f>
        <v>237250</v>
      </c>
      <c r="AF31" s="59">
        <f>Inputs!$E$194*'Initiative 5 Model'!AF11</f>
        <v>237900</v>
      </c>
      <c r="AG31" s="59">
        <f>Inputs!$E$194*'Initiative 5 Model'!AG11</f>
        <v>237250</v>
      </c>
      <c r="AH31" s="59">
        <f>Inputs!$E$194*'Initiative 5 Model'!AH11</f>
        <v>237250</v>
      </c>
      <c r="AI31" s="59">
        <f>Inputs!$E$194*'Initiative 5 Model'!AI11</f>
        <v>237250</v>
      </c>
      <c r="AJ31" s="59">
        <f>Inputs!$E$194*'Initiative 5 Model'!AJ11</f>
        <v>237900</v>
      </c>
      <c r="AK31" s="59">
        <f>Inputs!$E$194*'Initiative 5 Model'!AK11</f>
        <v>237250</v>
      </c>
      <c r="AL31" s="59">
        <f>Inputs!$E$194*'Initiative 5 Model'!AL11</f>
        <v>237250</v>
      </c>
    </row>
    <row r="32" spans="4:39" ht="15">
      <c r="D32" s="4" t="s">
        <v>311</v>
      </c>
    </row>
    <row r="33" spans="4:38">
      <c r="D33" t="s">
        <v>190</v>
      </c>
      <c r="E33" s="16" t="s">
        <v>156</v>
      </c>
      <c r="K33" s="59">
        <f>K26/K11</f>
        <v>528.76712328767121</v>
      </c>
      <c r="L33" s="59">
        <f t="shared" ref="L33:AL33" si="20">L26/L11</f>
        <v>497.92889071038257</v>
      </c>
      <c r="M33" s="59">
        <f t="shared" si="20"/>
        <v>520.57108098630147</v>
      </c>
      <c r="N33" s="59">
        <f t="shared" si="20"/>
        <v>1302.8995515967122</v>
      </c>
      <c r="O33" s="59">
        <f t="shared" si="20"/>
        <v>1412.7438380541428</v>
      </c>
      <c r="P33" s="59">
        <f t="shared" si="20"/>
        <v>1408.8838822124646</v>
      </c>
      <c r="Q33" s="59">
        <f t="shared" si="20"/>
        <v>1659.7438380541428</v>
      </c>
      <c r="R33" s="59">
        <f t="shared" si="20"/>
        <v>1659.7438380541428</v>
      </c>
      <c r="S33" s="59">
        <f t="shared" si="20"/>
        <v>1972.9631895367158</v>
      </c>
      <c r="T33" s="59">
        <f t="shared" si="20"/>
        <v>1967.5725797292384</v>
      </c>
      <c r="U33" s="59">
        <f t="shared" si="20"/>
        <v>1972.9631895367158</v>
      </c>
      <c r="V33" s="59">
        <f t="shared" si="20"/>
        <v>1972.9631895367158</v>
      </c>
      <c r="W33" s="59">
        <f t="shared" si="20"/>
        <v>1972.9631895367158</v>
      </c>
      <c r="X33" s="59">
        <f t="shared" si="20"/>
        <v>1967.5725797292384</v>
      </c>
      <c r="Y33" s="59">
        <f t="shared" si="20"/>
        <v>1972.9631895367158</v>
      </c>
      <c r="Z33" s="59">
        <f t="shared" si="20"/>
        <v>1972.9631895367158</v>
      </c>
      <c r="AA33" s="59">
        <f t="shared" si="20"/>
        <v>1972.9631895367158</v>
      </c>
      <c r="AB33" s="59">
        <f t="shared" si="20"/>
        <v>1967.5725797292384</v>
      </c>
      <c r="AC33" s="59">
        <f t="shared" si="20"/>
        <v>1972.9631895367158</v>
      </c>
      <c r="AD33" s="59">
        <f t="shared" si="20"/>
        <v>1972.9631895367158</v>
      </c>
      <c r="AE33" s="59">
        <f t="shared" si="20"/>
        <v>1972.9631895367158</v>
      </c>
      <c r="AF33" s="59">
        <f t="shared" si="20"/>
        <v>1967.5725797292384</v>
      </c>
      <c r="AG33" s="59">
        <f t="shared" si="20"/>
        <v>1972.9631895367158</v>
      </c>
      <c r="AH33" s="59">
        <f t="shared" si="20"/>
        <v>1972.9631895367158</v>
      </c>
      <c r="AI33" s="59">
        <f t="shared" si="20"/>
        <v>1972.9631895367158</v>
      </c>
      <c r="AJ33" s="59">
        <f t="shared" si="20"/>
        <v>1967.5725797292384</v>
      </c>
      <c r="AK33" s="59">
        <f t="shared" si="20"/>
        <v>1972.9631895367158</v>
      </c>
      <c r="AL33" s="59">
        <f t="shared" si="20"/>
        <v>1972.9631895367158</v>
      </c>
    </row>
    <row r="34" spans="4:38">
      <c r="D34" t="s">
        <v>189</v>
      </c>
      <c r="E34" s="16" t="s">
        <v>156</v>
      </c>
      <c r="K34" s="59">
        <f>K27/K11</f>
        <v>370.13698630136986</v>
      </c>
      <c r="L34" s="59">
        <f t="shared" ref="L34:AL34" si="21">L27/L11</f>
        <v>348.55022349726778</v>
      </c>
      <c r="M34" s="59">
        <f t="shared" si="21"/>
        <v>364.39975669041104</v>
      </c>
      <c r="N34" s="59">
        <f t="shared" si="21"/>
        <v>651.44977579835609</v>
      </c>
      <c r="O34" s="59">
        <f t="shared" si="21"/>
        <v>0</v>
      </c>
      <c r="P34" s="59">
        <f t="shared" si="21"/>
        <v>0</v>
      </c>
      <c r="Q34" s="59">
        <f t="shared" si="21"/>
        <v>0</v>
      </c>
      <c r="R34" s="59">
        <f t="shared" si="21"/>
        <v>0</v>
      </c>
      <c r="S34" s="59">
        <f t="shared" si="21"/>
        <v>0</v>
      </c>
      <c r="T34" s="59">
        <f t="shared" si="21"/>
        <v>0</v>
      </c>
      <c r="U34" s="59">
        <f t="shared" si="21"/>
        <v>0</v>
      </c>
      <c r="V34" s="59">
        <f t="shared" si="21"/>
        <v>0</v>
      </c>
      <c r="W34" s="59">
        <f t="shared" si="21"/>
        <v>0</v>
      </c>
      <c r="X34" s="59">
        <f t="shared" si="21"/>
        <v>0</v>
      </c>
      <c r="Y34" s="59">
        <f t="shared" si="21"/>
        <v>0</v>
      </c>
      <c r="Z34" s="59">
        <f t="shared" si="21"/>
        <v>0</v>
      </c>
      <c r="AA34" s="59">
        <f t="shared" si="21"/>
        <v>0</v>
      </c>
      <c r="AB34" s="59">
        <f t="shared" si="21"/>
        <v>0</v>
      </c>
      <c r="AC34" s="59">
        <f t="shared" si="21"/>
        <v>290.96318953671584</v>
      </c>
      <c r="AD34" s="59">
        <f t="shared" si="21"/>
        <v>290.96318953671584</v>
      </c>
      <c r="AE34" s="59">
        <f t="shared" si="21"/>
        <v>290.96318953671584</v>
      </c>
      <c r="AF34" s="59">
        <f t="shared" si="21"/>
        <v>288.39225186038601</v>
      </c>
      <c r="AG34" s="59">
        <f t="shared" si="21"/>
        <v>290.96318953671584</v>
      </c>
      <c r="AH34" s="59">
        <f t="shared" si="21"/>
        <v>290.96318953671584</v>
      </c>
      <c r="AI34" s="59">
        <f t="shared" si="21"/>
        <v>290.96318953671584</v>
      </c>
      <c r="AJ34" s="59">
        <f t="shared" si="21"/>
        <v>288.39225186038601</v>
      </c>
      <c r="AK34" s="59">
        <f t="shared" si="21"/>
        <v>290.96318953671584</v>
      </c>
      <c r="AL34" s="59">
        <f t="shared" si="21"/>
        <v>290.96318953671584</v>
      </c>
    </row>
    <row r="35" spans="4:38">
      <c r="D35" t="s">
        <v>144</v>
      </c>
      <c r="E35" s="16" t="s">
        <v>156</v>
      </c>
      <c r="K35" s="59">
        <f>K28/K11</f>
        <v>158.63013698630138</v>
      </c>
      <c r="L35" s="59">
        <f t="shared" ref="L35:AL35" si="22">L28/L11</f>
        <v>149.37866721311477</v>
      </c>
      <c r="M35" s="59">
        <f t="shared" si="22"/>
        <v>156.17132429589043</v>
      </c>
      <c r="N35" s="59">
        <f t="shared" si="22"/>
        <v>651.44977579835609</v>
      </c>
      <c r="O35" s="59">
        <f t="shared" si="22"/>
        <v>1412.7438380541428</v>
      </c>
      <c r="P35" s="59">
        <f t="shared" si="22"/>
        <v>1408.8838822124646</v>
      </c>
      <c r="Q35" s="59">
        <f t="shared" si="22"/>
        <v>1659.7438380541428</v>
      </c>
      <c r="R35" s="59">
        <f t="shared" si="22"/>
        <v>1659.7438380541428</v>
      </c>
      <c r="S35" s="59">
        <f t="shared" si="22"/>
        <v>1972.9631895367158</v>
      </c>
      <c r="T35" s="59">
        <f t="shared" si="22"/>
        <v>1967.5725797292384</v>
      </c>
      <c r="U35" s="59">
        <f t="shared" si="22"/>
        <v>1972.9631895367158</v>
      </c>
      <c r="V35" s="59">
        <f t="shared" si="22"/>
        <v>1972.9631895367158</v>
      </c>
      <c r="W35" s="59">
        <f t="shared" si="22"/>
        <v>1972.9631895367158</v>
      </c>
      <c r="X35" s="59">
        <f t="shared" si="22"/>
        <v>1967.5725797292384</v>
      </c>
      <c r="Y35" s="59">
        <f t="shared" si="22"/>
        <v>1972.9631895367158</v>
      </c>
      <c r="Z35" s="59">
        <f t="shared" si="22"/>
        <v>1972.9631895367158</v>
      </c>
      <c r="AA35" s="59">
        <f t="shared" si="22"/>
        <v>1972.9631895367158</v>
      </c>
      <c r="AB35" s="59">
        <f t="shared" si="22"/>
        <v>1317.5725797292384</v>
      </c>
      <c r="AC35" s="59">
        <f t="shared" si="22"/>
        <v>1032</v>
      </c>
      <c r="AD35" s="59">
        <f t="shared" si="22"/>
        <v>1032</v>
      </c>
      <c r="AE35" s="59">
        <f t="shared" si="22"/>
        <v>1032</v>
      </c>
      <c r="AF35" s="59">
        <f t="shared" si="22"/>
        <v>1029.1803278688524</v>
      </c>
      <c r="AG35" s="59">
        <f t="shared" si="22"/>
        <v>1032</v>
      </c>
      <c r="AH35" s="59">
        <f t="shared" si="22"/>
        <v>1032</v>
      </c>
      <c r="AI35" s="59">
        <f t="shared" si="22"/>
        <v>1032</v>
      </c>
      <c r="AJ35" s="59">
        <f t="shared" si="22"/>
        <v>1029.1803278688524</v>
      </c>
      <c r="AK35" s="59">
        <f t="shared" si="22"/>
        <v>1032</v>
      </c>
      <c r="AL35" s="59">
        <f t="shared" si="22"/>
        <v>1032</v>
      </c>
    </row>
    <row r="36" spans="4:38">
      <c r="D36" t="s">
        <v>125</v>
      </c>
      <c r="E36" s="16" t="s">
        <v>156</v>
      </c>
      <c r="K36" s="59">
        <f>K29/K11</f>
        <v>0</v>
      </c>
      <c r="L36" s="59">
        <f t="shared" ref="L36:AL36" si="23">L29/L11</f>
        <v>0</v>
      </c>
      <c r="M36" s="59">
        <f t="shared" si="23"/>
        <v>0</v>
      </c>
      <c r="N36" s="59">
        <f t="shared" si="23"/>
        <v>0</v>
      </c>
      <c r="O36" s="59">
        <f t="shared" si="23"/>
        <v>0</v>
      </c>
      <c r="P36" s="59">
        <f t="shared" si="23"/>
        <v>0</v>
      </c>
      <c r="Q36" s="59">
        <f t="shared" si="23"/>
        <v>0</v>
      </c>
      <c r="R36" s="59">
        <f t="shared" si="23"/>
        <v>0</v>
      </c>
      <c r="S36" s="59">
        <f t="shared" si="23"/>
        <v>0</v>
      </c>
      <c r="T36" s="59">
        <f t="shared" si="23"/>
        <v>0</v>
      </c>
      <c r="U36" s="59">
        <f t="shared" si="23"/>
        <v>0</v>
      </c>
      <c r="V36" s="59">
        <f t="shared" si="23"/>
        <v>0</v>
      </c>
      <c r="W36" s="59">
        <f t="shared" si="23"/>
        <v>0</v>
      </c>
      <c r="X36" s="59">
        <f t="shared" si="23"/>
        <v>0</v>
      </c>
      <c r="Y36" s="59">
        <f t="shared" si="23"/>
        <v>0</v>
      </c>
      <c r="Z36" s="59">
        <f t="shared" si="23"/>
        <v>0</v>
      </c>
      <c r="AA36" s="59">
        <f t="shared" si="23"/>
        <v>0</v>
      </c>
      <c r="AB36" s="59">
        <f t="shared" si="23"/>
        <v>0</v>
      </c>
      <c r="AC36" s="59">
        <f t="shared" si="23"/>
        <v>0</v>
      </c>
      <c r="AD36" s="59">
        <f t="shared" si="23"/>
        <v>0</v>
      </c>
      <c r="AE36" s="59">
        <f t="shared" si="23"/>
        <v>0</v>
      </c>
      <c r="AF36" s="59">
        <f t="shared" si="23"/>
        <v>0</v>
      </c>
      <c r="AG36" s="59">
        <f t="shared" si="23"/>
        <v>0</v>
      </c>
      <c r="AH36" s="59">
        <f t="shared" si="23"/>
        <v>0</v>
      </c>
      <c r="AI36" s="59">
        <f t="shared" si="23"/>
        <v>0</v>
      </c>
      <c r="AJ36" s="59">
        <f t="shared" si="23"/>
        <v>0</v>
      </c>
      <c r="AK36" s="59">
        <f t="shared" si="23"/>
        <v>0</v>
      </c>
      <c r="AL36" s="59">
        <f t="shared" si="23"/>
        <v>0</v>
      </c>
    </row>
    <row r="37" spans="4:38">
      <c r="D37" t="s">
        <v>191</v>
      </c>
      <c r="E37" s="16" t="s">
        <v>156</v>
      </c>
      <c r="K37" s="59">
        <f>K30/K11</f>
        <v>0</v>
      </c>
      <c r="L37" s="59">
        <f t="shared" ref="L37:AL37" si="24">L30/L11</f>
        <v>0</v>
      </c>
      <c r="M37" s="59">
        <f t="shared" si="24"/>
        <v>0</v>
      </c>
      <c r="N37" s="59">
        <f t="shared" si="24"/>
        <v>0</v>
      </c>
      <c r="O37" s="59">
        <f t="shared" si="24"/>
        <v>0</v>
      </c>
      <c r="P37" s="59">
        <f t="shared" si="24"/>
        <v>0</v>
      </c>
      <c r="Q37" s="59">
        <f t="shared" si="24"/>
        <v>0</v>
      </c>
      <c r="R37" s="59">
        <f t="shared" si="24"/>
        <v>0</v>
      </c>
      <c r="S37" s="59">
        <f t="shared" si="24"/>
        <v>0</v>
      </c>
      <c r="T37" s="59">
        <f t="shared" si="24"/>
        <v>0</v>
      </c>
      <c r="U37" s="59">
        <f t="shared" si="24"/>
        <v>0</v>
      </c>
      <c r="V37" s="59">
        <f t="shared" si="24"/>
        <v>0</v>
      </c>
      <c r="W37" s="59">
        <f t="shared" si="24"/>
        <v>0</v>
      </c>
      <c r="X37" s="59">
        <f t="shared" si="24"/>
        <v>0</v>
      </c>
      <c r="Y37" s="59">
        <f t="shared" si="24"/>
        <v>0</v>
      </c>
      <c r="Z37" s="59">
        <f t="shared" si="24"/>
        <v>0</v>
      </c>
      <c r="AA37" s="59">
        <f t="shared" si="24"/>
        <v>0</v>
      </c>
      <c r="AB37" s="59">
        <f t="shared" si="24"/>
        <v>0</v>
      </c>
      <c r="AC37" s="59">
        <f t="shared" si="24"/>
        <v>0</v>
      </c>
      <c r="AD37" s="59">
        <f t="shared" si="24"/>
        <v>0</v>
      </c>
      <c r="AE37" s="59">
        <f t="shared" si="24"/>
        <v>0</v>
      </c>
      <c r="AF37" s="59">
        <f t="shared" si="24"/>
        <v>0</v>
      </c>
      <c r="AG37" s="59">
        <f t="shared" si="24"/>
        <v>0</v>
      </c>
      <c r="AH37" s="59">
        <f t="shared" si="24"/>
        <v>0</v>
      </c>
      <c r="AI37" s="59">
        <f t="shared" si="24"/>
        <v>0</v>
      </c>
      <c r="AJ37" s="59">
        <f t="shared" si="24"/>
        <v>0</v>
      </c>
      <c r="AK37" s="59">
        <f t="shared" si="24"/>
        <v>0</v>
      </c>
      <c r="AL37" s="59">
        <f t="shared" si="24"/>
        <v>0</v>
      </c>
    </row>
    <row r="38" spans="4:38">
      <c r="D38" t="s">
        <v>424</v>
      </c>
      <c r="E38" s="16" t="s">
        <v>156</v>
      </c>
      <c r="K38" s="59">
        <f>K31/K11</f>
        <v>0</v>
      </c>
      <c r="L38" s="59">
        <f t="shared" ref="L38:AL38" si="25">L31/L11</f>
        <v>0</v>
      </c>
      <c r="M38" s="59">
        <f t="shared" si="25"/>
        <v>0</v>
      </c>
      <c r="N38" s="59">
        <f t="shared" si="25"/>
        <v>0</v>
      </c>
      <c r="O38" s="59">
        <f t="shared" si="25"/>
        <v>0</v>
      </c>
      <c r="P38" s="59">
        <f t="shared" si="25"/>
        <v>0</v>
      </c>
      <c r="Q38" s="59">
        <f t="shared" si="25"/>
        <v>0</v>
      </c>
      <c r="R38" s="59">
        <f t="shared" si="25"/>
        <v>0</v>
      </c>
      <c r="S38" s="59">
        <f t="shared" si="25"/>
        <v>0</v>
      </c>
      <c r="T38" s="59">
        <f t="shared" si="25"/>
        <v>0</v>
      </c>
      <c r="U38" s="59">
        <f t="shared" si="25"/>
        <v>0</v>
      </c>
      <c r="V38" s="59">
        <f t="shared" si="25"/>
        <v>0</v>
      </c>
      <c r="W38" s="59">
        <f t="shared" si="25"/>
        <v>0</v>
      </c>
      <c r="X38" s="59">
        <f t="shared" si="25"/>
        <v>0</v>
      </c>
      <c r="Y38" s="59">
        <f t="shared" si="25"/>
        <v>0</v>
      </c>
      <c r="Z38" s="59">
        <f t="shared" si="25"/>
        <v>0</v>
      </c>
      <c r="AA38" s="59">
        <f t="shared" si="25"/>
        <v>0</v>
      </c>
      <c r="AB38" s="59">
        <f t="shared" si="25"/>
        <v>650</v>
      </c>
      <c r="AC38" s="59">
        <f t="shared" si="25"/>
        <v>650</v>
      </c>
      <c r="AD38" s="59">
        <f t="shared" si="25"/>
        <v>650</v>
      </c>
      <c r="AE38" s="59">
        <f t="shared" si="25"/>
        <v>650</v>
      </c>
      <c r="AF38" s="59">
        <f t="shared" si="25"/>
        <v>650</v>
      </c>
      <c r="AG38" s="59">
        <f t="shared" si="25"/>
        <v>650</v>
      </c>
      <c r="AH38" s="59">
        <f t="shared" si="25"/>
        <v>650</v>
      </c>
      <c r="AI38" s="59">
        <f t="shared" si="25"/>
        <v>650</v>
      </c>
      <c r="AJ38" s="59">
        <f t="shared" si="25"/>
        <v>650</v>
      </c>
      <c r="AK38" s="59">
        <f t="shared" si="25"/>
        <v>650</v>
      </c>
      <c r="AL38" s="59">
        <f t="shared" si="25"/>
        <v>650</v>
      </c>
    </row>
    <row r="39" spans="4:38" ht="15">
      <c r="D39" s="4" t="s">
        <v>194</v>
      </c>
    </row>
    <row r="40" spans="4:38">
      <c r="D40" t="s">
        <v>189</v>
      </c>
      <c r="E40" s="16" t="s">
        <v>195</v>
      </c>
      <c r="K40" s="60">
        <f>K27/Inputs!F34</f>
        <v>4.48E-2</v>
      </c>
    </row>
    <row r="41" spans="4:38">
      <c r="D41" t="s">
        <v>144</v>
      </c>
      <c r="E41" s="16" t="s">
        <v>195</v>
      </c>
      <c r="K41" s="61">
        <f>K28/Inputs!F34</f>
        <v>1.9199999999999998E-2</v>
      </c>
    </row>
    <row r="42" spans="4:38">
      <c r="D42" t="s">
        <v>125</v>
      </c>
      <c r="E42" s="16" t="s">
        <v>195</v>
      </c>
      <c r="K42" s="62"/>
    </row>
    <row r="43" spans="4:38">
      <c r="D43" t="s">
        <v>191</v>
      </c>
      <c r="E43" s="16" t="s">
        <v>195</v>
      </c>
      <c r="K43" s="62"/>
    </row>
    <row r="44" spans="4:38">
      <c r="E44" s="16"/>
      <c r="K44" s="66"/>
    </row>
    <row r="45" spans="4:38" ht="18">
      <c r="D45" s="15" t="s">
        <v>226</v>
      </c>
    </row>
    <row r="46" spans="4:38" ht="15">
      <c r="D46" s="4" t="s">
        <v>212</v>
      </c>
      <c r="E46" s="16" t="s">
        <v>145</v>
      </c>
      <c r="K46" s="116">
        <f>K26*Inputs!E117</f>
        <v>67550</v>
      </c>
      <c r="L46" s="116">
        <f>L26*Inputs!F117</f>
        <v>63784.690900000001</v>
      </c>
      <c r="M46" s="116">
        <f>M26*Inputs!G117</f>
        <v>66502.955596000014</v>
      </c>
      <c r="N46" s="116">
        <f>N26*Inputs!H117</f>
        <v>166445.41771647998</v>
      </c>
      <c r="O46" s="116">
        <f>O26*Inputs!I117</f>
        <v>180478.02531141671</v>
      </c>
      <c r="P46" s="116">
        <f>P26*Inputs!$J$117</f>
        <v>180478.02531141671</v>
      </c>
      <c r="Q46" s="116">
        <f>Q26*Inputs!$J$117</f>
        <v>212032.27531141671</v>
      </c>
      <c r="R46" s="116">
        <f>R26*Inputs!$J$117</f>
        <v>212032.27531141671</v>
      </c>
      <c r="S46" s="116">
        <f>S26*Inputs!$J$117</f>
        <v>252046.04746331542</v>
      </c>
      <c r="T46" s="116">
        <f>T26*Inputs!$J$117</f>
        <v>252046.04746331542</v>
      </c>
      <c r="U46" s="116">
        <f>U26*Inputs!$J$117</f>
        <v>252046.04746331542</v>
      </c>
      <c r="V46" s="116">
        <f>V26*Inputs!$J$117</f>
        <v>252046.04746331542</v>
      </c>
      <c r="W46" s="116">
        <f>W26*Inputs!$J$117</f>
        <v>252046.04746331542</v>
      </c>
      <c r="X46" s="116">
        <f>X26*Inputs!$J$117</f>
        <v>252046.04746331542</v>
      </c>
      <c r="Y46" s="116">
        <f>Y26*Inputs!$J$117</f>
        <v>252046.04746331542</v>
      </c>
      <c r="Z46" s="116">
        <f>Z26*Inputs!$J$117</f>
        <v>252046.04746331542</v>
      </c>
      <c r="AA46" s="116">
        <f>AA26*Inputs!$J$117</f>
        <v>252046.04746331542</v>
      </c>
      <c r="AB46" s="116">
        <f>AB26*Inputs!$J$117</f>
        <v>252046.04746331542</v>
      </c>
      <c r="AC46" s="116">
        <f>AC26*Inputs!$J$117</f>
        <v>252046.04746331542</v>
      </c>
      <c r="AD46" s="116">
        <f>AD26*Inputs!$J$117</f>
        <v>252046.04746331542</v>
      </c>
      <c r="AE46" s="116">
        <f>AE26*Inputs!$J$117</f>
        <v>252046.04746331542</v>
      </c>
      <c r="AF46" s="116">
        <f>AF26*Inputs!$J$117</f>
        <v>252046.04746331542</v>
      </c>
      <c r="AG46" s="116">
        <f>AG26*Inputs!$J$117</f>
        <v>252046.04746331542</v>
      </c>
      <c r="AH46" s="116">
        <f>AH26*Inputs!$J$117</f>
        <v>252046.04746331542</v>
      </c>
      <c r="AI46" s="116">
        <f>AI26*Inputs!$J$117</f>
        <v>252046.04746331542</v>
      </c>
      <c r="AJ46" s="116">
        <f>AJ26*Inputs!$J$117</f>
        <v>252046.04746331542</v>
      </c>
      <c r="AK46" s="116">
        <f>AK26*Inputs!$J$117</f>
        <v>252046.04746331542</v>
      </c>
      <c r="AL46" s="116">
        <f>AL26*Inputs!$J$117</f>
        <v>252046.04746331542</v>
      </c>
    </row>
    <row r="47" spans="4:38">
      <c r="D47" s="7" t="s">
        <v>122</v>
      </c>
      <c r="E47" s="16" t="s">
        <v>145</v>
      </c>
      <c r="K47" s="116">
        <f>(K46*Inputs!E118)*Inputs!E120</f>
        <v>48804.875</v>
      </c>
      <c r="L47" s="116">
        <f>(L46*Inputs!F118)*Inputs!F120</f>
        <v>46084.439175250001</v>
      </c>
      <c r="M47" s="116">
        <f>(M46*Inputs!G118)*Inputs!G120</f>
        <v>48048.385418110011</v>
      </c>
      <c r="N47" s="116">
        <f>(N46*Inputs!H118)*Inputs!H120</f>
        <v>120256.81430015677</v>
      </c>
      <c r="O47" s="116">
        <f>(O46*Inputs!I118)*Inputs!I120</f>
        <v>130395.37328749857</v>
      </c>
      <c r="P47" s="116">
        <f>(P46*Inputs!$J$118)*Inputs!$J$120</f>
        <v>130395.37328749857</v>
      </c>
      <c r="Q47" s="116">
        <f>(Q46*Inputs!$J$118)*Inputs!$J$120</f>
        <v>153193.31891249857</v>
      </c>
      <c r="R47" s="116">
        <f>(R46*Inputs!$J$118)*Inputs!$J$120</f>
        <v>153193.31891249857</v>
      </c>
      <c r="S47" s="116">
        <f>(S46*Inputs!$J$118)*Inputs!$J$120</f>
        <v>182103.26929224539</v>
      </c>
      <c r="T47" s="116">
        <f>(T46*Inputs!$J$118)*Inputs!$J$120</f>
        <v>182103.26929224539</v>
      </c>
      <c r="U47" s="116">
        <f>(U46*Inputs!$J$118)*Inputs!$J$120</f>
        <v>182103.26929224539</v>
      </c>
      <c r="V47" s="116">
        <f>(V46*Inputs!$J$118)*Inputs!$J$120</f>
        <v>182103.26929224539</v>
      </c>
      <c r="W47" s="116">
        <f>(W46*Inputs!$J$118)*Inputs!$J$120</f>
        <v>182103.26929224539</v>
      </c>
      <c r="X47" s="116">
        <f>(X46*Inputs!$J$118)*Inputs!$J$120</f>
        <v>182103.26929224539</v>
      </c>
      <c r="Y47" s="116">
        <f>(Y46*Inputs!$J$118)*Inputs!$J$120</f>
        <v>182103.26929224539</v>
      </c>
      <c r="Z47" s="116">
        <f>(Z46*Inputs!$J$118)*Inputs!$J$120</f>
        <v>182103.26929224539</v>
      </c>
      <c r="AA47" s="116">
        <f>(AA46*Inputs!$J$118)*Inputs!$J$120</f>
        <v>182103.26929224539</v>
      </c>
      <c r="AB47" s="116">
        <f>(AB46*Inputs!$J$118)*Inputs!$J$120</f>
        <v>182103.26929224539</v>
      </c>
      <c r="AC47" s="116">
        <f>(AC46*Inputs!$J$118)*Inputs!$J$120</f>
        <v>182103.26929224539</v>
      </c>
      <c r="AD47" s="116">
        <f>(AD46*Inputs!$J$118)*Inputs!$J$120</f>
        <v>182103.26929224539</v>
      </c>
      <c r="AE47" s="116">
        <f>(AE46*Inputs!$J$118)*Inputs!$J$120</f>
        <v>182103.26929224539</v>
      </c>
      <c r="AF47" s="116">
        <f>(AF46*Inputs!$J$118)*Inputs!$J$120</f>
        <v>182103.26929224539</v>
      </c>
      <c r="AG47" s="116">
        <f>(AG46*Inputs!$J$118)*Inputs!$J$120</f>
        <v>182103.26929224539</v>
      </c>
      <c r="AH47" s="116">
        <f>(AH46*Inputs!$J$118)*Inputs!$J$120</f>
        <v>182103.26929224539</v>
      </c>
      <c r="AI47" s="116">
        <f>(AI46*Inputs!$J$118)*Inputs!$J$120</f>
        <v>182103.26929224539</v>
      </c>
      <c r="AJ47" s="116">
        <f>(AJ46*Inputs!$J$118)*Inputs!$J$120</f>
        <v>182103.26929224539</v>
      </c>
      <c r="AK47" s="116">
        <f>(AK46*Inputs!$J$118)*Inputs!$J$120</f>
        <v>182103.26929224539</v>
      </c>
      <c r="AL47" s="116">
        <f>(AL46*Inputs!$J$118)*Inputs!$J$120</f>
        <v>182103.26929224539</v>
      </c>
    </row>
    <row r="48" spans="4:38">
      <c r="D48" s="7" t="s">
        <v>219</v>
      </c>
      <c r="E48" s="16" t="s">
        <v>145</v>
      </c>
      <c r="K48" s="116">
        <f>K46*Inputs!E119</f>
        <v>10132.5</v>
      </c>
      <c r="L48" s="116">
        <f>L46*Inputs!F119</f>
        <v>9567.7036349999998</v>
      </c>
      <c r="M48" s="116">
        <f>M46*Inputs!G119</f>
        <v>9975.4433394000025</v>
      </c>
      <c r="N48" s="116">
        <f>N46*Inputs!H119</f>
        <v>24966.812657471997</v>
      </c>
      <c r="O48" s="116">
        <f>O46*Inputs!I119</f>
        <v>27071.703796712507</v>
      </c>
      <c r="P48" s="116">
        <f>P46*Inputs!$J$119</f>
        <v>27071.703796712507</v>
      </c>
      <c r="Q48" s="116">
        <f>Q46*Inputs!$J$119</f>
        <v>31804.841296712504</v>
      </c>
      <c r="R48" s="116">
        <f>R46*Inputs!$J$119</f>
        <v>31804.841296712504</v>
      </c>
      <c r="S48" s="116">
        <f>S46*Inputs!$J$119</f>
        <v>37806.907119497315</v>
      </c>
      <c r="T48" s="116">
        <f>T46*Inputs!$J$119</f>
        <v>37806.907119497315</v>
      </c>
      <c r="U48" s="116">
        <f>U46*Inputs!$J$119</f>
        <v>37806.907119497315</v>
      </c>
      <c r="V48" s="116">
        <f>V46*Inputs!$J$119</f>
        <v>37806.907119497315</v>
      </c>
      <c r="W48" s="116">
        <f>W46*Inputs!$J$119</f>
        <v>37806.907119497315</v>
      </c>
      <c r="X48" s="116">
        <f>X46*Inputs!$J$119</f>
        <v>37806.907119497315</v>
      </c>
      <c r="Y48" s="116">
        <f>Y46*Inputs!$J$119</f>
        <v>37806.907119497315</v>
      </c>
      <c r="Z48" s="116">
        <f>Z46*Inputs!$J$119</f>
        <v>37806.907119497315</v>
      </c>
      <c r="AA48" s="116">
        <f>AA46*Inputs!$J$119</f>
        <v>37806.907119497315</v>
      </c>
      <c r="AB48" s="116">
        <f>AB46*Inputs!$J$119</f>
        <v>37806.907119497315</v>
      </c>
      <c r="AC48" s="116">
        <f>AC46*Inputs!$J$119</f>
        <v>37806.907119497315</v>
      </c>
      <c r="AD48" s="116">
        <f>AD46*Inputs!$J$119</f>
        <v>37806.907119497315</v>
      </c>
      <c r="AE48" s="116">
        <f>AE46*Inputs!$J$119</f>
        <v>37806.907119497315</v>
      </c>
      <c r="AF48" s="116">
        <f>AF46*Inputs!$J$119</f>
        <v>37806.907119497315</v>
      </c>
      <c r="AG48" s="116">
        <f>AG46*Inputs!$J$119</f>
        <v>37806.907119497315</v>
      </c>
      <c r="AH48" s="116">
        <f>AH46*Inputs!$J$119</f>
        <v>37806.907119497315</v>
      </c>
      <c r="AI48" s="116">
        <f>AI46*Inputs!$J$119</f>
        <v>37806.907119497315</v>
      </c>
      <c r="AJ48" s="116">
        <f>AJ46*Inputs!$J$119</f>
        <v>37806.907119497315</v>
      </c>
      <c r="AK48" s="116">
        <f>AK46*Inputs!$J$119</f>
        <v>37806.907119497315</v>
      </c>
      <c r="AL48" s="116">
        <f>AL46*Inputs!$J$119</f>
        <v>37806.907119497315</v>
      </c>
    </row>
    <row r="49" spans="4:39" ht="15">
      <c r="D49" s="131" t="s">
        <v>227</v>
      </c>
      <c r="E49" s="16" t="s">
        <v>145</v>
      </c>
      <c r="K49" s="116">
        <f>K26*Inputs!E114</f>
        <v>115800</v>
      </c>
      <c r="L49" s="116">
        <f>L26*Inputs!F114</f>
        <v>109345.18440000001</v>
      </c>
      <c r="M49" s="116">
        <f>M26*Inputs!G114</f>
        <v>114005.06673600002</v>
      </c>
      <c r="N49" s="116">
        <f>N26*Inputs!H114</f>
        <v>285335.00179968</v>
      </c>
      <c r="O49" s="116">
        <f>O26*Inputs!I114</f>
        <v>309390.90053385723</v>
      </c>
      <c r="P49" s="116">
        <f>P26*Inputs!$J$114</f>
        <v>309390.90053385723</v>
      </c>
      <c r="Q49" s="116">
        <f>Q26*Inputs!$J$114</f>
        <v>363483.90053385723</v>
      </c>
      <c r="R49" s="116">
        <f>R26*Inputs!$J$114</f>
        <v>363483.90053385723</v>
      </c>
      <c r="S49" s="116">
        <f>S26*Inputs!$J$114</f>
        <v>432078.93850854074</v>
      </c>
      <c r="T49" s="116">
        <f>T26*Inputs!$J$114</f>
        <v>432078.93850854074</v>
      </c>
      <c r="U49" s="116">
        <f>U26*Inputs!$J$114</f>
        <v>432078.93850854074</v>
      </c>
      <c r="V49" s="116">
        <f>V26*Inputs!$J$114</f>
        <v>432078.93850854074</v>
      </c>
      <c r="W49" s="116">
        <f>W26*Inputs!$J$114</f>
        <v>432078.93850854074</v>
      </c>
      <c r="X49" s="116">
        <f>X26*Inputs!$J$114</f>
        <v>432078.93850854074</v>
      </c>
      <c r="Y49" s="116">
        <f>Y26*Inputs!$J$114</f>
        <v>432078.93850854074</v>
      </c>
      <c r="Z49" s="116">
        <f>Z26*Inputs!$J$114</f>
        <v>432078.93850854074</v>
      </c>
      <c r="AA49" s="116">
        <f>AA26*Inputs!$J$114</f>
        <v>432078.93850854074</v>
      </c>
      <c r="AB49" s="116">
        <f>AB26*Inputs!$J$114</f>
        <v>432078.93850854074</v>
      </c>
      <c r="AC49" s="116">
        <f>AC26*Inputs!$J$114</f>
        <v>432078.93850854074</v>
      </c>
      <c r="AD49" s="116">
        <f>AD26*Inputs!$J$114</f>
        <v>432078.93850854074</v>
      </c>
      <c r="AE49" s="116">
        <f>AE26*Inputs!$J$114</f>
        <v>432078.93850854074</v>
      </c>
      <c r="AF49" s="116">
        <f>AF26*Inputs!$J$114</f>
        <v>432078.93850854074</v>
      </c>
      <c r="AG49" s="116">
        <f>AG26*Inputs!$J$114</f>
        <v>432078.93850854074</v>
      </c>
      <c r="AH49" s="116">
        <f>AH26*Inputs!$J$114</f>
        <v>432078.93850854074</v>
      </c>
      <c r="AI49" s="116">
        <f>AI26*Inputs!$J$114</f>
        <v>432078.93850854074</v>
      </c>
      <c r="AJ49" s="116">
        <f>AJ26*Inputs!$J$114</f>
        <v>432078.93850854074</v>
      </c>
      <c r="AK49" s="116">
        <f>AK26*Inputs!$J$114</f>
        <v>432078.93850854074</v>
      </c>
      <c r="AL49" s="116">
        <f>AL26*Inputs!$J$114</f>
        <v>432078.93850854074</v>
      </c>
    </row>
    <row r="50" spans="4:39">
      <c r="D50" s="63" t="s">
        <v>394</v>
      </c>
      <c r="E50" s="16" t="s">
        <v>145</v>
      </c>
      <c r="J50" s="65"/>
      <c r="K50" s="116">
        <f>K49*Inputs!E115</f>
        <v>11580</v>
      </c>
      <c r="L50" s="116">
        <f>L49*Inputs!F115</f>
        <v>10934.518440000002</v>
      </c>
      <c r="M50" s="116">
        <f>M49*Inputs!G115</f>
        <v>11400.506673600003</v>
      </c>
      <c r="N50" s="116">
        <f>N49*Inputs!H115</f>
        <v>28533.500179968003</v>
      </c>
      <c r="O50" s="116">
        <f>O49*Inputs!I115</f>
        <v>30939.090053385724</v>
      </c>
      <c r="P50" s="116">
        <f>P49*Inputs!J115</f>
        <v>30939.090053385724</v>
      </c>
      <c r="Q50" s="116">
        <f>P50</f>
        <v>30939.090053385724</v>
      </c>
      <c r="R50" s="116">
        <f t="shared" ref="R50:AL50" si="26">Q50</f>
        <v>30939.090053385724</v>
      </c>
      <c r="S50" s="116">
        <f t="shared" si="26"/>
        <v>30939.090053385724</v>
      </c>
      <c r="T50" s="116">
        <f t="shared" si="26"/>
        <v>30939.090053385724</v>
      </c>
      <c r="U50" s="116">
        <f t="shared" si="26"/>
        <v>30939.090053385724</v>
      </c>
      <c r="V50" s="116">
        <f t="shared" si="26"/>
        <v>30939.090053385724</v>
      </c>
      <c r="W50" s="116">
        <f t="shared" si="26"/>
        <v>30939.090053385724</v>
      </c>
      <c r="X50" s="116">
        <f t="shared" si="26"/>
        <v>30939.090053385724</v>
      </c>
      <c r="Y50" s="116">
        <f t="shared" si="26"/>
        <v>30939.090053385724</v>
      </c>
      <c r="Z50" s="116">
        <f t="shared" si="26"/>
        <v>30939.090053385724</v>
      </c>
      <c r="AA50" s="116">
        <f t="shared" si="26"/>
        <v>30939.090053385724</v>
      </c>
      <c r="AB50" s="116">
        <f t="shared" si="26"/>
        <v>30939.090053385724</v>
      </c>
      <c r="AC50" s="116">
        <f t="shared" si="26"/>
        <v>30939.090053385724</v>
      </c>
      <c r="AD50" s="116">
        <f t="shared" si="26"/>
        <v>30939.090053385724</v>
      </c>
      <c r="AE50" s="116">
        <f t="shared" si="26"/>
        <v>30939.090053385724</v>
      </c>
      <c r="AF50" s="116">
        <f t="shared" si="26"/>
        <v>30939.090053385724</v>
      </c>
      <c r="AG50" s="116">
        <f t="shared" si="26"/>
        <v>30939.090053385724</v>
      </c>
      <c r="AH50" s="116">
        <f t="shared" si="26"/>
        <v>30939.090053385724</v>
      </c>
      <c r="AI50" s="116">
        <f t="shared" si="26"/>
        <v>30939.090053385724</v>
      </c>
      <c r="AJ50" s="116">
        <f t="shared" si="26"/>
        <v>30939.090053385724</v>
      </c>
      <c r="AK50" s="116">
        <f t="shared" si="26"/>
        <v>30939.090053385724</v>
      </c>
      <c r="AL50" s="116">
        <f t="shared" si="26"/>
        <v>30939.090053385724</v>
      </c>
    </row>
    <row r="51" spans="4:39">
      <c r="D51" s="63" t="s">
        <v>395</v>
      </c>
      <c r="E51" s="16" t="s">
        <v>145</v>
      </c>
      <c r="J51" s="65"/>
      <c r="K51" s="116">
        <f>Inputs!E116*K49</f>
        <v>104220</v>
      </c>
      <c r="L51" s="116">
        <f>Inputs!F116*L49</f>
        <v>98410.665960000013</v>
      </c>
      <c r="M51" s="116">
        <f>Inputs!G116*M49</f>
        <v>102604.56006240002</v>
      </c>
      <c r="N51" s="116">
        <f>Inputs!H116*N49</f>
        <v>256801.50161971201</v>
      </c>
      <c r="O51" s="116">
        <f>Inputs!I116*O49</f>
        <v>278451.81048047153</v>
      </c>
      <c r="P51" s="116">
        <f>Inputs!J116*P49</f>
        <v>278451.81048047153</v>
      </c>
      <c r="Q51" s="116">
        <f t="shared" ref="Q51:AL51" si="27">P51</f>
        <v>278451.81048047153</v>
      </c>
      <c r="R51" s="116">
        <f t="shared" si="27"/>
        <v>278451.81048047153</v>
      </c>
      <c r="S51" s="116">
        <f t="shared" si="27"/>
        <v>278451.81048047153</v>
      </c>
      <c r="T51" s="116">
        <f t="shared" si="27"/>
        <v>278451.81048047153</v>
      </c>
      <c r="U51" s="116">
        <f t="shared" si="27"/>
        <v>278451.81048047153</v>
      </c>
      <c r="V51" s="116">
        <f t="shared" si="27"/>
        <v>278451.81048047153</v>
      </c>
      <c r="W51" s="116">
        <f t="shared" si="27"/>
        <v>278451.81048047153</v>
      </c>
      <c r="X51" s="116">
        <f t="shared" si="27"/>
        <v>278451.81048047153</v>
      </c>
      <c r="Y51" s="116">
        <f t="shared" si="27"/>
        <v>278451.81048047153</v>
      </c>
      <c r="Z51" s="116">
        <f t="shared" si="27"/>
        <v>278451.81048047153</v>
      </c>
      <c r="AA51" s="116">
        <f t="shared" si="27"/>
        <v>278451.81048047153</v>
      </c>
      <c r="AB51" s="116">
        <f t="shared" si="27"/>
        <v>278451.81048047153</v>
      </c>
      <c r="AC51" s="116">
        <f t="shared" si="27"/>
        <v>278451.81048047153</v>
      </c>
      <c r="AD51" s="116">
        <f t="shared" si="27"/>
        <v>278451.81048047153</v>
      </c>
      <c r="AE51" s="116">
        <f t="shared" si="27"/>
        <v>278451.81048047153</v>
      </c>
      <c r="AF51" s="116">
        <f t="shared" si="27"/>
        <v>278451.81048047153</v>
      </c>
      <c r="AG51" s="116">
        <f t="shared" si="27"/>
        <v>278451.81048047153</v>
      </c>
      <c r="AH51" s="116">
        <f t="shared" si="27"/>
        <v>278451.81048047153</v>
      </c>
      <c r="AI51" s="116">
        <f t="shared" si="27"/>
        <v>278451.81048047153</v>
      </c>
      <c r="AJ51" s="116">
        <f t="shared" si="27"/>
        <v>278451.81048047153</v>
      </c>
      <c r="AK51" s="116">
        <f t="shared" si="27"/>
        <v>278451.81048047153</v>
      </c>
      <c r="AL51" s="116">
        <f t="shared" si="27"/>
        <v>278451.81048047153</v>
      </c>
    </row>
    <row r="52" spans="4:39" ht="15">
      <c r="D52" s="4" t="s">
        <v>228</v>
      </c>
      <c r="E52" s="16" t="s">
        <v>145</v>
      </c>
      <c r="K52" s="116">
        <f>K26*Inputs!E113</f>
        <v>9650</v>
      </c>
      <c r="L52" s="116">
        <f>L26*Inputs!F113</f>
        <v>9112.0987000000005</v>
      </c>
      <c r="M52" s="116">
        <f>M26*Inputs!G113</f>
        <v>9500.4222280000013</v>
      </c>
      <c r="N52" s="116">
        <f>N26*Inputs!H113</f>
        <v>23777.916816640001</v>
      </c>
      <c r="O52" s="116">
        <f>O26*Inputs!I113</f>
        <v>25782.575044488105</v>
      </c>
      <c r="P52" s="116">
        <f>P26*Inputs!$J$113</f>
        <v>25782.575044488105</v>
      </c>
      <c r="Q52" s="116">
        <f>Q26*Inputs!$J$113</f>
        <v>30290.325044488105</v>
      </c>
      <c r="R52" s="116">
        <f>R26*Inputs!$J$113</f>
        <v>30290.325044488105</v>
      </c>
      <c r="S52" s="116">
        <f>S26*Inputs!$J$113</f>
        <v>36006.578209045067</v>
      </c>
      <c r="T52" s="116">
        <f>T26*Inputs!$J$113</f>
        <v>36006.578209045067</v>
      </c>
      <c r="U52" s="116">
        <f>U26*Inputs!$J$113</f>
        <v>36006.578209045067</v>
      </c>
      <c r="V52" s="116">
        <f>V26*Inputs!$J$113</f>
        <v>36006.578209045067</v>
      </c>
      <c r="W52" s="116">
        <f>W26*Inputs!$J$113</f>
        <v>36006.578209045067</v>
      </c>
      <c r="X52" s="116">
        <f>X26*Inputs!$J$113</f>
        <v>36006.578209045067</v>
      </c>
      <c r="Y52" s="116">
        <f>Y26*Inputs!$J$113</f>
        <v>36006.578209045067</v>
      </c>
      <c r="Z52" s="116">
        <f>Z26*Inputs!$J$113</f>
        <v>36006.578209045067</v>
      </c>
      <c r="AA52" s="116">
        <f>AA26*Inputs!$J$113</f>
        <v>36006.578209045067</v>
      </c>
      <c r="AB52" s="116">
        <f>AB26*Inputs!$J$113</f>
        <v>36006.578209045067</v>
      </c>
      <c r="AC52" s="116">
        <f>AC26*Inputs!$J$113</f>
        <v>36006.578209045067</v>
      </c>
      <c r="AD52" s="116">
        <f>AD26*Inputs!$J$113</f>
        <v>36006.578209045067</v>
      </c>
      <c r="AE52" s="116">
        <f>AE26*Inputs!$J$113</f>
        <v>36006.578209045067</v>
      </c>
      <c r="AF52" s="116">
        <f>AF26*Inputs!$J$113</f>
        <v>36006.578209045067</v>
      </c>
      <c r="AG52" s="116">
        <f>AG26*Inputs!$J$113</f>
        <v>36006.578209045067</v>
      </c>
      <c r="AH52" s="116">
        <f>AH26*Inputs!$J$113</f>
        <v>36006.578209045067</v>
      </c>
      <c r="AI52" s="116">
        <f>AI26*Inputs!$J$113</f>
        <v>36006.578209045067</v>
      </c>
      <c r="AJ52" s="116">
        <f>AJ26*Inputs!$J$113</f>
        <v>36006.578209045067</v>
      </c>
      <c r="AK52" s="116">
        <f>AK26*Inputs!$J$113</f>
        <v>36006.578209045067</v>
      </c>
      <c r="AL52" s="116">
        <f>AL26*Inputs!$J$113</f>
        <v>36006.578209045067</v>
      </c>
    </row>
    <row r="53" spans="4:39">
      <c r="N53" s="65"/>
    </row>
    <row r="54" spans="4:39" ht="24" thickBot="1">
      <c r="D54" s="57" t="s">
        <v>230</v>
      </c>
    </row>
    <row r="55" spans="4:39" ht="15">
      <c r="D55" s="4" t="s">
        <v>236</v>
      </c>
      <c r="E55" s="16" t="s">
        <v>145</v>
      </c>
      <c r="K55" s="117">
        <f>Inputs!E124*'Initiative 5 Model'!K26</f>
        <v>183350</v>
      </c>
      <c r="L55" s="117">
        <f>Inputs!F124*'Initiative 5 Model'!L26</f>
        <v>173129.87530000001</v>
      </c>
      <c r="M55" s="117">
        <f>Inputs!G124*'Initiative 5 Model'!M26</f>
        <v>180508.02233200002</v>
      </c>
      <c r="N55" s="117">
        <f>Inputs!H124*'Initiative 5 Model'!N26</f>
        <v>451780.41951615998</v>
      </c>
      <c r="O55" s="117">
        <f>Inputs!I124*'Initiative 5 Model'!O26</f>
        <v>489868.92584527395</v>
      </c>
      <c r="P55" s="117">
        <f>Inputs!$J$124*'Initiative 5 Model'!P26</f>
        <v>489868.92584527395</v>
      </c>
      <c r="Q55" s="117">
        <f>Inputs!$J$124*'Initiative 5 Model'!Q26</f>
        <v>575516.17584527389</v>
      </c>
      <c r="R55" s="117">
        <f>Inputs!$J$124*'Initiative 5 Model'!R26</f>
        <v>575516.17584527389</v>
      </c>
      <c r="S55" s="117">
        <f>Inputs!$J$124*'Initiative 5 Model'!S26</f>
        <v>684124.98597185616</v>
      </c>
      <c r="T55" s="117">
        <f>Inputs!$J$124*'Initiative 5 Model'!T26</f>
        <v>684124.98597185616</v>
      </c>
      <c r="U55" s="117">
        <f>Inputs!$J$124*'Initiative 5 Model'!U26</f>
        <v>684124.98597185616</v>
      </c>
      <c r="V55" s="117">
        <f>Inputs!$J$124*'Initiative 5 Model'!V26</f>
        <v>684124.98597185616</v>
      </c>
      <c r="W55" s="117">
        <f>Inputs!$J$124*'Initiative 5 Model'!W26</f>
        <v>684124.98597185616</v>
      </c>
      <c r="X55" s="117">
        <f>Inputs!$J$124*'Initiative 5 Model'!X26</f>
        <v>684124.98597185616</v>
      </c>
      <c r="Y55" s="117">
        <f>Inputs!$J$124*'Initiative 5 Model'!Y26</f>
        <v>684124.98597185616</v>
      </c>
      <c r="Z55" s="117">
        <f>Inputs!$J$124*'Initiative 5 Model'!Z26</f>
        <v>684124.98597185616</v>
      </c>
      <c r="AA55" s="117">
        <f>Inputs!$J$124*'Initiative 5 Model'!AA26</f>
        <v>684124.98597185616</v>
      </c>
      <c r="AB55" s="117">
        <f>Inputs!$J$124*'Initiative 5 Model'!AB26</f>
        <v>684124.98597185616</v>
      </c>
      <c r="AC55" s="117">
        <f>Inputs!$J$124*'Initiative 5 Model'!AC26</f>
        <v>684124.98597185616</v>
      </c>
      <c r="AD55" s="117">
        <f>Inputs!$J$124*'Initiative 5 Model'!AD26</f>
        <v>684124.98597185616</v>
      </c>
      <c r="AE55" s="117">
        <f>Inputs!$J$124*'Initiative 5 Model'!AE26</f>
        <v>684124.98597185616</v>
      </c>
      <c r="AF55" s="117">
        <f>Inputs!$J$124*'Initiative 5 Model'!AF26</f>
        <v>684124.98597185616</v>
      </c>
      <c r="AG55" s="117">
        <f>Inputs!$J$124*'Initiative 5 Model'!AG26</f>
        <v>684124.98597185616</v>
      </c>
      <c r="AH55" s="117">
        <f>Inputs!$J$124*'Initiative 5 Model'!AH26</f>
        <v>684124.98597185616</v>
      </c>
      <c r="AI55" s="117">
        <f>Inputs!$J$124*'Initiative 5 Model'!AI26</f>
        <v>684124.98597185616</v>
      </c>
      <c r="AJ55" s="117">
        <f>Inputs!$J$124*'Initiative 5 Model'!AJ26</f>
        <v>684124.98597185616</v>
      </c>
      <c r="AK55" s="117">
        <f>Inputs!$J$124*'Initiative 5 Model'!AK26</f>
        <v>684124.98597185616</v>
      </c>
      <c r="AL55" s="117">
        <f>Inputs!$J$124*'Initiative 5 Model'!AL26</f>
        <v>684124.98597185616</v>
      </c>
    </row>
    <row r="56" spans="4:39" ht="15">
      <c r="D56" s="4" t="s">
        <v>378</v>
      </c>
      <c r="E56" s="16" t="s">
        <v>145</v>
      </c>
      <c r="K56" s="65">
        <f>0.6*K55</f>
        <v>110010</v>
      </c>
      <c r="L56" s="65">
        <f t="shared" ref="L56:M56" si="28">0.6*L55</f>
        <v>103877.92518000001</v>
      </c>
      <c r="M56" s="65">
        <f t="shared" si="28"/>
        <v>108304.81339920001</v>
      </c>
      <c r="N56">
        <f>Inputs!H125</f>
        <v>260975</v>
      </c>
      <c r="O56">
        <f>Inputs!I125</f>
        <v>260975</v>
      </c>
      <c r="P56">
        <f>Inputs!J125</f>
        <v>260975</v>
      </c>
      <c r="Q56">
        <f>P56</f>
        <v>260975</v>
      </c>
      <c r="R56">
        <f t="shared" ref="R56:AL56" si="29">Q56</f>
        <v>260975</v>
      </c>
      <c r="S56">
        <f t="shared" si="29"/>
        <v>260975</v>
      </c>
      <c r="T56">
        <f t="shared" si="29"/>
        <v>260975</v>
      </c>
      <c r="U56">
        <f t="shared" si="29"/>
        <v>260975</v>
      </c>
      <c r="V56">
        <f t="shared" si="29"/>
        <v>260975</v>
      </c>
      <c r="W56">
        <f t="shared" si="29"/>
        <v>260975</v>
      </c>
      <c r="X56">
        <f t="shared" si="29"/>
        <v>260975</v>
      </c>
      <c r="Y56">
        <f t="shared" si="29"/>
        <v>260975</v>
      </c>
      <c r="Z56">
        <f t="shared" si="29"/>
        <v>260975</v>
      </c>
      <c r="AA56">
        <f t="shared" si="29"/>
        <v>260975</v>
      </c>
      <c r="AB56">
        <f t="shared" si="29"/>
        <v>260975</v>
      </c>
      <c r="AC56">
        <f t="shared" si="29"/>
        <v>260975</v>
      </c>
      <c r="AD56">
        <f t="shared" si="29"/>
        <v>260975</v>
      </c>
      <c r="AE56">
        <f t="shared" si="29"/>
        <v>260975</v>
      </c>
      <c r="AF56">
        <f t="shared" si="29"/>
        <v>260975</v>
      </c>
      <c r="AG56">
        <f t="shared" si="29"/>
        <v>260975</v>
      </c>
      <c r="AH56">
        <f t="shared" si="29"/>
        <v>260975</v>
      </c>
      <c r="AI56">
        <f t="shared" si="29"/>
        <v>260975</v>
      </c>
      <c r="AJ56">
        <f t="shared" si="29"/>
        <v>260975</v>
      </c>
      <c r="AK56">
        <f t="shared" si="29"/>
        <v>260975</v>
      </c>
      <c r="AL56">
        <f t="shared" si="29"/>
        <v>260975</v>
      </c>
    </row>
    <row r="57" spans="4:39" ht="15">
      <c r="D57" s="4" t="s">
        <v>154</v>
      </c>
      <c r="E57" s="16" t="s">
        <v>145</v>
      </c>
      <c r="K57" s="65"/>
      <c r="L57" s="65"/>
      <c r="M57" s="65"/>
      <c r="U57" s="139"/>
      <c r="V57" s="139"/>
      <c r="W57" s="139"/>
      <c r="X57" s="139"/>
      <c r="Y57" s="139"/>
      <c r="Z57" s="139"/>
      <c r="AA57" s="139"/>
      <c r="AB57" s="139"/>
      <c r="AC57" s="139"/>
      <c r="AD57" s="139"/>
      <c r="AE57" s="139"/>
      <c r="AF57" s="139"/>
      <c r="AG57" s="139"/>
      <c r="AH57" s="139"/>
      <c r="AI57" s="139"/>
      <c r="AJ57" s="139"/>
      <c r="AK57" s="139"/>
      <c r="AL57" s="139"/>
    </row>
    <row r="58" spans="4:39" ht="15">
      <c r="D58" s="4" t="s">
        <v>432</v>
      </c>
      <c r="E58" s="16" t="s">
        <v>145</v>
      </c>
      <c r="K58" s="65"/>
      <c r="L58" s="65"/>
      <c r="M58" s="65"/>
      <c r="U58" s="139"/>
      <c r="V58" s="139"/>
      <c r="W58" s="139"/>
      <c r="X58" s="139"/>
      <c r="Y58" s="139"/>
      <c r="Z58" s="139"/>
      <c r="AA58" s="139"/>
      <c r="AB58" s="139">
        <f>(Inputs!$E$192-Inputs!$E$194)*AB11</f>
        <v>128100</v>
      </c>
      <c r="AC58" s="139">
        <f>(Inputs!$E$192-Inputs!$E$194)*AC11</f>
        <v>127750</v>
      </c>
      <c r="AD58" s="139">
        <f>(Inputs!$E$192-Inputs!$E$194)*AD11</f>
        <v>127750</v>
      </c>
      <c r="AE58" s="139">
        <f>(Inputs!$E$192-Inputs!$E$194)*AE11</f>
        <v>127750</v>
      </c>
      <c r="AF58" s="139">
        <f>(Inputs!$E$192-Inputs!$E$194)*AF11</f>
        <v>128100</v>
      </c>
      <c r="AG58" s="139">
        <f>(Inputs!$E$192-Inputs!$E$194)*AG11</f>
        <v>127750</v>
      </c>
      <c r="AH58" s="139">
        <f>(Inputs!$E$192-Inputs!$E$194)*AH11</f>
        <v>127750</v>
      </c>
      <c r="AI58" s="139">
        <f>(Inputs!$E$192-Inputs!$E$194)*AI11</f>
        <v>127750</v>
      </c>
      <c r="AJ58" s="139">
        <f>(Inputs!$E$192-Inputs!$E$194)*AJ11</f>
        <v>128100</v>
      </c>
      <c r="AK58" s="139">
        <f>(Inputs!$E$192-Inputs!$E$194)*AK11</f>
        <v>127750</v>
      </c>
      <c r="AL58" s="139">
        <f>(Inputs!$E$192-Inputs!$E$194)*AL11</f>
        <v>127750</v>
      </c>
    </row>
    <row r="59" spans="4:39" ht="15">
      <c r="D59" s="67" t="s">
        <v>379</v>
      </c>
      <c r="E59" s="16" t="s">
        <v>145</v>
      </c>
      <c r="K59" s="116">
        <f>K55-K56-K57</f>
        <v>73340</v>
      </c>
      <c r="L59" s="116">
        <f t="shared" ref="L59:AA59" si="30">L55-L56-L57</f>
        <v>69251.950120000009</v>
      </c>
      <c r="M59" s="116">
        <f t="shared" si="30"/>
        <v>72203.208932800015</v>
      </c>
      <c r="N59" s="116">
        <f t="shared" si="30"/>
        <v>190805.41951615998</v>
      </c>
      <c r="O59" s="116">
        <f t="shared" si="30"/>
        <v>228893.92584527395</v>
      </c>
      <c r="P59" s="116">
        <f t="shared" si="30"/>
        <v>228893.92584527395</v>
      </c>
      <c r="Q59" s="116">
        <f t="shared" si="30"/>
        <v>314541.17584527389</v>
      </c>
      <c r="R59" s="116">
        <f t="shared" si="30"/>
        <v>314541.17584527389</v>
      </c>
      <c r="S59" s="116">
        <f t="shared" si="30"/>
        <v>423149.98597185616</v>
      </c>
      <c r="T59" s="116">
        <f t="shared" si="30"/>
        <v>423149.98597185616</v>
      </c>
      <c r="U59" s="116">
        <f t="shared" si="30"/>
        <v>423149.98597185616</v>
      </c>
      <c r="V59" s="116">
        <f t="shared" si="30"/>
        <v>423149.98597185616</v>
      </c>
      <c r="W59" s="116">
        <f t="shared" si="30"/>
        <v>423149.98597185616</v>
      </c>
      <c r="X59" s="116">
        <f t="shared" si="30"/>
        <v>423149.98597185616</v>
      </c>
      <c r="Y59" s="116">
        <f t="shared" si="30"/>
        <v>423149.98597185616</v>
      </c>
      <c r="Z59" s="116">
        <f t="shared" si="30"/>
        <v>423149.98597185616</v>
      </c>
      <c r="AA59" s="116">
        <f t="shared" si="30"/>
        <v>423149.98597185616</v>
      </c>
      <c r="AB59" s="116">
        <f>AB55-AB56-AB57+AB58</f>
        <v>551249.98597185616</v>
      </c>
      <c r="AC59" s="116">
        <f t="shared" ref="AC59:AL59" si="31">AC55-AC56-AC57+AC58</f>
        <v>550899.98597185616</v>
      </c>
      <c r="AD59" s="116">
        <f t="shared" si="31"/>
        <v>550899.98597185616</v>
      </c>
      <c r="AE59" s="116">
        <f t="shared" si="31"/>
        <v>550899.98597185616</v>
      </c>
      <c r="AF59" s="116">
        <f t="shared" si="31"/>
        <v>551249.98597185616</v>
      </c>
      <c r="AG59" s="116">
        <f t="shared" si="31"/>
        <v>550899.98597185616</v>
      </c>
      <c r="AH59" s="116">
        <f t="shared" si="31"/>
        <v>550899.98597185616</v>
      </c>
      <c r="AI59" s="116">
        <f t="shared" si="31"/>
        <v>550899.98597185616</v>
      </c>
      <c r="AJ59" s="116">
        <f t="shared" si="31"/>
        <v>551249.98597185616</v>
      </c>
      <c r="AK59" s="116">
        <f t="shared" si="31"/>
        <v>550899.98597185616</v>
      </c>
      <c r="AL59" s="116">
        <f t="shared" si="31"/>
        <v>550899.98597185616</v>
      </c>
      <c r="AM59" s="65">
        <f>SUM(M59:AL59)/1000</f>
        <v>11219.178551267181</v>
      </c>
    </row>
    <row r="60" spans="4:39" ht="15">
      <c r="D60" s="67"/>
      <c r="E60" s="16"/>
    </row>
    <row r="64" spans="4:39" ht="24" thickBot="1">
      <c r="D64" s="57" t="s">
        <v>109</v>
      </c>
    </row>
    <row r="65" spans="4:41">
      <c r="D65" t="s">
        <v>173</v>
      </c>
      <c r="E65" s="16" t="s">
        <v>213</v>
      </c>
      <c r="K65" s="116">
        <f>Inputs!E34*(1+(Inputs!E29/100))</f>
        <v>3204114.6302</v>
      </c>
      <c r="L65" s="116">
        <f>K65*(1+(Inputs!$E$29/100))</f>
        <v>3204114.6302</v>
      </c>
      <c r="M65" s="116">
        <f>L65*(1+(Inputs!$E$29/100))</f>
        <v>3204114.6302</v>
      </c>
      <c r="N65" s="116">
        <f>M65*(1+(Inputs!$E$29/100))</f>
        <v>3204114.6302</v>
      </c>
      <c r="O65" s="116">
        <f>N65*(1+(Inputs!$E$29/100))</f>
        <v>3204114.6302</v>
      </c>
      <c r="P65" s="116">
        <f>O65*(1+(Inputs!$E$29/100))</f>
        <v>3204114.6302</v>
      </c>
      <c r="Q65" s="116">
        <f>P65*(1+(Inputs!$E$29/100))</f>
        <v>3204114.6302</v>
      </c>
      <c r="R65" s="116">
        <f>Q65*(1+(Inputs!$E$29/100))</f>
        <v>3204114.6302</v>
      </c>
      <c r="S65" s="116">
        <f>R65*(1+(Inputs!$E$29/100))</f>
        <v>3204114.6302</v>
      </c>
      <c r="T65" s="116">
        <f>S65*(1+(Inputs!$E$29/100))</f>
        <v>3204114.6302</v>
      </c>
      <c r="U65" s="116">
        <f>T65*(1+(Inputs!$E$29/100))</f>
        <v>3204114.6302</v>
      </c>
      <c r="V65" s="116">
        <f>U65*(1+(Inputs!$E$29/100))</f>
        <v>3204114.6302</v>
      </c>
      <c r="W65" s="130">
        <f>V65*(1+(Inputs!$E$29/100))</f>
        <v>3204114.6302</v>
      </c>
      <c r="X65" s="116">
        <f>W65*(1+(Inputs!$E$29/100))</f>
        <v>3204114.6302</v>
      </c>
      <c r="Y65" s="116">
        <f>X65*(1+(Inputs!$E$29/100))</f>
        <v>3204114.6302</v>
      </c>
      <c r="Z65" s="116">
        <f>Y65*(1+(Inputs!$E$29/100))</f>
        <v>3204114.6302</v>
      </c>
      <c r="AA65" s="116">
        <v>6179091.8866104605</v>
      </c>
      <c r="AB65" s="130">
        <v>6179091.8866104605</v>
      </c>
      <c r="AC65" s="116">
        <v>6179091.8866104605</v>
      </c>
      <c r="AD65" s="116">
        <v>6179091.8866104605</v>
      </c>
      <c r="AE65" s="116">
        <v>6179091.8866104605</v>
      </c>
      <c r="AF65" s="116">
        <v>6179091.8866104605</v>
      </c>
      <c r="AG65" s="116">
        <v>6179091.8866104605</v>
      </c>
      <c r="AH65" s="116">
        <v>6179091.8866104605</v>
      </c>
      <c r="AI65" s="116">
        <v>6179091.8866104605</v>
      </c>
      <c r="AJ65" s="116">
        <v>6179091.8866104605</v>
      </c>
      <c r="AK65" s="116">
        <v>6179091.8866104605</v>
      </c>
      <c r="AL65" s="116">
        <v>6179091.8866104605</v>
      </c>
      <c r="AM65" s="116"/>
      <c r="AN65" s="116"/>
      <c r="AO65" s="116"/>
    </row>
    <row r="66" spans="4:41">
      <c r="D66" s="7" t="s">
        <v>375</v>
      </c>
      <c r="E66" s="16" t="s">
        <v>213</v>
      </c>
      <c r="K66" s="116">
        <f>K65-Inputs!F34</f>
        <v>188489.63020000001</v>
      </c>
      <c r="L66" s="116">
        <f>L65-Inputs!G34</f>
        <v>62011.630200000014</v>
      </c>
      <c r="M66" s="116">
        <f>M65-Inputs!H34</f>
        <v>450369.0568666663</v>
      </c>
      <c r="N66" s="116"/>
      <c r="O66" s="116"/>
      <c r="P66" s="116"/>
      <c r="Q66" s="116"/>
      <c r="R66" s="116"/>
      <c r="S66" s="116"/>
      <c r="T66" s="116"/>
      <c r="U66" s="116"/>
      <c r="V66" s="116"/>
      <c r="W66" s="116"/>
      <c r="X66" s="116"/>
      <c r="Y66" s="116"/>
      <c r="Z66" s="116"/>
      <c r="AA66" s="116"/>
    </row>
    <row r="67" spans="4:41">
      <c r="D67" s="23" t="s">
        <v>217</v>
      </c>
      <c r="E67" s="16" t="s">
        <v>213</v>
      </c>
      <c r="K67" s="117">
        <f>Inputs!F35*Inputs!F34</f>
        <v>2322031.25</v>
      </c>
      <c r="L67" s="117">
        <f>Inputs!G35*Inputs!G34</f>
        <v>2639366.52</v>
      </c>
      <c r="M67" s="117">
        <f>Inputs!H35*Inputs!H34</f>
        <v>2092846.6357333336</v>
      </c>
      <c r="N67" s="117">
        <f>Inputs!I35*N65</f>
        <v>2242880.2411400001</v>
      </c>
      <c r="O67" s="117">
        <f>Inputs!J35*O65</f>
        <v>1922468.7781199999</v>
      </c>
      <c r="P67" s="117">
        <f>Inputs!$K$35*P65</f>
        <v>1281645.8520800001</v>
      </c>
      <c r="Q67" s="117">
        <f>Inputs!$K$35*Q65</f>
        <v>1281645.8520800001</v>
      </c>
      <c r="R67" s="117">
        <f>Inputs!$K$35*R65</f>
        <v>1281645.8520800001</v>
      </c>
      <c r="S67" s="117">
        <f>Inputs!$K$35*S65</f>
        <v>1281645.8520800001</v>
      </c>
      <c r="T67" s="117">
        <f>Inputs!$K$35*T65</f>
        <v>1281645.8520800001</v>
      </c>
      <c r="U67" s="117">
        <f>Inputs!$K$35*U65</f>
        <v>1281645.8520800001</v>
      </c>
      <c r="V67" s="117">
        <f>Inputs!$K$35*V65</f>
        <v>1281645.8520800001</v>
      </c>
      <c r="W67" s="117">
        <f>Inputs!$K$35*W65</f>
        <v>1281645.8520800001</v>
      </c>
      <c r="X67" s="117">
        <f>Inputs!$K$35*X65</f>
        <v>1281645.8520800001</v>
      </c>
      <c r="Y67" s="117">
        <f>Inputs!$K$35*Y65</f>
        <v>1281645.8520800001</v>
      </c>
      <c r="Z67" s="117">
        <f>Inputs!$K$35*Z65</f>
        <v>1281645.8520800001</v>
      </c>
      <c r="AA67" s="117">
        <f>Inputs!$K$35*AA65</f>
        <v>2471636.7546441844</v>
      </c>
      <c r="AB67" s="117">
        <f>Inputs!$K$35*AB65</f>
        <v>2471636.7546441844</v>
      </c>
      <c r="AC67" s="117">
        <f>Inputs!$K$35*AC65</f>
        <v>2471636.7546441844</v>
      </c>
      <c r="AD67" s="117">
        <f>Inputs!$K$35*AD65</f>
        <v>2471636.7546441844</v>
      </c>
      <c r="AE67" s="117">
        <f>Inputs!$K$35*AE65</f>
        <v>2471636.7546441844</v>
      </c>
      <c r="AF67" s="117">
        <f>Inputs!$K$35*AF65</f>
        <v>2471636.7546441844</v>
      </c>
      <c r="AG67" s="117">
        <f>Inputs!$K$35*AG65</f>
        <v>2471636.7546441844</v>
      </c>
      <c r="AH67" s="117">
        <f>Inputs!$K$35*AH65</f>
        <v>2471636.7546441844</v>
      </c>
      <c r="AI67" s="117">
        <f>Inputs!$K$35*AI65</f>
        <v>2471636.7546441844</v>
      </c>
      <c r="AJ67" s="117">
        <f>Inputs!$K$35*AJ65</f>
        <v>2471636.7546441844</v>
      </c>
      <c r="AK67" s="117">
        <f>Inputs!$K$35*AK65</f>
        <v>2471636.7546441844</v>
      </c>
      <c r="AL67" s="117">
        <f>Inputs!$K$35*AL65</f>
        <v>2471636.7546441844</v>
      </c>
    </row>
    <row r="68" spans="4:41">
      <c r="D68" s="7" t="s">
        <v>218</v>
      </c>
      <c r="E68" s="16" t="s">
        <v>213</v>
      </c>
      <c r="K68" s="117">
        <f>Inputs!F36*Inputs!F34</f>
        <v>693593.75</v>
      </c>
      <c r="L68" s="117">
        <f>Inputs!G36*Inputs!G34</f>
        <v>502736.48</v>
      </c>
      <c r="M68" s="117">
        <f>Inputs!H36*Inputs!H34</f>
        <v>660898.93760000006</v>
      </c>
      <c r="N68" s="117">
        <f>Inputs!I36*N65</f>
        <v>961234.38905999996</v>
      </c>
      <c r="O68" s="117">
        <f>Inputs!J36*O65</f>
        <v>1281645.8520800001</v>
      </c>
      <c r="P68" s="117">
        <f>Inputs!$K$36*P65</f>
        <v>1922468.7781199999</v>
      </c>
      <c r="Q68" s="117">
        <f>Inputs!$K$36*Q65</f>
        <v>1922468.7781199999</v>
      </c>
      <c r="R68" s="117">
        <f>Inputs!$K$36*R65</f>
        <v>1922468.7781199999</v>
      </c>
      <c r="S68" s="117">
        <f>Inputs!$K$36*S65</f>
        <v>1922468.7781199999</v>
      </c>
      <c r="T68" s="117">
        <f>Inputs!$K$36*T65</f>
        <v>1922468.7781199999</v>
      </c>
      <c r="U68" s="117">
        <f>Inputs!$K$36*U65</f>
        <v>1922468.7781199999</v>
      </c>
      <c r="V68" s="117">
        <f>Inputs!$K$36*V65</f>
        <v>1922468.7781199999</v>
      </c>
      <c r="W68" s="117">
        <f>Inputs!$K$36*W65</f>
        <v>1922468.7781199999</v>
      </c>
      <c r="X68" s="117">
        <f>Inputs!$K$36*X65</f>
        <v>1922468.7781199999</v>
      </c>
      <c r="Y68" s="117">
        <f>Inputs!$K$36*Y65</f>
        <v>1922468.7781199999</v>
      </c>
      <c r="Z68" s="117">
        <f>Inputs!$K$36*Z65</f>
        <v>1922468.7781199999</v>
      </c>
      <c r="AA68" s="117">
        <f>Inputs!$K$36*AA65</f>
        <v>3707455.1319662761</v>
      </c>
      <c r="AB68" s="117">
        <f>Inputs!$K$36*AB65</f>
        <v>3707455.1319662761</v>
      </c>
      <c r="AC68" s="117">
        <f>Inputs!$K$36*AC65</f>
        <v>3707455.1319662761</v>
      </c>
      <c r="AD68" s="117">
        <f>Inputs!$K$36*AD65</f>
        <v>3707455.1319662761</v>
      </c>
      <c r="AE68" s="117">
        <f>Inputs!$K$36*AE65</f>
        <v>3707455.1319662761</v>
      </c>
      <c r="AF68" s="117">
        <f>Inputs!$K$36*AF65</f>
        <v>3707455.1319662761</v>
      </c>
      <c r="AG68" s="117">
        <f>Inputs!$K$36*AG65</f>
        <v>3707455.1319662761</v>
      </c>
      <c r="AH68" s="117">
        <f>Inputs!$K$36*AH65</f>
        <v>3707455.1319662761</v>
      </c>
      <c r="AI68" s="117">
        <f>Inputs!$K$36*AI65</f>
        <v>3707455.1319662761</v>
      </c>
      <c r="AJ68" s="117">
        <f>Inputs!$K$36*AJ65</f>
        <v>3707455.1319662761</v>
      </c>
      <c r="AK68" s="117">
        <f>Inputs!$K$36*AK65</f>
        <v>3707455.1319662761</v>
      </c>
      <c r="AL68" s="117">
        <f>Inputs!$K$36*AL65</f>
        <v>3707455.1319662761</v>
      </c>
    </row>
    <row r="70" spans="4:41" ht="24" thickBot="1">
      <c r="D70" s="57" t="s">
        <v>400</v>
      </c>
    </row>
    <row r="71" spans="4:41">
      <c r="D71" s="7" t="s">
        <v>116</v>
      </c>
      <c r="E71" s="16" t="s">
        <v>118</v>
      </c>
      <c r="K71" s="105">
        <f>Inputs!E42</f>
        <v>27.73</v>
      </c>
      <c r="L71" s="105">
        <f>Inputs!F42</f>
        <v>29.5</v>
      </c>
      <c r="M71" s="105">
        <f>Inputs!G42</f>
        <v>30.24</v>
      </c>
      <c r="N71" s="105">
        <f>Inputs!H42</f>
        <v>32.06</v>
      </c>
      <c r="O71" s="105">
        <f>(1+Inputs!I47)*'Initiative 5 Model'!N71</f>
        <v>33.983600000000003</v>
      </c>
      <c r="P71" s="105">
        <f>(1+Inputs!$J$47)*'Initiative 5 Model'!O71</f>
        <v>36.022616000000006</v>
      </c>
      <c r="Q71" s="105">
        <f>(1+Inputs!$J$47)*'Initiative 5 Model'!P71</f>
        <v>38.183972960000006</v>
      </c>
      <c r="R71" s="105">
        <f>(1+Inputs!$J$47)*'Initiative 5 Model'!Q71</f>
        <v>40.475011337600009</v>
      </c>
      <c r="S71" s="105">
        <f>(1+Inputs!$J$47)*'Initiative 5 Model'!R71</f>
        <v>42.903512017856009</v>
      </c>
      <c r="T71" s="105">
        <f>(1+Inputs!$J$47)*'Initiative 5 Model'!S71</f>
        <v>45.477722738927369</v>
      </c>
      <c r="U71" s="105">
        <f>(1+Inputs!$J$47)*'Initiative 5 Model'!T71</f>
        <v>48.206386103263014</v>
      </c>
      <c r="V71" s="105">
        <f>(1+Inputs!$J$47)*'Initiative 5 Model'!U71</f>
        <v>51.098769269458799</v>
      </c>
      <c r="W71" s="105">
        <f>(1+Inputs!$J$47)*'Initiative 5 Model'!V71</f>
        <v>54.164695425626327</v>
      </c>
      <c r="X71" s="105">
        <f>(1+Inputs!$J$47)*'Initiative 5 Model'!W71</f>
        <v>57.414577151163911</v>
      </c>
      <c r="Y71" s="105">
        <f>(1+Inputs!$J$47)*'Initiative 5 Model'!X71</f>
        <v>60.859451780233748</v>
      </c>
      <c r="Z71" s="105">
        <f>(1+Inputs!$J$47)*'Initiative 5 Model'!Y71</f>
        <v>64.511018887047783</v>
      </c>
      <c r="AA71" s="105">
        <f>(1+Inputs!$J$47)*'Initiative 5 Model'!Z71</f>
        <v>68.38168002027065</v>
      </c>
      <c r="AB71" s="105">
        <f>(1+Inputs!$J$47)*'Initiative 5 Model'!AA71</f>
        <v>72.484580821486887</v>
      </c>
      <c r="AC71" s="105">
        <f>(1+Inputs!$J$47)*'Initiative 5 Model'!AB71</f>
        <v>76.83365567077611</v>
      </c>
      <c r="AD71" s="105">
        <f>(1+Inputs!$J$47)*'Initiative 5 Model'!AC71</f>
        <v>81.443675011022677</v>
      </c>
      <c r="AE71" s="105">
        <f>(1+Inputs!$J$47)*'Initiative 5 Model'!AD71</f>
        <v>86.330295511684042</v>
      </c>
      <c r="AF71" s="105">
        <f>(1+Inputs!$J$47)*'Initiative 5 Model'!AE71</f>
        <v>91.510113242385088</v>
      </c>
      <c r="AG71" s="105">
        <f>(1+Inputs!$J$47)*'Initiative 5 Model'!AF71</f>
        <v>97.0007200369282</v>
      </c>
      <c r="AH71" s="105">
        <f>(1+Inputs!$J$47)*'Initiative 5 Model'!AG71</f>
        <v>102.8207632391439</v>
      </c>
      <c r="AI71" s="105">
        <f>(1+Inputs!$J$47)*'Initiative 5 Model'!AH71</f>
        <v>108.99000903349254</v>
      </c>
      <c r="AJ71" s="105">
        <f>(1+Inputs!$J$47)*'Initiative 5 Model'!AI71</f>
        <v>115.5294095755021</v>
      </c>
      <c r="AK71" s="105">
        <f>(1+Inputs!$J$47)*'Initiative 5 Model'!AJ71</f>
        <v>122.46117415003224</v>
      </c>
      <c r="AL71" s="105">
        <f>(1+Inputs!$J$47)*'Initiative 5 Model'!AK71</f>
        <v>129.80884459903419</v>
      </c>
    </row>
    <row r="72" spans="4:41">
      <c r="D72" s="7" t="s">
        <v>238</v>
      </c>
      <c r="E72" s="16" t="s">
        <v>118</v>
      </c>
      <c r="K72" s="105">
        <f>Inputs!E44</f>
        <v>20.47</v>
      </c>
      <c r="L72" s="105">
        <f>Inputs!F44</f>
        <v>21.78</v>
      </c>
      <c r="M72" s="105">
        <f>Inputs!G44</f>
        <v>23.09</v>
      </c>
      <c r="N72" s="105">
        <f>Inputs!H44</f>
        <v>24.475000000000001</v>
      </c>
      <c r="O72" s="105">
        <f>(1+Inputs!I47)*'Initiative 5 Model'!N72</f>
        <v>25.943500000000004</v>
      </c>
      <c r="P72" s="105">
        <f>(1+Inputs!$J$47)*'Initiative 5 Model'!O72</f>
        <v>27.500110000000006</v>
      </c>
      <c r="Q72" s="105">
        <f>(1+Inputs!$J$47)*'Initiative 5 Model'!P72</f>
        <v>29.150116600000008</v>
      </c>
      <c r="R72" s="105">
        <f>(1+Inputs!$J$47)*'Initiative 5 Model'!Q72</f>
        <v>30.89912359600001</v>
      </c>
      <c r="S72" s="105">
        <f>(1+Inputs!$J$47)*'Initiative 5 Model'!R72</f>
        <v>32.753071011760014</v>
      </c>
      <c r="T72" s="105">
        <f>(1+Inputs!$J$47)*'Initiative 5 Model'!S72</f>
        <v>34.718255272465619</v>
      </c>
      <c r="U72" s="105">
        <f>(1+Inputs!$J$47)*'Initiative 5 Model'!T72</f>
        <v>36.801350588813555</v>
      </c>
      <c r="V72" s="105">
        <f>(1+Inputs!$J$47)*'Initiative 5 Model'!U72</f>
        <v>39.009431624142373</v>
      </c>
      <c r="W72" s="105">
        <f>(1+Inputs!$J$47)*'Initiative 5 Model'!V72</f>
        <v>41.349997521590915</v>
      </c>
      <c r="X72" s="105">
        <f>(1+Inputs!$J$47)*'Initiative 5 Model'!W72</f>
        <v>43.830997372886372</v>
      </c>
      <c r="Y72" s="105">
        <f>(1+Inputs!$J$47)*'Initiative 5 Model'!X72</f>
        <v>46.460857215259558</v>
      </c>
      <c r="Z72" s="105">
        <f>(1+Inputs!$J$47)*'Initiative 5 Model'!Y72</f>
        <v>49.248508648175132</v>
      </c>
      <c r="AA72" s="105">
        <f>(1+Inputs!$J$47)*'Initiative 5 Model'!Z72</f>
        <v>52.20341916706564</v>
      </c>
      <c r="AB72" s="105">
        <f>(1+Inputs!$J$47)*'Initiative 5 Model'!AA72</f>
        <v>55.335624317089582</v>
      </c>
      <c r="AC72" s="105">
        <f>(1+Inputs!$J$47)*'Initiative 5 Model'!AB72</f>
        <v>58.655761776114957</v>
      </c>
      <c r="AD72" s="105">
        <f>(1+Inputs!$J$47)*'Initiative 5 Model'!AC72</f>
        <v>62.175107482681859</v>
      </c>
      <c r="AE72" s="105">
        <f>(1+Inputs!$J$47)*'Initiative 5 Model'!AD72</f>
        <v>65.905613931642776</v>
      </c>
      <c r="AF72" s="105">
        <f>(1+Inputs!$J$47)*'Initiative 5 Model'!AE72</f>
        <v>69.859950767541349</v>
      </c>
      <c r="AG72" s="105">
        <f>(1+Inputs!$J$47)*'Initiative 5 Model'!AF72</f>
        <v>74.051547813593828</v>
      </c>
      <c r="AH72" s="105">
        <f>(1+Inputs!$J$47)*'Initiative 5 Model'!AG72</f>
        <v>78.494640682409468</v>
      </c>
      <c r="AI72" s="105">
        <f>(1+Inputs!$J$47)*'Initiative 5 Model'!AH72</f>
        <v>83.20431912335404</v>
      </c>
      <c r="AJ72" s="105">
        <f>(1+Inputs!$J$47)*'Initiative 5 Model'!AI72</f>
        <v>88.196578270755282</v>
      </c>
      <c r="AK72" s="105">
        <f>(1+Inputs!$J$47)*'Initiative 5 Model'!AJ72</f>
        <v>93.488372967000601</v>
      </c>
      <c r="AL72" s="105">
        <f>(1+Inputs!$J$47)*'Initiative 5 Model'!AK72</f>
        <v>99.097675345020647</v>
      </c>
    </row>
    <row r="73" spans="4:41">
      <c r="D73" s="7" t="s">
        <v>239</v>
      </c>
      <c r="E73" s="16" t="s">
        <v>118</v>
      </c>
      <c r="K73" s="105">
        <f>Inputs!E45</f>
        <v>3.29</v>
      </c>
      <c r="L73" s="105">
        <f>Inputs!F45</f>
        <v>3.5</v>
      </c>
      <c r="M73" s="105">
        <f>Inputs!G45</f>
        <v>3.73</v>
      </c>
      <c r="N73" s="105">
        <f>Inputs!H45</f>
        <v>3.95</v>
      </c>
      <c r="O73" s="105">
        <f>(1+Inputs!I47)*'Initiative 5 Model'!N73</f>
        <v>4.1870000000000003</v>
      </c>
      <c r="P73" s="105">
        <f>(1+Inputs!$J$47)*'Initiative 5 Model'!O73</f>
        <v>4.4382200000000003</v>
      </c>
      <c r="Q73" s="105">
        <f>(1+Inputs!$J$47)*'Initiative 5 Model'!P73</f>
        <v>4.7045132000000009</v>
      </c>
      <c r="R73" s="105">
        <f>(1+Inputs!$J$47)*'Initiative 5 Model'!Q73</f>
        <v>4.9867839920000012</v>
      </c>
      <c r="S73" s="105">
        <f>(1+Inputs!$J$47)*'Initiative 5 Model'!R73</f>
        <v>5.2859910315200018</v>
      </c>
      <c r="T73" s="105">
        <f>(1+Inputs!$J$47)*'Initiative 5 Model'!S73</f>
        <v>5.603150493411202</v>
      </c>
      <c r="U73" s="105">
        <f>(1+Inputs!$J$47)*'Initiative 5 Model'!T73</f>
        <v>5.9393395230158745</v>
      </c>
      <c r="V73" s="105">
        <f>(1+Inputs!$J$47)*'Initiative 5 Model'!U73</f>
        <v>6.2956998943968276</v>
      </c>
      <c r="W73" s="105">
        <f>(1+Inputs!$J$47)*'Initiative 5 Model'!V73</f>
        <v>6.6734418880606379</v>
      </c>
      <c r="X73" s="105">
        <f>(1+Inputs!$J$47)*'Initiative 5 Model'!W73</f>
        <v>7.0738484013442768</v>
      </c>
      <c r="Y73" s="105">
        <f>(1+Inputs!$J$47)*'Initiative 5 Model'!X73</f>
        <v>7.4982793054249335</v>
      </c>
      <c r="Z73" s="105">
        <f>(1+Inputs!$J$47)*'Initiative 5 Model'!Y73</f>
        <v>7.94817606375043</v>
      </c>
      <c r="AA73" s="105">
        <f>(1+Inputs!$J$47)*'Initiative 5 Model'!Z73</f>
        <v>8.4250666275754558</v>
      </c>
      <c r="AB73" s="105">
        <f>(1+Inputs!$J$47)*'Initiative 5 Model'!AA73</f>
        <v>8.9305706252299828</v>
      </c>
      <c r="AC73" s="105">
        <f>(1+Inputs!$J$47)*'Initiative 5 Model'!AB73</f>
        <v>9.4664048627437829</v>
      </c>
      <c r="AD73" s="105">
        <f>(1+Inputs!$J$47)*'Initiative 5 Model'!AC73</f>
        <v>10.034389154508411</v>
      </c>
      <c r="AE73" s="105">
        <f>(1+Inputs!$J$47)*'Initiative 5 Model'!AD73</f>
        <v>10.636452503778916</v>
      </c>
      <c r="AF73" s="105">
        <f>(1+Inputs!$J$47)*'Initiative 5 Model'!AE73</f>
        <v>11.274639654005652</v>
      </c>
      <c r="AG73" s="105">
        <f>(1+Inputs!$J$47)*'Initiative 5 Model'!AF73</f>
        <v>11.951118033245992</v>
      </c>
      <c r="AH73" s="105">
        <f>(1+Inputs!$J$47)*'Initiative 5 Model'!AG73</f>
        <v>12.668185115240751</v>
      </c>
      <c r="AI73" s="105">
        <f>(1+Inputs!$J$47)*'Initiative 5 Model'!AH73</f>
        <v>13.428276222155198</v>
      </c>
      <c r="AJ73" s="105">
        <f>(1+Inputs!$J$47)*'Initiative 5 Model'!AI73</f>
        <v>14.23397279548451</v>
      </c>
      <c r="AK73" s="105">
        <f>(1+Inputs!$J$47)*'Initiative 5 Model'!AJ73</f>
        <v>15.088011163213581</v>
      </c>
      <c r="AL73" s="105">
        <f>(1+Inputs!$J$47)*'Initiative 5 Model'!AK73</f>
        <v>15.993291833006397</v>
      </c>
    </row>
    <row r="74" spans="4:41">
      <c r="D74" s="7" t="s">
        <v>120</v>
      </c>
      <c r="E74" s="16" t="s">
        <v>118</v>
      </c>
      <c r="K74" s="105">
        <f>Inputs!E52</f>
        <v>7.23</v>
      </c>
      <c r="L74" s="105">
        <f>Inputs!F52</f>
        <v>7.9067280000000002</v>
      </c>
      <c r="M74" s="105">
        <f>Inputs!G52</f>
        <v>8.6467977408000003</v>
      </c>
      <c r="N74" s="105">
        <f>Inputs!H52</f>
        <v>14.73</v>
      </c>
      <c r="O74" s="105">
        <f>Inputs!I52</f>
        <v>16.108727999999999</v>
      </c>
      <c r="P74" s="105">
        <f>Inputs!J52</f>
        <v>17.616504940799999</v>
      </c>
      <c r="Q74" s="105">
        <f>P74*(1+Inputs!$J$61)</f>
        <v>19.265409803258876</v>
      </c>
      <c r="R74" s="105">
        <f>Q74*(1+Inputs!$J$61)</f>
        <v>21.068652160843904</v>
      </c>
      <c r="S74" s="105">
        <f>R74*(1+Inputs!$J$61)</f>
        <v>23.04067800309889</v>
      </c>
      <c r="T74" s="105">
        <f>S74*(1+Inputs!$J$61)</f>
        <v>25.197285464188944</v>
      </c>
      <c r="U74" s="105">
        <f>T74*(1+Inputs!$J$61)</f>
        <v>27.555751383637027</v>
      </c>
      <c r="V74" s="105">
        <f>U74*(1+Inputs!$J$61)</f>
        <v>30.134969713145448</v>
      </c>
      <c r="W74" s="105">
        <f>V74*(1+Inputs!$J$61)</f>
        <v>32.955602878295856</v>
      </c>
      <c r="X74" s="105">
        <f>W74*(1+Inputs!$J$61)</f>
        <v>36.040247307704348</v>
      </c>
      <c r="Y74" s="105">
        <f>X74*(1+Inputs!$J$61)</f>
        <v>39.413614455705471</v>
      </c>
      <c r="Z74" s="105">
        <f>Y74*(1+Inputs!$J$61)</f>
        <v>43.102728768759498</v>
      </c>
      <c r="AA74" s="105">
        <f>Z74*(1+Inputs!$J$61)</f>
        <v>47.137144181515382</v>
      </c>
      <c r="AB74" s="105">
        <f>AA74*(1+Inputs!$J$61)</f>
        <v>51.549180876905218</v>
      </c>
      <c r="AC74" s="105">
        <f>AB74*(1+Inputs!$J$61)</f>
        <v>56.374184206983543</v>
      </c>
      <c r="AD74" s="105">
        <f>AC74*(1+Inputs!$J$61)</f>
        <v>61.650807848757196</v>
      </c>
      <c r="AE74" s="105">
        <f>AD74*(1+Inputs!$J$61)</f>
        <v>67.421323463400867</v>
      </c>
      <c r="AF74" s="105">
        <f>AE74*(1+Inputs!$J$61)</f>
        <v>73.731959339575184</v>
      </c>
      <c r="AG74" s="105">
        <f>AF74*(1+Inputs!$J$61)</f>
        <v>80.633270733759417</v>
      </c>
      <c r="AH74" s="105">
        <f>AG74*(1+Inputs!$J$61)</f>
        <v>88.180544874439292</v>
      </c>
      <c r="AI74" s="105">
        <f>AH74*(1+Inputs!$J$61)</f>
        <v>96.4342438746868</v>
      </c>
      <c r="AJ74" s="105">
        <f>AI74*(1+Inputs!$J$61)</f>
        <v>105.46048910135748</v>
      </c>
      <c r="AK74" s="105">
        <f>AJ74*(1+Inputs!$J$61)</f>
        <v>115.33159088124454</v>
      </c>
      <c r="AL74" s="105">
        <f>AK74*(1+Inputs!$J$61)</f>
        <v>126.12662778772902</v>
      </c>
    </row>
    <row r="75" spans="4:41">
      <c r="D75" s="7" t="s">
        <v>122</v>
      </c>
      <c r="E75" s="16" t="s">
        <v>118</v>
      </c>
      <c r="K75" s="105">
        <f>Inputs!E54</f>
        <v>13</v>
      </c>
      <c r="L75" s="105">
        <f>Inputs!F54</f>
        <v>14.216799999999999</v>
      </c>
      <c r="M75" s="105">
        <f>Inputs!G54</f>
        <v>15.547492479999997</v>
      </c>
      <c r="N75" s="105">
        <f>Inputs!H54</f>
        <v>17.002737776127997</v>
      </c>
      <c r="O75" s="105">
        <f>Inputs!I54</f>
        <v>18.594194031973576</v>
      </c>
      <c r="P75" s="105">
        <f>Inputs!J54</f>
        <v>20.3346105933663</v>
      </c>
      <c r="Q75" s="105">
        <f>P75*(1+Inputs!$J$61)</f>
        <v>22.237930144905384</v>
      </c>
      <c r="R75" s="105">
        <f>Q75*(1+Inputs!$J$61)</f>
        <v>24.319400406468525</v>
      </c>
      <c r="S75" s="105">
        <f>R75*(1+Inputs!$J$61)</f>
        <v>26.595696284513977</v>
      </c>
      <c r="T75" s="105">
        <f>S75*(1+Inputs!$J$61)</f>
        <v>29.085053456744483</v>
      </c>
      <c r="U75" s="105">
        <f>T75*(1+Inputs!$J$61)</f>
        <v>31.807414460295764</v>
      </c>
      <c r="V75" s="105">
        <f>U75*(1+Inputs!$J$61)</f>
        <v>34.784588453779442</v>
      </c>
      <c r="W75" s="105">
        <f>V75*(1+Inputs!$J$61)</f>
        <v>38.040425933053193</v>
      </c>
      <c r="X75" s="105">
        <f>W75*(1+Inputs!$J$61)</f>
        <v>41.601009800386969</v>
      </c>
      <c r="Y75" s="105">
        <f>X75*(1+Inputs!$J$61)</f>
        <v>45.494864317703183</v>
      </c>
      <c r="Z75" s="105">
        <f>Y75*(1+Inputs!$J$61)</f>
        <v>49.753183617840193</v>
      </c>
      <c r="AA75" s="105">
        <f>Z75*(1+Inputs!$J$61)</f>
        <v>54.41008160447003</v>
      </c>
      <c r="AB75" s="105">
        <f>AA75*(1+Inputs!$J$61)</f>
        <v>59.502865242648419</v>
      </c>
      <c r="AC75" s="105">
        <f>AB75*(1+Inputs!$J$61)</f>
        <v>65.072333429360299</v>
      </c>
      <c r="AD75" s="105">
        <f>AC75*(1+Inputs!$J$61)</f>
        <v>71.16310383834842</v>
      </c>
      <c r="AE75" s="105">
        <f>AD75*(1+Inputs!$J$61)</f>
        <v>77.823970357617824</v>
      </c>
      <c r="AF75" s="105">
        <f>AE75*(1+Inputs!$J$61)</f>
        <v>85.108293983090846</v>
      </c>
      <c r="AG75" s="105">
        <f>AF75*(1+Inputs!$J$61)</f>
        <v>93.074430299908144</v>
      </c>
      <c r="AH75" s="105">
        <f>AG75*(1+Inputs!$J$61)</f>
        <v>101.78619697597954</v>
      </c>
      <c r="AI75" s="105">
        <f>AH75*(1+Inputs!$J$61)</f>
        <v>111.31338501293121</v>
      </c>
      <c r="AJ75" s="105">
        <f>AI75*(1+Inputs!$J$61)</f>
        <v>121.73231785014156</v>
      </c>
      <c r="AK75" s="105">
        <f>AJ75*(1+Inputs!$J$61)</f>
        <v>133.12646280091479</v>
      </c>
      <c r="AL75" s="105">
        <f>AK75*(1+Inputs!$J$61)</f>
        <v>145.58709971908041</v>
      </c>
    </row>
    <row r="76" spans="4:41">
      <c r="D76" s="7" t="s">
        <v>123</v>
      </c>
      <c r="E76" s="16" t="s">
        <v>118</v>
      </c>
      <c r="K76" s="105">
        <f>Inputs!E55</f>
        <v>282</v>
      </c>
      <c r="L76" s="105">
        <f>Inputs!F55</f>
        <v>304.27799999999996</v>
      </c>
      <c r="M76" s="105">
        <f>Inputs!G55</f>
        <v>332.75842079999995</v>
      </c>
      <c r="N76" s="105">
        <f>Inputs!H55</f>
        <v>363.90460898687991</v>
      </c>
      <c r="O76" s="105">
        <f>Inputs!I55</f>
        <v>397.96608038805181</v>
      </c>
      <c r="P76" s="105">
        <f>Inputs!J55</f>
        <v>435.2157055123734</v>
      </c>
      <c r="Q76" s="105">
        <f>P76*(1+Inputs!$J$62)</f>
        <v>469.59774624785086</v>
      </c>
      <c r="R76" s="105">
        <f>Q76*(1+Inputs!$J$62)</f>
        <v>506.69596820143107</v>
      </c>
      <c r="S76" s="105">
        <f>R76*(1+Inputs!$J$62)</f>
        <v>546.72494968934416</v>
      </c>
      <c r="T76" s="105">
        <f>S76*(1+Inputs!$J$62)</f>
        <v>589.91622071480231</v>
      </c>
      <c r="U76" s="105">
        <f>T76*(1+Inputs!$J$62)</f>
        <v>636.51960215127167</v>
      </c>
      <c r="V76" s="105">
        <f>U76*(1+Inputs!$J$62)</f>
        <v>686.80465072122206</v>
      </c>
      <c r="W76" s="105">
        <f>V76*(1+Inputs!$J$62)</f>
        <v>741.06221812819854</v>
      </c>
      <c r="X76" s="105">
        <f>W76*(1+Inputs!$J$62)</f>
        <v>799.60613336032623</v>
      </c>
      <c r="Y76" s="105">
        <f>X76*(1+Inputs!$J$62)</f>
        <v>862.77501789579196</v>
      </c>
      <c r="Z76" s="105">
        <f>Y76*(1+Inputs!$J$62)</f>
        <v>930.93424430955952</v>
      </c>
      <c r="AA76" s="105">
        <f>Z76*(1+Inputs!$J$62)</f>
        <v>1004.4780496100146</v>
      </c>
      <c r="AB76" s="105">
        <f>AA76*(1+Inputs!$J$62)</f>
        <v>1083.8318155292056</v>
      </c>
      <c r="AC76" s="105">
        <f>AB76*(1+Inputs!$J$62)</f>
        <v>1169.4545289560128</v>
      </c>
      <c r="AD76" s="105">
        <f>AC76*(1+Inputs!$J$62)</f>
        <v>1261.8414367435378</v>
      </c>
      <c r="AE76" s="105">
        <f>AD76*(1+Inputs!$J$62)</f>
        <v>1361.5269102462771</v>
      </c>
      <c r="AF76" s="105">
        <f>AE76*(1+Inputs!$J$62)</f>
        <v>1469.087536155733</v>
      </c>
      <c r="AG76" s="105">
        <f>AF76*(1+Inputs!$J$62)</f>
        <v>1585.1454515120358</v>
      </c>
      <c r="AH76" s="105">
        <f>AG76*(1+Inputs!$J$62)</f>
        <v>1710.3719421814867</v>
      </c>
      <c r="AI76" s="105">
        <f>AH76*(1+Inputs!$J$62)</f>
        <v>1845.4913256138241</v>
      </c>
      <c r="AJ76" s="105">
        <f>AI76*(1+Inputs!$J$62)</f>
        <v>1991.2851403373161</v>
      </c>
      <c r="AK76" s="105">
        <f>AJ76*(1+Inputs!$J$62)</f>
        <v>2148.5966664239641</v>
      </c>
      <c r="AL76" s="105">
        <f>AK76*(1+Inputs!$J$62)</f>
        <v>2318.3358030714571</v>
      </c>
    </row>
    <row r="77" spans="4:41">
      <c r="D77" s="7" t="s">
        <v>124</v>
      </c>
      <c r="E77" s="16" t="s">
        <v>118</v>
      </c>
      <c r="K77" s="105">
        <f>Inputs!E56</f>
        <v>4.0999999999999996</v>
      </c>
      <c r="L77" s="105">
        <f>Inputs!F56</f>
        <v>4.4837599999999993</v>
      </c>
      <c r="M77" s="105">
        <f>Inputs!G56</f>
        <v>4.9034399359999989</v>
      </c>
      <c r="N77" s="105">
        <f>Inputs!H56</f>
        <v>5.362401914009598</v>
      </c>
      <c r="O77" s="105">
        <f>Inputs!I56</f>
        <v>5.864322733160896</v>
      </c>
      <c r="P77" s="105">
        <f>Inputs!J56</f>
        <v>6.4132233409847554</v>
      </c>
      <c r="Q77" s="105">
        <f>P77*(1+Inputs!$J$61)</f>
        <v>7.0135010457009281</v>
      </c>
      <c r="R77" s="105">
        <f>Q77*(1+Inputs!$J$61)</f>
        <v>7.6699647435785341</v>
      </c>
      <c r="S77" s="105">
        <f>R77*(1+Inputs!$J$61)</f>
        <v>8.3878734435774849</v>
      </c>
      <c r="T77" s="105">
        <f>S77*(1+Inputs!$J$61)</f>
        <v>9.1729783978963368</v>
      </c>
      <c r="U77" s="105">
        <f>T77*(1+Inputs!$J$61)</f>
        <v>10.031569175939433</v>
      </c>
      <c r="V77" s="105">
        <f>U77*(1+Inputs!$J$61)</f>
        <v>10.970524050807363</v>
      </c>
      <c r="W77" s="105">
        <f>V77*(1+Inputs!$J$61)</f>
        <v>11.997365101962931</v>
      </c>
      <c r="X77" s="105">
        <f>W77*(1+Inputs!$J$61)</f>
        <v>13.120318475506661</v>
      </c>
      <c r="Y77" s="105">
        <f>X77*(1+Inputs!$J$61)</f>
        <v>14.348380284814082</v>
      </c>
      <c r="Z77" s="105">
        <f>Y77*(1+Inputs!$J$61)</f>
        <v>15.691388679472679</v>
      </c>
      <c r="AA77" s="105">
        <f>Z77*(1+Inputs!$J$61)</f>
        <v>17.16010265987132</v>
      </c>
      <c r="AB77" s="105">
        <f>AA77*(1+Inputs!$J$61)</f>
        <v>18.766288268835275</v>
      </c>
      <c r="AC77" s="105">
        <f>AB77*(1+Inputs!$J$61)</f>
        <v>20.522812850798257</v>
      </c>
      <c r="AD77" s="105">
        <f>AC77*(1+Inputs!$J$61)</f>
        <v>22.443748133632972</v>
      </c>
      <c r="AE77" s="105">
        <f>AD77*(1+Inputs!$J$61)</f>
        <v>24.544482958941018</v>
      </c>
      <c r="AF77" s="105">
        <f>AE77*(1+Inputs!$J$61)</f>
        <v>26.841846563897896</v>
      </c>
      <c r="AG77" s="105">
        <f>AF77*(1+Inputs!$J$61)</f>
        <v>29.354243402278737</v>
      </c>
      <c r="AH77" s="105">
        <f>AG77*(1+Inputs!$J$61)</f>
        <v>32.101800584732025</v>
      </c>
      <c r="AI77" s="105">
        <f>AH77*(1+Inputs!$J$61)</f>
        <v>35.106529119462941</v>
      </c>
      <c r="AJ77" s="105">
        <f>AI77*(1+Inputs!$J$61)</f>
        <v>38.392500245044666</v>
      </c>
      <c r="AK77" s="105">
        <f>AJ77*(1+Inputs!$J$61)</f>
        <v>41.986038267980845</v>
      </c>
      <c r="AL77" s="105">
        <f>AK77*(1+Inputs!$J$61)</f>
        <v>45.915931449863848</v>
      </c>
    </row>
    <row r="78" spans="4:41">
      <c r="D78" s="7" t="s">
        <v>125</v>
      </c>
      <c r="E78" s="16" t="s">
        <v>118</v>
      </c>
      <c r="K78">
        <f>Inputs!E57</f>
        <v>0</v>
      </c>
      <c r="L78">
        <f>Inputs!F57</f>
        <v>0</v>
      </c>
      <c r="M78">
        <f>Inputs!G57</f>
        <v>10.1</v>
      </c>
      <c r="N78" s="105">
        <f>Inputs!H57</f>
        <v>11.045359999999999</v>
      </c>
      <c r="O78" s="105">
        <f>Inputs!I57</f>
        <v>12.079205695999997</v>
      </c>
      <c r="P78" s="105">
        <f>Inputs!J57</f>
        <v>13.209819349145596</v>
      </c>
      <c r="Q78" s="105">
        <f>P78*(1+Inputs!$J$61)</f>
        <v>14.446258440225622</v>
      </c>
      <c r="R78" s="105">
        <f>Q78*(1+Inputs!$J$61)</f>
        <v>15.798428230230739</v>
      </c>
      <c r="S78" s="105">
        <f>R78*(1+Inputs!$J$61)</f>
        <v>17.277161112580334</v>
      </c>
      <c r="T78" s="105">
        <f>S78*(1+Inputs!$J$61)</f>
        <v>18.894303392717852</v>
      </c>
      <c r="U78" s="105">
        <f>T78*(1+Inputs!$J$61)</f>
        <v>20.66281019027624</v>
      </c>
      <c r="V78" s="105">
        <f>U78*(1+Inputs!$J$61)</f>
        <v>22.596849224086093</v>
      </c>
      <c r="W78" s="105">
        <f>V78*(1+Inputs!$J$61)</f>
        <v>24.71191431146055</v>
      </c>
      <c r="X78" s="105">
        <f>W78*(1+Inputs!$J$61)</f>
        <v>27.024949491013256</v>
      </c>
      <c r="Y78" s="105">
        <f>X78*(1+Inputs!$J$61)</f>
        <v>29.554484763372095</v>
      </c>
      <c r="Z78" s="105">
        <f>Y78*(1+Inputs!$J$61)</f>
        <v>32.320784537223723</v>
      </c>
      <c r="AA78" s="105">
        <f>Z78*(1+Inputs!$J$61)</f>
        <v>35.346009969907861</v>
      </c>
      <c r="AB78" s="105">
        <f>AA78*(1+Inputs!$J$61)</f>
        <v>38.654396503091235</v>
      </c>
      <c r="AC78" s="105">
        <f>AB78*(1+Inputs!$J$61)</f>
        <v>42.272448015780569</v>
      </c>
      <c r="AD78" s="105">
        <f>AC78*(1+Inputs!$J$61)</f>
        <v>46.229149150057623</v>
      </c>
      <c r="AE78" s="105">
        <f>AD78*(1+Inputs!$J$61)</f>
        <v>50.556197510503011</v>
      </c>
      <c r="AF78" s="105">
        <f>AE78*(1+Inputs!$J$61)</f>
        <v>55.288257597486087</v>
      </c>
      <c r="AG78" s="105">
        <f>AF78*(1+Inputs!$J$61)</f>
        <v>60.463238508610779</v>
      </c>
      <c r="AH78" s="105">
        <f>AG78*(1+Inputs!$J$61)</f>
        <v>66.122597633016738</v>
      </c>
      <c r="AI78" s="105">
        <f>AH78*(1+Inputs!$J$61)</f>
        <v>72.311672771467101</v>
      </c>
      <c r="AJ78" s="105">
        <f>AI78*(1+Inputs!$J$61)</f>
        <v>79.080045342876417</v>
      </c>
      <c r="AK78" s="105">
        <f>AJ78*(1+Inputs!$J$61)</f>
        <v>86.481937586969636</v>
      </c>
      <c r="AL78" s="105">
        <f>AK78*(1+Inputs!$J$61)</f>
        <v>94.576646945109985</v>
      </c>
    </row>
    <row r="79" spans="4:41">
      <c r="D79" s="7" t="s">
        <v>154</v>
      </c>
      <c r="E79" s="16" t="s">
        <v>118</v>
      </c>
      <c r="K79">
        <f>Inputs!E58</f>
        <v>0</v>
      </c>
      <c r="L79">
        <f>Inputs!F58</f>
        <v>0</v>
      </c>
      <c r="M79">
        <f>Inputs!G58</f>
        <v>0</v>
      </c>
      <c r="N79">
        <f>Inputs!H58</f>
        <v>0</v>
      </c>
      <c r="O79">
        <f>Inputs!I58</f>
        <v>0</v>
      </c>
      <c r="P79">
        <f>Inputs!J58</f>
        <v>45</v>
      </c>
      <c r="Q79" s="105">
        <f>P79*(1+Inputs!$J$61)</f>
        <v>49.211999999999996</v>
      </c>
      <c r="R79" s="105">
        <f>Q79*(1+Inputs!$J$61)</f>
        <v>53.818243199999991</v>
      </c>
      <c r="S79" s="105">
        <f>R79*(1+Inputs!$J$61)</f>
        <v>58.855630763519983</v>
      </c>
      <c r="T79" s="105">
        <f>S79*(1+Inputs!$J$61)</f>
        <v>64.364517802985446</v>
      </c>
      <c r="U79" s="105">
        <f>T79*(1+Inputs!$J$61)</f>
        <v>70.389036669344875</v>
      </c>
      <c r="V79" s="105">
        <f>U79*(1+Inputs!$J$61)</f>
        <v>76.977450501595555</v>
      </c>
      <c r="W79" s="105">
        <f>V79*(1+Inputs!$J$61)</f>
        <v>84.182539868544893</v>
      </c>
      <c r="X79" s="105">
        <f>W79*(1+Inputs!$J$61)</f>
        <v>92.062025600240688</v>
      </c>
      <c r="Y79" s="105">
        <f>X79*(1+Inputs!$J$61)</f>
        <v>100.67903119642321</v>
      </c>
      <c r="Z79" s="105">
        <f>Y79*(1+Inputs!$J$61)</f>
        <v>110.10258851640842</v>
      </c>
      <c r="AA79" s="105">
        <f>Z79*(1+Inputs!$J$61)</f>
        <v>120.40819080154424</v>
      </c>
      <c r="AB79" s="105">
        <f>AA79*(1+Inputs!$J$61)</f>
        <v>131.67839746056876</v>
      </c>
      <c r="AC79" s="105">
        <f>AB79*(1+Inputs!$J$61)</f>
        <v>144.00349546287799</v>
      </c>
      <c r="AD79" s="105">
        <f>AC79*(1+Inputs!$J$61)</f>
        <v>157.48222263820335</v>
      </c>
      <c r="AE79" s="105">
        <f>AD79*(1+Inputs!$J$61)</f>
        <v>172.22255867713918</v>
      </c>
      <c r="AF79" s="105">
        <f>AE79*(1+Inputs!$J$61)</f>
        <v>188.34259016931938</v>
      </c>
      <c r="AG79" s="105">
        <f>AF79*(1+Inputs!$J$61)</f>
        <v>205.97145660916766</v>
      </c>
      <c r="AH79" s="105">
        <f>AG79*(1+Inputs!$J$61)</f>
        <v>225.25038494778573</v>
      </c>
      <c r="AI79" s="105">
        <f>AH79*(1+Inputs!$J$61)</f>
        <v>246.33382097889844</v>
      </c>
      <c r="AJ79" s="105">
        <f>AI79*(1+Inputs!$J$61)</f>
        <v>269.39066662252333</v>
      </c>
      <c r="AK79" s="105">
        <f>AJ79*(1+Inputs!$J$61)</f>
        <v>294.60563301839147</v>
      </c>
      <c r="AL79" s="105">
        <f>AK79*(1+Inputs!$J$61)</f>
        <v>322.18072026891286</v>
      </c>
    </row>
    <row r="80" spans="4:41">
      <c r="D80" s="7" t="s">
        <v>423</v>
      </c>
      <c r="E80" s="16" t="s">
        <v>118</v>
      </c>
      <c r="O80">
        <f>Inputs!I59</f>
        <v>0</v>
      </c>
      <c r="P80">
        <f>Inputs!J59</f>
        <v>0</v>
      </c>
      <c r="Q80" s="105">
        <f>P80*(1+Inputs!$J$61)</f>
        <v>0</v>
      </c>
      <c r="R80" s="105">
        <f>Q80*(1+Inputs!$J$61)</f>
        <v>0</v>
      </c>
      <c r="S80" s="105">
        <f>R80*(1+Inputs!$J$61)</f>
        <v>0</v>
      </c>
      <c r="T80" s="105">
        <f>S80*(1+Inputs!$J$61)</f>
        <v>0</v>
      </c>
      <c r="U80" s="105">
        <f>T80*(1+Inputs!$J$61)</f>
        <v>0</v>
      </c>
      <c r="V80" s="105">
        <f>U80*(1+Inputs!$J$61)</f>
        <v>0</v>
      </c>
      <c r="W80" s="105">
        <f>V80*(1+Inputs!$J$61)</f>
        <v>0</v>
      </c>
      <c r="X80" s="105">
        <f>W80*(1+Inputs!$J$61)</f>
        <v>0</v>
      </c>
      <c r="Y80" s="105">
        <f>X80*(1+Inputs!$J$61)</f>
        <v>0</v>
      </c>
      <c r="Z80" s="105">
        <f>Y80*(1+Inputs!$J$61)</f>
        <v>0</v>
      </c>
      <c r="AA80" s="105">
        <f>Z80*(1+Inputs!$J$61)</f>
        <v>0</v>
      </c>
      <c r="AB80" s="105">
        <f>Inputs!E190</f>
        <v>11.33</v>
      </c>
      <c r="AC80" s="105">
        <f>AB80*(1+Inputs!$J$61)</f>
        <v>12.390488</v>
      </c>
      <c r="AD80" s="105">
        <f>AC80*(1+Inputs!$J$61)</f>
        <v>13.550237676799998</v>
      </c>
      <c r="AE80" s="105">
        <f>AD80*(1+Inputs!$J$61)</f>
        <v>14.818539923348476</v>
      </c>
      <c r="AF80" s="105">
        <f>AE80*(1+Inputs!$J$61)</f>
        <v>16.205555260173892</v>
      </c>
      <c r="AG80" s="105">
        <f>AF80*(1+Inputs!$J$61)</f>
        <v>17.722395232526168</v>
      </c>
      <c r="AH80" s="105">
        <f>AG80*(1+Inputs!$J$61)</f>
        <v>19.381211426290616</v>
      </c>
      <c r="AI80" s="105">
        <f>AH80*(1+Inputs!$J$61)</f>
        <v>21.195292815791415</v>
      </c>
      <c r="AJ80" s="105">
        <f>AI80*(1+Inputs!$J$61)</f>
        <v>23.179172223349489</v>
      </c>
      <c r="AK80" s="105">
        <f>AJ80*(1+Inputs!$J$61)</f>
        <v>25.348742743454999</v>
      </c>
      <c r="AL80" s="105">
        <f>AK80*(1+Inputs!$J$61)</f>
        <v>27.721385064242384</v>
      </c>
    </row>
    <row r="81" spans="4:40">
      <c r="D81" s="7" t="s">
        <v>401</v>
      </c>
      <c r="E81" s="16" t="s">
        <v>246</v>
      </c>
      <c r="K81">
        <f>(1-Inputs!E24)*'Initiative 5 Model'!L81</f>
        <v>1767200000</v>
      </c>
      <c r="L81">
        <f>(1-Inputs!F24)*'Initiative 5 Model'!M81</f>
        <v>1880000000</v>
      </c>
      <c r="M81">
        <f>Inputs!G27</f>
        <v>2000000000</v>
      </c>
      <c r="N81">
        <f>M81*(1+Inputs!H24)</f>
        <v>2120000000</v>
      </c>
      <c r="O81">
        <f>N81*(1+Inputs!I24)</f>
        <v>2247200000</v>
      </c>
      <c r="P81">
        <f>O81*(1+Inputs!$J$24)</f>
        <v>2382032000</v>
      </c>
      <c r="Q81">
        <f>P81*(1+Inputs!$J$24)</f>
        <v>2524953920</v>
      </c>
      <c r="R81">
        <f>Q81*(1+Inputs!$J$24)</f>
        <v>2676451155.2000003</v>
      </c>
      <c r="S81">
        <f>R81*(1+Inputs!$J$24)</f>
        <v>2837038224.5120006</v>
      </c>
      <c r="T81">
        <f>S81*(1+Inputs!$J$24)</f>
        <v>3007260517.9827209</v>
      </c>
      <c r="U81">
        <f>T81*(1+Inputs!$J$24)</f>
        <v>3187696149.0616841</v>
      </c>
      <c r="V81">
        <f>U81*(1+Inputs!$J$24)</f>
        <v>3378957918.0053854</v>
      </c>
      <c r="W81">
        <f>V81*(1+Inputs!$J$24)</f>
        <v>3581695393.0857086</v>
      </c>
      <c r="X81">
        <f>W81*(1+Inputs!$J$24)</f>
        <v>3796597116.6708512</v>
      </c>
      <c r="Y81">
        <f>X81*(1+Inputs!$J$24)</f>
        <v>4024392943.6711025</v>
      </c>
      <c r="Z81">
        <f>Y81*(1+Inputs!$J$24)</f>
        <v>4265856520.291369</v>
      </c>
      <c r="AA81">
        <f>Z81*(1+Inputs!$J$24)</f>
        <v>4521807911.5088511</v>
      </c>
      <c r="AB81">
        <f>AA81*(1+Inputs!$J$24)</f>
        <v>4793116386.1993828</v>
      </c>
      <c r="AC81">
        <f>AB81*(1+Inputs!$J$24)</f>
        <v>5080703369.3713465</v>
      </c>
      <c r="AD81">
        <f>AC81*(1+Inputs!$J$24)</f>
        <v>5385545571.5336275</v>
      </c>
      <c r="AE81">
        <f>AD81*(1+Inputs!$J$24)</f>
        <v>5708678305.8256454</v>
      </c>
      <c r="AF81">
        <f>AE81*(1+Inputs!$J$24)</f>
        <v>6051199004.1751842</v>
      </c>
      <c r="AG81">
        <f>AF81*(1+Inputs!$J$24)</f>
        <v>6414270944.4256954</v>
      </c>
      <c r="AH81">
        <f>AG81*(1+Inputs!$J$24)</f>
        <v>6799127201.0912371</v>
      </c>
      <c r="AI81">
        <f>AH81*(1+Inputs!$J$24)</f>
        <v>7207074833.1567116</v>
      </c>
      <c r="AJ81">
        <f>AI81*(1+Inputs!$J$24)</f>
        <v>7639499323.1461143</v>
      </c>
      <c r="AK81">
        <f>AJ81*(1+Inputs!$J$24)</f>
        <v>8097869282.5348816</v>
      </c>
      <c r="AL81">
        <f>AK81*(1+Inputs!$J$24)</f>
        <v>8583741439.4869747</v>
      </c>
    </row>
    <row r="83" spans="4:40" ht="24" thickBot="1">
      <c r="D83" s="57" t="s">
        <v>197</v>
      </c>
    </row>
    <row r="84" spans="4:40" ht="18">
      <c r="D84" s="15" t="s">
        <v>143</v>
      </c>
    </row>
    <row r="85" spans="4:40">
      <c r="D85" t="s">
        <v>190</v>
      </c>
      <c r="E85" s="16" t="s">
        <v>211</v>
      </c>
      <c r="K85" s="69">
        <f>SUM(K86:K90)</f>
        <v>4164940</v>
      </c>
      <c r="L85" s="69">
        <f t="shared" ref="L85:AK85" si="32">SUM(L86:L90)</f>
        <v>4195578.0786803216</v>
      </c>
      <c r="M85" s="69">
        <f t="shared" si="32"/>
        <v>4514988.1311923796</v>
      </c>
      <c r="N85" s="69">
        <f t="shared" si="32"/>
        <v>11125687.278505856</v>
      </c>
      <c r="O85" s="69">
        <f t="shared" si="32"/>
        <v>8306489.7706249347</v>
      </c>
      <c r="P85" s="69">
        <f t="shared" si="32"/>
        <v>9083977.2131554279</v>
      </c>
      <c r="Q85" s="69">
        <f t="shared" si="32"/>
        <v>11671110.50111958</v>
      </c>
      <c r="R85" s="69">
        <f t="shared" si="32"/>
        <v>12763526.444024369</v>
      </c>
      <c r="S85" s="69">
        <f t="shared" si="32"/>
        <v>16592319.490160089</v>
      </c>
      <c r="T85" s="69">
        <f t="shared" si="32"/>
        <v>18145360.594439071</v>
      </c>
      <c r="U85" s="69">
        <f t="shared" si="32"/>
        <v>19843766.346078567</v>
      </c>
      <c r="V85" s="69">
        <f t="shared" si="32"/>
        <v>21701142.876071516</v>
      </c>
      <c r="W85" s="69">
        <f t="shared" si="32"/>
        <v>23732369.849271808</v>
      </c>
      <c r="X85" s="69">
        <f t="shared" si="32"/>
        <v>25953719.667163648</v>
      </c>
      <c r="Y85" s="69">
        <f t="shared" si="32"/>
        <v>28382987.828010164</v>
      </c>
      <c r="Z85" s="69">
        <f t="shared" si="32"/>
        <v>31039635.488711908</v>
      </c>
      <c r="AA85" s="69">
        <f t="shared" si="32"/>
        <v>33944945.37045534</v>
      </c>
      <c r="AB85" s="69">
        <f t="shared" si="32"/>
        <v>27554049.126514208</v>
      </c>
      <c r="AC85" s="69">
        <f t="shared" si="32"/>
        <v>32334525.399059758</v>
      </c>
      <c r="AD85" s="69">
        <f t="shared" si="32"/>
        <v>35086865.868102245</v>
      </c>
      <c r="AE85" s="69">
        <f t="shared" si="32"/>
        <v>38080375.138548553</v>
      </c>
      <c r="AF85" s="69">
        <f t="shared" si="32"/>
        <v>41287691.6315317</v>
      </c>
      <c r="AG85" s="69">
        <f t="shared" si="32"/>
        <v>44879206.883504793</v>
      </c>
      <c r="AH85" s="69">
        <f t="shared" si="32"/>
        <v>48733765.94046244</v>
      </c>
      <c r="AI85" s="69">
        <f t="shared" si="32"/>
        <v>52928343.642711006</v>
      </c>
      <c r="AJ85" s="69">
        <f t="shared" si="32"/>
        <v>57433491.996224418</v>
      </c>
      <c r="AK85" s="69">
        <f t="shared" si="32"/>
        <v>62462661.115195066</v>
      </c>
      <c r="AL85" s="69">
        <f>SUM(AL86:AL90)</f>
        <v>67872179.102506235</v>
      </c>
    </row>
    <row r="86" spans="4:40">
      <c r="D86" t="s">
        <v>189</v>
      </c>
      <c r="E86" s="16" t="s">
        <v>211</v>
      </c>
      <c r="K86" s="65">
        <f>K27*K71</f>
        <v>3746323</v>
      </c>
      <c r="L86" s="65">
        <f t="shared" ref="L86:AK86" si="33">L27*L71</f>
        <v>3763296.7631000001</v>
      </c>
      <c r="M86" s="65">
        <f t="shared" si="33"/>
        <v>4022098.7544460809</v>
      </c>
      <c r="N86" s="65">
        <f t="shared" si="33"/>
        <v>7623200.1314147841</v>
      </c>
      <c r="O86" s="65">
        <f t="shared" si="33"/>
        <v>0</v>
      </c>
      <c r="P86" s="65">
        <f t="shared" si="33"/>
        <v>0</v>
      </c>
      <c r="Q86" s="65">
        <f t="shared" si="33"/>
        <v>0</v>
      </c>
      <c r="R86" s="65">
        <f t="shared" si="33"/>
        <v>0</v>
      </c>
      <c r="S86" s="65">
        <f t="shared" si="33"/>
        <v>0</v>
      </c>
      <c r="T86" s="65">
        <f t="shared" si="33"/>
        <v>0</v>
      </c>
      <c r="U86" s="65">
        <f t="shared" si="33"/>
        <v>0</v>
      </c>
      <c r="V86" s="65">
        <f t="shared" si="33"/>
        <v>0</v>
      </c>
      <c r="W86" s="65">
        <f t="shared" si="33"/>
        <v>0</v>
      </c>
      <c r="X86" s="65">
        <f t="shared" si="33"/>
        <v>0</v>
      </c>
      <c r="Y86" s="65">
        <f t="shared" si="33"/>
        <v>0</v>
      </c>
      <c r="Z86" s="65">
        <f t="shared" si="33"/>
        <v>0</v>
      </c>
      <c r="AA86" s="65">
        <f t="shared" si="33"/>
        <v>0</v>
      </c>
      <c r="AB86" s="65">
        <f t="shared" si="33"/>
        <v>0</v>
      </c>
      <c r="AC86" s="65">
        <f t="shared" si="33"/>
        <v>8159854.4139731983</v>
      </c>
      <c r="AD86" s="65">
        <f t="shared" si="33"/>
        <v>8649445.6788115893</v>
      </c>
      <c r="AE86" s="65">
        <f t="shared" si="33"/>
        <v>9168412.4195402861</v>
      </c>
      <c r="AF86" s="65">
        <f t="shared" si="33"/>
        <v>9659035.5911051538</v>
      </c>
      <c r="AG86" s="65">
        <f t="shared" si="33"/>
        <v>10301628.194595467</v>
      </c>
      <c r="AH86" s="65">
        <f t="shared" si="33"/>
        <v>10919725.886271195</v>
      </c>
      <c r="AI86" s="65">
        <f t="shared" si="33"/>
        <v>11574909.439447468</v>
      </c>
      <c r="AJ86" s="65">
        <f t="shared" si="33"/>
        <v>12194309.889590241</v>
      </c>
      <c r="AK86" s="65">
        <f t="shared" si="33"/>
        <v>13005568.246163176</v>
      </c>
      <c r="AL86" s="65">
        <f>AL27*AL71</f>
        <v>13785902.340932969</v>
      </c>
    </row>
    <row r="87" spans="4:40">
      <c r="D87" t="s">
        <v>144</v>
      </c>
      <c r="E87" s="16" t="s">
        <v>211</v>
      </c>
      <c r="K87" s="65">
        <f>K28*K74</f>
        <v>418617</v>
      </c>
      <c r="L87" s="65">
        <f t="shared" ref="L87:AK87" si="34">L28*L74</f>
        <v>432281.31558032165</v>
      </c>
      <c r="M87" s="65">
        <f t="shared" si="34"/>
        <v>492889.37674629915</v>
      </c>
      <c r="N87" s="65">
        <f t="shared" si="34"/>
        <v>3502487.1470910721</v>
      </c>
      <c r="O87" s="65">
        <f t="shared" si="34"/>
        <v>8306489.7706249347</v>
      </c>
      <c r="P87" s="65">
        <f t="shared" si="34"/>
        <v>9083977.2131554279</v>
      </c>
      <c r="Q87" s="65">
        <f t="shared" si="34"/>
        <v>11671110.50111958</v>
      </c>
      <c r="R87" s="65">
        <f t="shared" si="34"/>
        <v>12763526.444024369</v>
      </c>
      <c r="S87" s="65">
        <f t="shared" si="34"/>
        <v>16592319.490160089</v>
      </c>
      <c r="T87" s="65">
        <f t="shared" si="34"/>
        <v>18145360.594439071</v>
      </c>
      <c r="U87" s="65">
        <f t="shared" si="34"/>
        <v>19843766.346078567</v>
      </c>
      <c r="V87" s="65">
        <f t="shared" si="34"/>
        <v>21701142.876071516</v>
      </c>
      <c r="W87" s="65">
        <f t="shared" si="34"/>
        <v>23732369.849271808</v>
      </c>
      <c r="X87" s="65">
        <f t="shared" si="34"/>
        <v>25953719.667163648</v>
      </c>
      <c r="Y87" s="65">
        <f t="shared" si="34"/>
        <v>28382987.828010164</v>
      </c>
      <c r="Z87" s="65">
        <f t="shared" si="34"/>
        <v>31039635.488711908</v>
      </c>
      <c r="AA87" s="65">
        <f t="shared" si="34"/>
        <v>33944945.37045534</v>
      </c>
      <c r="AB87" s="65">
        <f t="shared" si="34"/>
        <v>24858642.126514208</v>
      </c>
      <c r="AC87" s="65">
        <f t="shared" si="34"/>
        <v>21235027.707086559</v>
      </c>
      <c r="AD87" s="65">
        <f t="shared" si="34"/>
        <v>23222626.30046986</v>
      </c>
      <c r="AE87" s="65">
        <f t="shared" si="34"/>
        <v>25396264.122193839</v>
      </c>
      <c r="AF87" s="65">
        <f t="shared" si="34"/>
        <v>27773354.444031179</v>
      </c>
      <c r="AG87" s="65">
        <f t="shared" si="34"/>
        <v>30372940.419992499</v>
      </c>
      <c r="AH87" s="65">
        <f t="shared" si="34"/>
        <v>33215847.643303793</v>
      </c>
      <c r="AI87" s="65">
        <f t="shared" si="34"/>
        <v>36324850.982717022</v>
      </c>
      <c r="AJ87" s="65">
        <f t="shared" si="34"/>
        <v>39724857.034699336</v>
      </c>
      <c r="AK87" s="65">
        <f t="shared" si="34"/>
        <v>43443103.653147191</v>
      </c>
      <c r="AL87" s="65">
        <f>AL28*AL74</f>
        <v>47509378.155081764</v>
      </c>
      <c r="AM87" s="65">
        <f>SUM(M87:AL87)</f>
        <v>618233620.55236101</v>
      </c>
    </row>
    <row r="88" spans="4:40">
      <c r="D88" t="s">
        <v>125</v>
      </c>
      <c r="E88" s="16" t="s">
        <v>211</v>
      </c>
      <c r="K88" s="65">
        <f>K78*K29</f>
        <v>0</v>
      </c>
      <c r="L88" s="65">
        <f t="shared" ref="L88:AK88" si="35">L78*L29</f>
        <v>0</v>
      </c>
      <c r="M88" s="65">
        <f t="shared" si="35"/>
        <v>0</v>
      </c>
      <c r="N88" s="65">
        <f t="shared" si="35"/>
        <v>0</v>
      </c>
      <c r="O88" s="65">
        <f t="shared" si="35"/>
        <v>0</v>
      </c>
      <c r="P88" s="65">
        <f t="shared" si="35"/>
        <v>0</v>
      </c>
      <c r="Q88" s="65">
        <f t="shared" si="35"/>
        <v>0</v>
      </c>
      <c r="R88" s="65">
        <f t="shared" si="35"/>
        <v>0</v>
      </c>
      <c r="S88" s="65">
        <f t="shared" si="35"/>
        <v>0</v>
      </c>
      <c r="T88" s="65">
        <f t="shared" si="35"/>
        <v>0</v>
      </c>
      <c r="U88" s="65">
        <f t="shared" si="35"/>
        <v>0</v>
      </c>
      <c r="V88" s="65">
        <f t="shared" si="35"/>
        <v>0</v>
      </c>
      <c r="W88" s="65">
        <f t="shared" si="35"/>
        <v>0</v>
      </c>
      <c r="X88" s="65">
        <f t="shared" si="35"/>
        <v>0</v>
      </c>
      <c r="Y88" s="65">
        <f t="shared" si="35"/>
        <v>0</v>
      </c>
      <c r="Z88" s="65">
        <f t="shared" si="35"/>
        <v>0</v>
      </c>
      <c r="AA88" s="65">
        <f t="shared" si="35"/>
        <v>0</v>
      </c>
      <c r="AB88" s="65">
        <f t="shared" si="35"/>
        <v>0</v>
      </c>
      <c r="AC88" s="65">
        <f t="shared" si="35"/>
        <v>0</v>
      </c>
      <c r="AD88" s="65">
        <f t="shared" si="35"/>
        <v>0</v>
      </c>
      <c r="AE88" s="65">
        <f t="shared" si="35"/>
        <v>0</v>
      </c>
      <c r="AF88" s="65">
        <f t="shared" si="35"/>
        <v>0</v>
      </c>
      <c r="AG88" s="65">
        <f t="shared" si="35"/>
        <v>0</v>
      </c>
      <c r="AH88" s="65">
        <f t="shared" si="35"/>
        <v>0</v>
      </c>
      <c r="AI88" s="65">
        <f t="shared" si="35"/>
        <v>0</v>
      </c>
      <c r="AJ88" s="65">
        <f t="shared" si="35"/>
        <v>0</v>
      </c>
      <c r="AK88" s="65">
        <f t="shared" si="35"/>
        <v>0</v>
      </c>
      <c r="AL88" s="65">
        <f>AL78*AL29</f>
        <v>0</v>
      </c>
      <c r="AM88" s="65">
        <f t="shared" ref="AM88:AM90" si="36">SUM(M88:AL88)</f>
        <v>0</v>
      </c>
    </row>
    <row r="89" spans="4:40">
      <c r="D89" t="s">
        <v>154</v>
      </c>
      <c r="E89" s="16" t="s">
        <v>211</v>
      </c>
      <c r="K89" s="65">
        <f>K30*K79</f>
        <v>0</v>
      </c>
      <c r="L89" s="65">
        <f t="shared" ref="L89:AK89" si="37">L30*L79</f>
        <v>0</v>
      </c>
      <c r="M89" s="65">
        <f t="shared" si="37"/>
        <v>0</v>
      </c>
      <c r="N89" s="65">
        <f t="shared" si="37"/>
        <v>0</v>
      </c>
      <c r="O89" s="65">
        <f t="shared" si="37"/>
        <v>0</v>
      </c>
      <c r="P89" s="65">
        <f t="shared" si="37"/>
        <v>0</v>
      </c>
      <c r="Q89" s="65">
        <f t="shared" si="37"/>
        <v>0</v>
      </c>
      <c r="R89" s="65">
        <f t="shared" si="37"/>
        <v>0</v>
      </c>
      <c r="S89" s="65">
        <f t="shared" si="37"/>
        <v>0</v>
      </c>
      <c r="T89" s="65">
        <f t="shared" si="37"/>
        <v>0</v>
      </c>
      <c r="U89" s="65">
        <f t="shared" si="37"/>
        <v>0</v>
      </c>
      <c r="V89" s="65">
        <f t="shared" si="37"/>
        <v>0</v>
      </c>
      <c r="W89" s="65">
        <f t="shared" si="37"/>
        <v>0</v>
      </c>
      <c r="X89" s="65">
        <f t="shared" si="37"/>
        <v>0</v>
      </c>
      <c r="Y89" s="65">
        <f t="shared" si="37"/>
        <v>0</v>
      </c>
      <c r="Z89" s="65">
        <f t="shared" si="37"/>
        <v>0</v>
      </c>
      <c r="AA89" s="65">
        <f t="shared" si="37"/>
        <v>0</v>
      </c>
      <c r="AB89" s="65">
        <f t="shared" si="37"/>
        <v>0</v>
      </c>
      <c r="AC89" s="65">
        <f t="shared" si="37"/>
        <v>0</v>
      </c>
      <c r="AD89" s="65">
        <f t="shared" si="37"/>
        <v>0</v>
      </c>
      <c r="AE89" s="65">
        <f t="shared" si="37"/>
        <v>0</v>
      </c>
      <c r="AF89" s="65">
        <f t="shared" si="37"/>
        <v>0</v>
      </c>
      <c r="AG89" s="65">
        <f t="shared" si="37"/>
        <v>0</v>
      </c>
      <c r="AH89" s="65">
        <f t="shared" si="37"/>
        <v>0</v>
      </c>
      <c r="AI89" s="65">
        <f t="shared" si="37"/>
        <v>0</v>
      </c>
      <c r="AJ89" s="65">
        <f t="shared" si="37"/>
        <v>0</v>
      </c>
      <c r="AK89" s="65">
        <f t="shared" si="37"/>
        <v>0</v>
      </c>
      <c r="AL89" s="65">
        <f>AL30*AL79</f>
        <v>0</v>
      </c>
      <c r="AM89" s="65">
        <f t="shared" si="36"/>
        <v>0</v>
      </c>
    </row>
    <row r="90" spans="4:40">
      <c r="D90" t="s">
        <v>423</v>
      </c>
      <c r="E90" s="16" t="s">
        <v>211</v>
      </c>
      <c r="K90" s="65">
        <f>K80*K31</f>
        <v>0</v>
      </c>
      <c r="L90" s="65">
        <f t="shared" ref="L90:AK90" si="38">L80*L31</f>
        <v>0</v>
      </c>
      <c r="M90" s="65">
        <f t="shared" si="38"/>
        <v>0</v>
      </c>
      <c r="N90" s="65">
        <f t="shared" si="38"/>
        <v>0</v>
      </c>
      <c r="O90" s="65">
        <f t="shared" si="38"/>
        <v>0</v>
      </c>
      <c r="P90" s="65">
        <f t="shared" si="38"/>
        <v>0</v>
      </c>
      <c r="Q90" s="65">
        <f t="shared" si="38"/>
        <v>0</v>
      </c>
      <c r="R90" s="65">
        <f t="shared" si="38"/>
        <v>0</v>
      </c>
      <c r="S90" s="65">
        <f t="shared" si="38"/>
        <v>0</v>
      </c>
      <c r="T90" s="65">
        <f t="shared" si="38"/>
        <v>0</v>
      </c>
      <c r="U90" s="65">
        <f t="shared" si="38"/>
        <v>0</v>
      </c>
      <c r="V90" s="65">
        <f t="shared" si="38"/>
        <v>0</v>
      </c>
      <c r="W90" s="65">
        <f t="shared" si="38"/>
        <v>0</v>
      </c>
      <c r="X90" s="65">
        <f t="shared" si="38"/>
        <v>0</v>
      </c>
      <c r="Y90" s="65">
        <f t="shared" si="38"/>
        <v>0</v>
      </c>
      <c r="Z90" s="65">
        <f t="shared" si="38"/>
        <v>0</v>
      </c>
      <c r="AA90" s="65">
        <f t="shared" si="38"/>
        <v>0</v>
      </c>
      <c r="AB90" s="65">
        <f t="shared" si="38"/>
        <v>2695407</v>
      </c>
      <c r="AC90" s="65">
        <f t="shared" si="38"/>
        <v>2939643.2779999999</v>
      </c>
      <c r="AD90" s="65">
        <f t="shared" si="38"/>
        <v>3214793.8888207995</v>
      </c>
      <c r="AE90" s="65">
        <f t="shared" si="38"/>
        <v>3515698.5968144261</v>
      </c>
      <c r="AF90" s="65">
        <f t="shared" si="38"/>
        <v>3855301.5963953687</v>
      </c>
      <c r="AG90" s="65">
        <f t="shared" si="38"/>
        <v>4204638.2689168332</v>
      </c>
      <c r="AH90" s="65">
        <f t="shared" si="38"/>
        <v>4598192.4108874481</v>
      </c>
      <c r="AI90" s="65">
        <f t="shared" si="38"/>
        <v>5028583.2205465129</v>
      </c>
      <c r="AJ90" s="65">
        <f t="shared" si="38"/>
        <v>5514325.0719348434</v>
      </c>
      <c r="AK90" s="65">
        <f t="shared" si="38"/>
        <v>6013989.2158846986</v>
      </c>
      <c r="AL90" s="65">
        <f>AL80*AL31</f>
        <v>6576898.6064915052</v>
      </c>
      <c r="AM90" s="65">
        <f t="shared" si="36"/>
        <v>48157471.154692441</v>
      </c>
      <c r="AN90" s="65">
        <f>SUM(AM87:AM90)</f>
        <v>666391091.70705342</v>
      </c>
    </row>
    <row r="91" spans="4:40">
      <c r="D91" t="s">
        <v>528</v>
      </c>
      <c r="E91" s="16" t="s">
        <v>211</v>
      </c>
      <c r="K91" s="65">
        <f>SUM(K87:K90)</f>
        <v>418617</v>
      </c>
      <c r="L91" s="65">
        <f t="shared" ref="L91:AL91" si="39">SUM(L87:L90)</f>
        <v>432281.31558032165</v>
      </c>
      <c r="M91" s="65">
        <f t="shared" si="39"/>
        <v>492889.37674629915</v>
      </c>
      <c r="N91" s="65">
        <f t="shared" si="39"/>
        <v>3502487.1470910721</v>
      </c>
      <c r="O91" s="65">
        <f t="shared" si="39"/>
        <v>8306489.7706249347</v>
      </c>
      <c r="P91" s="65">
        <f t="shared" si="39"/>
        <v>9083977.2131554279</v>
      </c>
      <c r="Q91" s="65">
        <f t="shared" si="39"/>
        <v>11671110.50111958</v>
      </c>
      <c r="R91" s="65">
        <f t="shared" si="39"/>
        <v>12763526.444024369</v>
      </c>
      <c r="S91" s="65">
        <f t="shared" si="39"/>
        <v>16592319.490160089</v>
      </c>
      <c r="T91" s="65">
        <f t="shared" si="39"/>
        <v>18145360.594439071</v>
      </c>
      <c r="U91" s="65">
        <f t="shared" si="39"/>
        <v>19843766.346078567</v>
      </c>
      <c r="V91" s="65">
        <f t="shared" si="39"/>
        <v>21701142.876071516</v>
      </c>
      <c r="W91" s="65">
        <f t="shared" si="39"/>
        <v>23732369.849271808</v>
      </c>
      <c r="X91" s="65">
        <f t="shared" si="39"/>
        <v>25953719.667163648</v>
      </c>
      <c r="Y91" s="65">
        <f t="shared" si="39"/>
        <v>28382987.828010164</v>
      </c>
      <c r="Z91" s="65">
        <f t="shared" si="39"/>
        <v>31039635.488711908</v>
      </c>
      <c r="AA91" s="65">
        <f t="shared" si="39"/>
        <v>33944945.37045534</v>
      </c>
      <c r="AB91" s="65">
        <f t="shared" si="39"/>
        <v>27554049.126514208</v>
      </c>
      <c r="AC91" s="65">
        <f t="shared" si="39"/>
        <v>24174670.98508656</v>
      </c>
      <c r="AD91" s="65">
        <f t="shared" si="39"/>
        <v>26437420.189290661</v>
      </c>
      <c r="AE91" s="65">
        <f t="shared" si="39"/>
        <v>28911962.719008267</v>
      </c>
      <c r="AF91" s="65">
        <f t="shared" si="39"/>
        <v>31628656.040426549</v>
      </c>
      <c r="AG91" s="65">
        <f t="shared" si="39"/>
        <v>34577578.688909329</v>
      </c>
      <c r="AH91" s="65">
        <f t="shared" si="39"/>
        <v>37814040.054191239</v>
      </c>
      <c r="AI91" s="65">
        <f t="shared" si="39"/>
        <v>41353434.203263536</v>
      </c>
      <c r="AJ91" s="65">
        <f t="shared" si="39"/>
        <v>45239182.106634177</v>
      </c>
      <c r="AK91" s="65">
        <f t="shared" si="39"/>
        <v>49457092.869031891</v>
      </c>
      <c r="AL91" s="65">
        <f t="shared" si="39"/>
        <v>54086276.76157327</v>
      </c>
      <c r="AM91" s="65"/>
      <c r="AN91" s="65"/>
    </row>
    <row r="92" spans="4:40" ht="18">
      <c r="D92" s="15" t="s">
        <v>212</v>
      </c>
      <c r="E92" s="16"/>
      <c r="K92" s="70">
        <f>SUM(K93:K96)</f>
        <v>3539306.375</v>
      </c>
      <c r="L92" s="70">
        <f t="shared" ref="L92:AK92" si="40">SUM(L93:L96)</f>
        <v>3615442.7379177581</v>
      </c>
      <c r="M92" s="70">
        <f t="shared" si="40"/>
        <v>4122346.3830767944</v>
      </c>
      <c r="N92" s="70">
        <f t="shared" si="40"/>
        <v>11283241.373082571</v>
      </c>
      <c r="O92" s="70">
        <f t="shared" si="40"/>
        <v>13379653.530326771</v>
      </c>
      <c r="P92" s="70">
        <f t="shared" si="40"/>
        <v>14631989.100765355</v>
      </c>
      <c r="Q92" s="70">
        <f t="shared" si="40"/>
        <v>18559175.457791578</v>
      </c>
      <c r="R92" s="70">
        <f t="shared" si="40"/>
        <v>20078256.246467352</v>
      </c>
      <c r="S92" s="70">
        <f t="shared" si="40"/>
        <v>25772655.80715774</v>
      </c>
      <c r="T92" s="70">
        <f t="shared" si="40"/>
        <v>27883194.69157258</v>
      </c>
      <c r="U92" s="70">
        <f t="shared" si="40"/>
        <v>30167439.261336971</v>
      </c>
      <c r="V92" s="70">
        <f t="shared" si="40"/>
        <v>32639764.949015327</v>
      </c>
      <c r="W92" s="70">
        <f t="shared" si="40"/>
        <v>35315743.937512942</v>
      </c>
      <c r="X92" s="70">
        <f t="shared" si="40"/>
        <v>38212245.421486251</v>
      </c>
      <c r="Y92" s="70">
        <f t="shared" si="40"/>
        <v>41347544.324621797</v>
      </c>
      <c r="Z92" s="70">
        <f t="shared" si="40"/>
        <v>44741439.190893903</v>
      </c>
      <c r="AA92" s="70">
        <f t="shared" si="40"/>
        <v>48415380.029330589</v>
      </c>
      <c r="AB92" s="70">
        <f t="shared" si="40"/>
        <v>52392606.958528303</v>
      </c>
      <c r="AC92" s="70">
        <f t="shared" si="40"/>
        <v>56698300.569616668</v>
      </c>
      <c r="AD92" s="70">
        <f t="shared" si="40"/>
        <v>61359745.005084746</v>
      </c>
      <c r="AE92" s="70">
        <f t="shared" si="40"/>
        <v>66406504.836382627</v>
      </c>
      <c r="AF92" s="70">
        <f t="shared" si="40"/>
        <v>71870616.916096941</v>
      </c>
      <c r="AG92" s="70">
        <f t="shared" si="40"/>
        <v>77786798.481407776</v>
      </c>
      <c r="AH92" s="70">
        <f t="shared" si="40"/>
        <v>84192672.895166889</v>
      </c>
      <c r="AI92" s="70">
        <f t="shared" si="40"/>
        <v>91129014.53004989</v>
      </c>
      <c r="AJ92" s="70">
        <f t="shared" si="40"/>
        <v>98640014.4306577</v>
      </c>
      <c r="AK92" s="70">
        <f t="shared" si="40"/>
        <v>106773568.52906939</v>
      </c>
      <c r="AL92" s="70">
        <f>SUM(AL93:AL96)</f>
        <v>115581590.3421609</v>
      </c>
    </row>
    <row r="93" spans="4:40">
      <c r="D93" s="7" t="s">
        <v>122</v>
      </c>
      <c r="E93" s="16" t="s">
        <v>211</v>
      </c>
      <c r="K93" s="65">
        <f>K47*K75</f>
        <v>634463.375</v>
      </c>
      <c r="L93" s="65">
        <f t="shared" ref="L93:AL94" si="41">L47*L75</f>
        <v>655173.25486669422</v>
      </c>
      <c r="M93" s="65">
        <f t="shared" si="41"/>
        <v>747031.91096420691</v>
      </c>
      <c r="N93" s="65">
        <f t="shared" si="41"/>
        <v>2044695.0793380849</v>
      </c>
      <c r="O93" s="65">
        <f t="shared" si="41"/>
        <v>2424596.8717793724</v>
      </c>
      <c r="P93" s="65">
        <f t="shared" si="41"/>
        <v>2651539.1389779216</v>
      </c>
      <c r="Q93" s="65">
        <f t="shared" si="41"/>
        <v>3406702.324642356</v>
      </c>
      <c r="R93" s="65">
        <f t="shared" si="41"/>
        <v>3725569.66222888</v>
      </c>
      <c r="S93" s="65">
        <f t="shared" si="41"/>
        <v>4843163.2425136184</v>
      </c>
      <c r="T93" s="65">
        <f t="shared" si="41"/>
        <v>5296483.3220128929</v>
      </c>
      <c r="U93" s="65">
        <f t="shared" si="41"/>
        <v>5792234.1609532991</v>
      </c>
      <c r="V93" s="65">
        <f t="shared" si="41"/>
        <v>6334387.278418527</v>
      </c>
      <c r="W93" s="65">
        <f t="shared" si="41"/>
        <v>6927285.9276785003</v>
      </c>
      <c r="X93" s="65">
        <f t="shared" si="41"/>
        <v>7575679.8905092077</v>
      </c>
      <c r="Y93" s="65">
        <f t="shared" si="41"/>
        <v>8284763.528260868</v>
      </c>
      <c r="Z93" s="65">
        <f t="shared" si="41"/>
        <v>9060217.3945060838</v>
      </c>
      <c r="AA93" s="65">
        <f t="shared" si="41"/>
        <v>9908253.7426318526</v>
      </c>
      <c r="AB93" s="65">
        <f t="shared" si="41"/>
        <v>10835666.292942192</v>
      </c>
      <c r="AC93" s="65">
        <f t="shared" si="41"/>
        <v>11849884.657961581</v>
      </c>
      <c r="AD93" s="65">
        <f t="shared" si="41"/>
        <v>12959033.861946784</v>
      </c>
      <c r="AE93" s="65">
        <f t="shared" si="41"/>
        <v>14171999.431425001</v>
      </c>
      <c r="AF93" s="65">
        <f t="shared" si="41"/>
        <v>15498498.578206381</v>
      </c>
      <c r="AG93" s="65">
        <f t="shared" si="41"/>
        <v>16949158.045126498</v>
      </c>
      <c r="AH93" s="65">
        <f t="shared" si="41"/>
        <v>18535599.238150336</v>
      </c>
      <c r="AI93" s="65">
        <f t="shared" si="41"/>
        <v>20270531.326841202</v>
      </c>
      <c r="AJ93" s="65">
        <f t="shared" si="41"/>
        <v>22167853.059033539</v>
      </c>
      <c r="AK93" s="65">
        <f t="shared" si="41"/>
        <v>24242764.105359074</v>
      </c>
      <c r="AL93" s="65">
        <f t="shared" si="41"/>
        <v>26511886.825620685</v>
      </c>
    </row>
    <row r="94" spans="4:40">
      <c r="D94" s="7" t="s">
        <v>123</v>
      </c>
      <c r="E94" s="16" t="s">
        <v>211</v>
      </c>
      <c r="K94" s="65">
        <f>K48*K76</f>
        <v>2857365</v>
      </c>
      <c r="L94" s="65">
        <f t="shared" si="41"/>
        <v>2911241.7266505295</v>
      </c>
      <c r="M94" s="65">
        <f t="shared" si="41"/>
        <v>3319412.7723986227</v>
      </c>
      <c r="N94" s="65">
        <f t="shared" si="41"/>
        <v>9085538.1977660321</v>
      </c>
      <c r="O94" s="65">
        <f t="shared" si="41"/>
        <v>10773619.849404017</v>
      </c>
      <c r="P94" s="65">
        <f t="shared" si="41"/>
        <v>11782030.667308232</v>
      </c>
      <c r="Q94" s="65">
        <f t="shared" si="41"/>
        <v>14935481.792706767</v>
      </c>
      <c r="R94" s="65">
        <f t="shared" si="41"/>
        <v>16115384.854330601</v>
      </c>
      <c r="S94" s="65">
        <f t="shared" si="41"/>
        <v>20669979.392816875</v>
      </c>
      <c r="T94" s="65">
        <f t="shared" si="41"/>
        <v>22302907.764849409</v>
      </c>
      <c r="U94" s="65">
        <f t="shared" si="41"/>
        <v>24064837.478272513</v>
      </c>
      <c r="V94" s="65">
        <f t="shared" si="41"/>
        <v>25965959.639056038</v>
      </c>
      <c r="W94" s="65">
        <f t="shared" si="41"/>
        <v>28017270.450541463</v>
      </c>
      <c r="X94" s="65">
        <f t="shared" si="41"/>
        <v>30230634.816134237</v>
      </c>
      <c r="Y94" s="65">
        <f t="shared" si="41"/>
        <v>32618854.966608841</v>
      </c>
      <c r="Z94" s="65">
        <f t="shared" si="41"/>
        <v>35195744.508970939</v>
      </c>
      <c r="AA94" s="65">
        <f t="shared" si="41"/>
        <v>37976208.325179636</v>
      </c>
      <c r="AB94" s="65">
        <f t="shared" si="41"/>
        <v>40976328.782868825</v>
      </c>
      <c r="AC94" s="65">
        <f t="shared" si="41"/>
        <v>44213458.756715462</v>
      </c>
      <c r="AD94" s="65">
        <f t="shared" si="41"/>
        <v>47706321.998495981</v>
      </c>
      <c r="AE94" s="65">
        <f t="shared" si="41"/>
        <v>51475121.436377153</v>
      </c>
      <c r="AF94" s="65">
        <f t="shared" si="41"/>
        <v>55541656.029850952</v>
      </c>
      <c r="AG94" s="65">
        <f t="shared" si="41"/>
        <v>59929446.856209174</v>
      </c>
      <c r="AH94" s="65">
        <f t="shared" si="41"/>
        <v>64663873.157849699</v>
      </c>
      <c r="AI94" s="65">
        <f t="shared" si="41"/>
        <v>69772319.137319818</v>
      </c>
      <c r="AJ94" s="65">
        <f t="shared" si="41"/>
        <v>75284332.349168092</v>
      </c>
      <c r="AK94" s="65">
        <f t="shared" si="41"/>
        <v>81231794.604752362</v>
      </c>
      <c r="AL94" s="65">
        <f t="shared" si="41"/>
        <v>87649106.37852779</v>
      </c>
    </row>
    <row r="95" spans="4:40">
      <c r="D95" s="63" t="s">
        <v>124</v>
      </c>
      <c r="E95" s="16" t="s">
        <v>211</v>
      </c>
      <c r="K95" s="65">
        <f>K77*K50</f>
        <v>47477.999999999993</v>
      </c>
      <c r="L95" s="65">
        <f t="shared" ref="L95:AL95" si="42">L77*L50</f>
        <v>49027.756400534403</v>
      </c>
      <c r="M95" s="65">
        <f t="shared" si="42"/>
        <v>55901.699713964757</v>
      </c>
      <c r="N95" s="65">
        <f t="shared" si="42"/>
        <v>153008.09597845364</v>
      </c>
      <c r="O95" s="65">
        <f t="shared" si="42"/>
        <v>181436.80914338207</v>
      </c>
      <c r="P95" s="65">
        <f t="shared" si="42"/>
        <v>198419.2944792026</v>
      </c>
      <c r="Q95" s="65">
        <f t="shared" si="42"/>
        <v>216991.34044245596</v>
      </c>
      <c r="R95" s="65">
        <f t="shared" si="42"/>
        <v>237301.7299078698</v>
      </c>
      <c r="S95" s="65">
        <f t="shared" si="42"/>
        <v>259513.17182724643</v>
      </c>
      <c r="T95" s="65">
        <f t="shared" si="42"/>
        <v>283803.60471027665</v>
      </c>
      <c r="U95" s="65">
        <f t="shared" si="42"/>
        <v>310367.62211115856</v>
      </c>
      <c r="V95" s="65">
        <f t="shared" si="42"/>
        <v>339418.03154076292</v>
      </c>
      <c r="W95" s="65">
        <f t="shared" si="42"/>
        <v>371187.55929297832</v>
      </c>
      <c r="X95" s="65">
        <f t="shared" si="42"/>
        <v>405930.7148428011</v>
      </c>
      <c r="Y95" s="65">
        <f t="shared" si="42"/>
        <v>443925.82975208719</v>
      </c>
      <c r="Z95" s="65">
        <f t="shared" si="42"/>
        <v>485477.28741688252</v>
      </c>
      <c r="AA95" s="65">
        <f t="shared" si="42"/>
        <v>530917.96151910268</v>
      </c>
      <c r="AB95" s="65">
        <f t="shared" si="42"/>
        <v>580611.88271729066</v>
      </c>
      <c r="AC95" s="65">
        <f t="shared" si="42"/>
        <v>634957.15493962902</v>
      </c>
      <c r="AD95" s="65">
        <f t="shared" si="42"/>
        <v>694389.14464197832</v>
      </c>
      <c r="AE95" s="65">
        <f t="shared" si="42"/>
        <v>759383.96858046739</v>
      </c>
      <c r="AF95" s="65">
        <f t="shared" si="42"/>
        <v>830462.30803959921</v>
      </c>
      <c r="AG95" s="65">
        <f t="shared" si="42"/>
        <v>908193.58007210563</v>
      </c>
      <c r="AH95" s="65">
        <f t="shared" si="42"/>
        <v>993200.49916685466</v>
      </c>
      <c r="AI95" s="65">
        <f t="shared" si="42"/>
        <v>1086164.0658888721</v>
      </c>
      <c r="AJ95" s="65">
        <f t="shared" si="42"/>
        <v>1187829.0224560704</v>
      </c>
      <c r="AK95" s="65">
        <f t="shared" si="42"/>
        <v>1299009.8189579586</v>
      </c>
      <c r="AL95" s="65">
        <f t="shared" si="42"/>
        <v>1420597.1380124234</v>
      </c>
    </row>
    <row r="96" spans="4:40">
      <c r="D96" s="7" t="s">
        <v>233</v>
      </c>
      <c r="E96" s="16" t="s">
        <v>211</v>
      </c>
      <c r="W96"/>
      <c r="AB96"/>
    </row>
    <row r="97" spans="4:40" ht="18">
      <c r="D97" s="15" t="s">
        <v>234</v>
      </c>
      <c r="K97" s="69">
        <f>SUM(K98:K99)</f>
        <v>1742558.4</v>
      </c>
      <c r="L97" s="69">
        <f t="shared" ref="L97:AK97" si="43">SUM(L98:L99)</f>
        <v>1750689.2990336004</v>
      </c>
      <c r="M97" s="69">
        <f t="shared" si="43"/>
        <v>1936490.0635776964</v>
      </c>
      <c r="N97" s="69">
        <f t="shared" si="43"/>
        <v>5423644.0497468477</v>
      </c>
      <c r="O97" s="69">
        <f t="shared" si="43"/>
        <v>6896688.4326810278</v>
      </c>
      <c r="P97" s="69">
        <f t="shared" si="43"/>
        <v>7310489.7386418898</v>
      </c>
      <c r="Q97" s="69">
        <f t="shared" si="43"/>
        <v>10648675.065098453</v>
      </c>
      <c r="R97" s="69">
        <f t="shared" si="43"/>
        <v>11287595.569004361</v>
      </c>
      <c r="S97" s="69">
        <f t="shared" si="43"/>
        <v>16096228.569996506</v>
      </c>
      <c r="T97" s="69">
        <f t="shared" si="43"/>
        <v>17062002.284196295</v>
      </c>
      <c r="U97" s="69">
        <f t="shared" si="43"/>
        <v>18085722.421248075</v>
      </c>
      <c r="V97" s="69">
        <f t="shared" si="43"/>
        <v>19170865.766522963</v>
      </c>
      <c r="W97" s="69">
        <f t="shared" si="43"/>
        <v>20321117.712514341</v>
      </c>
      <c r="X97" s="69">
        <f t="shared" si="43"/>
        <v>21540384.775265198</v>
      </c>
      <c r="Y97" s="69">
        <f t="shared" si="43"/>
        <v>22832807.861781113</v>
      </c>
      <c r="Z97" s="69">
        <f t="shared" si="43"/>
        <v>24202776.33348798</v>
      </c>
      <c r="AA97" s="69">
        <f t="shared" si="43"/>
        <v>25654942.913497262</v>
      </c>
      <c r="AB97" s="69">
        <f t="shared" si="43"/>
        <v>35426739.060418233</v>
      </c>
      <c r="AC97" s="69">
        <f t="shared" si="43"/>
        <v>37528500.645719729</v>
      </c>
      <c r="AD97" s="69">
        <f t="shared" si="43"/>
        <v>39780210.68446292</v>
      </c>
      <c r="AE97" s="69">
        <f t="shared" si="43"/>
        <v>42167023.325530693</v>
      </c>
      <c r="AF97" s="69">
        <f t="shared" si="43"/>
        <v>44725441.831710085</v>
      </c>
      <c r="AG97" s="69">
        <f t="shared" si="43"/>
        <v>47378867.408566289</v>
      </c>
      <c r="AH97" s="69">
        <f t="shared" si="43"/>
        <v>50221599.453080274</v>
      </c>
      <c r="AI97" s="69">
        <f t="shared" si="43"/>
        <v>53234895.420265093</v>
      </c>
      <c r="AJ97" s="69">
        <f t="shared" si="43"/>
        <v>56464839.838354178</v>
      </c>
      <c r="AK97" s="69">
        <f t="shared" si="43"/>
        <v>59814728.494209856</v>
      </c>
      <c r="AL97" s="69">
        <f>SUM(AL98:AL99)</f>
        <v>63403612.203862458</v>
      </c>
    </row>
    <row r="98" spans="4:40">
      <c r="D98" s="7" t="s">
        <v>236</v>
      </c>
      <c r="E98" s="16" t="s">
        <v>211</v>
      </c>
      <c r="K98" s="65">
        <f t="shared" ref="K98:AK98" si="44">K59*K72</f>
        <v>1501269.7999999998</v>
      </c>
      <c r="L98" s="65">
        <f t="shared" si="44"/>
        <v>1508307.4736136002</v>
      </c>
      <c r="M98" s="65">
        <f t="shared" si="44"/>
        <v>1667172.0942583524</v>
      </c>
      <c r="N98" s="65">
        <f t="shared" si="44"/>
        <v>4669962.6426580157</v>
      </c>
      <c r="O98" s="65">
        <f t="shared" si="44"/>
        <v>5938309.5651668655</v>
      </c>
      <c r="P98" s="65">
        <f t="shared" si="44"/>
        <v>6294608.1390768783</v>
      </c>
      <c r="Q98" s="65">
        <f t="shared" si="44"/>
        <v>9168911.9513908401</v>
      </c>
      <c r="R98" s="65">
        <f t="shared" si="44"/>
        <v>9719046.6684742905</v>
      </c>
      <c r="S98" s="65">
        <f t="shared" si="44"/>
        <v>13859461.539161459</v>
      </c>
      <c r="T98" s="65">
        <f t="shared" si="44"/>
        <v>14691029.231511148</v>
      </c>
      <c r="U98" s="65">
        <f t="shared" si="44"/>
        <v>15572490.985401817</v>
      </c>
      <c r="V98" s="65">
        <f t="shared" si="44"/>
        <v>16506840.444525927</v>
      </c>
      <c r="W98" s="65">
        <f t="shared" si="44"/>
        <v>17497250.871197484</v>
      </c>
      <c r="X98" s="65">
        <f t="shared" si="44"/>
        <v>18547085.923469331</v>
      </c>
      <c r="Y98" s="65">
        <f t="shared" si="44"/>
        <v>19659911.078877494</v>
      </c>
      <c r="Z98" s="65">
        <f t="shared" si="44"/>
        <v>20839505.743610144</v>
      </c>
      <c r="AA98" s="65">
        <f t="shared" si="44"/>
        <v>22089876.088226754</v>
      </c>
      <c r="AB98" s="65">
        <f t="shared" si="44"/>
        <v>30503762.128539536</v>
      </c>
      <c r="AC98" s="65">
        <f t="shared" si="44"/>
        <v>32313458.339630269</v>
      </c>
      <c r="AD98" s="65">
        <f t="shared" si="44"/>
        <v>34252265.840008087</v>
      </c>
      <c r="AE98" s="65">
        <f t="shared" si="44"/>
        <v>36307401.790408574</v>
      </c>
      <c r="AF98" s="65">
        <f t="shared" si="44"/>
        <v>38510296.880601734</v>
      </c>
      <c r="AG98" s="65">
        <f t="shared" si="44"/>
        <v>40794996.651703075</v>
      </c>
      <c r="AH98" s="65">
        <f t="shared" si="44"/>
        <v>43242696.450805269</v>
      </c>
      <c r="AI98" s="65">
        <f t="shared" si="44"/>
        <v>45837258.237853587</v>
      </c>
      <c r="AJ98" s="65">
        <f t="shared" si="44"/>
        <v>48618362.534519561</v>
      </c>
      <c r="AK98" s="65">
        <f t="shared" si="44"/>
        <v>51502743.356052287</v>
      </c>
      <c r="AL98" s="65">
        <f>AL59*AL72</f>
        <v>54592907.957415432</v>
      </c>
    </row>
    <row r="99" spans="4:40">
      <c r="D99" s="7" t="s">
        <v>237</v>
      </c>
      <c r="E99" s="16" t="s">
        <v>211</v>
      </c>
      <c r="K99" s="106">
        <f t="shared" ref="K99:AL99" si="45">K59*K73</f>
        <v>241288.6</v>
      </c>
      <c r="L99" s="106">
        <f t="shared" si="45"/>
        <v>242381.82542000004</v>
      </c>
      <c r="M99" s="106">
        <f t="shared" si="45"/>
        <v>269317.96931934403</v>
      </c>
      <c r="N99" s="106">
        <f t="shared" si="45"/>
        <v>753681.407088832</v>
      </c>
      <c r="O99" s="106">
        <f t="shared" si="45"/>
        <v>958378.86751416209</v>
      </c>
      <c r="P99" s="106">
        <f t="shared" si="45"/>
        <v>1015881.5995650118</v>
      </c>
      <c r="Q99" s="106">
        <f t="shared" si="45"/>
        <v>1479763.1137076125</v>
      </c>
      <c r="R99" s="106">
        <f t="shared" si="45"/>
        <v>1568548.9005300694</v>
      </c>
      <c r="S99" s="106">
        <f t="shared" si="45"/>
        <v>2236767.0308350464</v>
      </c>
      <c r="T99" s="106">
        <f t="shared" si="45"/>
        <v>2370973.052685149</v>
      </c>
      <c r="U99" s="106">
        <f t="shared" si="45"/>
        <v>2513231.4358462584</v>
      </c>
      <c r="V99" s="106">
        <f t="shared" si="45"/>
        <v>2664025.3219970339</v>
      </c>
      <c r="W99" s="106">
        <f t="shared" si="45"/>
        <v>2823866.8413168564</v>
      </c>
      <c r="X99" s="106">
        <f t="shared" si="45"/>
        <v>2993298.851795868</v>
      </c>
      <c r="Y99" s="106">
        <f t="shared" si="45"/>
        <v>3172896.78290362</v>
      </c>
      <c r="Z99" s="106">
        <f t="shared" si="45"/>
        <v>3363270.5898778373</v>
      </c>
      <c r="AA99" s="106">
        <f t="shared" si="45"/>
        <v>3565066.8252705075</v>
      </c>
      <c r="AB99" s="106">
        <f t="shared" si="45"/>
        <v>4922976.931878699</v>
      </c>
      <c r="AC99" s="106">
        <f t="shared" si="45"/>
        <v>5215042.3060894608</v>
      </c>
      <c r="AD99" s="106">
        <f t="shared" si="45"/>
        <v>5527944.8444548286</v>
      </c>
      <c r="AE99" s="106">
        <f t="shared" si="45"/>
        <v>5859621.5351221189</v>
      </c>
      <c r="AF99" s="106">
        <f t="shared" si="45"/>
        <v>6215144.9511083486</v>
      </c>
      <c r="AG99" s="106">
        <f t="shared" si="45"/>
        <v>6583870.7568632141</v>
      </c>
      <c r="AH99" s="106">
        <f t="shared" si="45"/>
        <v>6978903.0022750068</v>
      </c>
      <c r="AI99" s="106">
        <f t="shared" si="45"/>
        <v>7397637.1824115077</v>
      </c>
      <c r="AJ99" s="106">
        <f t="shared" si="45"/>
        <v>7846477.3038346181</v>
      </c>
      <c r="AK99" s="106">
        <f t="shared" si="45"/>
        <v>8311985.1381575707</v>
      </c>
      <c r="AL99" s="106">
        <f t="shared" si="45"/>
        <v>8810704.2464470267</v>
      </c>
    </row>
    <row r="100" spans="4:40" ht="18">
      <c r="D100" s="15" t="s">
        <v>428</v>
      </c>
      <c r="K100" s="69">
        <f>SUM(K101)</f>
        <v>0</v>
      </c>
      <c r="L100" s="69">
        <f t="shared" ref="L100:AK100" si="46">SUM(L101)</f>
        <v>0</v>
      </c>
      <c r="M100" s="69">
        <f t="shared" si="46"/>
        <v>0</v>
      </c>
      <c r="N100" s="69">
        <f t="shared" si="46"/>
        <v>0</v>
      </c>
      <c r="O100" s="69">
        <f t="shared" si="46"/>
        <v>0</v>
      </c>
      <c r="P100" s="69">
        <f t="shared" si="46"/>
        <v>0</v>
      </c>
      <c r="Q100" s="69">
        <f t="shared" si="46"/>
        <v>50000</v>
      </c>
      <c r="R100" s="69">
        <f t="shared" si="46"/>
        <v>50000</v>
      </c>
      <c r="S100" s="69">
        <f t="shared" si="46"/>
        <v>50000</v>
      </c>
      <c r="T100" s="69">
        <f t="shared" si="46"/>
        <v>50000</v>
      </c>
      <c r="U100" s="69">
        <f t="shared" si="46"/>
        <v>50000</v>
      </c>
      <c r="V100" s="69">
        <f t="shared" si="46"/>
        <v>50000</v>
      </c>
      <c r="W100" s="69">
        <f t="shared" si="46"/>
        <v>50000</v>
      </c>
      <c r="X100" s="69">
        <f t="shared" si="46"/>
        <v>50000</v>
      </c>
      <c r="Y100" s="69">
        <f t="shared" si="46"/>
        <v>50000</v>
      </c>
      <c r="Z100" s="69">
        <f t="shared" si="46"/>
        <v>50000</v>
      </c>
      <c r="AA100" s="69">
        <f t="shared" si="46"/>
        <v>50000</v>
      </c>
      <c r="AB100" s="69">
        <f t="shared" si="46"/>
        <v>50000</v>
      </c>
      <c r="AC100" s="69">
        <f t="shared" si="46"/>
        <v>50000</v>
      </c>
      <c r="AD100" s="69">
        <f t="shared" si="46"/>
        <v>50000</v>
      </c>
      <c r="AE100" s="69">
        <f t="shared" si="46"/>
        <v>50000</v>
      </c>
      <c r="AF100" s="69">
        <f t="shared" si="46"/>
        <v>50000</v>
      </c>
      <c r="AG100" s="69">
        <f t="shared" si="46"/>
        <v>50000</v>
      </c>
      <c r="AH100" s="69">
        <f t="shared" si="46"/>
        <v>50000</v>
      </c>
      <c r="AI100" s="69">
        <f t="shared" si="46"/>
        <v>50000</v>
      </c>
      <c r="AJ100" s="69">
        <f t="shared" si="46"/>
        <v>50000</v>
      </c>
      <c r="AK100" s="69">
        <f t="shared" si="46"/>
        <v>50000</v>
      </c>
      <c r="AL100" s="69">
        <f>SUM(AL101)</f>
        <v>50000</v>
      </c>
    </row>
    <row r="101" spans="4:40">
      <c r="D101" s="7" t="s">
        <v>429</v>
      </c>
      <c r="E101" s="16" t="s">
        <v>211</v>
      </c>
      <c r="K101" s="65">
        <f>K61*K74</f>
        <v>0</v>
      </c>
      <c r="L101" s="65">
        <f t="shared" ref="L101:P101" si="47">L61*L74</f>
        <v>0</v>
      </c>
      <c r="M101" s="65">
        <f t="shared" si="47"/>
        <v>0</v>
      </c>
      <c r="N101" s="65">
        <f t="shared" si="47"/>
        <v>0</v>
      </c>
      <c r="O101" s="65">
        <f t="shared" si="47"/>
        <v>0</v>
      </c>
      <c r="P101" s="65">
        <f t="shared" si="47"/>
        <v>0</v>
      </c>
      <c r="Q101" s="65">
        <f>Inputs!$E$200</f>
        <v>50000</v>
      </c>
      <c r="R101" s="65">
        <f>Inputs!$E$200</f>
        <v>50000</v>
      </c>
      <c r="S101" s="65">
        <f>Inputs!$E$200</f>
        <v>50000</v>
      </c>
      <c r="T101" s="65">
        <f>Inputs!$E$200</f>
        <v>50000</v>
      </c>
      <c r="U101" s="65">
        <f>Inputs!$E$200</f>
        <v>50000</v>
      </c>
      <c r="V101" s="65">
        <f>Inputs!$E$200</f>
        <v>50000</v>
      </c>
      <c r="W101" s="65">
        <f>Inputs!$E$200</f>
        <v>50000</v>
      </c>
      <c r="X101" s="65">
        <f>Inputs!$E$200</f>
        <v>50000</v>
      </c>
      <c r="Y101" s="65">
        <f>Inputs!$E$200</f>
        <v>50000</v>
      </c>
      <c r="Z101" s="65">
        <f>Inputs!$E$200</f>
        <v>50000</v>
      </c>
      <c r="AA101" s="65">
        <f>Inputs!$E$200</f>
        <v>50000</v>
      </c>
      <c r="AB101" s="65">
        <f>Inputs!$E$200</f>
        <v>50000</v>
      </c>
      <c r="AC101" s="65">
        <f>Inputs!$E$200</f>
        <v>50000</v>
      </c>
      <c r="AD101" s="65">
        <f>Inputs!$E$200</f>
        <v>50000</v>
      </c>
      <c r="AE101" s="65">
        <f>Inputs!$E$200</f>
        <v>50000</v>
      </c>
      <c r="AF101" s="65">
        <f>Inputs!$E$200</f>
        <v>50000</v>
      </c>
      <c r="AG101" s="65">
        <f>Inputs!$E$200</f>
        <v>50000</v>
      </c>
      <c r="AH101" s="65">
        <f>Inputs!$E$200</f>
        <v>50000</v>
      </c>
      <c r="AI101" s="65">
        <f>Inputs!$E$200</f>
        <v>50000</v>
      </c>
      <c r="AJ101" s="65">
        <f>Inputs!$E$200</f>
        <v>50000</v>
      </c>
      <c r="AK101" s="65">
        <f>Inputs!$E$200</f>
        <v>50000</v>
      </c>
      <c r="AL101" s="65">
        <f>Inputs!$E$200</f>
        <v>50000</v>
      </c>
    </row>
    <row r="102" spans="4:40">
      <c r="D102" s="23" t="s">
        <v>338</v>
      </c>
      <c r="E102" s="16" t="s">
        <v>211</v>
      </c>
      <c r="K102" s="70">
        <f>K97+K100+K92+K85</f>
        <v>9446804.7750000004</v>
      </c>
      <c r="L102" s="70">
        <f t="shared" ref="L102:AK102" si="48">L97+L100+L92+L85</f>
        <v>9561710.1156316809</v>
      </c>
      <c r="M102" s="70">
        <f t="shared" si="48"/>
        <v>10573824.57784687</v>
      </c>
      <c r="N102" s="70">
        <f t="shared" si="48"/>
        <v>27832572.701335274</v>
      </c>
      <c r="O102" s="70">
        <f t="shared" si="48"/>
        <v>28582831.733632736</v>
      </c>
      <c r="P102" s="70">
        <f t="shared" si="48"/>
        <v>31026456.052562669</v>
      </c>
      <c r="Q102" s="70">
        <f t="shared" si="48"/>
        <v>40928961.024009615</v>
      </c>
      <c r="R102" s="70">
        <f t="shared" si="48"/>
        <v>44179378.259496078</v>
      </c>
      <c r="S102" s="70">
        <f t="shared" si="48"/>
        <v>58511203.867314339</v>
      </c>
      <c r="T102" s="70">
        <f t="shared" si="48"/>
        <v>63140557.570207953</v>
      </c>
      <c r="U102" s="70">
        <f t="shared" si="48"/>
        <v>68146928.028663605</v>
      </c>
      <c r="V102" s="70">
        <f t="shared" si="48"/>
        <v>73561773.591609806</v>
      </c>
      <c r="W102" s="70">
        <f t="shared" si="48"/>
        <v>79419231.499299094</v>
      </c>
      <c r="X102" s="70">
        <f t="shared" si="48"/>
        <v>85756349.863915086</v>
      </c>
      <c r="Y102" s="70">
        <f t="shared" si="48"/>
        <v>92613340.014413074</v>
      </c>
      <c r="Z102" s="70">
        <f t="shared" si="48"/>
        <v>100033851.01309378</v>
      </c>
      <c r="AA102" s="70">
        <f t="shared" si="48"/>
        <v>108065268.31328319</v>
      </c>
      <c r="AB102" s="70">
        <f t="shared" si="48"/>
        <v>115423395.14546074</v>
      </c>
      <c r="AC102" s="70">
        <f t="shared" si="48"/>
        <v>126611326.61439615</v>
      </c>
      <c r="AD102" s="70">
        <f t="shared" si="48"/>
        <v>136276821.55764991</v>
      </c>
      <c r="AE102" s="70">
        <f t="shared" si="48"/>
        <v>146703903.30046189</v>
      </c>
      <c r="AF102" s="70">
        <f t="shared" si="48"/>
        <v>157933750.37933874</v>
      </c>
      <c r="AG102" s="70">
        <f t="shared" si="48"/>
        <v>170094872.77347887</v>
      </c>
      <c r="AH102" s="70">
        <f t="shared" si="48"/>
        <v>183198038.28870961</v>
      </c>
      <c r="AI102" s="70">
        <f t="shared" si="48"/>
        <v>197342253.59302601</v>
      </c>
      <c r="AJ102" s="70">
        <f t="shared" si="48"/>
        <v>212588346.26523632</v>
      </c>
      <c r="AK102" s="70">
        <f t="shared" si="48"/>
        <v>229100958.13847432</v>
      </c>
      <c r="AL102" s="70">
        <f>AL97+AL100+AL92+AL85</f>
        <v>246907381.64852959</v>
      </c>
    </row>
    <row r="103" spans="4:40" s="110" customFormat="1">
      <c r="D103" s="143" t="s">
        <v>468</v>
      </c>
      <c r="E103" s="112" t="s">
        <v>211</v>
      </c>
      <c r="K103" s="144">
        <f>K85+K97</f>
        <v>5907498.4000000004</v>
      </c>
      <c r="L103" s="144">
        <f t="shared" ref="L103:AK103" si="49">L85+L97</f>
        <v>5946267.3777139224</v>
      </c>
      <c r="M103" s="144">
        <f t="shared" si="49"/>
        <v>6451478.1947700763</v>
      </c>
      <c r="N103" s="144">
        <f t="shared" si="49"/>
        <v>16549331.328252703</v>
      </c>
      <c r="O103" s="144">
        <f t="shared" si="49"/>
        <v>15203178.203305963</v>
      </c>
      <c r="P103" s="144">
        <f t="shared" si="49"/>
        <v>16394466.951797318</v>
      </c>
      <c r="Q103" s="144">
        <f t="shared" si="49"/>
        <v>22319785.566218033</v>
      </c>
      <c r="R103" s="144">
        <f t="shared" si="49"/>
        <v>24051122.01302873</v>
      </c>
      <c r="S103" s="144">
        <f t="shared" si="49"/>
        <v>32688548.060156595</v>
      </c>
      <c r="T103" s="144">
        <f t="shared" si="49"/>
        <v>35207362.878635362</v>
      </c>
      <c r="U103" s="144">
        <f t="shared" si="49"/>
        <v>37929488.767326638</v>
      </c>
      <c r="V103" s="144">
        <f t="shared" si="49"/>
        <v>40872008.642594479</v>
      </c>
      <c r="W103" s="144">
        <f t="shared" si="49"/>
        <v>44053487.561786145</v>
      </c>
      <c r="X103" s="144">
        <f t="shared" si="49"/>
        <v>47494104.442428842</v>
      </c>
      <c r="Y103" s="144">
        <f t="shared" si="49"/>
        <v>51215795.689791277</v>
      </c>
      <c r="Z103" s="144">
        <f t="shared" si="49"/>
        <v>55242411.822199889</v>
      </c>
      <c r="AA103" s="144">
        <f t="shared" si="49"/>
        <v>59599888.283952601</v>
      </c>
      <c r="AB103" s="144">
        <f t="shared" si="49"/>
        <v>62980788.186932445</v>
      </c>
      <c r="AC103" s="144">
        <f t="shared" si="49"/>
        <v>69863026.04477948</v>
      </c>
      <c r="AD103" s="144">
        <f t="shared" si="49"/>
        <v>74867076.552565157</v>
      </c>
      <c r="AE103" s="144">
        <f t="shared" si="49"/>
        <v>80247398.464079246</v>
      </c>
      <c r="AF103" s="144">
        <f t="shared" si="49"/>
        <v>86013133.463241786</v>
      </c>
      <c r="AG103" s="144">
        <f t="shared" si="49"/>
        <v>92258074.292071074</v>
      </c>
      <c r="AH103" s="144">
        <f t="shared" si="49"/>
        <v>98955365.393542707</v>
      </c>
      <c r="AI103" s="144">
        <f t="shared" si="49"/>
        <v>106163239.06297609</v>
      </c>
      <c r="AJ103" s="144">
        <f t="shared" si="49"/>
        <v>113898331.8345786</v>
      </c>
      <c r="AK103" s="144">
        <f t="shared" si="49"/>
        <v>122277389.60940492</v>
      </c>
      <c r="AL103" s="144">
        <f>AL85+AL97</f>
        <v>131275791.30636869</v>
      </c>
      <c r="AM103" s="122">
        <f>SUM(M103:AL103)/10^6</f>
        <v>1544.0720726167849</v>
      </c>
    </row>
    <row r="105" spans="4:40">
      <c r="D105" s="110" t="s">
        <v>241</v>
      </c>
      <c r="E105" s="112" t="s">
        <v>337</v>
      </c>
      <c r="F105" s="110"/>
      <c r="G105" s="110"/>
      <c r="H105" s="110"/>
      <c r="I105" s="110"/>
      <c r="J105" s="110"/>
      <c r="K105" s="113">
        <f t="shared" ref="K105:AL105" si="50">K102/K26</f>
        <v>48.947175000000001</v>
      </c>
      <c r="L105" s="113">
        <f t="shared" si="50"/>
        <v>52.467112299999997</v>
      </c>
      <c r="M105" s="113">
        <f t="shared" si="50"/>
        <v>55.649234971279995</v>
      </c>
      <c r="N105" s="113">
        <f t="shared" si="50"/>
        <v>58.526095696191916</v>
      </c>
      <c r="O105" s="113">
        <f t="shared" si="50"/>
        <v>55.430521746398021</v>
      </c>
      <c r="P105" s="113">
        <f t="shared" si="50"/>
        <v>60.169428381428531</v>
      </c>
      <c r="Q105" s="113">
        <f t="shared" si="50"/>
        <v>67.561112275778328</v>
      </c>
      <c r="R105" s="113">
        <f t="shared" si="50"/>
        <v>72.92655030048175</v>
      </c>
      <c r="S105" s="113">
        <f t="shared" si="50"/>
        <v>81.250714143972701</v>
      </c>
      <c r="T105" s="113">
        <f t="shared" si="50"/>
        <v>87.679197400583149</v>
      </c>
      <c r="U105" s="113">
        <f t="shared" si="50"/>
        <v>94.631219374720672</v>
      </c>
      <c r="V105" s="113">
        <f t="shared" si="50"/>
        <v>102.15046423535277</v>
      </c>
      <c r="W105" s="113">
        <f t="shared" si="50"/>
        <v>110.2843361540927</v>
      </c>
      <c r="X105" s="113">
        <f t="shared" si="50"/>
        <v>119.08428144162362</v>
      </c>
      <c r="Y105" s="113">
        <f t="shared" si="50"/>
        <v>128.6061389626133</v>
      </c>
      <c r="Z105" s="113">
        <f t="shared" si="50"/>
        <v>138.91052133907672</v>
      </c>
      <c r="AA105" s="113">
        <f t="shared" si="50"/>
        <v>150.06322967692688</v>
      </c>
      <c r="AB105" s="113">
        <f t="shared" si="50"/>
        <v>160.28098320720977</v>
      </c>
      <c r="AC105" s="113">
        <f t="shared" si="50"/>
        <v>175.81693805965523</v>
      </c>
      <c r="AD105" s="113">
        <f t="shared" si="50"/>
        <v>189.23878404448936</v>
      </c>
      <c r="AE105" s="113">
        <f t="shared" si="50"/>
        <v>203.71819622616766</v>
      </c>
      <c r="AF105" s="113">
        <f t="shared" si="50"/>
        <v>219.31235656775746</v>
      </c>
      <c r="AG105" s="113">
        <f t="shared" si="50"/>
        <v>236.19971854302727</v>
      </c>
      <c r="AH105" s="113">
        <f t="shared" si="50"/>
        <v>254.39523470559774</v>
      </c>
      <c r="AI105" s="113">
        <f t="shared" si="50"/>
        <v>274.03638919436736</v>
      </c>
      <c r="AJ105" s="113">
        <f t="shared" si="50"/>
        <v>295.20764932313517</v>
      </c>
      <c r="AK105" s="113">
        <f t="shared" si="50"/>
        <v>318.13764252794618</v>
      </c>
      <c r="AL105" s="113">
        <f t="shared" si="50"/>
        <v>342.86426804436667</v>
      </c>
    </row>
    <row r="106" spans="4:40">
      <c r="D106" s="7" t="s">
        <v>241</v>
      </c>
      <c r="E106" s="16" t="s">
        <v>320</v>
      </c>
      <c r="K106" s="65">
        <f>(K97+K92+K85)/Inputs!F34</f>
        <v>3.1326192000000002</v>
      </c>
      <c r="L106" s="65">
        <f>(L97+L92+L85)/Inputs!G34</f>
        <v>3.0430925134000004</v>
      </c>
      <c r="M106" s="65">
        <f>(M97+M92+M85)/Inputs!H34</f>
        <v>3.8397972130183198</v>
      </c>
      <c r="N106" s="65">
        <f t="shared" ref="N106:AL106" si="51">(N97+N92+N85)/N65</f>
        <v>8.6865096644803792</v>
      </c>
      <c r="O106" s="65">
        <f t="shared" si="51"/>
        <v>8.9206645306096934</v>
      </c>
      <c r="P106" s="65">
        <f t="shared" si="51"/>
        <v>9.6833164956479738</v>
      </c>
      <c r="Q106" s="65">
        <f t="shared" si="51"/>
        <v>12.758270455966166</v>
      </c>
      <c r="R106" s="65">
        <f t="shared" si="51"/>
        <v>13.772721438727531</v>
      </c>
      <c r="S106" s="65">
        <f t="shared" si="51"/>
        <v>18.245665531530999</v>
      </c>
      <c r="T106" s="65">
        <f t="shared" si="51"/>
        <v>19.690480788532167</v>
      </c>
      <c r="U106" s="65">
        <f t="shared" si="51"/>
        <v>21.252962483559152</v>
      </c>
      <c r="V106" s="65">
        <f t="shared" si="51"/>
        <v>22.942928726311273</v>
      </c>
      <c r="W106" s="65">
        <f t="shared" si="51"/>
        <v>24.771033704978553</v>
      </c>
      <c r="X106" s="65">
        <f t="shared" si="51"/>
        <v>26.748840087086808</v>
      </c>
      <c r="Y106" s="65">
        <f t="shared" si="51"/>
        <v>28.888897775993517</v>
      </c>
      <c r="Z106" s="65">
        <f t="shared" si="51"/>
        <v>31.204829587152698</v>
      </c>
      <c r="AA106" s="65">
        <f t="shared" si="51"/>
        <v>17.480767448586192</v>
      </c>
      <c r="AB106" s="65">
        <f t="shared" si="51"/>
        <v>18.671577840663701</v>
      </c>
      <c r="AC106" s="65">
        <f t="shared" si="51"/>
        <v>20.482188796810618</v>
      </c>
      <c r="AD106" s="65">
        <f t="shared" si="51"/>
        <v>22.046414595782473</v>
      </c>
      <c r="AE106" s="65">
        <f t="shared" si="51"/>
        <v>23.733892615879007</v>
      </c>
      <c r="AF106" s="65">
        <f t="shared" si="51"/>
        <v>25.551287029969355</v>
      </c>
      <c r="AG106" s="65">
        <f t="shared" si="51"/>
        <v>27.519395389143007</v>
      </c>
      <c r="AH106" s="65">
        <f t="shared" si="51"/>
        <v>29.639960312869764</v>
      </c>
      <c r="AI106" s="65">
        <f t="shared" si="51"/>
        <v>31.929004652049386</v>
      </c>
      <c r="AJ106" s="65">
        <f t="shared" si="51"/>
        <v>34.396372503504587</v>
      </c>
      <c r="AK106" s="65">
        <f t="shared" si="51"/>
        <v>37.068708855876906</v>
      </c>
      <c r="AL106" s="65">
        <f t="shared" si="51"/>
        <v>39.950430609948924</v>
      </c>
      <c r="AN106" s="65">
        <f>'BaU Model'!AM92-'Initiative 5 Model'!AM103</f>
        <v>59.731172790947539</v>
      </c>
    </row>
    <row r="107" spans="4:40">
      <c r="D107" s="7"/>
      <c r="E107" s="7"/>
      <c r="K107" s="65"/>
    </row>
    <row r="108" spans="4:40">
      <c r="D108" s="7" t="s">
        <v>469</v>
      </c>
      <c r="E108" s="7" t="s">
        <v>337</v>
      </c>
      <c r="K108" s="65">
        <f>K103/K26</f>
        <v>30.608800000000002</v>
      </c>
      <c r="L108" s="65">
        <f t="shared" ref="L108:AK108" si="52">L103/L26</f>
        <v>32.628418400000001</v>
      </c>
      <c r="M108" s="65">
        <f t="shared" si="52"/>
        <v>33.953639322240001</v>
      </c>
      <c r="N108" s="65">
        <f t="shared" si="52"/>
        <v>34.799792294401783</v>
      </c>
      <c r="O108" s="65">
        <f t="shared" si="52"/>
        <v>29.483436346200332</v>
      </c>
      <c r="P108" s="65">
        <f t="shared" si="52"/>
        <v>31.79369578777235</v>
      </c>
      <c r="Q108" s="65">
        <f t="shared" si="52"/>
        <v>36.843093518204981</v>
      </c>
      <c r="R108" s="65">
        <f t="shared" si="52"/>
        <v>39.700996898686775</v>
      </c>
      <c r="S108" s="65">
        <f t="shared" si="52"/>
        <v>45.39246671868564</v>
      </c>
      <c r="T108" s="65">
        <f t="shared" si="52"/>
        <v>48.890181502710895</v>
      </c>
      <c r="U108" s="65">
        <f t="shared" si="52"/>
        <v>52.6702211844703</v>
      </c>
      <c r="V108" s="65">
        <f t="shared" si="52"/>
        <v>56.756307702028721</v>
      </c>
      <c r="W108" s="65">
        <f t="shared" si="52"/>
        <v>61.174221146512124</v>
      </c>
      <c r="X108" s="65">
        <f t="shared" si="52"/>
        <v>65.951982672013585</v>
      </c>
      <c r="Y108" s="65">
        <f t="shared" si="52"/>
        <v>71.12005394187328</v>
      </c>
      <c r="Z108" s="65">
        <f t="shared" si="52"/>
        <v>76.711554624097374</v>
      </c>
      <c r="AA108" s="65">
        <f t="shared" si="52"/>
        <v>82.762499588173526</v>
      </c>
      <c r="AB108" s="65">
        <f t="shared" si="52"/>
        <v>87.457336019660019</v>
      </c>
      <c r="AC108" s="65">
        <f t="shared" si="52"/>
        <v>97.01425339443874</v>
      </c>
      <c r="AD108" s="65">
        <f t="shared" si="52"/>
        <v>103.96305380353819</v>
      </c>
      <c r="AE108" s="65">
        <f t="shared" si="52"/>
        <v>111.43435790841218</v>
      </c>
      <c r="AF108" s="65">
        <f t="shared" si="52"/>
        <v>119.44086017264866</v>
      </c>
      <c r="AG108" s="65">
        <f t="shared" si="52"/>
        <v>128.11280449428446</v>
      </c>
      <c r="AH108" s="65">
        <f t="shared" si="52"/>
        <v>137.41289830296139</v>
      </c>
      <c r="AI108" s="65">
        <f t="shared" si="52"/>
        <v>147.42200501061117</v>
      </c>
      <c r="AJ108" s="65">
        <f t="shared" si="52"/>
        <v>158.16322669334721</v>
      </c>
      <c r="AK108" s="65">
        <f t="shared" si="52"/>
        <v>169.79868081256348</v>
      </c>
      <c r="AL108" s="65">
        <f>AL103/AL26</f>
        <v>182.29417766972293</v>
      </c>
    </row>
    <row r="110" spans="4:40" ht="24" thickBot="1">
      <c r="D110" s="57" t="s">
        <v>198</v>
      </c>
    </row>
    <row r="112" spans="4:40" ht="18">
      <c r="D112" s="15" t="s">
        <v>248</v>
      </c>
    </row>
    <row r="113" spans="4:38" ht="15">
      <c r="D113" s="4" t="s">
        <v>250</v>
      </c>
      <c r="E113" s="7"/>
      <c r="M113" s="7"/>
    </row>
    <row r="114" spans="4:38">
      <c r="D114" s="3" t="s">
        <v>134</v>
      </c>
      <c r="E114" s="7"/>
      <c r="M114" s="7"/>
    </row>
    <row r="115" spans="4:38">
      <c r="D115" s="7" t="s">
        <v>299</v>
      </c>
      <c r="E115" s="16" t="s">
        <v>169</v>
      </c>
      <c r="K115" t="str">
        <f>Inputs!E73</f>
        <v>Good</v>
      </c>
      <c r="L115" t="str">
        <f>Inputs!F73</f>
        <v>Good</v>
      </c>
      <c r="M115" t="str">
        <f>Inputs!G73</f>
        <v>Good</v>
      </c>
      <c r="N115" t="str">
        <f>Inputs!H73</f>
        <v>Good</v>
      </c>
      <c r="O115" t="str">
        <f>Inputs!I73</f>
        <v>Good</v>
      </c>
      <c r="P115" t="str">
        <f>Inputs!J73</f>
        <v>Good</v>
      </c>
      <c r="Q115" t="str">
        <f>P115</f>
        <v>Good</v>
      </c>
      <c r="R115" t="str">
        <f t="shared" ref="R115:AL115" si="53">Q115</f>
        <v>Good</v>
      </c>
      <c r="S115" t="str">
        <f t="shared" si="53"/>
        <v>Good</v>
      </c>
      <c r="T115" t="str">
        <f t="shared" si="53"/>
        <v>Good</v>
      </c>
      <c r="U115" t="str">
        <f t="shared" si="53"/>
        <v>Good</v>
      </c>
      <c r="V115" t="str">
        <f t="shared" si="53"/>
        <v>Good</v>
      </c>
      <c r="W115" t="str">
        <f t="shared" si="53"/>
        <v>Good</v>
      </c>
      <c r="X115" t="str">
        <f t="shared" si="53"/>
        <v>Good</v>
      </c>
      <c r="Y115" t="str">
        <f t="shared" si="53"/>
        <v>Good</v>
      </c>
      <c r="Z115" t="str">
        <f t="shared" si="53"/>
        <v>Good</v>
      </c>
      <c r="AA115" t="str">
        <f t="shared" si="53"/>
        <v>Good</v>
      </c>
      <c r="AB115" t="str">
        <f t="shared" si="53"/>
        <v>Good</v>
      </c>
      <c r="AC115" t="str">
        <f t="shared" si="53"/>
        <v>Good</v>
      </c>
      <c r="AD115" t="str">
        <f t="shared" si="53"/>
        <v>Good</v>
      </c>
      <c r="AE115" t="str">
        <f t="shared" si="53"/>
        <v>Good</v>
      </c>
      <c r="AF115" t="str">
        <f t="shared" si="53"/>
        <v>Good</v>
      </c>
      <c r="AG115" t="str">
        <f t="shared" si="53"/>
        <v>Good</v>
      </c>
      <c r="AH115" t="str">
        <f t="shared" si="53"/>
        <v>Good</v>
      </c>
      <c r="AI115" t="str">
        <f t="shared" si="53"/>
        <v>Good</v>
      </c>
      <c r="AJ115" t="str">
        <f t="shared" si="53"/>
        <v>Good</v>
      </c>
      <c r="AK115" t="str">
        <f t="shared" si="53"/>
        <v>Good</v>
      </c>
      <c r="AL115" t="str">
        <f t="shared" si="53"/>
        <v>Good</v>
      </c>
    </row>
    <row r="116" spans="4:38">
      <c r="D116" s="7" t="s">
        <v>300</v>
      </c>
      <c r="E116" s="16" t="s">
        <v>303</v>
      </c>
      <c r="K116">
        <f>INDEX('Availability Model'!$C$4:$T$8, MATCH($K$115,'Availability Model'!$B$4:$B$8, 0), MATCH($K$10, 'Availability Model'!$C$1:$T$1, 0))</f>
        <v>1</v>
      </c>
      <c r="L116">
        <f>INDEX('Availability Model'!$C$4:$T$8, MATCH($K$115,'Availability Model'!$B$4:$B$8, 0), MATCH($K$10, 'Availability Model'!$C$1:$T$1, 0))</f>
        <v>1</v>
      </c>
      <c r="M116">
        <f>INDEX('Availability Model'!$C$4:$T$8, MATCH($K$115,'Availability Model'!$B$4:$B$8, 0), MATCH($K$10, 'Availability Model'!$C$1:$T$1, 0))</f>
        <v>1</v>
      </c>
      <c r="N116">
        <f>INDEX('Availability Model'!$C$4:$T$8, MATCH($K$115,'Availability Model'!$B$4:$B$8, 0), MATCH($K$10, 'Availability Model'!$C$1:$T$1, 0))</f>
        <v>1</v>
      </c>
      <c r="O116">
        <f>INDEX('Availability Model'!$C$4:$T$8, MATCH($K$115,'Availability Model'!$B$4:$B$8, 0), MATCH($K$10, 'Availability Model'!$C$1:$T$1, 0))</f>
        <v>1</v>
      </c>
      <c r="P116">
        <f>INDEX('Availability Model'!$C$4:$T$8, MATCH($K$115,'Availability Model'!$B$4:$B$8, 0), MATCH($K$10, 'Availability Model'!$C$1:$T$1, 0))</f>
        <v>1</v>
      </c>
      <c r="Q116">
        <f>INDEX('Availability Model'!$C$4:$T$8, MATCH($K$115,'Availability Model'!$B$4:$B$8, 0), MATCH($K$10, 'Availability Model'!$C$1:$T$1, 0))</f>
        <v>1</v>
      </c>
      <c r="R116">
        <f>INDEX('Availability Model'!$C$4:$T$8, MATCH($K$115,'Availability Model'!$B$4:$B$8, 0), MATCH($K$10, 'Availability Model'!$C$1:$T$1, 0))</f>
        <v>1</v>
      </c>
      <c r="S116">
        <f>INDEX('Availability Model'!$C$4:$T$8, MATCH($K$115,'Availability Model'!$B$4:$B$8, 0), MATCH($K$10, 'Availability Model'!$C$1:$T$1, 0))</f>
        <v>1</v>
      </c>
      <c r="T116">
        <f>INDEX('Availability Model'!$C$4:$T$8, MATCH($K$115,'Availability Model'!$B$4:$B$8, 0), MATCH($K$10, 'Availability Model'!$C$1:$T$1, 0))</f>
        <v>1</v>
      </c>
      <c r="U116">
        <f>INDEX('Availability Model'!$C$4:$T$8, MATCH($K$115,'Availability Model'!$B$4:$B$8, 0), MATCH($K$10, 'Availability Model'!$C$1:$T$1, 0))</f>
        <v>1</v>
      </c>
      <c r="V116">
        <f>INDEX('Availability Model'!$C$4:$T$8, MATCH($K$115,'Availability Model'!$B$4:$B$8, 0), MATCH($K$10, 'Availability Model'!$C$1:$T$1, 0))</f>
        <v>1</v>
      </c>
      <c r="W116">
        <f>INDEX('Availability Model'!$C$4:$T$8, MATCH($K$115,'Availability Model'!$B$4:$B$8, 0), MATCH($K$10, 'Availability Model'!$C$1:$T$1, 0))</f>
        <v>1</v>
      </c>
      <c r="X116">
        <f>INDEX('Availability Model'!$C$4:$T$8, MATCH($K$115,'Availability Model'!$B$4:$B$8, 0), MATCH($K$10, 'Availability Model'!$C$1:$T$1, 0))</f>
        <v>1</v>
      </c>
      <c r="Y116">
        <f>INDEX('Availability Model'!$C$4:$T$8, MATCH($K$115,'Availability Model'!$B$4:$B$8, 0), MATCH($K$10, 'Availability Model'!$C$1:$T$1, 0))</f>
        <v>1</v>
      </c>
      <c r="Z116">
        <f>INDEX('Availability Model'!$C$4:$T$8, MATCH($K$115,'Availability Model'!$B$4:$B$8, 0), MATCH($K$10, 'Availability Model'!$C$1:$T$1, 0))</f>
        <v>1</v>
      </c>
      <c r="AA116">
        <f>INDEX('Availability Model'!$C$4:$T$8, MATCH($K$115,'Availability Model'!$B$4:$B$8, 0), MATCH($K$10, 'Availability Model'!$C$1:$T$1, 0))</f>
        <v>1</v>
      </c>
      <c r="AB116">
        <f>INDEX('Availability Model'!$C$4:$T$8, MATCH($K$115,'Availability Model'!$B$4:$B$8, 0), MATCH($K$10, 'Availability Model'!$C$1:$T$1, 0))</f>
        <v>1</v>
      </c>
      <c r="AC116">
        <f>INDEX('Availability Model'!$C$4:$T$8, MATCH($K$115,'Availability Model'!$B$4:$B$8, 0), MATCH($K$10, 'Availability Model'!$C$1:$T$1, 0))</f>
        <v>1</v>
      </c>
      <c r="AD116">
        <f>INDEX('Availability Model'!$C$4:$T$8, MATCH($K$115,'Availability Model'!$B$4:$B$8, 0), MATCH($K$10, 'Availability Model'!$C$1:$T$1, 0))</f>
        <v>1</v>
      </c>
      <c r="AE116">
        <f>INDEX('Availability Model'!$C$4:$T$8, MATCH($K$115,'Availability Model'!$B$4:$B$8, 0), MATCH($K$10, 'Availability Model'!$C$1:$T$1, 0))</f>
        <v>1</v>
      </c>
      <c r="AF116">
        <f>INDEX('Availability Model'!$C$4:$T$8, MATCH($K$115,'Availability Model'!$B$4:$B$8, 0), MATCH($K$10, 'Availability Model'!$C$1:$T$1, 0))</f>
        <v>1</v>
      </c>
      <c r="AG116">
        <f>INDEX('Availability Model'!$C$4:$T$8, MATCH($K$115,'Availability Model'!$B$4:$B$8, 0), MATCH($K$10, 'Availability Model'!$C$1:$T$1, 0))</f>
        <v>1</v>
      </c>
      <c r="AH116">
        <f>INDEX('Availability Model'!$C$4:$T$8, MATCH($K$115,'Availability Model'!$B$4:$B$8, 0), MATCH($K$10, 'Availability Model'!$C$1:$T$1, 0))</f>
        <v>1</v>
      </c>
      <c r="AI116">
        <f>INDEX('Availability Model'!$C$4:$T$8, MATCH($K$115,'Availability Model'!$B$4:$B$8, 0), MATCH($K$10, 'Availability Model'!$C$1:$T$1, 0))</f>
        <v>1</v>
      </c>
      <c r="AJ116">
        <f>INDEX('Availability Model'!$C$4:$T$8, MATCH($K$115,'Availability Model'!$B$4:$B$8, 0), MATCH($K$10, 'Availability Model'!$C$1:$T$1, 0))</f>
        <v>1</v>
      </c>
      <c r="AK116">
        <f>INDEX('Availability Model'!$C$4:$T$8, MATCH($K$115,'Availability Model'!$B$4:$B$8, 0), MATCH($K$10, 'Availability Model'!$C$1:$T$1, 0))</f>
        <v>1</v>
      </c>
      <c r="AL116">
        <f>INDEX('Availability Model'!$C$4:$T$8, MATCH($K$115,'Availability Model'!$B$4:$B$8, 0), MATCH($K$10, 'Availability Model'!$C$1:$T$1, 0))</f>
        <v>1</v>
      </c>
    </row>
    <row r="117" spans="4:38">
      <c r="D117" s="7" t="s">
        <v>301</v>
      </c>
      <c r="E117" s="16" t="s">
        <v>106</v>
      </c>
      <c r="K117">
        <f>K116*INDEX('Availability Model'!$C$11:$T$15, MATCH($K$115,'Availability Model'!$B$11:$B$15, 0), MATCH($K$10, 'Availability Model'!$C$1:$T$1, 0))</f>
        <v>0.5</v>
      </c>
      <c r="L117">
        <f>L116*INDEX('Availability Model'!$C$11:$T$15, MATCH($K$115,'Availability Model'!$B$11:$B$15, 0), MATCH($K$10, 'Availability Model'!$C$1:$T$1, 0))</f>
        <v>0.5</v>
      </c>
      <c r="M117">
        <f>M116*INDEX('Availability Model'!$C$11:$T$15, MATCH($K$115,'Availability Model'!$B$11:$B$15, 0), MATCH($K$10, 'Availability Model'!$C$1:$T$1, 0))</f>
        <v>0.5</v>
      </c>
      <c r="N117">
        <f>N116*INDEX('Availability Model'!$C$11:$T$15, MATCH($K$115,'Availability Model'!$B$11:$B$15, 0), MATCH($K$10, 'Availability Model'!$C$1:$T$1, 0))</f>
        <v>0.5</v>
      </c>
      <c r="O117">
        <f>O116*INDEX('Availability Model'!$C$11:$T$15, MATCH($K$115,'Availability Model'!$B$11:$B$15, 0), MATCH($K$10, 'Availability Model'!$C$1:$T$1, 0))</f>
        <v>0.5</v>
      </c>
      <c r="P117">
        <f>P116*INDEX('Availability Model'!$C$11:$T$15, MATCH($K$115,'Availability Model'!$B$11:$B$15, 0), MATCH($K$10, 'Availability Model'!$C$1:$T$1, 0))</f>
        <v>0.5</v>
      </c>
      <c r="Q117">
        <f>Q116*INDEX('Availability Model'!$C$11:$T$15, MATCH($K$115,'Availability Model'!$B$11:$B$15, 0), MATCH($K$10, 'Availability Model'!$C$1:$T$1, 0))</f>
        <v>0.5</v>
      </c>
      <c r="R117">
        <f>R116*INDEX('Availability Model'!$C$11:$T$15, MATCH($K$115,'Availability Model'!$B$11:$B$15, 0), MATCH($K$10, 'Availability Model'!$C$1:$T$1, 0))</f>
        <v>0.5</v>
      </c>
      <c r="S117">
        <f>S116*INDEX('Availability Model'!$C$11:$T$15, MATCH($K$115,'Availability Model'!$B$11:$B$15, 0), MATCH($K$10, 'Availability Model'!$C$1:$T$1, 0))</f>
        <v>0.5</v>
      </c>
      <c r="T117">
        <f>T116*INDEX('Availability Model'!$C$11:$T$15, MATCH($K$115,'Availability Model'!$B$11:$B$15, 0), MATCH($K$10, 'Availability Model'!$C$1:$T$1, 0))</f>
        <v>0.5</v>
      </c>
      <c r="U117">
        <f>U116*INDEX('Availability Model'!$C$11:$T$15, MATCH($K$115,'Availability Model'!$B$11:$B$15, 0), MATCH($K$10, 'Availability Model'!$C$1:$T$1, 0))</f>
        <v>0.5</v>
      </c>
      <c r="V117">
        <f>V116*INDEX('Availability Model'!$C$11:$T$15, MATCH($K$115,'Availability Model'!$B$11:$B$15, 0), MATCH($K$10, 'Availability Model'!$C$1:$T$1, 0))</f>
        <v>0.5</v>
      </c>
      <c r="W117">
        <f>W116*INDEX('Availability Model'!$C$11:$T$15, MATCH($K$115,'Availability Model'!$B$11:$B$15, 0), MATCH($K$10, 'Availability Model'!$C$1:$T$1, 0))</f>
        <v>0.5</v>
      </c>
      <c r="X117">
        <f>X116*INDEX('Availability Model'!$C$11:$T$15, MATCH($K$115,'Availability Model'!$B$11:$B$15, 0), MATCH($K$10, 'Availability Model'!$C$1:$T$1, 0))</f>
        <v>0.5</v>
      </c>
      <c r="Y117">
        <f>Y116*INDEX('Availability Model'!$C$11:$T$15, MATCH($K$115,'Availability Model'!$B$11:$B$15, 0), MATCH($K$10, 'Availability Model'!$C$1:$T$1, 0))</f>
        <v>0.5</v>
      </c>
      <c r="Z117">
        <f>Z116*INDEX('Availability Model'!$C$11:$T$15, MATCH($K$115,'Availability Model'!$B$11:$B$15, 0), MATCH($K$10, 'Availability Model'!$C$1:$T$1, 0))</f>
        <v>0.5</v>
      </c>
      <c r="AA117">
        <f>AA116*INDEX('Availability Model'!$C$11:$T$15, MATCH($K$115,'Availability Model'!$B$11:$B$15, 0), MATCH($K$10, 'Availability Model'!$C$1:$T$1, 0))</f>
        <v>0.5</v>
      </c>
      <c r="AB117">
        <f>AB116*INDEX('Availability Model'!$C$11:$T$15, MATCH($K$115,'Availability Model'!$B$11:$B$15, 0), MATCH($K$10, 'Availability Model'!$C$1:$T$1, 0))</f>
        <v>0.5</v>
      </c>
      <c r="AC117">
        <f>AC116*INDEX('Availability Model'!$C$11:$T$15, MATCH($K$115,'Availability Model'!$B$11:$B$15, 0), MATCH($K$10, 'Availability Model'!$C$1:$T$1, 0))</f>
        <v>0.5</v>
      </c>
      <c r="AD117">
        <f>AD116*INDEX('Availability Model'!$C$11:$T$15, MATCH($K$115,'Availability Model'!$B$11:$B$15, 0), MATCH($K$10, 'Availability Model'!$C$1:$T$1, 0))</f>
        <v>0.5</v>
      </c>
      <c r="AE117">
        <f>AE116*INDEX('Availability Model'!$C$11:$T$15, MATCH($K$115,'Availability Model'!$B$11:$B$15, 0), MATCH($K$10, 'Availability Model'!$C$1:$T$1, 0))</f>
        <v>0.5</v>
      </c>
      <c r="AF117">
        <f>AF116*INDEX('Availability Model'!$C$11:$T$15, MATCH($K$115,'Availability Model'!$B$11:$B$15, 0), MATCH($K$10, 'Availability Model'!$C$1:$T$1, 0))</f>
        <v>0.5</v>
      </c>
      <c r="AG117">
        <f>AG116*INDEX('Availability Model'!$C$11:$T$15, MATCH($K$115,'Availability Model'!$B$11:$B$15, 0), MATCH($K$10, 'Availability Model'!$C$1:$T$1, 0))</f>
        <v>0.5</v>
      </c>
      <c r="AH117">
        <f>AH116*INDEX('Availability Model'!$C$11:$T$15, MATCH($K$115,'Availability Model'!$B$11:$B$15, 0), MATCH($K$10, 'Availability Model'!$C$1:$T$1, 0))</f>
        <v>0.5</v>
      </c>
      <c r="AI117">
        <f>AI116*INDEX('Availability Model'!$C$11:$T$15, MATCH($K$115,'Availability Model'!$B$11:$B$15, 0), MATCH($K$10, 'Availability Model'!$C$1:$T$1, 0))</f>
        <v>0.5</v>
      </c>
      <c r="AJ117">
        <f>AJ116*INDEX('Availability Model'!$C$11:$T$15, MATCH($K$115,'Availability Model'!$B$11:$B$15, 0), MATCH($K$10, 'Availability Model'!$C$1:$T$1, 0))</f>
        <v>0.5</v>
      </c>
      <c r="AK117">
        <f>AK116*INDEX('Availability Model'!$C$11:$T$15, MATCH($K$115,'Availability Model'!$B$11:$B$15, 0), MATCH($K$10, 'Availability Model'!$C$1:$T$1, 0))</f>
        <v>0.5</v>
      </c>
      <c r="AL117">
        <f>AL116*INDEX('Availability Model'!$C$11:$T$15, MATCH($K$115,'Availability Model'!$B$11:$B$15, 0), MATCH($K$10, 'Availability Model'!$C$1:$T$1, 0))</f>
        <v>0.5</v>
      </c>
    </row>
    <row r="118" spans="4:38">
      <c r="D118" s="7" t="s">
        <v>302</v>
      </c>
      <c r="E118" s="16" t="s">
        <v>106</v>
      </c>
      <c r="K118" s="65">
        <f t="shared" ref="K118:AL118" si="54">K22</f>
        <v>1.8129533678756478</v>
      </c>
      <c r="L118" s="65">
        <f t="shared" si="54"/>
        <v>1.9066551166747128</v>
      </c>
      <c r="M118" s="65">
        <f t="shared" si="54"/>
        <v>1.8367738032705883</v>
      </c>
      <c r="N118" s="65">
        <f t="shared" si="54"/>
        <v>1.8815339776532183</v>
      </c>
      <c r="O118" s="65">
        <f t="shared" si="54"/>
        <v>2.274116334125547</v>
      </c>
      <c r="P118" s="65">
        <f t="shared" si="54"/>
        <v>2.277607063808083</v>
      </c>
      <c r="Q118" s="65">
        <f t="shared" si="54"/>
        <v>2.0845047041176494</v>
      </c>
      <c r="R118" s="65">
        <f t="shared" si="54"/>
        <v>2.0845047041176494</v>
      </c>
      <c r="S118" s="65">
        <f t="shared" si="54"/>
        <v>1.9123332911358926</v>
      </c>
      <c r="T118" s="65">
        <f t="shared" si="54"/>
        <v>1.9148328343992786</v>
      </c>
      <c r="U118" s="65">
        <f t="shared" si="54"/>
        <v>1.9123332911358926</v>
      </c>
      <c r="V118" s="65">
        <f t="shared" si="54"/>
        <v>1.9123332911358926</v>
      </c>
      <c r="W118" s="65">
        <f t="shared" si="54"/>
        <v>1.9123332911358926</v>
      </c>
      <c r="X118" s="65">
        <f t="shared" si="54"/>
        <v>1.9148328343992786</v>
      </c>
      <c r="Y118" s="65">
        <f t="shared" si="54"/>
        <v>1.9123332911358926</v>
      </c>
      <c r="Z118" s="65">
        <f t="shared" si="54"/>
        <v>1.9123332911358926</v>
      </c>
      <c r="AA118" s="65">
        <f t="shared" si="54"/>
        <v>1.9123332911358926</v>
      </c>
      <c r="AB118" s="65">
        <f t="shared" si="54"/>
        <v>1.9148328343992786</v>
      </c>
      <c r="AC118" s="65">
        <f t="shared" si="54"/>
        <v>1.7648580665195435</v>
      </c>
      <c r="AD118" s="65">
        <f t="shared" si="54"/>
        <v>1.7648580665195435</v>
      </c>
      <c r="AE118" s="65">
        <f t="shared" si="54"/>
        <v>1.7648580665195435</v>
      </c>
      <c r="AF118" s="65">
        <f t="shared" si="54"/>
        <v>1.7682602226280411</v>
      </c>
      <c r="AG118" s="65">
        <f t="shared" si="54"/>
        <v>1.7648580665195435</v>
      </c>
      <c r="AH118" s="65">
        <f t="shared" si="54"/>
        <v>1.7648580665195435</v>
      </c>
      <c r="AI118" s="65">
        <f t="shared" si="54"/>
        <v>1.7648580665195435</v>
      </c>
      <c r="AJ118" s="65">
        <f t="shared" si="54"/>
        <v>1.7682602226280411</v>
      </c>
      <c r="AK118" s="65">
        <f t="shared" si="54"/>
        <v>1.7648580665195435</v>
      </c>
      <c r="AL118" s="65">
        <f t="shared" si="54"/>
        <v>1.7648580665195435</v>
      </c>
    </row>
    <row r="119" spans="4:38">
      <c r="D119" s="7" t="s">
        <v>304</v>
      </c>
      <c r="E119" s="16" t="s">
        <v>106</v>
      </c>
      <c r="K119">
        <f>IF((K117-K118)&gt;0, K117-K118,0)</f>
        <v>0</v>
      </c>
      <c r="L119">
        <f t="shared" ref="L119:AL119" si="55">IF((L117-L118)&gt;0, L117-L118,0)</f>
        <v>0</v>
      </c>
      <c r="M119">
        <f t="shared" si="55"/>
        <v>0</v>
      </c>
      <c r="N119">
        <f t="shared" si="55"/>
        <v>0</v>
      </c>
      <c r="O119">
        <f t="shared" si="55"/>
        <v>0</v>
      </c>
      <c r="P119">
        <f t="shared" si="55"/>
        <v>0</v>
      </c>
      <c r="Q119">
        <f t="shared" si="55"/>
        <v>0</v>
      </c>
      <c r="R119">
        <f t="shared" si="55"/>
        <v>0</v>
      </c>
      <c r="S119">
        <f t="shared" si="55"/>
        <v>0</v>
      </c>
      <c r="T119">
        <f t="shared" si="55"/>
        <v>0</v>
      </c>
      <c r="U119">
        <f t="shared" si="55"/>
        <v>0</v>
      </c>
      <c r="V119">
        <f t="shared" si="55"/>
        <v>0</v>
      </c>
      <c r="W119">
        <f t="shared" si="55"/>
        <v>0</v>
      </c>
      <c r="X119">
        <f t="shared" si="55"/>
        <v>0</v>
      </c>
      <c r="Y119">
        <f t="shared" si="55"/>
        <v>0</v>
      </c>
      <c r="Z119">
        <f t="shared" si="55"/>
        <v>0</v>
      </c>
      <c r="AA119">
        <f t="shared" si="55"/>
        <v>0</v>
      </c>
      <c r="AB119">
        <f t="shared" si="55"/>
        <v>0</v>
      </c>
      <c r="AC119">
        <f t="shared" si="55"/>
        <v>0</v>
      </c>
      <c r="AD119">
        <f t="shared" si="55"/>
        <v>0</v>
      </c>
      <c r="AE119">
        <f t="shared" si="55"/>
        <v>0</v>
      </c>
      <c r="AF119">
        <f t="shared" si="55"/>
        <v>0</v>
      </c>
      <c r="AG119">
        <f t="shared" si="55"/>
        <v>0</v>
      </c>
      <c r="AH119">
        <f t="shared" si="55"/>
        <v>0</v>
      </c>
      <c r="AI119">
        <f t="shared" si="55"/>
        <v>0</v>
      </c>
      <c r="AJ119">
        <f t="shared" si="55"/>
        <v>0</v>
      </c>
      <c r="AK119">
        <f t="shared" si="55"/>
        <v>0</v>
      </c>
      <c r="AL119">
        <f t="shared" si="55"/>
        <v>0</v>
      </c>
    </row>
    <row r="120" spans="4:38">
      <c r="D120" s="7"/>
      <c r="E120" s="7"/>
      <c r="M120" s="7"/>
    </row>
    <row r="121" spans="4:38">
      <c r="D121" s="3" t="s">
        <v>297</v>
      </c>
      <c r="M121" s="7"/>
    </row>
    <row r="122" spans="4:38">
      <c r="D122" s="7" t="s">
        <v>299</v>
      </c>
      <c r="E122" s="16" t="s">
        <v>169</v>
      </c>
      <c r="K122" t="str">
        <f>Inputs!E74</f>
        <v>Very Poor</v>
      </c>
      <c r="L122" t="str">
        <f>Inputs!F74</f>
        <v>Very Poor</v>
      </c>
      <c r="M122" t="str">
        <f>Inputs!G74</f>
        <v>Very Poor</v>
      </c>
      <c r="N122" t="str">
        <f>Inputs!H74</f>
        <v>Very Poor</v>
      </c>
      <c r="O122" t="str">
        <f>Inputs!I74</f>
        <v>Very Poor</v>
      </c>
      <c r="P122" t="str">
        <f>Inputs!J74</f>
        <v>Very Poor</v>
      </c>
      <c r="Q122" t="str">
        <f>P122</f>
        <v>Very Poor</v>
      </c>
      <c r="R122" t="str">
        <f t="shared" ref="R122:AL122" si="56">Q122</f>
        <v>Very Poor</v>
      </c>
      <c r="S122" t="str">
        <f t="shared" si="56"/>
        <v>Very Poor</v>
      </c>
      <c r="T122" t="str">
        <f t="shared" si="56"/>
        <v>Very Poor</v>
      </c>
      <c r="U122" t="str">
        <f t="shared" si="56"/>
        <v>Very Poor</v>
      </c>
      <c r="V122" t="str">
        <f t="shared" si="56"/>
        <v>Very Poor</v>
      </c>
      <c r="W122" t="str">
        <f t="shared" si="56"/>
        <v>Very Poor</v>
      </c>
      <c r="X122" t="str">
        <f t="shared" si="56"/>
        <v>Very Poor</v>
      </c>
      <c r="Y122" t="str">
        <f t="shared" si="56"/>
        <v>Very Poor</v>
      </c>
      <c r="Z122" t="str">
        <f t="shared" si="56"/>
        <v>Very Poor</v>
      </c>
      <c r="AA122" t="str">
        <f t="shared" si="56"/>
        <v>Very Poor</v>
      </c>
      <c r="AB122" t="str">
        <f t="shared" si="56"/>
        <v>Very Poor</v>
      </c>
      <c r="AC122" t="str">
        <f t="shared" si="56"/>
        <v>Very Poor</v>
      </c>
      <c r="AD122" t="str">
        <f t="shared" si="56"/>
        <v>Very Poor</v>
      </c>
      <c r="AE122" t="str">
        <f t="shared" si="56"/>
        <v>Very Poor</v>
      </c>
      <c r="AF122" t="str">
        <f t="shared" si="56"/>
        <v>Very Poor</v>
      </c>
      <c r="AG122" t="str">
        <f t="shared" si="56"/>
        <v>Very Poor</v>
      </c>
      <c r="AH122" t="str">
        <f t="shared" si="56"/>
        <v>Very Poor</v>
      </c>
      <c r="AI122" t="str">
        <f t="shared" si="56"/>
        <v>Very Poor</v>
      </c>
      <c r="AJ122" t="str">
        <f t="shared" si="56"/>
        <v>Very Poor</v>
      </c>
      <c r="AK122" t="str">
        <f t="shared" si="56"/>
        <v>Very Poor</v>
      </c>
      <c r="AL122" t="str">
        <f t="shared" si="56"/>
        <v>Very Poor</v>
      </c>
    </row>
    <row r="123" spans="4:38">
      <c r="D123" s="7" t="s">
        <v>300</v>
      </c>
      <c r="E123" s="16" t="s">
        <v>303</v>
      </c>
      <c r="K123">
        <f>INDEX('Availability Model'!$C$18:$T$22, MATCH($K$122,'Availability Model'!$B$18:$B$22, 0), MATCH($K$10, 'Availability Model'!$C$1:$T$1, 0))</f>
        <v>3</v>
      </c>
      <c r="L123">
        <f>INDEX('Availability Model'!$C$18:$T$22, MATCH($K$122,'Availability Model'!$B$18:$B$22, 0), MATCH($K$10, 'Availability Model'!$C$1:$T$1, 0))</f>
        <v>3</v>
      </c>
      <c r="M123">
        <f>INDEX('Availability Model'!$C$18:$T$22, MATCH($K$122,'Availability Model'!$B$18:$B$22, 0), MATCH($K$10, 'Availability Model'!$C$1:$T$1, 0))</f>
        <v>3</v>
      </c>
      <c r="N123">
        <f>INDEX('Availability Model'!$C$18:$T$22, MATCH($K$122,'Availability Model'!$B$18:$B$22, 0), MATCH($K$10, 'Availability Model'!$C$1:$T$1, 0))</f>
        <v>3</v>
      </c>
      <c r="O123">
        <f>INDEX('Availability Model'!$C$18:$T$22, MATCH($K$122,'Availability Model'!$B$18:$B$22, 0), MATCH($K$10, 'Availability Model'!$C$1:$T$1, 0))</f>
        <v>3</v>
      </c>
      <c r="P123">
        <f>INDEX('Availability Model'!$C$18:$T$22, MATCH($K$122,'Availability Model'!$B$18:$B$22, 0), MATCH($K$10, 'Availability Model'!$C$1:$T$1, 0))</f>
        <v>3</v>
      </c>
      <c r="Q123">
        <f>INDEX('Availability Model'!$C$18:$T$22, MATCH($K$122,'Availability Model'!$B$18:$B$22, 0), MATCH($K$10, 'Availability Model'!$C$1:$T$1, 0))</f>
        <v>3</v>
      </c>
      <c r="R123">
        <f>INDEX('Availability Model'!$C$18:$T$22, MATCH($K$122,'Availability Model'!$B$18:$B$22, 0), MATCH($K$10, 'Availability Model'!$C$1:$T$1, 0))</f>
        <v>3</v>
      </c>
      <c r="S123">
        <f>INDEX('Availability Model'!$C$18:$T$22, MATCH($K$122,'Availability Model'!$B$18:$B$22, 0), MATCH($K$10, 'Availability Model'!$C$1:$T$1, 0))</f>
        <v>3</v>
      </c>
      <c r="T123">
        <f>INDEX('Availability Model'!$C$18:$T$22, MATCH($K$122,'Availability Model'!$B$18:$B$22, 0), MATCH($K$10, 'Availability Model'!$C$1:$T$1, 0))</f>
        <v>3</v>
      </c>
      <c r="U123">
        <f>INDEX('Availability Model'!$C$18:$T$22, MATCH($K$122,'Availability Model'!$B$18:$B$22, 0), MATCH($K$10, 'Availability Model'!$C$1:$T$1, 0))</f>
        <v>3</v>
      </c>
      <c r="V123">
        <f>INDEX('Availability Model'!$C$18:$T$22, MATCH($K$122,'Availability Model'!$B$18:$B$22, 0), MATCH($K$10, 'Availability Model'!$C$1:$T$1, 0))</f>
        <v>3</v>
      </c>
      <c r="W123">
        <f>INDEX('Availability Model'!$C$18:$T$22, MATCH($K$122,'Availability Model'!$B$18:$B$22, 0), MATCH($K$10, 'Availability Model'!$C$1:$T$1, 0))</f>
        <v>3</v>
      </c>
      <c r="X123">
        <f>INDEX('Availability Model'!$C$18:$T$22, MATCH($K$122,'Availability Model'!$B$18:$B$22, 0), MATCH($K$10, 'Availability Model'!$C$1:$T$1, 0))</f>
        <v>3</v>
      </c>
      <c r="Y123">
        <f>INDEX('Availability Model'!$C$18:$T$22, MATCH($K$122,'Availability Model'!$B$18:$B$22, 0), MATCH($K$10, 'Availability Model'!$C$1:$T$1, 0))</f>
        <v>3</v>
      </c>
      <c r="Z123">
        <f>INDEX('Availability Model'!$C$18:$T$22, MATCH($K$122,'Availability Model'!$B$18:$B$22, 0), MATCH($K$10, 'Availability Model'!$C$1:$T$1, 0))</f>
        <v>3</v>
      </c>
      <c r="AA123">
        <f>INDEX('Availability Model'!$C$18:$T$22, MATCH($K$122,'Availability Model'!$B$18:$B$22, 0), MATCH($K$10, 'Availability Model'!$C$1:$T$1, 0))</f>
        <v>3</v>
      </c>
      <c r="AB123">
        <f>INDEX('Availability Model'!$C$18:$T$22, MATCH($K$122,'Availability Model'!$B$18:$B$22, 0), MATCH($K$10, 'Availability Model'!$C$1:$T$1, 0))</f>
        <v>3</v>
      </c>
      <c r="AC123">
        <f>INDEX('Availability Model'!$C$18:$T$22, MATCH($K$122,'Availability Model'!$B$18:$B$22, 0), MATCH($K$10, 'Availability Model'!$C$1:$T$1, 0))</f>
        <v>3</v>
      </c>
      <c r="AD123">
        <f>INDEX('Availability Model'!$C$18:$T$22, MATCH($K$122,'Availability Model'!$B$18:$B$22, 0), MATCH($K$10, 'Availability Model'!$C$1:$T$1, 0))</f>
        <v>3</v>
      </c>
      <c r="AE123">
        <f>INDEX('Availability Model'!$C$18:$T$22, MATCH($K$122,'Availability Model'!$B$18:$B$22, 0), MATCH($K$10, 'Availability Model'!$C$1:$T$1, 0))</f>
        <v>3</v>
      </c>
      <c r="AF123">
        <f>INDEX('Availability Model'!$C$18:$T$22, MATCH($K$122,'Availability Model'!$B$18:$B$22, 0), MATCH($K$10, 'Availability Model'!$C$1:$T$1, 0))</f>
        <v>3</v>
      </c>
      <c r="AG123">
        <f>INDEX('Availability Model'!$C$18:$T$22, MATCH($K$122,'Availability Model'!$B$18:$B$22, 0), MATCH($K$10, 'Availability Model'!$C$1:$T$1, 0))</f>
        <v>3</v>
      </c>
      <c r="AH123">
        <f>INDEX('Availability Model'!$C$18:$T$22, MATCH($K$122,'Availability Model'!$B$18:$B$22, 0), MATCH($K$10, 'Availability Model'!$C$1:$T$1, 0))</f>
        <v>3</v>
      </c>
      <c r="AI123">
        <f>INDEX('Availability Model'!$C$18:$T$22, MATCH($K$122,'Availability Model'!$B$18:$B$22, 0), MATCH($K$10, 'Availability Model'!$C$1:$T$1, 0))</f>
        <v>3</v>
      </c>
      <c r="AJ123">
        <f>INDEX('Availability Model'!$C$18:$T$22, MATCH($K$122,'Availability Model'!$B$18:$B$22, 0), MATCH($K$10, 'Availability Model'!$C$1:$T$1, 0))</f>
        <v>3</v>
      </c>
      <c r="AK123">
        <f>INDEX('Availability Model'!$C$18:$T$22, MATCH($K$122,'Availability Model'!$B$18:$B$22, 0), MATCH($K$10, 'Availability Model'!$C$1:$T$1, 0))</f>
        <v>3</v>
      </c>
      <c r="AL123">
        <f>INDEX('Availability Model'!$C$18:$T$22, MATCH($K$122,'Availability Model'!$B$18:$B$22, 0), MATCH($K$10, 'Availability Model'!$C$1:$T$1, 0))</f>
        <v>3</v>
      </c>
    </row>
    <row r="124" spans="4:38">
      <c r="D124" s="7" t="s">
        <v>301</v>
      </c>
      <c r="E124" s="16" t="s">
        <v>106</v>
      </c>
      <c r="K124">
        <f>K123*INDEX('Availability Model'!$C$25:$T$30, MATCH($K$122,'Availability Model'!$B$25:$B$30, 0), MATCH($K$10, 'Availability Model'!$C$1:$T$1, 0))</f>
        <v>9</v>
      </c>
      <c r="L124">
        <f>L123*INDEX('Availability Model'!$C$25:$T$30, MATCH($K$122,'Availability Model'!$B$25:$B$30, 0), MATCH($K$10, 'Availability Model'!$C$1:$T$1, 0))</f>
        <v>9</v>
      </c>
      <c r="M124">
        <f>M123*INDEX('Availability Model'!$C$25:$T$30, MATCH($K$122,'Availability Model'!$B$25:$B$30, 0), MATCH($K$10, 'Availability Model'!$C$1:$T$1, 0))</f>
        <v>9</v>
      </c>
      <c r="N124">
        <f>N123*INDEX('Availability Model'!$C$25:$T$30, MATCH($K$122,'Availability Model'!$B$25:$B$30, 0), MATCH($K$10, 'Availability Model'!$C$1:$T$1, 0))</f>
        <v>9</v>
      </c>
      <c r="O124">
        <f>O123*INDEX('Availability Model'!$C$25:$T$30, MATCH($K$122,'Availability Model'!$B$25:$B$30, 0), MATCH($K$10, 'Availability Model'!$C$1:$T$1, 0))</f>
        <v>9</v>
      </c>
      <c r="P124">
        <f>P123*INDEX('Availability Model'!$C$25:$T$30, MATCH($K$122,'Availability Model'!$B$25:$B$30, 0), MATCH($K$10, 'Availability Model'!$C$1:$T$1, 0))</f>
        <v>9</v>
      </c>
      <c r="Q124">
        <f>Q123*INDEX('Availability Model'!$C$25:$T$30, MATCH($K$122,'Availability Model'!$B$25:$B$30, 0), MATCH($K$10, 'Availability Model'!$C$1:$T$1, 0))</f>
        <v>9</v>
      </c>
      <c r="R124">
        <f>R123*INDEX('Availability Model'!$C$25:$T$30, MATCH($K$122,'Availability Model'!$B$25:$B$30, 0), MATCH($K$10, 'Availability Model'!$C$1:$T$1, 0))</f>
        <v>9</v>
      </c>
      <c r="S124">
        <f>S123*INDEX('Availability Model'!$C$25:$T$30, MATCH($K$122,'Availability Model'!$B$25:$B$30, 0), MATCH($K$10, 'Availability Model'!$C$1:$T$1, 0))</f>
        <v>9</v>
      </c>
      <c r="T124">
        <f>T123*INDEX('Availability Model'!$C$25:$T$30, MATCH($K$122,'Availability Model'!$B$25:$B$30, 0), MATCH($K$10, 'Availability Model'!$C$1:$T$1, 0))</f>
        <v>9</v>
      </c>
      <c r="U124">
        <f>U123*INDEX('Availability Model'!$C$25:$T$30, MATCH($K$122,'Availability Model'!$B$25:$B$30, 0), MATCH($K$10, 'Availability Model'!$C$1:$T$1, 0))</f>
        <v>9</v>
      </c>
      <c r="V124">
        <f>V123*INDEX('Availability Model'!$C$25:$T$30, MATCH($K$122,'Availability Model'!$B$25:$B$30, 0), MATCH($K$10, 'Availability Model'!$C$1:$T$1, 0))</f>
        <v>9</v>
      </c>
      <c r="W124">
        <f>W123*INDEX('Availability Model'!$C$25:$T$30, MATCH($K$122,'Availability Model'!$B$25:$B$30, 0), MATCH($K$10, 'Availability Model'!$C$1:$T$1, 0))</f>
        <v>9</v>
      </c>
      <c r="X124">
        <f>X123*INDEX('Availability Model'!$C$25:$T$30, MATCH($K$122,'Availability Model'!$B$25:$B$30, 0), MATCH($K$10, 'Availability Model'!$C$1:$T$1, 0))</f>
        <v>9</v>
      </c>
      <c r="Y124">
        <f>Y123*INDEX('Availability Model'!$C$25:$T$30, MATCH($K$122,'Availability Model'!$B$25:$B$30, 0), MATCH($K$10, 'Availability Model'!$C$1:$T$1, 0))</f>
        <v>9</v>
      </c>
      <c r="Z124">
        <f>Z123*INDEX('Availability Model'!$C$25:$T$30, MATCH($K$122,'Availability Model'!$B$25:$B$30, 0), MATCH($K$10, 'Availability Model'!$C$1:$T$1, 0))</f>
        <v>9</v>
      </c>
      <c r="AA124">
        <f>AA123*INDEX('Availability Model'!$C$25:$T$30, MATCH($K$122,'Availability Model'!$B$25:$B$30, 0), MATCH($K$10, 'Availability Model'!$C$1:$T$1, 0))</f>
        <v>9</v>
      </c>
      <c r="AB124">
        <f>AB123*INDEX('Availability Model'!$C$25:$T$30, MATCH($K$122,'Availability Model'!$B$25:$B$30, 0), MATCH($K$10, 'Availability Model'!$C$1:$T$1, 0))</f>
        <v>9</v>
      </c>
      <c r="AC124">
        <f>AC123*INDEX('Availability Model'!$C$25:$T$30, MATCH($K$122,'Availability Model'!$B$25:$B$30, 0), MATCH($K$10, 'Availability Model'!$C$1:$T$1, 0))</f>
        <v>9</v>
      </c>
      <c r="AD124">
        <f>AD123*INDEX('Availability Model'!$C$25:$T$30, MATCH($K$122,'Availability Model'!$B$25:$B$30, 0), MATCH($K$10, 'Availability Model'!$C$1:$T$1, 0))</f>
        <v>9</v>
      </c>
      <c r="AE124">
        <f>AE123*INDEX('Availability Model'!$C$25:$T$30, MATCH($K$122,'Availability Model'!$B$25:$B$30, 0), MATCH($K$10, 'Availability Model'!$C$1:$T$1, 0))</f>
        <v>9</v>
      </c>
      <c r="AF124">
        <f>AF123*INDEX('Availability Model'!$C$25:$T$30, MATCH($K$122,'Availability Model'!$B$25:$B$30, 0), MATCH($K$10, 'Availability Model'!$C$1:$T$1, 0))</f>
        <v>9</v>
      </c>
      <c r="AG124">
        <f>AG123*INDEX('Availability Model'!$C$25:$T$30, MATCH($K$122,'Availability Model'!$B$25:$B$30, 0), MATCH($K$10, 'Availability Model'!$C$1:$T$1, 0))</f>
        <v>9</v>
      </c>
      <c r="AH124">
        <f>AH123*INDEX('Availability Model'!$C$25:$T$30, MATCH($K$122,'Availability Model'!$B$25:$B$30, 0), MATCH($K$10, 'Availability Model'!$C$1:$T$1, 0))</f>
        <v>9</v>
      </c>
      <c r="AI124">
        <f>AI123*INDEX('Availability Model'!$C$25:$T$30, MATCH($K$122,'Availability Model'!$B$25:$B$30, 0), MATCH($K$10, 'Availability Model'!$C$1:$T$1, 0))</f>
        <v>9</v>
      </c>
      <c r="AJ124">
        <f>AJ123*INDEX('Availability Model'!$C$25:$T$30, MATCH($K$122,'Availability Model'!$B$25:$B$30, 0), MATCH($K$10, 'Availability Model'!$C$1:$T$1, 0))</f>
        <v>9</v>
      </c>
      <c r="AK124">
        <f>AK123*INDEX('Availability Model'!$C$25:$T$30, MATCH($K$122,'Availability Model'!$B$25:$B$30, 0), MATCH($K$10, 'Availability Model'!$C$1:$T$1, 0))</f>
        <v>9</v>
      </c>
      <c r="AL124">
        <f>AL123*INDEX('Availability Model'!$C$25:$T$30, MATCH($K$122,'Availability Model'!$B$25:$B$30, 0), MATCH($K$10, 'Availability Model'!$C$1:$T$1, 0))</f>
        <v>9</v>
      </c>
    </row>
    <row r="125" spans="4:38">
      <c r="D125" s="7" t="s">
        <v>302</v>
      </c>
      <c r="E125" s="16" t="s">
        <v>106</v>
      </c>
      <c r="K125" s="65">
        <f>K118</f>
        <v>1.8129533678756478</v>
      </c>
      <c r="L125" s="65">
        <f t="shared" ref="L125:AL125" si="57">L118</f>
        <v>1.9066551166747128</v>
      </c>
      <c r="M125" s="65">
        <f t="shared" si="57"/>
        <v>1.8367738032705883</v>
      </c>
      <c r="N125" s="65">
        <f t="shared" si="57"/>
        <v>1.8815339776532183</v>
      </c>
      <c r="O125" s="65">
        <f t="shared" si="57"/>
        <v>2.274116334125547</v>
      </c>
      <c r="P125" s="65">
        <f t="shared" si="57"/>
        <v>2.277607063808083</v>
      </c>
      <c r="Q125" s="65">
        <f t="shared" si="57"/>
        <v>2.0845047041176494</v>
      </c>
      <c r="R125" s="65">
        <f t="shared" si="57"/>
        <v>2.0845047041176494</v>
      </c>
      <c r="S125" s="65">
        <f t="shared" si="57"/>
        <v>1.9123332911358926</v>
      </c>
      <c r="T125" s="65">
        <f t="shared" si="57"/>
        <v>1.9148328343992786</v>
      </c>
      <c r="U125" s="65">
        <f t="shared" si="57"/>
        <v>1.9123332911358926</v>
      </c>
      <c r="V125" s="65">
        <f t="shared" si="57"/>
        <v>1.9123332911358926</v>
      </c>
      <c r="W125" s="65">
        <f t="shared" si="57"/>
        <v>1.9123332911358926</v>
      </c>
      <c r="X125" s="65">
        <f t="shared" si="57"/>
        <v>1.9148328343992786</v>
      </c>
      <c r="Y125" s="65">
        <f t="shared" si="57"/>
        <v>1.9123332911358926</v>
      </c>
      <c r="Z125" s="65">
        <f t="shared" si="57"/>
        <v>1.9123332911358926</v>
      </c>
      <c r="AA125" s="65">
        <f t="shared" si="57"/>
        <v>1.9123332911358926</v>
      </c>
      <c r="AB125" s="65">
        <f t="shared" si="57"/>
        <v>1.9148328343992786</v>
      </c>
      <c r="AC125" s="65">
        <f t="shared" si="57"/>
        <v>1.7648580665195435</v>
      </c>
      <c r="AD125" s="65">
        <f t="shared" si="57"/>
        <v>1.7648580665195435</v>
      </c>
      <c r="AE125" s="65">
        <f t="shared" si="57"/>
        <v>1.7648580665195435</v>
      </c>
      <c r="AF125" s="65">
        <f t="shared" si="57"/>
        <v>1.7682602226280411</v>
      </c>
      <c r="AG125" s="65">
        <f t="shared" si="57"/>
        <v>1.7648580665195435</v>
      </c>
      <c r="AH125" s="65">
        <f t="shared" si="57"/>
        <v>1.7648580665195435</v>
      </c>
      <c r="AI125" s="65">
        <f t="shared" si="57"/>
        <v>1.7648580665195435</v>
      </c>
      <c r="AJ125" s="65">
        <f t="shared" si="57"/>
        <v>1.7682602226280411</v>
      </c>
      <c r="AK125" s="65">
        <f t="shared" si="57"/>
        <v>1.7648580665195435</v>
      </c>
      <c r="AL125" s="65">
        <f t="shared" si="57"/>
        <v>1.7648580665195435</v>
      </c>
    </row>
    <row r="126" spans="4:38">
      <c r="D126" s="7" t="s">
        <v>304</v>
      </c>
      <c r="E126" s="16" t="s">
        <v>106</v>
      </c>
      <c r="K126" s="140">
        <f>ROUND(K124-K125,0)</f>
        <v>7</v>
      </c>
      <c r="L126" s="140">
        <f t="shared" ref="L126:AL126" si="58">ROUND(L124-L125,0)</f>
        <v>7</v>
      </c>
      <c r="M126" s="140">
        <f t="shared" si="58"/>
        <v>7</v>
      </c>
      <c r="N126" s="140">
        <f t="shared" si="58"/>
        <v>7</v>
      </c>
      <c r="O126" s="140">
        <f t="shared" si="58"/>
        <v>7</v>
      </c>
      <c r="P126" s="140">
        <f t="shared" si="58"/>
        <v>7</v>
      </c>
      <c r="Q126" s="140">
        <f t="shared" si="58"/>
        <v>7</v>
      </c>
      <c r="R126" s="140">
        <f t="shared" si="58"/>
        <v>7</v>
      </c>
      <c r="S126" s="140">
        <f t="shared" si="58"/>
        <v>7</v>
      </c>
      <c r="T126" s="140">
        <f t="shared" si="58"/>
        <v>7</v>
      </c>
      <c r="U126" s="140">
        <f t="shared" si="58"/>
        <v>7</v>
      </c>
      <c r="V126" s="140">
        <f t="shared" si="58"/>
        <v>7</v>
      </c>
      <c r="W126" s="140">
        <f t="shared" si="58"/>
        <v>7</v>
      </c>
      <c r="X126" s="140">
        <f t="shared" si="58"/>
        <v>7</v>
      </c>
      <c r="Y126" s="140">
        <f t="shared" si="58"/>
        <v>7</v>
      </c>
      <c r="Z126" s="140">
        <f t="shared" si="58"/>
        <v>7</v>
      </c>
      <c r="AA126" s="140">
        <f t="shared" si="58"/>
        <v>7</v>
      </c>
      <c r="AB126" s="140">
        <f t="shared" si="58"/>
        <v>7</v>
      </c>
      <c r="AC126" s="140">
        <f t="shared" si="58"/>
        <v>7</v>
      </c>
      <c r="AD126" s="140">
        <f t="shared" si="58"/>
        <v>7</v>
      </c>
      <c r="AE126" s="140">
        <f t="shared" si="58"/>
        <v>7</v>
      </c>
      <c r="AF126" s="140">
        <f t="shared" si="58"/>
        <v>7</v>
      </c>
      <c r="AG126" s="140">
        <f t="shared" si="58"/>
        <v>7</v>
      </c>
      <c r="AH126" s="140">
        <f t="shared" si="58"/>
        <v>7</v>
      </c>
      <c r="AI126" s="140">
        <f t="shared" si="58"/>
        <v>7</v>
      </c>
      <c r="AJ126" s="140">
        <f t="shared" si="58"/>
        <v>7</v>
      </c>
      <c r="AK126" s="140">
        <f t="shared" si="58"/>
        <v>7</v>
      </c>
      <c r="AL126" s="140">
        <f t="shared" si="58"/>
        <v>7</v>
      </c>
    </row>
    <row r="127" spans="4:38">
      <c r="D127" s="7"/>
      <c r="E127" s="16"/>
    </row>
    <row r="128" spans="4:38">
      <c r="D128" s="3" t="s">
        <v>298</v>
      </c>
    </row>
    <row r="129" spans="4:38">
      <c r="D129" s="7" t="s">
        <v>299</v>
      </c>
      <c r="E129" s="16" t="s">
        <v>169</v>
      </c>
      <c r="K129" t="str">
        <f>Inputs!E75</f>
        <v>Average</v>
      </c>
      <c r="L129" t="str">
        <f>Inputs!F75</f>
        <v>Average</v>
      </c>
      <c r="M129" t="str">
        <f>Inputs!G75</f>
        <v>Average</v>
      </c>
      <c r="N129" t="str">
        <f>Inputs!H75</f>
        <v>Average</v>
      </c>
      <c r="O129" t="str">
        <f>Inputs!I75</f>
        <v>Average</v>
      </c>
      <c r="P129" t="str">
        <f>Inputs!J75</f>
        <v>Average</v>
      </c>
      <c r="Q129" t="str">
        <f>P129</f>
        <v>Average</v>
      </c>
      <c r="R129" t="str">
        <f t="shared" ref="R129:AL129" si="59">Q129</f>
        <v>Average</v>
      </c>
      <c r="S129" t="str">
        <f t="shared" si="59"/>
        <v>Average</v>
      </c>
      <c r="T129" t="str">
        <f t="shared" si="59"/>
        <v>Average</v>
      </c>
      <c r="U129" t="str">
        <f t="shared" si="59"/>
        <v>Average</v>
      </c>
      <c r="V129" t="str">
        <f t="shared" si="59"/>
        <v>Average</v>
      </c>
      <c r="W129" t="str">
        <f t="shared" si="59"/>
        <v>Average</v>
      </c>
      <c r="X129" t="str">
        <f t="shared" si="59"/>
        <v>Average</v>
      </c>
      <c r="Y129" t="str">
        <f t="shared" si="59"/>
        <v>Average</v>
      </c>
      <c r="Z129" t="str">
        <f t="shared" si="59"/>
        <v>Average</v>
      </c>
      <c r="AA129" t="str">
        <f t="shared" si="59"/>
        <v>Average</v>
      </c>
      <c r="AB129" t="str">
        <f t="shared" si="59"/>
        <v>Average</v>
      </c>
      <c r="AC129" t="str">
        <f t="shared" si="59"/>
        <v>Average</v>
      </c>
      <c r="AD129" t="str">
        <f t="shared" si="59"/>
        <v>Average</v>
      </c>
      <c r="AE129" t="str">
        <f t="shared" si="59"/>
        <v>Average</v>
      </c>
      <c r="AF129" t="str">
        <f t="shared" si="59"/>
        <v>Average</v>
      </c>
      <c r="AG129" t="str">
        <f t="shared" si="59"/>
        <v>Average</v>
      </c>
      <c r="AH129" t="str">
        <f t="shared" si="59"/>
        <v>Average</v>
      </c>
      <c r="AI129" t="str">
        <f t="shared" si="59"/>
        <v>Average</v>
      </c>
      <c r="AJ129" t="str">
        <f t="shared" si="59"/>
        <v>Average</v>
      </c>
      <c r="AK129" t="str">
        <f t="shared" si="59"/>
        <v>Average</v>
      </c>
      <c r="AL129" t="str">
        <f t="shared" si="59"/>
        <v>Average</v>
      </c>
    </row>
    <row r="130" spans="4:38">
      <c r="D130" s="7" t="s">
        <v>300</v>
      </c>
      <c r="E130" s="16" t="s">
        <v>303</v>
      </c>
      <c r="K130">
        <f>INDEX('Availability Model'!$C$32:$T$36, MATCH($K$129,'Availability Model'!$B$32:$B$36, 0), MATCH($K$10, 'Availability Model'!$C$1:$T$1, 0))</f>
        <v>2</v>
      </c>
      <c r="L130">
        <f>INDEX('Availability Model'!$C$32:$T$36, MATCH($K$129,'Availability Model'!$B$32:$B$36, 0), MATCH($K$10, 'Availability Model'!$C$1:$T$1, 0))</f>
        <v>2</v>
      </c>
      <c r="M130">
        <f>INDEX('Availability Model'!$C$32:$T$36, MATCH($K$129,'Availability Model'!$B$32:$B$36, 0), MATCH($K$10, 'Availability Model'!$C$1:$T$1, 0))</f>
        <v>2</v>
      </c>
      <c r="N130">
        <f>INDEX('Availability Model'!$C$32:$T$36, MATCH($K$129,'Availability Model'!$B$32:$B$36, 0), MATCH($K$10, 'Availability Model'!$C$1:$T$1, 0))</f>
        <v>2</v>
      </c>
      <c r="O130">
        <f>INDEX('Availability Model'!$C$32:$T$36, MATCH($K$129,'Availability Model'!$B$32:$B$36, 0), MATCH($K$10, 'Availability Model'!$C$1:$T$1, 0))</f>
        <v>2</v>
      </c>
      <c r="P130">
        <f>INDEX('Availability Model'!$C$32:$T$36, MATCH($K$129,'Availability Model'!$B$32:$B$36, 0), MATCH($K$10, 'Availability Model'!$C$1:$T$1, 0))</f>
        <v>2</v>
      </c>
      <c r="Q130">
        <f>INDEX('Availability Model'!$C$32:$T$36, MATCH($K$129,'Availability Model'!$B$32:$B$36, 0), MATCH($K$10, 'Availability Model'!$C$1:$T$1, 0))</f>
        <v>2</v>
      </c>
      <c r="R130">
        <f>INDEX('Availability Model'!$C$32:$T$36, MATCH($K$129,'Availability Model'!$B$32:$B$36, 0), MATCH($K$10, 'Availability Model'!$C$1:$T$1, 0))</f>
        <v>2</v>
      </c>
      <c r="S130">
        <f>INDEX('Availability Model'!$C$32:$T$36, MATCH($K$129,'Availability Model'!$B$32:$B$36, 0), MATCH($K$10, 'Availability Model'!$C$1:$T$1, 0))</f>
        <v>2</v>
      </c>
      <c r="T130">
        <f>INDEX('Availability Model'!$C$32:$T$36, MATCH($K$129,'Availability Model'!$B$32:$B$36, 0), MATCH($K$10, 'Availability Model'!$C$1:$T$1, 0))</f>
        <v>2</v>
      </c>
      <c r="U130">
        <f>INDEX('Availability Model'!$C$32:$T$36, MATCH($K$129,'Availability Model'!$B$32:$B$36, 0), MATCH($K$10, 'Availability Model'!$C$1:$T$1, 0))</f>
        <v>2</v>
      </c>
      <c r="V130">
        <f>INDEX('Availability Model'!$C$32:$T$36, MATCH($K$129,'Availability Model'!$B$32:$B$36, 0), MATCH($K$10, 'Availability Model'!$C$1:$T$1, 0))</f>
        <v>2</v>
      </c>
      <c r="W130">
        <f>INDEX('Availability Model'!$C$32:$T$36, MATCH($K$129,'Availability Model'!$B$32:$B$36, 0), MATCH($K$10, 'Availability Model'!$C$1:$T$1, 0))</f>
        <v>2</v>
      </c>
      <c r="X130">
        <f>INDEX('Availability Model'!$C$32:$T$36, MATCH($K$129,'Availability Model'!$B$32:$B$36, 0), MATCH($K$10, 'Availability Model'!$C$1:$T$1, 0))</f>
        <v>2</v>
      </c>
      <c r="Y130">
        <f>INDEX('Availability Model'!$C$32:$T$36, MATCH($K$129,'Availability Model'!$B$32:$B$36, 0), MATCH($K$10, 'Availability Model'!$C$1:$T$1, 0))</f>
        <v>2</v>
      </c>
      <c r="Z130">
        <f>INDEX('Availability Model'!$C$32:$T$36, MATCH($K$129,'Availability Model'!$B$32:$B$36, 0), MATCH($K$10, 'Availability Model'!$C$1:$T$1, 0))</f>
        <v>2</v>
      </c>
      <c r="AA130">
        <f>INDEX('Availability Model'!$C$32:$T$36, MATCH($K$129,'Availability Model'!$B$32:$B$36, 0), MATCH($K$10, 'Availability Model'!$C$1:$T$1, 0))</f>
        <v>2</v>
      </c>
      <c r="AB130">
        <f>INDEX('Availability Model'!$C$32:$T$36, MATCH($K$129,'Availability Model'!$B$32:$B$36, 0), MATCH($K$10, 'Availability Model'!$C$1:$T$1, 0))</f>
        <v>2</v>
      </c>
      <c r="AC130">
        <f>INDEX('Availability Model'!$C$32:$T$36, MATCH($K$129,'Availability Model'!$B$32:$B$36, 0), MATCH($K$10, 'Availability Model'!$C$1:$T$1, 0))</f>
        <v>2</v>
      </c>
      <c r="AD130">
        <f>INDEX('Availability Model'!$C$32:$T$36, MATCH($K$129,'Availability Model'!$B$32:$B$36, 0), MATCH($K$10, 'Availability Model'!$C$1:$T$1, 0))</f>
        <v>2</v>
      </c>
      <c r="AE130">
        <f>INDEX('Availability Model'!$C$32:$T$36, MATCH($K$129,'Availability Model'!$B$32:$B$36, 0), MATCH($K$10, 'Availability Model'!$C$1:$T$1, 0))</f>
        <v>2</v>
      </c>
      <c r="AF130">
        <f>INDEX('Availability Model'!$C$32:$T$36, MATCH($K$129,'Availability Model'!$B$32:$B$36, 0), MATCH($K$10, 'Availability Model'!$C$1:$T$1, 0))</f>
        <v>2</v>
      </c>
      <c r="AG130">
        <f>INDEX('Availability Model'!$C$32:$T$36, MATCH($K$129,'Availability Model'!$B$32:$B$36, 0), MATCH($K$10, 'Availability Model'!$C$1:$T$1, 0))</f>
        <v>2</v>
      </c>
      <c r="AH130">
        <f>INDEX('Availability Model'!$C$32:$T$36, MATCH($K$129,'Availability Model'!$B$32:$B$36, 0), MATCH($K$10, 'Availability Model'!$C$1:$T$1, 0))</f>
        <v>2</v>
      </c>
      <c r="AI130">
        <f>INDEX('Availability Model'!$C$32:$T$36, MATCH($K$129,'Availability Model'!$B$32:$B$36, 0), MATCH($K$10, 'Availability Model'!$C$1:$T$1, 0))</f>
        <v>2</v>
      </c>
      <c r="AJ130">
        <f>INDEX('Availability Model'!$C$32:$T$36, MATCH($K$129,'Availability Model'!$B$32:$B$36, 0), MATCH($K$10, 'Availability Model'!$C$1:$T$1, 0))</f>
        <v>2</v>
      </c>
      <c r="AK130">
        <f>INDEX('Availability Model'!$C$32:$T$36, MATCH($K$129,'Availability Model'!$B$32:$B$36, 0), MATCH($K$10, 'Availability Model'!$C$1:$T$1, 0))</f>
        <v>2</v>
      </c>
      <c r="AL130">
        <f>INDEX('Availability Model'!$C$32:$T$36, MATCH($K$129,'Availability Model'!$B$32:$B$36, 0), MATCH($K$10, 'Availability Model'!$C$1:$T$1, 0))</f>
        <v>2</v>
      </c>
    </row>
    <row r="131" spans="4:38">
      <c r="D131" s="7" t="s">
        <v>301</v>
      </c>
      <c r="E131" s="16" t="s">
        <v>106</v>
      </c>
      <c r="K131">
        <f>K130*INDEX('Availability Model'!$C$39:$T$43, MATCH($K$129,'Availability Model'!$B$39:$B$43, 0), MATCH($K$10, 'Availability Model'!$C$1:$T$1, 0))</f>
        <v>6</v>
      </c>
      <c r="L131">
        <f>L130*INDEX('Availability Model'!$C$39:$T$43, MATCH($K$129,'Availability Model'!$B$39:$B$43, 0), MATCH($K$10, 'Availability Model'!$C$1:$T$1, 0))</f>
        <v>6</v>
      </c>
      <c r="M131">
        <f>M130*INDEX('Availability Model'!$C$39:$T$43, MATCH($K$129,'Availability Model'!$B$39:$B$43, 0), MATCH($K$10, 'Availability Model'!$C$1:$T$1, 0))</f>
        <v>6</v>
      </c>
      <c r="N131">
        <f>N130*INDEX('Availability Model'!$C$39:$T$43, MATCH($K$129,'Availability Model'!$B$39:$B$43, 0), MATCH($K$10, 'Availability Model'!$C$1:$T$1, 0))</f>
        <v>6</v>
      </c>
      <c r="O131">
        <f>O130*INDEX('Availability Model'!$C$39:$T$43, MATCH($K$129,'Availability Model'!$B$39:$B$43, 0), MATCH($K$10, 'Availability Model'!$C$1:$T$1, 0))</f>
        <v>6</v>
      </c>
      <c r="P131">
        <f>P130*INDEX('Availability Model'!$C$39:$T$43, MATCH($K$129,'Availability Model'!$B$39:$B$43, 0), MATCH($K$10, 'Availability Model'!$C$1:$T$1, 0))</f>
        <v>6</v>
      </c>
      <c r="Q131">
        <f>Q130*INDEX('Availability Model'!$C$39:$T$43, MATCH($K$129,'Availability Model'!$B$39:$B$43, 0), MATCH($K$10, 'Availability Model'!$C$1:$T$1, 0))</f>
        <v>6</v>
      </c>
      <c r="R131">
        <f>R130*INDEX('Availability Model'!$C$39:$T$43, MATCH($K$129,'Availability Model'!$B$39:$B$43, 0), MATCH($K$10, 'Availability Model'!$C$1:$T$1, 0))</f>
        <v>6</v>
      </c>
      <c r="S131">
        <f>S130*INDEX('Availability Model'!$C$39:$T$43, MATCH($K$129,'Availability Model'!$B$39:$B$43, 0), MATCH($K$10, 'Availability Model'!$C$1:$T$1, 0))</f>
        <v>6</v>
      </c>
      <c r="T131">
        <f>T130*INDEX('Availability Model'!$C$39:$T$43, MATCH($K$129,'Availability Model'!$B$39:$B$43, 0), MATCH($K$10, 'Availability Model'!$C$1:$T$1, 0))</f>
        <v>6</v>
      </c>
      <c r="U131">
        <f>U130*INDEX('Availability Model'!$C$39:$T$43, MATCH($K$129,'Availability Model'!$B$39:$B$43, 0), MATCH($K$10, 'Availability Model'!$C$1:$T$1, 0))</f>
        <v>6</v>
      </c>
      <c r="V131">
        <f>V130*INDEX('Availability Model'!$C$39:$T$43, MATCH($K$129,'Availability Model'!$B$39:$B$43, 0), MATCH($K$10, 'Availability Model'!$C$1:$T$1, 0))</f>
        <v>6</v>
      </c>
      <c r="W131">
        <f>W130*INDEX('Availability Model'!$C$39:$T$43, MATCH($K$129,'Availability Model'!$B$39:$B$43, 0), MATCH($K$10, 'Availability Model'!$C$1:$T$1, 0))</f>
        <v>6</v>
      </c>
      <c r="X131">
        <f>X130*INDEX('Availability Model'!$C$39:$T$43, MATCH($K$129,'Availability Model'!$B$39:$B$43, 0), MATCH($K$10, 'Availability Model'!$C$1:$T$1, 0))</f>
        <v>6</v>
      </c>
      <c r="Y131">
        <f>Y130*INDEX('Availability Model'!$C$39:$T$43, MATCH($K$129,'Availability Model'!$B$39:$B$43, 0), MATCH($K$10, 'Availability Model'!$C$1:$T$1, 0))</f>
        <v>6</v>
      </c>
      <c r="Z131">
        <f>Z130*INDEX('Availability Model'!$C$39:$T$43, MATCH($K$129,'Availability Model'!$B$39:$B$43, 0), MATCH($K$10, 'Availability Model'!$C$1:$T$1, 0))</f>
        <v>6</v>
      </c>
      <c r="AA131">
        <f>AA130*INDEX('Availability Model'!$C$39:$T$43, MATCH($K$129,'Availability Model'!$B$39:$B$43, 0), MATCH($K$10, 'Availability Model'!$C$1:$T$1, 0))</f>
        <v>6</v>
      </c>
      <c r="AB131">
        <f>AB130*INDEX('Availability Model'!$C$39:$T$43, MATCH($K$129,'Availability Model'!$B$39:$B$43, 0), MATCH($K$10, 'Availability Model'!$C$1:$T$1, 0))</f>
        <v>6</v>
      </c>
      <c r="AC131">
        <f>AC130*INDEX('Availability Model'!$C$39:$T$43, MATCH($K$129,'Availability Model'!$B$39:$B$43, 0), MATCH($K$10, 'Availability Model'!$C$1:$T$1, 0))</f>
        <v>6</v>
      </c>
      <c r="AD131">
        <f>AD130*INDEX('Availability Model'!$C$39:$T$43, MATCH($K$129,'Availability Model'!$B$39:$B$43, 0), MATCH($K$10, 'Availability Model'!$C$1:$T$1, 0))</f>
        <v>6</v>
      </c>
      <c r="AE131">
        <f>AE130*INDEX('Availability Model'!$C$39:$T$43, MATCH($K$129,'Availability Model'!$B$39:$B$43, 0), MATCH($K$10, 'Availability Model'!$C$1:$T$1, 0))</f>
        <v>6</v>
      </c>
      <c r="AF131">
        <f>AF130*INDEX('Availability Model'!$C$39:$T$43, MATCH($K$129,'Availability Model'!$B$39:$B$43, 0), MATCH($K$10, 'Availability Model'!$C$1:$T$1, 0))</f>
        <v>6</v>
      </c>
      <c r="AG131">
        <f>AG130*INDEX('Availability Model'!$C$39:$T$43, MATCH($K$129,'Availability Model'!$B$39:$B$43, 0), MATCH($K$10, 'Availability Model'!$C$1:$T$1, 0))</f>
        <v>6</v>
      </c>
      <c r="AH131">
        <f>AH130*INDEX('Availability Model'!$C$39:$T$43, MATCH($K$129,'Availability Model'!$B$39:$B$43, 0), MATCH($K$10, 'Availability Model'!$C$1:$T$1, 0))</f>
        <v>6</v>
      </c>
      <c r="AI131">
        <f>AI130*INDEX('Availability Model'!$C$39:$T$43, MATCH($K$129,'Availability Model'!$B$39:$B$43, 0), MATCH($K$10, 'Availability Model'!$C$1:$T$1, 0))</f>
        <v>6</v>
      </c>
      <c r="AJ131">
        <f>AJ130*INDEX('Availability Model'!$C$39:$T$43, MATCH($K$129,'Availability Model'!$B$39:$B$43, 0), MATCH($K$10, 'Availability Model'!$C$1:$T$1, 0))</f>
        <v>6</v>
      </c>
      <c r="AK131">
        <f>AK130*INDEX('Availability Model'!$C$39:$T$43, MATCH($K$129,'Availability Model'!$B$39:$B$43, 0), MATCH($K$10, 'Availability Model'!$C$1:$T$1, 0))</f>
        <v>6</v>
      </c>
      <c r="AL131">
        <f>AL130*INDEX('Availability Model'!$C$39:$T$43, MATCH($K$129,'Availability Model'!$B$39:$B$43, 0), MATCH($K$10, 'Availability Model'!$C$1:$T$1, 0))</f>
        <v>6</v>
      </c>
    </row>
    <row r="132" spans="4:38">
      <c r="D132" s="7" t="s">
        <v>302</v>
      </c>
      <c r="E132" s="16" t="s">
        <v>106</v>
      </c>
      <c r="K132" s="65">
        <f>K125</f>
        <v>1.8129533678756478</v>
      </c>
      <c r="L132" s="65">
        <f t="shared" ref="L132:AL132" si="60">L125</f>
        <v>1.9066551166747128</v>
      </c>
      <c r="M132" s="65">
        <f t="shared" si="60"/>
        <v>1.8367738032705883</v>
      </c>
      <c r="N132" s="65">
        <f t="shared" si="60"/>
        <v>1.8815339776532183</v>
      </c>
      <c r="O132" s="65">
        <f t="shared" si="60"/>
        <v>2.274116334125547</v>
      </c>
      <c r="P132" s="65">
        <f t="shared" si="60"/>
        <v>2.277607063808083</v>
      </c>
      <c r="Q132" s="65">
        <f t="shared" si="60"/>
        <v>2.0845047041176494</v>
      </c>
      <c r="R132" s="65">
        <f t="shared" si="60"/>
        <v>2.0845047041176494</v>
      </c>
      <c r="S132" s="65">
        <f t="shared" si="60"/>
        <v>1.9123332911358926</v>
      </c>
      <c r="T132" s="65">
        <f t="shared" si="60"/>
        <v>1.9148328343992786</v>
      </c>
      <c r="U132" s="65">
        <f t="shared" si="60"/>
        <v>1.9123332911358926</v>
      </c>
      <c r="V132" s="65">
        <f t="shared" si="60"/>
        <v>1.9123332911358926</v>
      </c>
      <c r="W132" s="65">
        <f t="shared" si="60"/>
        <v>1.9123332911358926</v>
      </c>
      <c r="X132" s="65">
        <f t="shared" si="60"/>
        <v>1.9148328343992786</v>
      </c>
      <c r="Y132" s="65">
        <f t="shared" si="60"/>
        <v>1.9123332911358926</v>
      </c>
      <c r="Z132" s="65">
        <f t="shared" si="60"/>
        <v>1.9123332911358926</v>
      </c>
      <c r="AA132" s="65">
        <f t="shared" si="60"/>
        <v>1.9123332911358926</v>
      </c>
      <c r="AB132" s="65">
        <f t="shared" si="60"/>
        <v>1.9148328343992786</v>
      </c>
      <c r="AC132" s="65">
        <f t="shared" si="60"/>
        <v>1.7648580665195435</v>
      </c>
      <c r="AD132" s="65">
        <f t="shared" si="60"/>
        <v>1.7648580665195435</v>
      </c>
      <c r="AE132" s="65">
        <f t="shared" si="60"/>
        <v>1.7648580665195435</v>
      </c>
      <c r="AF132" s="65">
        <f t="shared" si="60"/>
        <v>1.7682602226280411</v>
      </c>
      <c r="AG132" s="65">
        <f t="shared" si="60"/>
        <v>1.7648580665195435</v>
      </c>
      <c r="AH132" s="65">
        <f t="shared" si="60"/>
        <v>1.7648580665195435</v>
      </c>
      <c r="AI132" s="65">
        <f t="shared" si="60"/>
        <v>1.7648580665195435</v>
      </c>
      <c r="AJ132" s="65">
        <f t="shared" si="60"/>
        <v>1.7682602226280411</v>
      </c>
      <c r="AK132" s="65">
        <f t="shared" si="60"/>
        <v>1.7648580665195435</v>
      </c>
      <c r="AL132" s="65">
        <f t="shared" si="60"/>
        <v>1.7648580665195435</v>
      </c>
    </row>
    <row r="133" spans="4:38">
      <c r="D133" s="7" t="s">
        <v>304</v>
      </c>
      <c r="E133" s="16" t="s">
        <v>106</v>
      </c>
      <c r="K133" s="140">
        <f>ROUND(K131-K132,0)</f>
        <v>4</v>
      </c>
      <c r="L133" s="140">
        <f t="shared" ref="L133:AL133" si="61">ROUND(L131-L132,0)</f>
        <v>4</v>
      </c>
      <c r="M133" s="140">
        <f t="shared" si="61"/>
        <v>4</v>
      </c>
      <c r="N133" s="140">
        <f t="shared" si="61"/>
        <v>4</v>
      </c>
      <c r="O133" s="140">
        <f t="shared" si="61"/>
        <v>4</v>
      </c>
      <c r="P133" s="140">
        <f t="shared" si="61"/>
        <v>4</v>
      </c>
      <c r="Q133" s="140">
        <f t="shared" si="61"/>
        <v>4</v>
      </c>
      <c r="R133" s="140">
        <f t="shared" si="61"/>
        <v>4</v>
      </c>
      <c r="S133" s="140">
        <f t="shared" si="61"/>
        <v>4</v>
      </c>
      <c r="T133" s="140">
        <f t="shared" si="61"/>
        <v>4</v>
      </c>
      <c r="U133" s="140">
        <f t="shared" si="61"/>
        <v>4</v>
      </c>
      <c r="V133" s="140">
        <f t="shared" si="61"/>
        <v>4</v>
      </c>
      <c r="W133" s="140">
        <f t="shared" si="61"/>
        <v>4</v>
      </c>
      <c r="X133" s="140">
        <f t="shared" si="61"/>
        <v>4</v>
      </c>
      <c r="Y133" s="140">
        <f t="shared" si="61"/>
        <v>4</v>
      </c>
      <c r="Z133" s="140">
        <f t="shared" si="61"/>
        <v>4</v>
      </c>
      <c r="AA133" s="140">
        <f t="shared" si="61"/>
        <v>4</v>
      </c>
      <c r="AB133" s="140">
        <f t="shared" si="61"/>
        <v>4</v>
      </c>
      <c r="AC133" s="140">
        <f t="shared" si="61"/>
        <v>4</v>
      </c>
      <c r="AD133" s="140">
        <f t="shared" si="61"/>
        <v>4</v>
      </c>
      <c r="AE133" s="140">
        <f t="shared" si="61"/>
        <v>4</v>
      </c>
      <c r="AF133" s="140">
        <f t="shared" si="61"/>
        <v>4</v>
      </c>
      <c r="AG133" s="140">
        <f t="shared" si="61"/>
        <v>4</v>
      </c>
      <c r="AH133" s="140">
        <f t="shared" si="61"/>
        <v>4</v>
      </c>
      <c r="AI133" s="140">
        <f t="shared" si="61"/>
        <v>4</v>
      </c>
      <c r="AJ133" s="140">
        <f t="shared" si="61"/>
        <v>4</v>
      </c>
      <c r="AK133" s="140">
        <f t="shared" si="61"/>
        <v>4</v>
      </c>
      <c r="AL133" s="140">
        <f t="shared" si="61"/>
        <v>4</v>
      </c>
    </row>
    <row r="134" spans="4:38">
      <c r="D134" s="7"/>
      <c r="W134"/>
      <c r="AB134"/>
    </row>
    <row r="135" spans="4:38">
      <c r="D135" s="3" t="s">
        <v>309</v>
      </c>
      <c r="E135" s="16" t="s">
        <v>106</v>
      </c>
      <c r="K135">
        <f>K119+K126+K133</f>
        <v>11</v>
      </c>
      <c r="L135">
        <f t="shared" ref="L135:AL135" si="62">L119+L126+L133</f>
        <v>11</v>
      </c>
      <c r="M135">
        <f t="shared" si="62"/>
        <v>11</v>
      </c>
      <c r="N135">
        <f t="shared" si="62"/>
        <v>11</v>
      </c>
      <c r="O135">
        <f t="shared" si="62"/>
        <v>11</v>
      </c>
      <c r="P135">
        <f t="shared" si="62"/>
        <v>11</v>
      </c>
      <c r="Q135">
        <f t="shared" si="62"/>
        <v>11</v>
      </c>
      <c r="R135">
        <f t="shared" si="62"/>
        <v>11</v>
      </c>
      <c r="S135">
        <f t="shared" si="62"/>
        <v>11</v>
      </c>
      <c r="T135">
        <f t="shared" si="62"/>
        <v>11</v>
      </c>
      <c r="U135">
        <f t="shared" si="62"/>
        <v>11</v>
      </c>
      <c r="V135">
        <f t="shared" si="62"/>
        <v>11</v>
      </c>
      <c r="W135">
        <f t="shared" si="62"/>
        <v>11</v>
      </c>
      <c r="X135">
        <f t="shared" si="62"/>
        <v>11</v>
      </c>
      <c r="Y135">
        <f t="shared" si="62"/>
        <v>11</v>
      </c>
      <c r="Z135">
        <f t="shared" si="62"/>
        <v>11</v>
      </c>
      <c r="AA135">
        <f t="shared" si="62"/>
        <v>11</v>
      </c>
      <c r="AB135">
        <f t="shared" si="62"/>
        <v>11</v>
      </c>
      <c r="AC135">
        <f t="shared" si="62"/>
        <v>11</v>
      </c>
      <c r="AD135">
        <f t="shared" si="62"/>
        <v>11</v>
      </c>
      <c r="AE135">
        <f t="shared" si="62"/>
        <v>11</v>
      </c>
      <c r="AF135">
        <f t="shared" si="62"/>
        <v>11</v>
      </c>
      <c r="AG135">
        <f t="shared" si="62"/>
        <v>11</v>
      </c>
      <c r="AH135">
        <f t="shared" si="62"/>
        <v>11</v>
      </c>
      <c r="AI135">
        <f t="shared" si="62"/>
        <v>11</v>
      </c>
      <c r="AJ135">
        <f t="shared" si="62"/>
        <v>11</v>
      </c>
      <c r="AK135">
        <f t="shared" si="62"/>
        <v>11</v>
      </c>
      <c r="AL135">
        <f t="shared" si="62"/>
        <v>11</v>
      </c>
    </row>
    <row r="136" spans="4:38" ht="15">
      <c r="D136" s="4"/>
    </row>
    <row r="137" spans="4:38" ht="15">
      <c r="D137" s="4" t="s">
        <v>137</v>
      </c>
    </row>
    <row r="138" spans="4:38">
      <c r="D138" s="7" t="s">
        <v>299</v>
      </c>
      <c r="E138" s="16" t="s">
        <v>169</v>
      </c>
      <c r="K138" t="str">
        <f>Inputs!E76</f>
        <v>Average</v>
      </c>
      <c r="L138" t="str">
        <f>Inputs!F76</f>
        <v>Average</v>
      </c>
      <c r="M138" t="str">
        <f>Inputs!G76</f>
        <v>Average</v>
      </c>
      <c r="N138" t="str">
        <f>Inputs!H76</f>
        <v>Average</v>
      </c>
      <c r="O138" t="str">
        <f>Inputs!I76</f>
        <v>Average</v>
      </c>
      <c r="P138" t="str">
        <f>Inputs!J76</f>
        <v>Average</v>
      </c>
      <c r="Q138" t="str">
        <f>P138</f>
        <v>Average</v>
      </c>
      <c r="R138" t="str">
        <f t="shared" ref="R138:AL138" si="63">Q138</f>
        <v>Average</v>
      </c>
      <c r="S138" t="str">
        <f t="shared" si="63"/>
        <v>Average</v>
      </c>
      <c r="T138" t="str">
        <f t="shared" si="63"/>
        <v>Average</v>
      </c>
      <c r="U138" t="str">
        <f t="shared" si="63"/>
        <v>Average</v>
      </c>
      <c r="V138" t="str">
        <f t="shared" si="63"/>
        <v>Average</v>
      </c>
      <c r="W138" t="str">
        <f t="shared" si="63"/>
        <v>Average</v>
      </c>
      <c r="X138" t="str">
        <f t="shared" si="63"/>
        <v>Average</v>
      </c>
      <c r="Y138" t="str">
        <f t="shared" si="63"/>
        <v>Average</v>
      </c>
      <c r="Z138" t="str">
        <f t="shared" si="63"/>
        <v>Average</v>
      </c>
      <c r="AA138" t="str">
        <f t="shared" si="63"/>
        <v>Average</v>
      </c>
      <c r="AB138" t="str">
        <f t="shared" si="63"/>
        <v>Average</v>
      </c>
      <c r="AC138" t="str">
        <f t="shared" si="63"/>
        <v>Average</v>
      </c>
      <c r="AD138" t="str">
        <f t="shared" si="63"/>
        <v>Average</v>
      </c>
      <c r="AE138" t="str">
        <f t="shared" si="63"/>
        <v>Average</v>
      </c>
      <c r="AF138" t="str">
        <f t="shared" si="63"/>
        <v>Average</v>
      </c>
      <c r="AG138" t="str">
        <f t="shared" si="63"/>
        <v>Average</v>
      </c>
      <c r="AH138" t="str">
        <f t="shared" si="63"/>
        <v>Average</v>
      </c>
      <c r="AI138" t="str">
        <f t="shared" si="63"/>
        <v>Average</v>
      </c>
      <c r="AJ138" t="str">
        <f t="shared" si="63"/>
        <v>Average</v>
      </c>
      <c r="AK138" t="str">
        <f t="shared" si="63"/>
        <v>Average</v>
      </c>
      <c r="AL138" t="str">
        <f t="shared" si="63"/>
        <v>Average</v>
      </c>
    </row>
    <row r="139" spans="4:38">
      <c r="D139" s="7" t="s">
        <v>300</v>
      </c>
      <c r="E139" s="16" t="s">
        <v>303</v>
      </c>
      <c r="K139">
        <f>INDEX('Availability Model'!$C$46:$T$50, MATCH($K$138,'Availability Model'!$B$46:$B$50, 0), MATCH($K$10, 'Availability Model'!$C$1:$T$1, 0))</f>
        <v>2</v>
      </c>
      <c r="L139">
        <f>INDEX('Availability Model'!$C$46:$T$50, MATCH($K$138,'Availability Model'!$B$46:$B$50, 0), MATCH($K$10, 'Availability Model'!$C$1:$T$1, 0))</f>
        <v>2</v>
      </c>
      <c r="M139">
        <f>INDEX('Availability Model'!$C$46:$T$50, MATCH($K$138,'Availability Model'!$B$46:$B$50, 0), MATCH($K$10, 'Availability Model'!$C$1:$T$1, 0))</f>
        <v>2</v>
      </c>
      <c r="N139">
        <f>INDEX('Availability Model'!$C$46:$T$50, MATCH($K$138,'Availability Model'!$B$46:$B$50, 0), MATCH($K$10, 'Availability Model'!$C$1:$T$1, 0))</f>
        <v>2</v>
      </c>
      <c r="O139">
        <f>INDEX('Availability Model'!$C$46:$T$50, MATCH($K$138,'Availability Model'!$B$46:$B$50, 0), MATCH($K$10, 'Availability Model'!$C$1:$T$1, 0))</f>
        <v>2</v>
      </c>
      <c r="P139">
        <f>INDEX('Availability Model'!$C$46:$T$50, MATCH($K$138,'Availability Model'!$B$46:$B$50, 0), MATCH($K$10, 'Availability Model'!$C$1:$T$1, 0))</f>
        <v>2</v>
      </c>
      <c r="Q139">
        <f>INDEX('Availability Model'!$C$46:$T$50, MATCH($K$138,'Availability Model'!$B$46:$B$50, 0), MATCH($K$10, 'Availability Model'!$C$1:$T$1, 0))</f>
        <v>2</v>
      </c>
      <c r="R139">
        <f>INDEX('Availability Model'!$C$46:$T$50, MATCH($K$138,'Availability Model'!$B$46:$B$50, 0), MATCH($K$10, 'Availability Model'!$C$1:$T$1, 0))</f>
        <v>2</v>
      </c>
      <c r="S139">
        <f>INDEX('Availability Model'!$C$46:$T$50, MATCH($K$138,'Availability Model'!$B$46:$B$50, 0), MATCH($K$10, 'Availability Model'!$C$1:$T$1, 0))</f>
        <v>2</v>
      </c>
      <c r="T139">
        <f>INDEX('Availability Model'!$C$46:$T$50, MATCH($K$138,'Availability Model'!$B$46:$B$50, 0), MATCH($K$10, 'Availability Model'!$C$1:$T$1, 0))</f>
        <v>2</v>
      </c>
      <c r="U139">
        <f>INDEX('Availability Model'!$C$46:$T$50, MATCH($K$138,'Availability Model'!$B$46:$B$50, 0), MATCH($K$10, 'Availability Model'!$C$1:$T$1, 0))</f>
        <v>2</v>
      </c>
      <c r="V139">
        <f>INDEX('Availability Model'!$C$46:$T$50, MATCH($K$138,'Availability Model'!$B$46:$B$50, 0), MATCH($K$10, 'Availability Model'!$C$1:$T$1, 0))</f>
        <v>2</v>
      </c>
      <c r="W139">
        <f>INDEX('Availability Model'!$C$46:$T$50, MATCH($K$138,'Availability Model'!$B$46:$B$50, 0), MATCH($K$10, 'Availability Model'!$C$1:$T$1, 0))</f>
        <v>2</v>
      </c>
      <c r="X139">
        <f>INDEX('Availability Model'!$C$46:$T$50, MATCH($K$138,'Availability Model'!$B$46:$B$50, 0), MATCH($K$10, 'Availability Model'!$C$1:$T$1, 0))</f>
        <v>2</v>
      </c>
      <c r="Y139">
        <f>INDEX('Availability Model'!$C$46:$T$50, MATCH($K$138,'Availability Model'!$B$46:$B$50, 0), MATCH($K$10, 'Availability Model'!$C$1:$T$1, 0))</f>
        <v>2</v>
      </c>
      <c r="Z139">
        <f>INDEX('Availability Model'!$C$46:$T$50, MATCH($K$138,'Availability Model'!$B$46:$B$50, 0), MATCH($K$10, 'Availability Model'!$C$1:$T$1, 0))</f>
        <v>2</v>
      </c>
      <c r="AA139">
        <f>INDEX('Availability Model'!$C$46:$T$50, MATCH($K$138,'Availability Model'!$B$46:$B$50, 0), MATCH($K$10, 'Availability Model'!$C$1:$T$1, 0))</f>
        <v>2</v>
      </c>
      <c r="AB139">
        <f>INDEX('Availability Model'!$C$46:$T$50, MATCH($K$138,'Availability Model'!$B$46:$B$50, 0), MATCH($K$10, 'Availability Model'!$C$1:$T$1, 0))</f>
        <v>2</v>
      </c>
      <c r="AC139">
        <f>INDEX('Availability Model'!$C$46:$T$50, MATCH($K$138,'Availability Model'!$B$46:$B$50, 0), MATCH($K$10, 'Availability Model'!$C$1:$T$1, 0))</f>
        <v>2</v>
      </c>
      <c r="AD139">
        <f>INDEX('Availability Model'!$C$46:$T$50, MATCH($K$138,'Availability Model'!$B$46:$B$50, 0), MATCH($K$10, 'Availability Model'!$C$1:$T$1, 0))</f>
        <v>2</v>
      </c>
      <c r="AE139">
        <f>INDEX('Availability Model'!$C$46:$T$50, MATCH($K$138,'Availability Model'!$B$46:$B$50, 0), MATCH($K$10, 'Availability Model'!$C$1:$T$1, 0))</f>
        <v>2</v>
      </c>
      <c r="AF139">
        <f>INDEX('Availability Model'!$C$46:$T$50, MATCH($K$138,'Availability Model'!$B$46:$B$50, 0), MATCH($K$10, 'Availability Model'!$C$1:$T$1, 0))</f>
        <v>2</v>
      </c>
      <c r="AG139">
        <f>INDEX('Availability Model'!$C$46:$T$50, MATCH($K$138,'Availability Model'!$B$46:$B$50, 0), MATCH($K$10, 'Availability Model'!$C$1:$T$1, 0))</f>
        <v>2</v>
      </c>
      <c r="AH139">
        <f>INDEX('Availability Model'!$C$46:$T$50, MATCH($K$138,'Availability Model'!$B$46:$B$50, 0), MATCH($K$10, 'Availability Model'!$C$1:$T$1, 0))</f>
        <v>2</v>
      </c>
      <c r="AI139">
        <f>INDEX('Availability Model'!$C$46:$T$50, MATCH($K$138,'Availability Model'!$B$46:$B$50, 0), MATCH($K$10, 'Availability Model'!$C$1:$T$1, 0))</f>
        <v>2</v>
      </c>
      <c r="AJ139">
        <f>INDEX('Availability Model'!$C$46:$T$50, MATCH($K$138,'Availability Model'!$B$46:$B$50, 0), MATCH($K$10, 'Availability Model'!$C$1:$T$1, 0))</f>
        <v>2</v>
      </c>
      <c r="AK139">
        <f>INDEX('Availability Model'!$C$46:$T$50, MATCH($K$138,'Availability Model'!$B$46:$B$50, 0), MATCH($K$10, 'Availability Model'!$C$1:$T$1, 0))</f>
        <v>2</v>
      </c>
      <c r="AL139">
        <f>INDEX('Availability Model'!$C$46:$T$50, MATCH($K$138,'Availability Model'!$B$46:$B$50, 0), MATCH($K$10, 'Availability Model'!$C$1:$T$1, 0))</f>
        <v>2</v>
      </c>
    </row>
    <row r="140" spans="4:38">
      <c r="D140" s="7" t="s">
        <v>312</v>
      </c>
      <c r="E140" s="16" t="s">
        <v>106</v>
      </c>
      <c r="K140">
        <f>K139*INDEX('Availability Model'!$C$53:$T$57, MATCH($K$138,'Availability Model'!$B$53:$B$57, 0), MATCH($K$10, 'Availability Model'!$C$1:$T$1, 0))</f>
        <v>4</v>
      </c>
      <c r="L140">
        <f>L139*INDEX('Availability Model'!$C$53:$T$57, MATCH($K$138,'Availability Model'!$B$53:$B$57, 0), MATCH($K$10, 'Availability Model'!$C$1:$T$1, 0))</f>
        <v>4</v>
      </c>
      <c r="M140">
        <f>M139*INDEX('Availability Model'!$C$53:$T$57, MATCH($K$138,'Availability Model'!$B$53:$B$57, 0), MATCH($K$10, 'Availability Model'!$C$1:$T$1, 0))</f>
        <v>4</v>
      </c>
      <c r="N140">
        <f>N139*INDEX('Availability Model'!$C$53:$T$57, MATCH($K$138,'Availability Model'!$B$53:$B$57, 0), MATCH($K$10, 'Availability Model'!$C$1:$T$1, 0))</f>
        <v>4</v>
      </c>
      <c r="O140">
        <f>O139*INDEX('Availability Model'!$C$53:$T$57, MATCH($K$138,'Availability Model'!$B$53:$B$57, 0), MATCH($K$10, 'Availability Model'!$C$1:$T$1, 0))</f>
        <v>4</v>
      </c>
      <c r="P140">
        <f>P139*INDEX('Availability Model'!$C$53:$T$57, MATCH($K$138,'Availability Model'!$B$53:$B$57, 0), MATCH($K$10, 'Availability Model'!$C$1:$T$1, 0))</f>
        <v>4</v>
      </c>
      <c r="Q140">
        <f>Q139*INDEX('Availability Model'!$C$53:$T$57, MATCH($K$138,'Availability Model'!$B$53:$B$57, 0), MATCH($K$10, 'Availability Model'!$C$1:$T$1, 0))</f>
        <v>4</v>
      </c>
      <c r="R140">
        <f>R139*INDEX('Availability Model'!$C$53:$T$57, MATCH($K$138,'Availability Model'!$B$53:$B$57, 0), MATCH($K$10, 'Availability Model'!$C$1:$T$1, 0))</f>
        <v>4</v>
      </c>
      <c r="S140">
        <f>S139*INDEX('Availability Model'!$C$53:$T$57, MATCH($K$138,'Availability Model'!$B$53:$B$57, 0), MATCH($K$10, 'Availability Model'!$C$1:$T$1, 0))</f>
        <v>4</v>
      </c>
      <c r="T140">
        <f>T139*INDEX('Availability Model'!$C$53:$T$57, MATCH($K$138,'Availability Model'!$B$53:$B$57, 0), MATCH($K$10, 'Availability Model'!$C$1:$T$1, 0))</f>
        <v>4</v>
      </c>
      <c r="U140">
        <f>U139*INDEX('Availability Model'!$C$53:$T$57, MATCH($K$138,'Availability Model'!$B$53:$B$57, 0), MATCH($K$10, 'Availability Model'!$C$1:$T$1, 0))</f>
        <v>4</v>
      </c>
      <c r="V140">
        <f>V139*INDEX('Availability Model'!$C$53:$T$57, MATCH($K$138,'Availability Model'!$B$53:$B$57, 0), MATCH($K$10, 'Availability Model'!$C$1:$T$1, 0))</f>
        <v>4</v>
      </c>
      <c r="W140">
        <f>W139*INDEX('Availability Model'!$C$53:$T$57, MATCH($K$138,'Availability Model'!$B$53:$B$57, 0), MATCH($K$10, 'Availability Model'!$C$1:$T$1, 0))</f>
        <v>4</v>
      </c>
      <c r="X140">
        <f>X139*INDEX('Availability Model'!$C$53:$T$57, MATCH($K$138,'Availability Model'!$B$53:$B$57, 0), MATCH($K$10, 'Availability Model'!$C$1:$T$1, 0))</f>
        <v>4</v>
      </c>
      <c r="Y140">
        <f>Y139*INDEX('Availability Model'!$C$53:$T$57, MATCH($K$138,'Availability Model'!$B$53:$B$57, 0), MATCH($K$10, 'Availability Model'!$C$1:$T$1, 0))</f>
        <v>4</v>
      </c>
      <c r="Z140">
        <f>Z139*INDEX('Availability Model'!$C$53:$T$57, MATCH($K$138,'Availability Model'!$B$53:$B$57, 0), MATCH($K$10, 'Availability Model'!$C$1:$T$1, 0))</f>
        <v>4</v>
      </c>
      <c r="AA140">
        <f>AA139*INDEX('Availability Model'!$C$53:$T$57, MATCH($K$138,'Availability Model'!$B$53:$B$57, 0), MATCH($K$10, 'Availability Model'!$C$1:$T$1, 0))</f>
        <v>4</v>
      </c>
      <c r="AB140">
        <f>AB139*INDEX('Availability Model'!$C$53:$T$57, MATCH($K$138,'Availability Model'!$B$53:$B$57, 0), MATCH($K$10, 'Availability Model'!$C$1:$T$1, 0))</f>
        <v>4</v>
      </c>
      <c r="AC140">
        <f>AC139*INDEX('Availability Model'!$C$53:$T$57, MATCH($K$138,'Availability Model'!$B$53:$B$57, 0), MATCH($K$10, 'Availability Model'!$C$1:$T$1, 0))</f>
        <v>4</v>
      </c>
      <c r="AD140">
        <f>AD139*INDEX('Availability Model'!$C$53:$T$57, MATCH($K$138,'Availability Model'!$B$53:$B$57, 0), MATCH($K$10, 'Availability Model'!$C$1:$T$1, 0))</f>
        <v>4</v>
      </c>
      <c r="AE140">
        <f>AE139*INDEX('Availability Model'!$C$53:$T$57, MATCH($K$138,'Availability Model'!$B$53:$B$57, 0), MATCH($K$10, 'Availability Model'!$C$1:$T$1, 0))</f>
        <v>4</v>
      </c>
      <c r="AF140">
        <f>AF139*INDEX('Availability Model'!$C$53:$T$57, MATCH($K$138,'Availability Model'!$B$53:$B$57, 0), MATCH($K$10, 'Availability Model'!$C$1:$T$1, 0))</f>
        <v>4</v>
      </c>
      <c r="AG140">
        <f>AG139*INDEX('Availability Model'!$C$53:$T$57, MATCH($K$138,'Availability Model'!$B$53:$B$57, 0), MATCH($K$10, 'Availability Model'!$C$1:$T$1, 0))</f>
        <v>4</v>
      </c>
      <c r="AH140">
        <f>AH139*INDEX('Availability Model'!$C$53:$T$57, MATCH($K$138,'Availability Model'!$B$53:$B$57, 0), MATCH($K$10, 'Availability Model'!$C$1:$T$1, 0))</f>
        <v>4</v>
      </c>
      <c r="AI140">
        <f>AI139*INDEX('Availability Model'!$C$53:$T$57, MATCH($K$138,'Availability Model'!$B$53:$B$57, 0), MATCH($K$10, 'Availability Model'!$C$1:$T$1, 0))</f>
        <v>4</v>
      </c>
      <c r="AJ140">
        <f>AJ139*INDEX('Availability Model'!$C$53:$T$57, MATCH($K$138,'Availability Model'!$B$53:$B$57, 0), MATCH($K$10, 'Availability Model'!$C$1:$T$1, 0))</f>
        <v>4</v>
      </c>
      <c r="AK140">
        <f>AK139*INDEX('Availability Model'!$C$53:$T$57, MATCH($K$138,'Availability Model'!$B$53:$B$57, 0), MATCH($K$10, 'Availability Model'!$C$1:$T$1, 0))</f>
        <v>4</v>
      </c>
      <c r="AL140">
        <f>AL139*INDEX('Availability Model'!$C$53:$T$57, MATCH($K$138,'Availability Model'!$B$53:$B$57, 0), MATCH($K$10, 'Availability Model'!$C$1:$T$1, 0))</f>
        <v>4</v>
      </c>
    </row>
    <row r="141" spans="4:38">
      <c r="D141" s="7" t="s">
        <v>302</v>
      </c>
      <c r="E141" s="16" t="s">
        <v>106</v>
      </c>
      <c r="K141" s="65">
        <f>K132</f>
        <v>1.8129533678756478</v>
      </c>
      <c r="L141" s="65">
        <f t="shared" ref="L141:AL141" si="64">L132</f>
        <v>1.9066551166747128</v>
      </c>
      <c r="M141" s="65">
        <f t="shared" si="64"/>
        <v>1.8367738032705883</v>
      </c>
      <c r="N141" s="65">
        <f t="shared" si="64"/>
        <v>1.8815339776532183</v>
      </c>
      <c r="O141" s="65">
        <f t="shared" si="64"/>
        <v>2.274116334125547</v>
      </c>
      <c r="P141" s="65">
        <f t="shared" si="64"/>
        <v>2.277607063808083</v>
      </c>
      <c r="Q141" s="65">
        <f t="shared" si="64"/>
        <v>2.0845047041176494</v>
      </c>
      <c r="R141" s="65">
        <f t="shared" si="64"/>
        <v>2.0845047041176494</v>
      </c>
      <c r="S141" s="65">
        <f t="shared" si="64"/>
        <v>1.9123332911358926</v>
      </c>
      <c r="T141" s="65">
        <f t="shared" si="64"/>
        <v>1.9148328343992786</v>
      </c>
      <c r="U141" s="65">
        <f t="shared" si="64"/>
        <v>1.9123332911358926</v>
      </c>
      <c r="V141" s="65">
        <f t="shared" si="64"/>
        <v>1.9123332911358926</v>
      </c>
      <c r="W141" s="65">
        <f t="shared" si="64"/>
        <v>1.9123332911358926</v>
      </c>
      <c r="X141" s="65">
        <f t="shared" si="64"/>
        <v>1.9148328343992786</v>
      </c>
      <c r="Y141" s="65">
        <f t="shared" si="64"/>
        <v>1.9123332911358926</v>
      </c>
      <c r="Z141" s="65">
        <f t="shared" si="64"/>
        <v>1.9123332911358926</v>
      </c>
      <c r="AA141" s="65">
        <f t="shared" si="64"/>
        <v>1.9123332911358926</v>
      </c>
      <c r="AB141" s="65">
        <f t="shared" si="64"/>
        <v>1.9148328343992786</v>
      </c>
      <c r="AC141" s="65">
        <f t="shared" si="64"/>
        <v>1.7648580665195435</v>
      </c>
      <c r="AD141" s="65">
        <f t="shared" si="64"/>
        <v>1.7648580665195435</v>
      </c>
      <c r="AE141" s="65">
        <f t="shared" si="64"/>
        <v>1.7648580665195435</v>
      </c>
      <c r="AF141" s="65">
        <f t="shared" si="64"/>
        <v>1.7682602226280411</v>
      </c>
      <c r="AG141" s="65">
        <f t="shared" si="64"/>
        <v>1.7648580665195435</v>
      </c>
      <c r="AH141" s="65">
        <f t="shared" si="64"/>
        <v>1.7648580665195435</v>
      </c>
      <c r="AI141" s="65">
        <f t="shared" si="64"/>
        <v>1.7648580665195435</v>
      </c>
      <c r="AJ141" s="65">
        <f t="shared" si="64"/>
        <v>1.7682602226280411</v>
      </c>
      <c r="AK141" s="65">
        <f t="shared" si="64"/>
        <v>1.7648580665195435</v>
      </c>
      <c r="AL141" s="65">
        <f t="shared" si="64"/>
        <v>1.7648580665195435</v>
      </c>
    </row>
    <row r="142" spans="4:38">
      <c r="D142" s="7" t="s">
        <v>313</v>
      </c>
      <c r="E142" s="16" t="s">
        <v>106</v>
      </c>
      <c r="K142" s="140">
        <f>ROUND(K140-K141,0)</f>
        <v>2</v>
      </c>
      <c r="L142" s="140">
        <f t="shared" ref="L142:AL142" si="65">ROUND(L140-L141,0)</f>
        <v>2</v>
      </c>
      <c r="M142" s="140">
        <f t="shared" si="65"/>
        <v>2</v>
      </c>
      <c r="N142" s="140">
        <f t="shared" si="65"/>
        <v>2</v>
      </c>
      <c r="O142" s="140">
        <f t="shared" si="65"/>
        <v>2</v>
      </c>
      <c r="P142" s="140">
        <f t="shared" si="65"/>
        <v>2</v>
      </c>
      <c r="Q142" s="140">
        <f t="shared" si="65"/>
        <v>2</v>
      </c>
      <c r="R142" s="140">
        <f t="shared" si="65"/>
        <v>2</v>
      </c>
      <c r="S142" s="140">
        <f t="shared" si="65"/>
        <v>2</v>
      </c>
      <c r="T142" s="140">
        <f t="shared" si="65"/>
        <v>2</v>
      </c>
      <c r="U142" s="140">
        <f t="shared" si="65"/>
        <v>2</v>
      </c>
      <c r="V142" s="140">
        <f t="shared" si="65"/>
        <v>2</v>
      </c>
      <c r="W142" s="140">
        <f t="shared" si="65"/>
        <v>2</v>
      </c>
      <c r="X142" s="140">
        <f t="shared" si="65"/>
        <v>2</v>
      </c>
      <c r="Y142" s="140">
        <f t="shared" si="65"/>
        <v>2</v>
      </c>
      <c r="Z142" s="140">
        <f t="shared" si="65"/>
        <v>2</v>
      </c>
      <c r="AA142" s="140">
        <f t="shared" si="65"/>
        <v>2</v>
      </c>
      <c r="AB142" s="140">
        <f t="shared" si="65"/>
        <v>2</v>
      </c>
      <c r="AC142" s="140">
        <f t="shared" si="65"/>
        <v>2</v>
      </c>
      <c r="AD142" s="140">
        <f t="shared" si="65"/>
        <v>2</v>
      </c>
      <c r="AE142" s="140">
        <f t="shared" si="65"/>
        <v>2</v>
      </c>
      <c r="AF142" s="140">
        <f t="shared" si="65"/>
        <v>2</v>
      </c>
      <c r="AG142" s="140">
        <f t="shared" si="65"/>
        <v>2</v>
      </c>
      <c r="AH142" s="140">
        <f t="shared" si="65"/>
        <v>2</v>
      </c>
      <c r="AI142" s="140">
        <f t="shared" si="65"/>
        <v>2</v>
      </c>
      <c r="AJ142" s="140">
        <f t="shared" si="65"/>
        <v>2</v>
      </c>
      <c r="AK142" s="140">
        <f t="shared" si="65"/>
        <v>2</v>
      </c>
      <c r="AL142" s="140">
        <f t="shared" si="65"/>
        <v>2</v>
      </c>
    </row>
    <row r="143" spans="4:38">
      <c r="D143" s="7" t="s">
        <v>314</v>
      </c>
      <c r="E143" s="16" t="s">
        <v>145</v>
      </c>
      <c r="K143" s="90">
        <f>K142*K34</f>
        <v>740.27397260273972</v>
      </c>
      <c r="L143" s="90">
        <f t="shared" ref="L143:AL143" si="66">L142*L34</f>
        <v>697.10044699453556</v>
      </c>
      <c r="M143" s="90">
        <f t="shared" si="66"/>
        <v>728.79951338082208</v>
      </c>
      <c r="N143" s="90">
        <f t="shared" si="66"/>
        <v>1302.8995515967122</v>
      </c>
      <c r="O143" s="90">
        <f t="shared" si="66"/>
        <v>0</v>
      </c>
      <c r="P143" s="90">
        <f t="shared" si="66"/>
        <v>0</v>
      </c>
      <c r="Q143" s="90">
        <f t="shared" si="66"/>
        <v>0</v>
      </c>
      <c r="R143" s="90">
        <f t="shared" si="66"/>
        <v>0</v>
      </c>
      <c r="S143" s="90">
        <f t="shared" si="66"/>
        <v>0</v>
      </c>
      <c r="T143" s="90">
        <f t="shared" si="66"/>
        <v>0</v>
      </c>
      <c r="U143" s="90">
        <f t="shared" si="66"/>
        <v>0</v>
      </c>
      <c r="V143" s="90">
        <f t="shared" si="66"/>
        <v>0</v>
      </c>
      <c r="W143" s="90">
        <f t="shared" si="66"/>
        <v>0</v>
      </c>
      <c r="X143" s="90">
        <f t="shared" si="66"/>
        <v>0</v>
      </c>
      <c r="Y143" s="90">
        <f t="shared" si="66"/>
        <v>0</v>
      </c>
      <c r="Z143" s="90">
        <f t="shared" si="66"/>
        <v>0</v>
      </c>
      <c r="AA143" s="90">
        <f t="shared" si="66"/>
        <v>0</v>
      </c>
      <c r="AB143" s="90">
        <f t="shared" si="66"/>
        <v>0</v>
      </c>
      <c r="AC143" s="90">
        <f t="shared" si="66"/>
        <v>581.92637907343169</v>
      </c>
      <c r="AD143" s="90">
        <f t="shared" si="66"/>
        <v>581.92637907343169</v>
      </c>
      <c r="AE143" s="90">
        <f t="shared" si="66"/>
        <v>581.92637907343169</v>
      </c>
      <c r="AF143" s="90">
        <f t="shared" si="66"/>
        <v>576.78450372077202</v>
      </c>
      <c r="AG143" s="90">
        <f t="shared" si="66"/>
        <v>581.92637907343169</v>
      </c>
      <c r="AH143" s="90">
        <f t="shared" si="66"/>
        <v>581.92637907343169</v>
      </c>
      <c r="AI143" s="90">
        <f t="shared" si="66"/>
        <v>581.92637907343169</v>
      </c>
      <c r="AJ143" s="90">
        <f t="shared" si="66"/>
        <v>576.78450372077202</v>
      </c>
      <c r="AK143" s="90">
        <f t="shared" si="66"/>
        <v>581.92637907343169</v>
      </c>
      <c r="AL143" s="90">
        <f t="shared" si="66"/>
        <v>581.92637907343169</v>
      </c>
    </row>
    <row r="144" spans="4:38">
      <c r="D144" s="7"/>
    </row>
    <row r="145" spans="4:38">
      <c r="D145" s="3" t="s">
        <v>315</v>
      </c>
      <c r="E145" s="16" t="s">
        <v>145</v>
      </c>
      <c r="K145" s="65">
        <f>K143*INDEX('Availability Model'!$C$60:$T$64, MATCH($K$138,'Availability Model'!$B$60:$B$64, 0), MATCH($K$10, 'Availability Model'!$C$1:$T$1, 0))</f>
        <v>222.08219178082192</v>
      </c>
      <c r="L145" s="65">
        <f>L143*INDEX('Availability Model'!$C$60:$T$64, MATCH($K$138,'Availability Model'!$B$60:$B$64, 0), MATCH($K$10, 'Availability Model'!$C$1:$T$1, 0))</f>
        <v>209.13013409836066</v>
      </c>
      <c r="M145" s="65">
        <f>M143*INDEX('Availability Model'!$C$60:$T$64, MATCH($K$138,'Availability Model'!$B$60:$B$64, 0), MATCH($K$10, 'Availability Model'!$C$1:$T$1, 0))</f>
        <v>218.63985401424662</v>
      </c>
      <c r="N145" s="65">
        <f>N143*INDEX('Availability Model'!$C$60:$T$64, MATCH($N$138,'Availability Model'!$B$60:$B$64, 0), MATCH($K$10, 'Availability Model'!$C$1:$T$1, 0))</f>
        <v>390.86986547901364</v>
      </c>
      <c r="O145" s="65">
        <f>O143*INDEX('Availability Model'!$C$60:$T$64, MATCH($K$138,'Availability Model'!$B$60:$B$64, 0), MATCH($K$10, 'Availability Model'!$C$1:$T$1, 0))</f>
        <v>0</v>
      </c>
      <c r="P145" s="65">
        <f>P143*INDEX('Availability Model'!$C$60:$T$64, MATCH($K$138,'Availability Model'!$B$60:$B$64, 0), MATCH($K$10, 'Availability Model'!$C$1:$T$1, 0))</f>
        <v>0</v>
      </c>
      <c r="Q145" s="65">
        <f>Q143*INDEX('Availability Model'!$C$60:$T$64, MATCH($K$138,'Availability Model'!$B$60:$B$64, 0), MATCH($K$10, 'Availability Model'!$C$1:$T$1, 0))</f>
        <v>0</v>
      </c>
      <c r="R145" s="65">
        <f>R143*INDEX('Availability Model'!$C$60:$T$64, MATCH($K$138,'Availability Model'!$B$60:$B$64, 0), MATCH($K$10, 'Availability Model'!$C$1:$T$1, 0))</f>
        <v>0</v>
      </c>
      <c r="S145" s="65">
        <f>S143*INDEX('Availability Model'!$C$60:$T$64, MATCH($K$138,'Availability Model'!$B$60:$B$64, 0), MATCH($K$10, 'Availability Model'!$C$1:$T$1, 0))</f>
        <v>0</v>
      </c>
      <c r="T145" s="65">
        <f>T143*INDEX('Availability Model'!$C$60:$T$64, MATCH($K$138,'Availability Model'!$B$60:$B$64, 0), MATCH($K$10, 'Availability Model'!$C$1:$T$1, 0))</f>
        <v>0</v>
      </c>
      <c r="U145" s="65">
        <f>U143*INDEX('Availability Model'!$C$60:$T$64, MATCH($K$138,'Availability Model'!$B$60:$B$64, 0), MATCH($K$10, 'Availability Model'!$C$1:$T$1, 0))</f>
        <v>0</v>
      </c>
      <c r="V145" s="65">
        <f>V143*INDEX('Availability Model'!$C$60:$T$64, MATCH($K$138,'Availability Model'!$B$60:$B$64, 0), MATCH($K$10, 'Availability Model'!$C$1:$T$1, 0))</f>
        <v>0</v>
      </c>
      <c r="W145" s="65">
        <f>W143*INDEX('Availability Model'!$C$60:$T$64, MATCH($K$138,'Availability Model'!$B$60:$B$64, 0), MATCH($K$10, 'Availability Model'!$C$1:$T$1, 0))</f>
        <v>0</v>
      </c>
      <c r="X145" s="65">
        <f>X143*INDEX('Availability Model'!$C$60:$T$64, MATCH($K$138,'Availability Model'!$B$60:$B$64, 0), MATCH($K$10, 'Availability Model'!$C$1:$T$1, 0))</f>
        <v>0</v>
      </c>
      <c r="Y145" s="65">
        <f>Y143*INDEX('Availability Model'!$C$60:$T$64, MATCH($K$138,'Availability Model'!$B$60:$B$64, 0), MATCH($K$10, 'Availability Model'!$C$1:$T$1, 0))</f>
        <v>0</v>
      </c>
      <c r="Z145" s="65">
        <f>Z143*INDEX('Availability Model'!$C$60:$T$64, MATCH($K$138,'Availability Model'!$B$60:$B$64, 0), MATCH($K$10, 'Availability Model'!$C$1:$T$1, 0))</f>
        <v>0</v>
      </c>
      <c r="AA145" s="65">
        <f>AA143*INDEX('Availability Model'!$C$60:$T$64, MATCH($K$138,'Availability Model'!$B$60:$B$64, 0), MATCH($K$10, 'Availability Model'!$C$1:$T$1, 0))</f>
        <v>0</v>
      </c>
      <c r="AB145" s="65">
        <f>AB143*INDEX('Availability Model'!$C$60:$T$64, MATCH($K$138,'Availability Model'!$B$60:$B$64, 0), MATCH($K$10, 'Availability Model'!$C$1:$T$1, 0))</f>
        <v>0</v>
      </c>
      <c r="AC145" s="65">
        <f>AC143*INDEX('Availability Model'!$C$60:$T$64, MATCH($K$138,'Availability Model'!$B$60:$B$64, 0), MATCH($K$10, 'Availability Model'!$C$1:$T$1, 0))</f>
        <v>174.57791372202951</v>
      </c>
      <c r="AD145" s="65">
        <f>AD143*INDEX('Availability Model'!$C$60:$T$64, MATCH($K$138,'Availability Model'!$B$60:$B$64, 0), MATCH($K$10, 'Availability Model'!$C$1:$T$1, 0))</f>
        <v>174.57791372202951</v>
      </c>
      <c r="AE145" s="65">
        <f>AE143*INDEX('Availability Model'!$C$60:$T$64, MATCH($K$138,'Availability Model'!$B$60:$B$64, 0), MATCH($K$10, 'Availability Model'!$C$1:$T$1, 0))</f>
        <v>174.57791372202951</v>
      </c>
      <c r="AF145" s="65">
        <f>AF143*INDEX('Availability Model'!$C$60:$T$64, MATCH($K$138,'Availability Model'!$B$60:$B$64, 0), MATCH($K$10, 'Availability Model'!$C$1:$T$1, 0))</f>
        <v>173.0353511162316</v>
      </c>
      <c r="AG145" s="65">
        <f>AG143*INDEX('Availability Model'!$C$60:$T$64, MATCH($K$138,'Availability Model'!$B$60:$B$64, 0), MATCH($K$10, 'Availability Model'!$C$1:$T$1, 0))</f>
        <v>174.57791372202951</v>
      </c>
      <c r="AH145" s="65">
        <f>AH143*INDEX('Availability Model'!$C$60:$T$64, MATCH($K$138,'Availability Model'!$B$60:$B$64, 0), MATCH($K$10, 'Availability Model'!$C$1:$T$1, 0))</f>
        <v>174.57791372202951</v>
      </c>
      <c r="AI145" s="65">
        <f>AI143*INDEX('Availability Model'!$C$60:$T$64, MATCH($K$138,'Availability Model'!$B$60:$B$64, 0), MATCH($K$10, 'Availability Model'!$C$1:$T$1, 0))</f>
        <v>174.57791372202951</v>
      </c>
      <c r="AJ145" s="65">
        <f>AJ143*INDEX('Availability Model'!$C$60:$T$64, MATCH($K$138,'Availability Model'!$B$60:$B$64, 0), MATCH($K$10, 'Availability Model'!$C$1:$T$1, 0))</f>
        <v>173.0353511162316</v>
      </c>
      <c r="AK145" s="65">
        <f>AK143*INDEX('Availability Model'!$C$60:$T$64, MATCH($K$138,'Availability Model'!$B$60:$B$64, 0), MATCH($K$10, 'Availability Model'!$C$1:$T$1, 0))</f>
        <v>174.57791372202951</v>
      </c>
      <c r="AL145" s="65">
        <f>AL143*INDEX('Availability Model'!$C$60:$T$64, MATCH($K$138,'Availability Model'!$B$60:$B$64, 0), MATCH($K$10, 'Availability Model'!$C$1:$T$1, 0))</f>
        <v>174.57791372202951</v>
      </c>
    </row>
    <row r="146" spans="4:38">
      <c r="D146" t="s">
        <v>317</v>
      </c>
      <c r="E146" s="16" t="s">
        <v>211</v>
      </c>
      <c r="K146" s="65">
        <f>K145*K71</f>
        <v>6158.3391780821921</v>
      </c>
      <c r="L146" s="65">
        <f t="shared" ref="L146:AL146" si="67">L145*L71</f>
        <v>6169.3389559016396</v>
      </c>
      <c r="M146" s="65">
        <f t="shared" si="67"/>
        <v>6611.6691853908178</v>
      </c>
      <c r="N146" s="65">
        <f t="shared" si="67"/>
        <v>12531.287887257178</v>
      </c>
      <c r="O146" s="65">
        <f t="shared" si="67"/>
        <v>0</v>
      </c>
      <c r="P146" s="65">
        <f t="shared" si="67"/>
        <v>0</v>
      </c>
      <c r="Q146" s="65">
        <f t="shared" si="67"/>
        <v>0</v>
      </c>
      <c r="R146" s="65">
        <f t="shared" si="67"/>
        <v>0</v>
      </c>
      <c r="S146" s="65">
        <f t="shared" si="67"/>
        <v>0</v>
      </c>
      <c r="T146" s="65">
        <f t="shared" si="67"/>
        <v>0</v>
      </c>
      <c r="U146" s="65">
        <f t="shared" si="67"/>
        <v>0</v>
      </c>
      <c r="V146" s="65">
        <f t="shared" si="67"/>
        <v>0</v>
      </c>
      <c r="W146" s="65">
        <f t="shared" si="67"/>
        <v>0</v>
      </c>
      <c r="X146" s="65">
        <f t="shared" si="67"/>
        <v>0</v>
      </c>
      <c r="Y146" s="65">
        <f t="shared" si="67"/>
        <v>0</v>
      </c>
      <c r="Z146" s="65">
        <f t="shared" si="67"/>
        <v>0</v>
      </c>
      <c r="AA146" s="65">
        <f t="shared" si="67"/>
        <v>0</v>
      </c>
      <c r="AB146" s="65">
        <f t="shared" si="67"/>
        <v>0</v>
      </c>
      <c r="AC146" s="65">
        <f t="shared" si="67"/>
        <v>13413.459310640876</v>
      </c>
      <c r="AD146" s="65">
        <f t="shared" si="67"/>
        <v>14218.266869279327</v>
      </c>
      <c r="AE146" s="65">
        <f t="shared" si="67"/>
        <v>15071.362881436087</v>
      </c>
      <c r="AF146" s="65">
        <f t="shared" si="67"/>
        <v>15834.484575582219</v>
      </c>
      <c r="AG146" s="65">
        <f t="shared" si="67"/>
        <v>16934.18333358159</v>
      </c>
      <c r="AH146" s="65">
        <f t="shared" si="67"/>
        <v>17950.234333596487</v>
      </c>
      <c r="AI146" s="65">
        <f t="shared" si="67"/>
        <v>19027.248393612277</v>
      </c>
      <c r="AJ146" s="65">
        <f t="shared" si="67"/>
        <v>19990.671950147935</v>
      </c>
      <c r="AK146" s="65">
        <f t="shared" si="67"/>
        <v>21379.016295062756</v>
      </c>
      <c r="AL146" s="65">
        <f t="shared" si="67"/>
        <v>22661.757272766525</v>
      </c>
    </row>
    <row r="147" spans="4:38">
      <c r="D147" t="s">
        <v>318</v>
      </c>
      <c r="E147" s="16" t="s">
        <v>211</v>
      </c>
      <c r="K147" s="65">
        <f>(Inputs!$E$117*Inputs!$E$118*'Initiative 5 Model'!K145*K75)+(Inputs!$E$114*0.25*'Initiative 5 Model'!K145*K77)</f>
        <v>995.4834246575341</v>
      </c>
      <c r="L147" s="65">
        <f>(Inputs!$E$117*Inputs!$E$118*'Initiative 5 Model'!L145*L75)+(Inputs!$E$114*0.25*'Initiative 5 Model'!L145*L77)</f>
        <v>1025.1688834184779</v>
      </c>
      <c r="M147" s="65">
        <f>(Inputs!$E$117*Inputs!$E$118*'Initiative 5 Model'!M145*M75)+(Inputs!$E$114*0.25*'Initiative 5 Model'!M145*M77)</f>
        <v>1172.1053008853519</v>
      </c>
      <c r="N147" s="65">
        <f>(Inputs!$E$117*Inputs!$E$118*'Initiative 5 Model'!N145*N75)+(Inputs!$E$114*0.25*'Initiative 5 Model'!N145*N77)</f>
        <v>2291.5429008467036</v>
      </c>
      <c r="O147" s="65">
        <f>(Inputs!$E$117*Inputs!$E$118*'Initiative 5 Model'!O145*O75)+(Inputs!$E$114*0.25*'Initiative 5 Model'!O145*O77)</f>
        <v>0</v>
      </c>
      <c r="P147" s="65">
        <f>(Inputs!$E$117*Inputs!$E$118*'Initiative 5 Model'!P145*P75)+(Inputs!$E$114*0.25*'Initiative 5 Model'!P145*P77)</f>
        <v>0</v>
      </c>
      <c r="Q147" s="65">
        <f>(Inputs!$E$117*Inputs!$E$118*'Initiative 5 Model'!Q145*Q75)+(Inputs!$E$114*0.25*'Initiative 5 Model'!Q145*Q77)</f>
        <v>0</v>
      </c>
      <c r="R147" s="65">
        <f>(Inputs!$E$117*Inputs!$E$118*'Initiative 5 Model'!R145*R75)+(Inputs!$E$114*0.25*'Initiative 5 Model'!R145*R77)</f>
        <v>0</v>
      </c>
      <c r="S147" s="65">
        <f>(Inputs!$E$117*Inputs!$E$118*'Initiative 5 Model'!S145*S75)+(Inputs!$E$114*0.25*'Initiative 5 Model'!S145*S77)</f>
        <v>0</v>
      </c>
      <c r="T147" s="65">
        <f>(Inputs!$E$117*Inputs!$E$118*'Initiative 5 Model'!T145*T75)+(Inputs!$E$114*0.25*'Initiative 5 Model'!T145*T77)</f>
        <v>0</v>
      </c>
      <c r="U147" s="65">
        <f>(Inputs!$E$117*Inputs!$E$118*'Initiative 5 Model'!U145*U75)+(Inputs!$E$114*0.25*'Initiative 5 Model'!U145*U77)</f>
        <v>0</v>
      </c>
      <c r="V147" s="65">
        <f>(Inputs!$E$117*Inputs!$E$118*'Initiative 5 Model'!V145*V75)+(Inputs!$E$114*0.25*'Initiative 5 Model'!V145*V77)</f>
        <v>0</v>
      </c>
      <c r="W147" s="65">
        <f>(Inputs!$E$117*Inputs!$E$118*'Initiative 5 Model'!W145*W75)+(Inputs!$E$114*0.25*'Initiative 5 Model'!W145*W77)</f>
        <v>0</v>
      </c>
      <c r="X147" s="65">
        <f>(Inputs!$E$117*Inputs!$E$118*'Initiative 5 Model'!X145*X75)+(Inputs!$E$114*0.25*'Initiative 5 Model'!X145*X77)</f>
        <v>0</v>
      </c>
      <c r="Y147" s="65">
        <f>(Inputs!$E$117*Inputs!$E$118*'Initiative 5 Model'!Y145*Y75)+(Inputs!$E$114*0.25*'Initiative 5 Model'!Y145*Y77)</f>
        <v>0</v>
      </c>
      <c r="Z147" s="65">
        <f>(Inputs!$E$117*Inputs!$E$118*'Initiative 5 Model'!Z145*Z75)+(Inputs!$E$114*0.25*'Initiative 5 Model'!Z145*Z77)</f>
        <v>0</v>
      </c>
      <c r="AA147" s="65">
        <f>(Inputs!$E$117*Inputs!$E$118*'Initiative 5 Model'!AA145*AA75)+(Inputs!$E$114*0.25*'Initiative 5 Model'!AA145*AA77)</f>
        <v>0</v>
      </c>
      <c r="AB147" s="65">
        <f>(Inputs!$E$117*Inputs!$E$118*'Initiative 5 Model'!AB145*AB75)+(Inputs!$E$114*0.25*'Initiative 5 Model'!AB145*AB77)</f>
        <v>0</v>
      </c>
      <c r="AC147" s="65">
        <f>(Inputs!$E$117*Inputs!$E$118*'Initiative 5 Model'!AC145*AC75)+(Inputs!$E$114*0.25*'Initiative 5 Model'!AC145*AC77)</f>
        <v>3917.0816604887968</v>
      </c>
      <c r="AD147" s="65">
        <f>(Inputs!$E$117*Inputs!$E$118*'Initiative 5 Model'!AD145*AD75)+(Inputs!$E$114*0.25*'Initiative 5 Model'!AD145*AD77)</f>
        <v>4283.7205039105484</v>
      </c>
      <c r="AE147" s="65">
        <f>(Inputs!$E$117*Inputs!$E$118*'Initiative 5 Model'!AE145*AE75)+(Inputs!$E$114*0.25*'Initiative 5 Model'!AE145*AE77)</f>
        <v>4684.6767430765749</v>
      </c>
      <c r="AF147" s="65">
        <f>(Inputs!$E$117*Inputs!$E$118*'Initiative 5 Model'!AF145*AF75)+(Inputs!$E$114*0.25*'Initiative 5 Model'!AF145*AF77)</f>
        <v>5077.8944525684201</v>
      </c>
      <c r="AG147" s="65">
        <f>(Inputs!$E$117*Inputs!$E$118*'Initiative 5 Model'!AG145*AG75)+(Inputs!$E$114*0.25*'Initiative 5 Model'!AG145*AG77)</f>
        <v>5602.6904949395339</v>
      </c>
      <c r="AH147" s="65">
        <f>(Inputs!$E$117*Inputs!$E$118*'Initiative 5 Model'!AH145*AH75)+(Inputs!$E$114*0.25*'Initiative 5 Model'!AH145*AH77)</f>
        <v>6127.1023252658724</v>
      </c>
      <c r="AI147" s="65">
        <f>(Inputs!$E$117*Inputs!$E$118*'Initiative 5 Model'!AI145*AI75)+(Inputs!$E$114*0.25*'Initiative 5 Model'!AI145*AI77)</f>
        <v>6700.5991029107581</v>
      </c>
      <c r="AJ147" s="65">
        <f>(Inputs!$E$117*Inputs!$E$118*'Initiative 5 Model'!AJ145*AJ75)+(Inputs!$E$114*0.25*'Initiative 5 Model'!AJ145*AJ77)</f>
        <v>7263.0272865338029</v>
      </c>
      <c r="AK147" s="65">
        <f>(Inputs!$E$117*Inputs!$E$118*'Initiative 5 Model'!AK145*AK75)+(Inputs!$E$114*0.25*'Initiative 5 Model'!AK145*AK77)</f>
        <v>8013.6549356922878</v>
      </c>
      <c r="AL147" s="65">
        <f>(Inputs!$E$117*Inputs!$E$118*'Initiative 5 Model'!AL145*AL75)+(Inputs!$E$114*0.25*'Initiative 5 Model'!AL145*AL77)</f>
        <v>8763.7330376730861</v>
      </c>
    </row>
    <row r="148" spans="4:38">
      <c r="D148" s="3" t="s">
        <v>319</v>
      </c>
      <c r="E148" s="16" t="s">
        <v>211</v>
      </c>
      <c r="K148" s="65">
        <f>IF(K27&gt;0,K146+K147,0)</f>
        <v>7153.8226027397259</v>
      </c>
      <c r="L148" s="65">
        <f t="shared" ref="L148:AL148" si="68">IF(L27&gt;0,L146+L147,0)</f>
        <v>7194.5078393201175</v>
      </c>
      <c r="M148" s="65">
        <f t="shared" si="68"/>
        <v>7783.7744862761701</v>
      </c>
      <c r="N148" s="65">
        <f t="shared" si="68"/>
        <v>14822.830788103882</v>
      </c>
      <c r="O148" s="65">
        <f t="shared" si="68"/>
        <v>0</v>
      </c>
      <c r="P148" s="65">
        <f t="shared" si="68"/>
        <v>0</v>
      </c>
      <c r="Q148" s="65">
        <f t="shared" si="68"/>
        <v>0</v>
      </c>
      <c r="R148" s="65">
        <f t="shared" si="68"/>
        <v>0</v>
      </c>
      <c r="S148" s="65">
        <f t="shared" si="68"/>
        <v>0</v>
      </c>
      <c r="T148" s="65">
        <f t="shared" si="68"/>
        <v>0</v>
      </c>
      <c r="U148" s="65">
        <f t="shared" si="68"/>
        <v>0</v>
      </c>
      <c r="V148" s="65">
        <f t="shared" si="68"/>
        <v>0</v>
      </c>
      <c r="W148" s="65">
        <f t="shared" si="68"/>
        <v>0</v>
      </c>
      <c r="X148" s="65">
        <f t="shared" si="68"/>
        <v>0</v>
      </c>
      <c r="Y148" s="65">
        <f t="shared" si="68"/>
        <v>0</v>
      </c>
      <c r="Z148" s="65">
        <f t="shared" si="68"/>
        <v>0</v>
      </c>
      <c r="AA148" s="65">
        <f t="shared" si="68"/>
        <v>0</v>
      </c>
      <c r="AB148" s="65">
        <f t="shared" si="68"/>
        <v>0</v>
      </c>
      <c r="AC148" s="65">
        <f t="shared" si="68"/>
        <v>17330.540971129674</v>
      </c>
      <c r="AD148" s="65">
        <f t="shared" si="68"/>
        <v>18501.987373189877</v>
      </c>
      <c r="AE148" s="65">
        <f t="shared" si="68"/>
        <v>19756.039624512661</v>
      </c>
      <c r="AF148" s="65">
        <f t="shared" si="68"/>
        <v>20912.379028150637</v>
      </c>
      <c r="AG148" s="65">
        <f t="shared" si="68"/>
        <v>22536.873828521122</v>
      </c>
      <c r="AH148" s="65">
        <f t="shared" si="68"/>
        <v>24077.336658862361</v>
      </c>
      <c r="AI148" s="65">
        <f t="shared" si="68"/>
        <v>25727.847496523034</v>
      </c>
      <c r="AJ148" s="65">
        <f t="shared" si="68"/>
        <v>27253.699236681736</v>
      </c>
      <c r="AK148" s="65">
        <f t="shared" si="68"/>
        <v>29392.671230755044</v>
      </c>
      <c r="AL148" s="65">
        <f t="shared" si="68"/>
        <v>31425.490310439611</v>
      </c>
    </row>
    <row r="149" spans="4:38">
      <c r="D149" s="3"/>
      <c r="E149" s="16"/>
      <c r="K149" s="65"/>
      <c r="L149" s="65"/>
      <c r="M149" s="65"/>
      <c r="N149" s="65"/>
      <c r="O149" s="65"/>
      <c r="P149" s="65"/>
    </row>
    <row r="150" spans="4:38">
      <c r="D150" s="3" t="s">
        <v>323</v>
      </c>
      <c r="E150" s="16" t="s">
        <v>211</v>
      </c>
      <c r="K150" s="65">
        <f>K93*INDEX('Availability Model'!$C$67:$T$71, MATCH($K$138,'Availability Model'!$B$67:$B$71, 0), MATCH($K$10, 'Availability Model'!$C$1:$T$1, 0))</f>
        <v>190339.01249999998</v>
      </c>
      <c r="L150" s="65">
        <f>L93*INDEX('Availability Model'!$C$67:$T$71, MATCH($K$138,'Availability Model'!$B$67:$B$71, 0), MATCH($K$10, 'Availability Model'!$C$1:$T$1, 0))</f>
        <v>196551.97646000827</v>
      </c>
      <c r="M150" s="65">
        <f>M93*INDEX('Availability Model'!$C$67:$T$71, MATCH($K$138,'Availability Model'!$B$67:$B$71, 0), MATCH($K$10, 'Availability Model'!$C$1:$T$1, 0))</f>
        <v>224109.57328926207</v>
      </c>
      <c r="N150" s="65">
        <f>N93*INDEX('Availability Model'!$C$67:$T$71, MATCH($K$138,'Availability Model'!$B$67:$B$71, 0), MATCH($K$10, 'Availability Model'!$C$1:$T$1, 0))</f>
        <v>613408.52380142547</v>
      </c>
      <c r="O150" s="65">
        <f>O93*INDEX('Availability Model'!$C$67:$T$71, MATCH($K$138,'Availability Model'!$B$67:$B$71, 0), MATCH($K$10, 'Availability Model'!$C$1:$T$1, 0))</f>
        <v>727379.06153381173</v>
      </c>
      <c r="P150" s="65">
        <f>P93*INDEX('Availability Model'!$C$67:$T$71, MATCH($K$138,'Availability Model'!$B$67:$B$71, 0), MATCH($K$10, 'Availability Model'!$C$1:$T$1, 0))</f>
        <v>795461.74169337645</v>
      </c>
      <c r="Q150" s="65">
        <f>Q93*INDEX('Availability Model'!$C$67:$T$71, MATCH($K$138,'Availability Model'!$B$67:$B$71, 0), MATCH($K$10, 'Availability Model'!$C$1:$T$1, 0))</f>
        <v>1022010.6973927068</v>
      </c>
      <c r="R150" s="65">
        <f>R93*INDEX('Availability Model'!$C$67:$T$71, MATCH($K$138,'Availability Model'!$B$67:$B$71, 0), MATCH($K$10, 'Availability Model'!$C$1:$T$1, 0))</f>
        <v>1117670.898668664</v>
      </c>
      <c r="S150" s="65">
        <f>S93*INDEX('Availability Model'!$C$67:$T$71, MATCH($K$138,'Availability Model'!$B$67:$B$71, 0), MATCH($K$10, 'Availability Model'!$C$1:$T$1, 0))</f>
        <v>1452948.9727540854</v>
      </c>
      <c r="T150" s="65">
        <f>T93*INDEX('Availability Model'!$C$67:$T$71, MATCH($K$138,'Availability Model'!$B$67:$B$71, 0), MATCH($K$10, 'Availability Model'!$C$1:$T$1, 0))</f>
        <v>1588944.9966038677</v>
      </c>
      <c r="U150" s="65">
        <f>U93*INDEX('Availability Model'!$C$67:$T$71, MATCH($K$138,'Availability Model'!$B$67:$B$71, 0), MATCH($K$10, 'Availability Model'!$C$1:$T$1, 0))</f>
        <v>1737670.2482859897</v>
      </c>
      <c r="V150" s="65">
        <f>V93*INDEX('Availability Model'!$C$67:$T$71, MATCH($K$138,'Availability Model'!$B$67:$B$71, 0), MATCH($K$10, 'Availability Model'!$C$1:$T$1, 0))</f>
        <v>1900316.1835255581</v>
      </c>
      <c r="W150" s="65">
        <f>W93*INDEX('Availability Model'!$C$67:$T$71, MATCH($K$138,'Availability Model'!$B$67:$B$71, 0), MATCH($K$10, 'Availability Model'!$C$1:$T$1, 0))</f>
        <v>2078185.7783035501</v>
      </c>
      <c r="X150" s="65">
        <f>X93*INDEX('Availability Model'!$C$67:$T$71, MATCH($K$138,'Availability Model'!$B$67:$B$71, 0), MATCH($K$10, 'Availability Model'!$C$1:$T$1, 0))</f>
        <v>2272703.9671527622</v>
      </c>
      <c r="Y150" s="65">
        <f>Y93*INDEX('Availability Model'!$C$67:$T$71, MATCH($K$138,'Availability Model'!$B$67:$B$71, 0), MATCH($K$10, 'Availability Model'!$C$1:$T$1, 0))</f>
        <v>2485429.0584782604</v>
      </c>
      <c r="Z150" s="65">
        <f>Z93*INDEX('Availability Model'!$C$67:$T$71, MATCH($K$138,'Availability Model'!$B$67:$B$71, 0), MATCH($K$10, 'Availability Model'!$C$1:$T$1, 0))</f>
        <v>2718065.2183518251</v>
      </c>
      <c r="AA150" s="65">
        <f>AA93*INDEX('Availability Model'!$C$67:$T$71, MATCH($K$138,'Availability Model'!$B$67:$B$71, 0), MATCH($K$10, 'Availability Model'!$C$1:$T$1, 0))</f>
        <v>2972476.1227895557</v>
      </c>
      <c r="AB150" s="65">
        <f>AB93*INDEX('Availability Model'!$C$67:$T$71, MATCH($K$138,'Availability Model'!$B$67:$B$71, 0), MATCH($K$10, 'Availability Model'!$C$1:$T$1, 0))</f>
        <v>3250699.8878826578</v>
      </c>
      <c r="AC150" s="65">
        <f>AC93*INDEX('Availability Model'!$C$67:$T$71, MATCH($K$138,'Availability Model'!$B$67:$B$71, 0), MATCH($K$10, 'Availability Model'!$C$1:$T$1, 0))</f>
        <v>3554965.3973884741</v>
      </c>
      <c r="AD150" s="65">
        <f>AD93*INDEX('Availability Model'!$C$67:$T$71, MATCH($K$138,'Availability Model'!$B$67:$B$71, 0), MATCH($K$10, 'Availability Model'!$C$1:$T$1, 0))</f>
        <v>3887710.158584035</v>
      </c>
      <c r="AE150" s="65">
        <f>AE93*INDEX('Availability Model'!$C$67:$T$71, MATCH($K$138,'Availability Model'!$B$67:$B$71, 0), MATCH($K$10, 'Availability Model'!$C$1:$T$1, 0))</f>
        <v>4251599.8294275003</v>
      </c>
      <c r="AF150" s="65">
        <f>AF93*INDEX('Availability Model'!$C$67:$T$71, MATCH($K$138,'Availability Model'!$B$67:$B$71, 0), MATCH($K$10, 'Availability Model'!$C$1:$T$1, 0))</f>
        <v>4649549.5734619144</v>
      </c>
      <c r="AG150" s="65">
        <f>AG93*INDEX('Availability Model'!$C$67:$T$71, MATCH($K$138,'Availability Model'!$B$67:$B$71, 0), MATCH($K$10, 'Availability Model'!$C$1:$T$1, 0))</f>
        <v>5084747.4135379493</v>
      </c>
      <c r="AH150" s="65">
        <f>AH93*INDEX('Availability Model'!$C$67:$T$71, MATCH($K$138,'Availability Model'!$B$67:$B$71, 0), MATCH($K$10, 'Availability Model'!$C$1:$T$1, 0))</f>
        <v>5560679.7714451002</v>
      </c>
      <c r="AI150" s="65">
        <f>AI93*INDEX('Availability Model'!$C$67:$T$71, MATCH($K$138,'Availability Model'!$B$67:$B$71, 0), MATCH($K$10, 'Availability Model'!$C$1:$T$1, 0))</f>
        <v>6081159.3980523599</v>
      </c>
      <c r="AJ150" s="65">
        <f>AJ93*INDEX('Availability Model'!$C$67:$T$71, MATCH($K$138,'Availability Model'!$B$67:$B$71, 0), MATCH($K$10, 'Availability Model'!$C$1:$T$1, 0))</f>
        <v>6650355.9177100612</v>
      </c>
      <c r="AK150" s="65">
        <f>AK93*INDEX('Availability Model'!$C$67:$T$71, MATCH($K$138,'Availability Model'!$B$67:$B$71, 0), MATCH($K$10, 'Availability Model'!$C$1:$T$1, 0))</f>
        <v>7272829.2316077221</v>
      </c>
      <c r="AL150" s="65">
        <f>AL93*INDEX('Availability Model'!$C$67:$T$71, MATCH($K$138,'Availability Model'!$B$67:$B$71, 0), MATCH($K$10, 'Availability Model'!$C$1:$T$1, 0))</f>
        <v>7953566.0476862052</v>
      </c>
    </row>
    <row r="151" spans="4:38">
      <c r="D151" s="3" t="s">
        <v>324</v>
      </c>
      <c r="E151" s="16" t="s">
        <v>211</v>
      </c>
      <c r="K151" s="65">
        <f>K95*INDEX('Availability Model'!$C$67:$T$71, MATCH($K$138,'Availability Model'!$B$67:$B$71, 0), MATCH($K$10, 'Availability Model'!$C$1:$T$1, 0))</f>
        <v>14243.399999999998</v>
      </c>
      <c r="L151" s="65">
        <f>L95*INDEX('Availability Model'!$C$67:$T$71, MATCH($K$138,'Availability Model'!$B$67:$B$71, 0), MATCH($K$10, 'Availability Model'!$C$1:$T$1, 0))</f>
        <v>14708.32692016032</v>
      </c>
      <c r="M151" s="65">
        <f>M95*INDEX('Availability Model'!$C$67:$T$71, MATCH($K$138,'Availability Model'!$B$67:$B$71, 0), MATCH($K$10, 'Availability Model'!$C$1:$T$1, 0))</f>
        <v>16770.509914189428</v>
      </c>
      <c r="N151" s="65">
        <f>N95*INDEX('Availability Model'!$C$67:$T$71, MATCH($K$138,'Availability Model'!$B$67:$B$71, 0), MATCH($K$10, 'Availability Model'!$C$1:$T$1, 0))</f>
        <v>45902.428793536092</v>
      </c>
      <c r="O151" s="65">
        <f>O95*INDEX('Availability Model'!$C$67:$T$71, MATCH($K$138,'Availability Model'!$B$67:$B$71, 0), MATCH($K$10, 'Availability Model'!$C$1:$T$1, 0))</f>
        <v>54431.042743014616</v>
      </c>
      <c r="P151" s="65">
        <f>P95*INDEX('Availability Model'!$C$67:$T$71, MATCH($K$138,'Availability Model'!$B$67:$B$71, 0), MATCH($K$10, 'Availability Model'!$C$1:$T$1, 0))</f>
        <v>59525.788343760774</v>
      </c>
      <c r="Q151" s="65">
        <f>Q95*INDEX('Availability Model'!$C$67:$T$71, MATCH($K$138,'Availability Model'!$B$67:$B$71, 0), MATCH($K$10, 'Availability Model'!$C$1:$T$1, 0))</f>
        <v>65097.402132736781</v>
      </c>
      <c r="R151" s="65">
        <f>R95*INDEX('Availability Model'!$C$67:$T$71, MATCH($K$138,'Availability Model'!$B$67:$B$71, 0), MATCH($K$10, 'Availability Model'!$C$1:$T$1, 0))</f>
        <v>71190.518972360936</v>
      </c>
      <c r="S151" s="65">
        <f>S95*INDEX('Availability Model'!$C$67:$T$71, MATCH($K$138,'Availability Model'!$B$67:$B$71, 0), MATCH($K$10, 'Availability Model'!$C$1:$T$1, 0))</f>
        <v>77853.951548173922</v>
      </c>
      <c r="T151" s="65">
        <f>T95*INDEX('Availability Model'!$C$67:$T$71, MATCH($K$138,'Availability Model'!$B$67:$B$71, 0), MATCH($K$10, 'Availability Model'!$C$1:$T$1, 0))</f>
        <v>85141.081413082997</v>
      </c>
      <c r="U151" s="65">
        <f>U95*INDEX('Availability Model'!$C$67:$T$71, MATCH($K$138,'Availability Model'!$B$67:$B$71, 0), MATCH($K$10, 'Availability Model'!$C$1:$T$1, 0))</f>
        <v>93110.286633347569</v>
      </c>
      <c r="V151" s="65">
        <f>V95*INDEX('Availability Model'!$C$67:$T$71, MATCH($K$138,'Availability Model'!$B$67:$B$71, 0), MATCH($K$10, 'Availability Model'!$C$1:$T$1, 0))</f>
        <v>101825.40946222887</v>
      </c>
      <c r="W151" s="65">
        <f>W95*INDEX('Availability Model'!$C$67:$T$71, MATCH($K$138,'Availability Model'!$B$67:$B$71, 0), MATCH($K$10, 'Availability Model'!$C$1:$T$1, 0))</f>
        <v>111356.26778789349</v>
      </c>
      <c r="X151" s="65">
        <f>X95*INDEX('Availability Model'!$C$67:$T$71, MATCH($K$138,'Availability Model'!$B$67:$B$71, 0), MATCH($K$10, 'Availability Model'!$C$1:$T$1, 0))</f>
        <v>121779.21445284033</v>
      </c>
      <c r="Y151" s="65">
        <f>Y95*INDEX('Availability Model'!$C$67:$T$71, MATCH($K$138,'Availability Model'!$B$67:$B$71, 0), MATCH($K$10, 'Availability Model'!$C$1:$T$1, 0))</f>
        <v>133177.74892562616</v>
      </c>
      <c r="Z151" s="65">
        <f>Z95*INDEX('Availability Model'!$C$67:$T$71, MATCH($K$138,'Availability Model'!$B$67:$B$71, 0), MATCH($K$10, 'Availability Model'!$C$1:$T$1, 0))</f>
        <v>145643.18622506474</v>
      </c>
      <c r="AA151" s="65">
        <f>AA95*INDEX('Availability Model'!$C$67:$T$71, MATCH($K$138,'Availability Model'!$B$67:$B$71, 0), MATCH($K$10, 'Availability Model'!$C$1:$T$1, 0))</f>
        <v>159275.3884557308</v>
      </c>
      <c r="AB151" s="65">
        <f>AB95*INDEX('Availability Model'!$C$67:$T$71, MATCH($K$138,'Availability Model'!$B$67:$B$71, 0), MATCH($K$10, 'Availability Model'!$C$1:$T$1, 0))</f>
        <v>174183.56481518719</v>
      </c>
      <c r="AC151" s="65">
        <f>AC95*INDEX('Availability Model'!$C$67:$T$71, MATCH($K$138,'Availability Model'!$B$67:$B$71, 0), MATCH($K$10, 'Availability Model'!$C$1:$T$1, 0))</f>
        <v>190487.14648188869</v>
      </c>
      <c r="AD151" s="65">
        <f>AD95*INDEX('Availability Model'!$C$67:$T$71, MATCH($K$138,'Availability Model'!$B$67:$B$71, 0), MATCH($K$10, 'Availability Model'!$C$1:$T$1, 0))</f>
        <v>208316.74339259349</v>
      </c>
      <c r="AE151" s="65">
        <f>AE95*INDEX('Availability Model'!$C$67:$T$71, MATCH($K$138,'Availability Model'!$B$67:$B$71, 0), MATCH($K$10, 'Availability Model'!$C$1:$T$1, 0))</f>
        <v>227815.1905741402</v>
      </c>
      <c r="AF151" s="65">
        <f>AF95*INDEX('Availability Model'!$C$67:$T$71, MATCH($K$138,'Availability Model'!$B$67:$B$71, 0), MATCH($K$10, 'Availability Model'!$C$1:$T$1, 0))</f>
        <v>249138.69241187975</v>
      </c>
      <c r="AG151" s="65">
        <f>AG95*INDEX('Availability Model'!$C$67:$T$71, MATCH($K$138,'Availability Model'!$B$67:$B$71, 0), MATCH($K$10, 'Availability Model'!$C$1:$T$1, 0))</f>
        <v>272458.07402163168</v>
      </c>
      <c r="AH151" s="65">
        <f>AH95*INDEX('Availability Model'!$C$67:$T$71, MATCH($K$138,'Availability Model'!$B$67:$B$71, 0), MATCH($K$10, 'Availability Model'!$C$1:$T$1, 0))</f>
        <v>297960.14975005639</v>
      </c>
      <c r="AI151" s="65">
        <f>AI95*INDEX('Availability Model'!$C$67:$T$71, MATCH($K$138,'Availability Model'!$B$67:$B$71, 0), MATCH($K$10, 'Availability Model'!$C$1:$T$1, 0))</f>
        <v>325849.21976666164</v>
      </c>
      <c r="AJ151" s="65">
        <f>AJ95*INDEX('Availability Model'!$C$67:$T$71, MATCH($K$138,'Availability Model'!$B$67:$B$71, 0), MATCH($K$10, 'Availability Model'!$C$1:$T$1, 0))</f>
        <v>356348.7067368211</v>
      </c>
      <c r="AK151" s="65">
        <f>AK95*INDEX('Availability Model'!$C$67:$T$71, MATCH($K$138,'Availability Model'!$B$67:$B$71, 0), MATCH($K$10, 'Availability Model'!$C$1:$T$1, 0))</f>
        <v>389702.94568738755</v>
      </c>
      <c r="AL151" s="65">
        <f>AL95*INDEX('Availability Model'!$C$67:$T$71, MATCH($K$138,'Availability Model'!$B$67:$B$71, 0), MATCH($K$10, 'Availability Model'!$C$1:$T$1, 0))</f>
        <v>426179.141403727</v>
      </c>
    </row>
    <row r="152" spans="4:38">
      <c r="D152" s="3" t="s">
        <v>321</v>
      </c>
      <c r="E152" s="3" t="s">
        <v>211</v>
      </c>
      <c r="K152" s="65">
        <f>IF(K27&gt;0,K150+K151,0)</f>
        <v>204582.41249999998</v>
      </c>
      <c r="L152" s="65">
        <f t="shared" ref="L152:AL152" si="69">IF(L27&gt;0,L150+L151,0)</f>
        <v>211260.3033801686</v>
      </c>
      <c r="M152" s="65">
        <f t="shared" si="69"/>
        <v>240880.0832034515</v>
      </c>
      <c r="N152" s="65">
        <f t="shared" si="69"/>
        <v>659310.95259496151</v>
      </c>
      <c r="O152" s="65">
        <f t="shared" si="69"/>
        <v>0</v>
      </c>
      <c r="P152" s="65">
        <f t="shared" si="69"/>
        <v>0</v>
      </c>
      <c r="Q152" s="65">
        <f t="shared" si="69"/>
        <v>0</v>
      </c>
      <c r="R152" s="65">
        <f t="shared" si="69"/>
        <v>0</v>
      </c>
      <c r="S152" s="65">
        <f t="shared" si="69"/>
        <v>0</v>
      </c>
      <c r="T152" s="65">
        <f t="shared" si="69"/>
        <v>0</v>
      </c>
      <c r="U152" s="65">
        <f t="shared" si="69"/>
        <v>0</v>
      </c>
      <c r="V152" s="65">
        <f t="shared" si="69"/>
        <v>0</v>
      </c>
      <c r="W152" s="65">
        <f t="shared" si="69"/>
        <v>0</v>
      </c>
      <c r="X152" s="65">
        <f t="shared" si="69"/>
        <v>0</v>
      </c>
      <c r="Y152" s="65">
        <f t="shared" si="69"/>
        <v>0</v>
      </c>
      <c r="Z152" s="65">
        <f t="shared" si="69"/>
        <v>0</v>
      </c>
      <c r="AA152" s="65">
        <f t="shared" si="69"/>
        <v>0</v>
      </c>
      <c r="AB152" s="65">
        <f t="shared" si="69"/>
        <v>0</v>
      </c>
      <c r="AC152" s="65">
        <f t="shared" si="69"/>
        <v>3745452.5438703629</v>
      </c>
      <c r="AD152" s="65">
        <f t="shared" si="69"/>
        <v>4096026.9019766287</v>
      </c>
      <c r="AE152" s="65">
        <f t="shared" si="69"/>
        <v>4479415.0200016405</v>
      </c>
      <c r="AF152" s="65">
        <f t="shared" si="69"/>
        <v>4898688.2658737944</v>
      </c>
      <c r="AG152" s="65">
        <f t="shared" si="69"/>
        <v>5357205.4875595812</v>
      </c>
      <c r="AH152" s="65">
        <f t="shared" si="69"/>
        <v>5858639.9211951569</v>
      </c>
      <c r="AI152" s="65">
        <f t="shared" si="69"/>
        <v>6407008.6178190215</v>
      </c>
      <c r="AJ152" s="65">
        <f t="shared" si="69"/>
        <v>7006704.6244468819</v>
      </c>
      <c r="AK152" s="65">
        <f t="shared" si="69"/>
        <v>7662532.1772951093</v>
      </c>
      <c r="AL152" s="65">
        <f t="shared" si="69"/>
        <v>8379745.1890899325</v>
      </c>
    </row>
    <row r="153" spans="4:38">
      <c r="D153" s="7"/>
      <c r="E153" s="16"/>
    </row>
    <row r="154" spans="4:38" ht="18">
      <c r="D154" s="15" t="s">
        <v>249</v>
      </c>
    </row>
    <row r="155" spans="4:38" ht="15">
      <c r="D155" s="100" t="s">
        <v>250</v>
      </c>
      <c r="E155" s="101"/>
      <c r="F155" s="101"/>
      <c r="G155" s="101"/>
      <c r="H155" s="101"/>
      <c r="I155" s="101"/>
      <c r="J155" s="101"/>
      <c r="K155" s="101"/>
    </row>
    <row r="156" spans="4:38">
      <c r="D156" s="102" t="s">
        <v>299</v>
      </c>
      <c r="E156" s="103" t="s">
        <v>169</v>
      </c>
      <c r="F156" s="101"/>
      <c r="G156" s="101"/>
      <c r="H156" s="101"/>
      <c r="I156" s="101"/>
      <c r="J156" s="101"/>
      <c r="K156" s="101" t="str">
        <f>Inputs!E69</f>
        <v>Low</v>
      </c>
      <c r="M156" s="7"/>
    </row>
    <row r="157" spans="4:38">
      <c r="D157" s="102" t="s">
        <v>329</v>
      </c>
      <c r="E157" s="103" t="s">
        <v>303</v>
      </c>
      <c r="F157" s="101"/>
      <c r="G157" s="101"/>
      <c r="H157" s="101"/>
      <c r="I157" s="101"/>
      <c r="J157" s="101"/>
      <c r="K157" s="101">
        <f>INDEX('Availability Model'!$C$4:$T$8, MATCH($K$129,'Availability Model'!$B$4:$B$8, 0), MATCH($K$10, 'Availability Model'!$C$1:$T$1, 0))</f>
        <v>2</v>
      </c>
      <c r="M157" s="7"/>
    </row>
    <row r="158" spans="4:38">
      <c r="D158" s="102" t="s">
        <v>301</v>
      </c>
      <c r="E158" s="103" t="s">
        <v>106</v>
      </c>
      <c r="F158" s="101"/>
      <c r="G158" s="101"/>
      <c r="H158" s="101"/>
      <c r="I158" s="101"/>
      <c r="J158" s="101"/>
      <c r="K158" s="101"/>
      <c r="M158" s="7"/>
    </row>
    <row r="159" spans="4:38">
      <c r="D159" s="102" t="s">
        <v>302</v>
      </c>
      <c r="E159" s="103" t="s">
        <v>106</v>
      </c>
      <c r="F159" s="101"/>
      <c r="G159" s="101"/>
      <c r="H159" s="101"/>
      <c r="I159" s="101"/>
      <c r="J159" s="101"/>
      <c r="K159" s="101">
        <f>Inputs!E132</f>
        <v>376680</v>
      </c>
      <c r="M159" s="7"/>
    </row>
    <row r="160" spans="4:38">
      <c r="D160" s="102" t="s">
        <v>326</v>
      </c>
      <c r="E160" s="103" t="s">
        <v>106</v>
      </c>
      <c r="F160" s="101"/>
      <c r="G160" s="101"/>
      <c r="H160" s="101"/>
      <c r="I160" s="101"/>
      <c r="J160" s="101"/>
      <c r="K160" s="101">
        <f>K158-K159</f>
        <v>-376680</v>
      </c>
      <c r="M160" s="7"/>
    </row>
    <row r="161" spans="4:38">
      <c r="D161" s="7"/>
    </row>
    <row r="163" spans="4:38" ht="15">
      <c r="D163" s="4" t="s">
        <v>137</v>
      </c>
    </row>
    <row r="164" spans="4:38">
      <c r="D164" s="7" t="s">
        <v>299</v>
      </c>
      <c r="E164" s="16" t="s">
        <v>169</v>
      </c>
      <c r="K164" t="str">
        <f>Inputs!E70</f>
        <v>Good</v>
      </c>
      <c r="L164" t="str">
        <f>Inputs!F70</f>
        <v>Good</v>
      </c>
      <c r="M164" t="str">
        <f>Inputs!G70</f>
        <v>Good</v>
      </c>
      <c r="N164" t="str">
        <f>Inputs!H70</f>
        <v>Good</v>
      </c>
      <c r="O164" t="str">
        <f>Inputs!I70</f>
        <v>Good</v>
      </c>
      <c r="P164" t="str">
        <f>Inputs!J70</f>
        <v>Good</v>
      </c>
      <c r="Q164" t="str">
        <f>P164</f>
        <v>Good</v>
      </c>
      <c r="R164" t="str">
        <f t="shared" ref="R164:AL164" si="70">Q164</f>
        <v>Good</v>
      </c>
      <c r="S164" t="str">
        <f t="shared" si="70"/>
        <v>Good</v>
      </c>
      <c r="T164" t="str">
        <f t="shared" si="70"/>
        <v>Good</v>
      </c>
      <c r="U164" t="str">
        <f t="shared" si="70"/>
        <v>Good</v>
      </c>
      <c r="V164" t="str">
        <f t="shared" si="70"/>
        <v>Good</v>
      </c>
      <c r="W164" t="str">
        <f t="shared" si="70"/>
        <v>Good</v>
      </c>
      <c r="X164" t="str">
        <f t="shared" si="70"/>
        <v>Good</v>
      </c>
      <c r="Y164" t="str">
        <f t="shared" si="70"/>
        <v>Good</v>
      </c>
      <c r="Z164" t="str">
        <f t="shared" si="70"/>
        <v>Good</v>
      </c>
      <c r="AA164" t="str">
        <f t="shared" si="70"/>
        <v>Good</v>
      </c>
      <c r="AB164" t="str">
        <f t="shared" si="70"/>
        <v>Good</v>
      </c>
      <c r="AC164" t="str">
        <f t="shared" si="70"/>
        <v>Good</v>
      </c>
      <c r="AD164" t="str">
        <f t="shared" si="70"/>
        <v>Good</v>
      </c>
      <c r="AE164" t="str">
        <f t="shared" si="70"/>
        <v>Good</v>
      </c>
      <c r="AF164" t="str">
        <f t="shared" si="70"/>
        <v>Good</v>
      </c>
      <c r="AG164" t="str">
        <f t="shared" si="70"/>
        <v>Good</v>
      </c>
      <c r="AH164" t="str">
        <f t="shared" si="70"/>
        <v>Good</v>
      </c>
      <c r="AI164" t="str">
        <f t="shared" si="70"/>
        <v>Good</v>
      </c>
      <c r="AJ164" t="str">
        <f t="shared" si="70"/>
        <v>Good</v>
      </c>
      <c r="AK164" t="str">
        <f t="shared" si="70"/>
        <v>Good</v>
      </c>
      <c r="AL164" t="str">
        <f t="shared" si="70"/>
        <v>Good</v>
      </c>
    </row>
    <row r="165" spans="4:38">
      <c r="D165" s="7" t="s">
        <v>300</v>
      </c>
      <c r="E165" s="16" t="s">
        <v>303</v>
      </c>
      <c r="K165">
        <f>INDEX('Availability Model'!$C$81:$T$84, MATCH($K$164,'Availability Model'!$B$81:$B$84, 0), MATCH($K$10, 'Availability Model'!$C$1:$T$1, 0))</f>
        <v>0</v>
      </c>
      <c r="L165">
        <f>INDEX('Availability Model'!$C$81:$T$84, MATCH($K$164,'Availability Model'!$B$81:$B$84, 0), MATCH($K$10, 'Availability Model'!$C$1:$T$1, 0))</f>
        <v>0</v>
      </c>
      <c r="M165">
        <f>INDEX('Availability Model'!$C$81:$T$84, MATCH($K$164,'Availability Model'!$B$81:$B$84, 0), MATCH($K$10, 'Availability Model'!$C$1:$T$1, 0))</f>
        <v>0</v>
      </c>
      <c r="N165">
        <f>INDEX('Availability Model'!$C$81:$T$84, MATCH($K$164,'Availability Model'!$B$81:$B$84, 0), MATCH($K$10, 'Availability Model'!$C$1:$T$1, 0))</f>
        <v>0</v>
      </c>
      <c r="O165">
        <f>INDEX('Availability Model'!$C$81:$T$84, MATCH($K$164,'Availability Model'!$B$81:$B$84, 0), MATCH($K$10, 'Availability Model'!$C$1:$T$1, 0))</f>
        <v>0</v>
      </c>
      <c r="P165">
        <f>INDEX('Availability Model'!$C$81:$T$84, MATCH($K$164,'Availability Model'!$B$81:$B$84, 0), MATCH($K$10, 'Availability Model'!$C$1:$T$1, 0))</f>
        <v>0</v>
      </c>
      <c r="Q165">
        <f>INDEX('Availability Model'!$C$81:$T$84, MATCH($K$164,'Availability Model'!$B$81:$B$84, 0), MATCH($K$10, 'Availability Model'!$C$1:$T$1, 0))</f>
        <v>0</v>
      </c>
      <c r="R165">
        <f>INDEX('Availability Model'!$C$81:$T$84, MATCH($K$164,'Availability Model'!$B$81:$B$84, 0), MATCH($K$10, 'Availability Model'!$C$1:$T$1, 0))</f>
        <v>0</v>
      </c>
      <c r="S165">
        <f>INDEX('Availability Model'!$C$81:$T$84, MATCH($K$164,'Availability Model'!$B$81:$B$84, 0), MATCH($K$10, 'Availability Model'!$C$1:$T$1, 0))</f>
        <v>0</v>
      </c>
      <c r="T165">
        <f>INDEX('Availability Model'!$C$81:$T$84, MATCH($K$164,'Availability Model'!$B$81:$B$84, 0), MATCH($K$10, 'Availability Model'!$C$1:$T$1, 0))</f>
        <v>0</v>
      </c>
      <c r="U165">
        <f>INDEX('Availability Model'!$C$81:$T$84, MATCH($K$164,'Availability Model'!$B$81:$B$84, 0), MATCH($K$10, 'Availability Model'!$C$1:$T$1, 0))</f>
        <v>0</v>
      </c>
      <c r="V165">
        <f>INDEX('Availability Model'!$C$81:$T$84, MATCH($K$164,'Availability Model'!$B$81:$B$84, 0), MATCH($K$10, 'Availability Model'!$C$1:$T$1, 0))</f>
        <v>0</v>
      </c>
      <c r="W165">
        <f>INDEX('Availability Model'!$C$81:$T$84, MATCH($K$164,'Availability Model'!$B$81:$B$84, 0), MATCH($K$10, 'Availability Model'!$C$1:$T$1, 0))</f>
        <v>0</v>
      </c>
      <c r="X165">
        <f>INDEX('Availability Model'!$C$81:$T$84, MATCH($K$164,'Availability Model'!$B$81:$B$84, 0), MATCH($K$10, 'Availability Model'!$C$1:$T$1, 0))</f>
        <v>0</v>
      </c>
      <c r="Y165">
        <f>INDEX('Availability Model'!$C$81:$T$84, MATCH($K$164,'Availability Model'!$B$81:$B$84, 0), MATCH($K$10, 'Availability Model'!$C$1:$T$1, 0))</f>
        <v>0</v>
      </c>
      <c r="Z165">
        <f>INDEX('Availability Model'!$C$81:$T$84, MATCH($K$164,'Availability Model'!$B$81:$B$84, 0), MATCH($K$10, 'Availability Model'!$C$1:$T$1, 0))</f>
        <v>0</v>
      </c>
      <c r="AA165">
        <f>INDEX('Availability Model'!$C$81:$T$84, MATCH($K$164,'Availability Model'!$B$81:$B$84, 0), MATCH($K$10, 'Availability Model'!$C$1:$T$1, 0))</f>
        <v>0</v>
      </c>
      <c r="AB165">
        <f>INDEX('Availability Model'!$C$81:$T$84, MATCH($K$164,'Availability Model'!$B$81:$B$84, 0), MATCH($K$10, 'Availability Model'!$C$1:$T$1, 0))</f>
        <v>0</v>
      </c>
      <c r="AC165">
        <f>INDEX('Availability Model'!$C$81:$T$84, MATCH($K$164,'Availability Model'!$B$81:$B$84, 0), MATCH($K$10, 'Availability Model'!$C$1:$T$1, 0))</f>
        <v>0</v>
      </c>
      <c r="AD165">
        <f>INDEX('Availability Model'!$C$81:$T$84, MATCH($K$164,'Availability Model'!$B$81:$B$84, 0), MATCH($K$10, 'Availability Model'!$C$1:$T$1, 0))</f>
        <v>0</v>
      </c>
      <c r="AE165">
        <f>INDEX('Availability Model'!$C$81:$T$84, MATCH($K$164,'Availability Model'!$B$81:$B$84, 0), MATCH($K$10, 'Availability Model'!$C$1:$T$1, 0))</f>
        <v>0</v>
      </c>
      <c r="AF165">
        <f>INDEX('Availability Model'!$C$81:$T$84, MATCH($K$164,'Availability Model'!$B$81:$B$84, 0), MATCH($K$10, 'Availability Model'!$C$1:$T$1, 0))</f>
        <v>0</v>
      </c>
      <c r="AG165">
        <f>INDEX('Availability Model'!$C$81:$T$84, MATCH($K$164,'Availability Model'!$B$81:$B$84, 0), MATCH($K$10, 'Availability Model'!$C$1:$T$1, 0))</f>
        <v>0</v>
      </c>
      <c r="AH165">
        <f>INDEX('Availability Model'!$C$81:$T$84, MATCH($K$164,'Availability Model'!$B$81:$B$84, 0), MATCH($K$10, 'Availability Model'!$C$1:$T$1, 0))</f>
        <v>0</v>
      </c>
      <c r="AI165">
        <f>INDEX('Availability Model'!$C$81:$T$84, MATCH($K$164,'Availability Model'!$B$81:$B$84, 0), MATCH($K$10, 'Availability Model'!$C$1:$T$1, 0))</f>
        <v>0</v>
      </c>
      <c r="AJ165">
        <f>INDEX('Availability Model'!$C$81:$T$84, MATCH($K$164,'Availability Model'!$B$81:$B$84, 0), MATCH($K$10, 'Availability Model'!$C$1:$T$1, 0))</f>
        <v>0</v>
      </c>
      <c r="AK165">
        <f>INDEX('Availability Model'!$C$81:$T$84, MATCH($K$164,'Availability Model'!$B$81:$B$84, 0), MATCH($K$10, 'Availability Model'!$C$1:$T$1, 0))</f>
        <v>0</v>
      </c>
      <c r="AL165">
        <f>INDEX('Availability Model'!$C$81:$T$84, MATCH($K$164,'Availability Model'!$B$81:$B$84, 0), MATCH($K$10, 'Availability Model'!$C$1:$T$1, 0))</f>
        <v>0</v>
      </c>
    </row>
    <row r="166" spans="4:38">
      <c r="D166" s="7" t="s">
        <v>312</v>
      </c>
      <c r="E166" s="16" t="s">
        <v>106</v>
      </c>
      <c r="K166">
        <f>K165*INDEX('Availability Model'!$C$81:$T$84, MATCH($K$164,'Availability Model'!$B$81:$B$84, 0), MATCH($K$10, 'Availability Model'!$C$1:$T$1, 0))</f>
        <v>0</v>
      </c>
      <c r="L166">
        <f>L165*INDEX('Availability Model'!$C$81:$T$84, MATCH($K$164,'Availability Model'!$B$81:$B$84, 0), MATCH($K$10, 'Availability Model'!$C$1:$T$1, 0))</f>
        <v>0</v>
      </c>
      <c r="M166">
        <f>M165*INDEX('Availability Model'!$C$81:$T$84, MATCH($K$164,'Availability Model'!$B$81:$B$84, 0), MATCH($K$10, 'Availability Model'!$C$1:$T$1, 0))</f>
        <v>0</v>
      </c>
      <c r="N166">
        <f>N165*INDEX('Availability Model'!$C$81:$T$84, MATCH($K$164,'Availability Model'!$B$81:$B$84, 0), MATCH($K$10, 'Availability Model'!$C$1:$T$1, 0))</f>
        <v>0</v>
      </c>
      <c r="O166">
        <f>O165*INDEX('Availability Model'!$C$81:$T$84, MATCH($K$164,'Availability Model'!$B$81:$B$84, 0), MATCH($K$10, 'Availability Model'!$C$1:$T$1, 0))</f>
        <v>0</v>
      </c>
      <c r="P166">
        <f>P165*INDEX('Availability Model'!$C$81:$T$84, MATCH($K$164,'Availability Model'!$B$81:$B$84, 0), MATCH($K$10, 'Availability Model'!$C$1:$T$1, 0))</f>
        <v>0</v>
      </c>
      <c r="Q166">
        <f>Q165*INDEX('Availability Model'!$C$81:$T$84, MATCH($K$164,'Availability Model'!$B$81:$B$84, 0), MATCH($K$10, 'Availability Model'!$C$1:$T$1, 0))</f>
        <v>0</v>
      </c>
      <c r="R166">
        <f>R165*INDEX('Availability Model'!$C$81:$T$84, MATCH($K$164,'Availability Model'!$B$81:$B$84, 0), MATCH($K$10, 'Availability Model'!$C$1:$T$1, 0))</f>
        <v>0</v>
      </c>
      <c r="S166">
        <f>S165*INDEX('Availability Model'!$C$81:$T$84, MATCH($K$164,'Availability Model'!$B$81:$B$84, 0), MATCH($K$10, 'Availability Model'!$C$1:$T$1, 0))</f>
        <v>0</v>
      </c>
      <c r="T166">
        <f>T165*INDEX('Availability Model'!$C$81:$T$84, MATCH($K$164,'Availability Model'!$B$81:$B$84, 0), MATCH($K$10, 'Availability Model'!$C$1:$T$1, 0))</f>
        <v>0</v>
      </c>
      <c r="U166">
        <f>U165*INDEX('Availability Model'!$C$81:$T$84, MATCH($K$164,'Availability Model'!$B$81:$B$84, 0), MATCH($K$10, 'Availability Model'!$C$1:$T$1, 0))</f>
        <v>0</v>
      </c>
      <c r="V166">
        <f>V165*INDEX('Availability Model'!$C$81:$T$84, MATCH($K$164,'Availability Model'!$B$81:$B$84, 0), MATCH($K$10, 'Availability Model'!$C$1:$T$1, 0))</f>
        <v>0</v>
      </c>
      <c r="W166">
        <f>W165*INDEX('Availability Model'!$C$81:$T$84, MATCH($K$164,'Availability Model'!$B$81:$B$84, 0), MATCH($K$10, 'Availability Model'!$C$1:$T$1, 0))</f>
        <v>0</v>
      </c>
      <c r="X166">
        <f>X165*INDEX('Availability Model'!$C$81:$T$84, MATCH($K$164,'Availability Model'!$B$81:$B$84, 0), MATCH($K$10, 'Availability Model'!$C$1:$T$1, 0))</f>
        <v>0</v>
      </c>
      <c r="Y166">
        <f>Y165*INDEX('Availability Model'!$C$81:$T$84, MATCH($K$164,'Availability Model'!$B$81:$B$84, 0), MATCH($K$10, 'Availability Model'!$C$1:$T$1, 0))</f>
        <v>0</v>
      </c>
      <c r="Z166">
        <f>Z165*INDEX('Availability Model'!$C$81:$T$84, MATCH($K$164,'Availability Model'!$B$81:$B$84, 0), MATCH($K$10, 'Availability Model'!$C$1:$T$1, 0))</f>
        <v>0</v>
      </c>
      <c r="AA166">
        <f>AA165*INDEX('Availability Model'!$C$81:$T$84, MATCH($K$164,'Availability Model'!$B$81:$B$84, 0), MATCH($K$10, 'Availability Model'!$C$1:$T$1, 0))</f>
        <v>0</v>
      </c>
      <c r="AB166">
        <f>AB165*INDEX('Availability Model'!$C$81:$T$84, MATCH($K$164,'Availability Model'!$B$81:$B$84, 0), MATCH($K$10, 'Availability Model'!$C$1:$T$1, 0))</f>
        <v>0</v>
      </c>
      <c r="AC166">
        <f>AC165*INDEX('Availability Model'!$C$81:$T$84, MATCH($K$164,'Availability Model'!$B$81:$B$84, 0), MATCH($K$10, 'Availability Model'!$C$1:$T$1, 0))</f>
        <v>0</v>
      </c>
      <c r="AD166">
        <f>AD165*INDEX('Availability Model'!$C$81:$T$84, MATCH($K$164,'Availability Model'!$B$81:$B$84, 0), MATCH($K$10, 'Availability Model'!$C$1:$T$1, 0))</f>
        <v>0</v>
      </c>
      <c r="AE166">
        <f>AE165*INDEX('Availability Model'!$C$81:$T$84, MATCH($K$164,'Availability Model'!$B$81:$B$84, 0), MATCH($K$10, 'Availability Model'!$C$1:$T$1, 0))</f>
        <v>0</v>
      </c>
      <c r="AF166">
        <f>AF165*INDEX('Availability Model'!$C$81:$T$84, MATCH($K$164,'Availability Model'!$B$81:$B$84, 0), MATCH($K$10, 'Availability Model'!$C$1:$T$1, 0))</f>
        <v>0</v>
      </c>
      <c r="AG166">
        <f>AG165*INDEX('Availability Model'!$C$81:$T$84, MATCH($K$164,'Availability Model'!$B$81:$B$84, 0), MATCH($K$10, 'Availability Model'!$C$1:$T$1, 0))</f>
        <v>0</v>
      </c>
      <c r="AH166">
        <f>AH165*INDEX('Availability Model'!$C$81:$T$84, MATCH($K$164,'Availability Model'!$B$81:$B$84, 0), MATCH($K$10, 'Availability Model'!$C$1:$T$1, 0))</f>
        <v>0</v>
      </c>
      <c r="AI166">
        <f>AI165*INDEX('Availability Model'!$C$81:$T$84, MATCH($K$164,'Availability Model'!$B$81:$B$84, 0), MATCH($K$10, 'Availability Model'!$C$1:$T$1, 0))</f>
        <v>0</v>
      </c>
      <c r="AJ166">
        <f>AJ165*INDEX('Availability Model'!$C$81:$T$84, MATCH($K$164,'Availability Model'!$B$81:$B$84, 0), MATCH($K$10, 'Availability Model'!$C$1:$T$1, 0))</f>
        <v>0</v>
      </c>
      <c r="AK166">
        <f>AK165*INDEX('Availability Model'!$C$81:$T$84, MATCH($K$164,'Availability Model'!$B$81:$B$84, 0), MATCH($K$10, 'Availability Model'!$C$1:$T$1, 0))</f>
        <v>0</v>
      </c>
      <c r="AL166">
        <f>AL165*INDEX('Availability Model'!$C$81:$T$84, MATCH($K$164,'Availability Model'!$B$81:$B$84, 0), MATCH($K$10, 'Availability Model'!$C$1:$T$1, 0))</f>
        <v>0</v>
      </c>
    </row>
    <row r="167" spans="4:38">
      <c r="D167" s="7" t="s">
        <v>302</v>
      </c>
      <c r="E167" s="16" t="s">
        <v>106</v>
      </c>
      <c r="K167" s="65">
        <f>K141</f>
        <v>1.8129533678756478</v>
      </c>
      <c r="L167" s="65">
        <f t="shared" ref="L167:AL167" si="71">L141</f>
        <v>1.9066551166747128</v>
      </c>
      <c r="M167" s="65">
        <f t="shared" si="71"/>
        <v>1.8367738032705883</v>
      </c>
      <c r="N167" s="65">
        <f t="shared" si="71"/>
        <v>1.8815339776532183</v>
      </c>
      <c r="O167" s="65">
        <f t="shared" si="71"/>
        <v>2.274116334125547</v>
      </c>
      <c r="P167" s="65">
        <f t="shared" si="71"/>
        <v>2.277607063808083</v>
      </c>
      <c r="Q167" s="65">
        <f t="shared" si="71"/>
        <v>2.0845047041176494</v>
      </c>
      <c r="R167" s="65">
        <f t="shared" si="71"/>
        <v>2.0845047041176494</v>
      </c>
      <c r="S167" s="65">
        <f t="shared" si="71"/>
        <v>1.9123332911358926</v>
      </c>
      <c r="T167" s="65">
        <f t="shared" si="71"/>
        <v>1.9148328343992786</v>
      </c>
      <c r="U167" s="65">
        <f t="shared" si="71"/>
        <v>1.9123332911358926</v>
      </c>
      <c r="V167" s="65">
        <f t="shared" si="71"/>
        <v>1.9123332911358926</v>
      </c>
      <c r="W167" s="65">
        <f t="shared" si="71"/>
        <v>1.9123332911358926</v>
      </c>
      <c r="X167" s="65">
        <f t="shared" si="71"/>
        <v>1.9148328343992786</v>
      </c>
      <c r="Y167" s="65">
        <f t="shared" si="71"/>
        <v>1.9123332911358926</v>
      </c>
      <c r="Z167" s="65">
        <f t="shared" si="71"/>
        <v>1.9123332911358926</v>
      </c>
      <c r="AA167" s="65">
        <f t="shared" si="71"/>
        <v>1.9123332911358926</v>
      </c>
      <c r="AB167" s="65">
        <f t="shared" si="71"/>
        <v>1.9148328343992786</v>
      </c>
      <c r="AC167" s="65">
        <f t="shared" si="71"/>
        <v>1.7648580665195435</v>
      </c>
      <c r="AD167" s="65">
        <f t="shared" si="71"/>
        <v>1.7648580665195435</v>
      </c>
      <c r="AE167" s="65">
        <f t="shared" si="71"/>
        <v>1.7648580665195435</v>
      </c>
      <c r="AF167" s="65">
        <f t="shared" si="71"/>
        <v>1.7682602226280411</v>
      </c>
      <c r="AG167" s="65">
        <f t="shared" si="71"/>
        <v>1.7648580665195435</v>
      </c>
      <c r="AH167" s="65">
        <f t="shared" si="71"/>
        <v>1.7648580665195435</v>
      </c>
      <c r="AI167" s="65">
        <f t="shared" si="71"/>
        <v>1.7648580665195435</v>
      </c>
      <c r="AJ167" s="65">
        <f t="shared" si="71"/>
        <v>1.7682602226280411</v>
      </c>
      <c r="AK167" s="65">
        <f t="shared" si="71"/>
        <v>1.7648580665195435</v>
      </c>
      <c r="AL167" s="65">
        <f t="shared" si="71"/>
        <v>1.7648580665195435</v>
      </c>
    </row>
    <row r="168" spans="4:38">
      <c r="D168" s="7" t="s">
        <v>313</v>
      </c>
      <c r="E168" s="16" t="s">
        <v>106</v>
      </c>
      <c r="K168" s="89">
        <f>IF((K166-K167)&gt;0, K166-K167,0)</f>
        <v>0</v>
      </c>
      <c r="L168" s="89">
        <f t="shared" ref="L168:AL168" si="72">IF((L166-L167)&gt;0, L166-L167,0)</f>
        <v>0</v>
      </c>
      <c r="M168" s="89">
        <f t="shared" si="72"/>
        <v>0</v>
      </c>
      <c r="N168" s="89">
        <f t="shared" si="72"/>
        <v>0</v>
      </c>
      <c r="O168" s="89">
        <f t="shared" si="72"/>
        <v>0</v>
      </c>
      <c r="P168" s="89">
        <f t="shared" si="72"/>
        <v>0</v>
      </c>
      <c r="Q168" s="89">
        <f t="shared" si="72"/>
        <v>0</v>
      </c>
      <c r="R168" s="89">
        <f t="shared" si="72"/>
        <v>0</v>
      </c>
      <c r="S168" s="89">
        <f t="shared" si="72"/>
        <v>0</v>
      </c>
      <c r="T168" s="89">
        <f t="shared" si="72"/>
        <v>0</v>
      </c>
      <c r="U168" s="89">
        <f t="shared" si="72"/>
        <v>0</v>
      </c>
      <c r="V168" s="89">
        <f t="shared" si="72"/>
        <v>0</v>
      </c>
      <c r="W168" s="89">
        <f t="shared" si="72"/>
        <v>0</v>
      </c>
      <c r="X168" s="89">
        <f t="shared" si="72"/>
        <v>0</v>
      </c>
      <c r="Y168" s="89">
        <f t="shared" si="72"/>
        <v>0</v>
      </c>
      <c r="Z168" s="89">
        <f t="shared" si="72"/>
        <v>0</v>
      </c>
      <c r="AA168" s="89">
        <f t="shared" si="72"/>
        <v>0</v>
      </c>
      <c r="AB168" s="89">
        <f t="shared" si="72"/>
        <v>0</v>
      </c>
      <c r="AC168" s="89">
        <f t="shared" si="72"/>
        <v>0</v>
      </c>
      <c r="AD168" s="89">
        <f t="shared" si="72"/>
        <v>0</v>
      </c>
      <c r="AE168" s="89">
        <f t="shared" si="72"/>
        <v>0</v>
      </c>
      <c r="AF168" s="89">
        <f t="shared" si="72"/>
        <v>0</v>
      </c>
      <c r="AG168" s="89">
        <f t="shared" si="72"/>
        <v>0</v>
      </c>
      <c r="AH168" s="89">
        <f t="shared" si="72"/>
        <v>0</v>
      </c>
      <c r="AI168" s="89">
        <f t="shared" si="72"/>
        <v>0</v>
      </c>
      <c r="AJ168" s="89">
        <f t="shared" si="72"/>
        <v>0</v>
      </c>
      <c r="AK168" s="89">
        <f t="shared" si="72"/>
        <v>0</v>
      </c>
      <c r="AL168" s="89">
        <f t="shared" si="72"/>
        <v>0</v>
      </c>
    </row>
    <row r="169" spans="4:38">
      <c r="D169" s="7" t="s">
        <v>314</v>
      </c>
      <c r="E169" s="16" t="s">
        <v>306</v>
      </c>
      <c r="K169" s="90">
        <f t="shared" ref="K169:AL169" si="73">IF(K168&gt;0,K168*K35,0)</f>
        <v>0</v>
      </c>
      <c r="L169" s="90">
        <f t="shared" si="73"/>
        <v>0</v>
      </c>
      <c r="M169" s="90">
        <f t="shared" si="73"/>
        <v>0</v>
      </c>
      <c r="N169" s="90">
        <f t="shared" si="73"/>
        <v>0</v>
      </c>
      <c r="O169" s="90">
        <f t="shared" si="73"/>
        <v>0</v>
      </c>
      <c r="P169" s="90">
        <f t="shared" si="73"/>
        <v>0</v>
      </c>
      <c r="Q169" s="90">
        <f t="shared" si="73"/>
        <v>0</v>
      </c>
      <c r="R169" s="90">
        <f t="shared" si="73"/>
        <v>0</v>
      </c>
      <c r="S169" s="90">
        <f t="shared" si="73"/>
        <v>0</v>
      </c>
      <c r="T169" s="90">
        <f t="shared" si="73"/>
        <v>0</v>
      </c>
      <c r="U169" s="90">
        <f t="shared" si="73"/>
        <v>0</v>
      </c>
      <c r="V169" s="90">
        <f t="shared" si="73"/>
        <v>0</v>
      </c>
      <c r="W169" s="90">
        <f t="shared" si="73"/>
        <v>0</v>
      </c>
      <c r="X169" s="90">
        <f t="shared" si="73"/>
        <v>0</v>
      </c>
      <c r="Y169" s="90">
        <f t="shared" si="73"/>
        <v>0</v>
      </c>
      <c r="Z169" s="90">
        <f t="shared" si="73"/>
        <v>0</v>
      </c>
      <c r="AA169" s="90">
        <f t="shared" si="73"/>
        <v>0</v>
      </c>
      <c r="AB169" s="90">
        <f t="shared" si="73"/>
        <v>0</v>
      </c>
      <c r="AC169" s="90">
        <f t="shared" si="73"/>
        <v>0</v>
      </c>
      <c r="AD169" s="90">
        <f t="shared" si="73"/>
        <v>0</v>
      </c>
      <c r="AE169" s="90">
        <f t="shared" si="73"/>
        <v>0</v>
      </c>
      <c r="AF169" s="90">
        <f t="shared" si="73"/>
        <v>0</v>
      </c>
      <c r="AG169" s="90">
        <f t="shared" si="73"/>
        <v>0</v>
      </c>
      <c r="AH169" s="90">
        <f t="shared" si="73"/>
        <v>0</v>
      </c>
      <c r="AI169" s="90">
        <f t="shared" si="73"/>
        <v>0</v>
      </c>
      <c r="AJ169" s="90">
        <f t="shared" si="73"/>
        <v>0</v>
      </c>
      <c r="AK169" s="90">
        <f t="shared" si="73"/>
        <v>0</v>
      </c>
      <c r="AL169" s="90">
        <f t="shared" si="73"/>
        <v>0</v>
      </c>
    </row>
    <row r="170" spans="4:38">
      <c r="D170" s="7"/>
    </row>
    <row r="171" spans="4:38">
      <c r="D171" s="3" t="s">
        <v>315</v>
      </c>
      <c r="E171" s="16" t="s">
        <v>306</v>
      </c>
      <c r="K171" s="65">
        <f>K169*INDEX('Availability Model'!$C$60:$T$64, MATCH($K$138,'Availability Model'!$B$60:$B$64, 0), MATCH($K$10, 'Availability Model'!$C$1:$T$1, 0))</f>
        <v>0</v>
      </c>
      <c r="L171" s="65">
        <f>L169*INDEX('Availability Model'!$C$60:$T$64, MATCH($K$138,'Availability Model'!$B$60:$B$64, 0), MATCH($K$10, 'Availability Model'!$C$1:$T$1, 0))</f>
        <v>0</v>
      </c>
      <c r="M171" s="65">
        <f>M169*INDEX('Availability Model'!$C$60:$T$64, MATCH($K$138,'Availability Model'!$B$60:$B$64, 0), MATCH($K$10, 'Availability Model'!$C$1:$T$1, 0))</f>
        <v>0</v>
      </c>
      <c r="N171" s="65">
        <f>N169*INDEX('Availability Model'!$C$60:$T$64, MATCH($K$138,'Availability Model'!$B$60:$B$64, 0), MATCH($K$10, 'Availability Model'!$C$1:$T$1, 0))</f>
        <v>0</v>
      </c>
      <c r="O171" s="65">
        <f>O169*INDEX('Availability Model'!$C$60:$T$64, MATCH($K$138,'Availability Model'!$B$60:$B$64, 0), MATCH($K$10, 'Availability Model'!$C$1:$T$1, 0))</f>
        <v>0</v>
      </c>
      <c r="P171" s="65">
        <f>P169*INDEX('Availability Model'!$C$60:$T$64, MATCH($K$138,'Availability Model'!$B$60:$B$64, 0), MATCH($K$10, 'Availability Model'!$C$1:$T$1, 0))</f>
        <v>0</v>
      </c>
    </row>
    <row r="172" spans="4:38">
      <c r="D172" s="3" t="s">
        <v>333</v>
      </c>
      <c r="E172" s="16" t="s">
        <v>246</v>
      </c>
      <c r="K172" s="65">
        <f>K171*Inputs!E52</f>
        <v>0</v>
      </c>
      <c r="L172" s="65">
        <f>L171*Inputs!F52</f>
        <v>0</v>
      </c>
      <c r="M172" s="65">
        <f>M171*Inputs!G52</f>
        <v>0</v>
      </c>
      <c r="N172" s="65">
        <f>N171*Inputs!H52</f>
        <v>0</v>
      </c>
      <c r="O172" s="65">
        <f>O171*Inputs!I52</f>
        <v>0</v>
      </c>
      <c r="P172" s="65">
        <f>P171*Inputs!J52</f>
        <v>0</v>
      </c>
    </row>
    <row r="173" spans="4:38">
      <c r="D173" s="89" t="s">
        <v>318</v>
      </c>
      <c r="E173" s="16" t="s">
        <v>211</v>
      </c>
      <c r="K173" s="65">
        <f>(K28*K74)*INDEX('Availability Model'!$C$93:$T$96, MATCH($K$164,'Availability Model'!$B$93:$B$96, 0), MATCH($K$10, 'Availability Model'!$C$1:$T$1, 0))</f>
        <v>104654.25</v>
      </c>
      <c r="L173" s="65">
        <f>(L28*L74)*INDEX('Availability Model'!$C$93:$T$96, MATCH($K$164,'Availability Model'!$B$93:$B$96, 0), MATCH($K$10, 'Availability Model'!$C$1:$T$1, 0))</f>
        <v>108070.32889508041</v>
      </c>
      <c r="M173" s="65">
        <f>(M28*M74)*INDEX('Availability Model'!$C$93:$T$96, MATCH($K$164,'Availability Model'!$B$93:$B$96, 0), MATCH($K$10, 'Availability Model'!$C$1:$T$1, 0))</f>
        <v>123222.34418657479</v>
      </c>
      <c r="N173" s="65">
        <f>(N28*N74)*INDEX('Availability Model'!$C$93:$T$96, MATCH($K$164,'Availability Model'!$B$93:$B$96, 0), MATCH($K$10, 'Availability Model'!$C$1:$T$1, 0))</f>
        <v>875621.78677276801</v>
      </c>
      <c r="O173" s="65">
        <f>(O28*O74)*INDEX('Availability Model'!$C$93:$T$96, MATCH($K$164,'Availability Model'!$B$93:$B$96, 0), MATCH($K$10, 'Availability Model'!$C$1:$T$1, 0))</f>
        <v>2076622.4426562337</v>
      </c>
      <c r="P173" s="65">
        <f>(P28*P74)*INDEX('Availability Model'!$C$93:$T$96, MATCH($K$164,'Availability Model'!$B$93:$B$96, 0), MATCH($K$10, 'Availability Model'!$C$1:$T$1, 0))</f>
        <v>2270994.303288857</v>
      </c>
      <c r="Q173" s="65">
        <f>(Q28*Q74)*INDEX('Availability Model'!$C$93:$T$96, MATCH($K$164,'Availability Model'!$B$93:$B$96, 0), MATCH($K$10, 'Availability Model'!$C$1:$T$1, 0))</f>
        <v>2917777.625279895</v>
      </c>
      <c r="R173" s="65">
        <f>(R28*R74)*INDEX('Availability Model'!$C$93:$T$96, MATCH($K$164,'Availability Model'!$B$93:$B$96, 0), MATCH($K$10, 'Availability Model'!$C$1:$T$1, 0))</f>
        <v>3190881.6110060923</v>
      </c>
      <c r="S173" s="65">
        <f>(S28*S74)*INDEX('Availability Model'!$C$93:$T$96, MATCH($K$164,'Availability Model'!$B$93:$B$96, 0), MATCH($K$10, 'Availability Model'!$C$1:$T$1, 0))</f>
        <v>4148079.8725400222</v>
      </c>
      <c r="T173" s="65">
        <f>(T28*T74)*INDEX('Availability Model'!$C$93:$T$96, MATCH($K$164,'Availability Model'!$B$93:$B$96, 0), MATCH($K$10, 'Availability Model'!$C$1:$T$1, 0))</f>
        <v>4536340.1486097677</v>
      </c>
      <c r="U173" s="65">
        <f>(U28*U74)*INDEX('Availability Model'!$C$93:$T$96, MATCH($K$164,'Availability Model'!$B$93:$B$96, 0), MATCH($K$10, 'Availability Model'!$C$1:$T$1, 0))</f>
        <v>4960941.5865196418</v>
      </c>
      <c r="V173" s="65">
        <f>(V28*V74)*INDEX('Availability Model'!$C$93:$T$96, MATCH($K$164,'Availability Model'!$B$93:$B$96, 0), MATCH($K$10, 'Availability Model'!$C$1:$T$1, 0))</f>
        <v>5425285.7190178791</v>
      </c>
      <c r="W173" s="65">
        <f>(W28*W74)*INDEX('Availability Model'!$C$93:$T$96, MATCH($K$164,'Availability Model'!$B$93:$B$96, 0), MATCH($K$10, 'Availability Model'!$C$1:$T$1, 0))</f>
        <v>5933092.462317952</v>
      </c>
      <c r="X173" s="65">
        <f>(X28*X74)*INDEX('Availability Model'!$C$93:$T$96, MATCH($K$164,'Availability Model'!$B$93:$B$96, 0), MATCH($K$10, 'Availability Model'!$C$1:$T$1, 0))</f>
        <v>6488429.9167909119</v>
      </c>
      <c r="Y173" s="65">
        <f>(Y28*Y74)*INDEX('Availability Model'!$C$93:$T$96, MATCH($K$164,'Availability Model'!$B$93:$B$96, 0), MATCH($K$10, 'Availability Model'!$C$1:$T$1, 0))</f>
        <v>7095746.9570025411</v>
      </c>
      <c r="Z173" s="65">
        <f>(Z28*Z74)*INDEX('Availability Model'!$C$93:$T$96, MATCH($K$164,'Availability Model'!$B$93:$B$96, 0), MATCH($K$10, 'Availability Model'!$C$1:$T$1, 0))</f>
        <v>7759908.8721779771</v>
      </c>
      <c r="AA173" s="65">
        <f>(AA28*AA74)*INDEX('Availability Model'!$C$93:$T$96, MATCH($K$164,'Availability Model'!$B$93:$B$96, 0), MATCH($K$10, 'Availability Model'!$C$1:$T$1, 0))</f>
        <v>8486236.3426138349</v>
      </c>
      <c r="AB173" s="65">
        <f>(AB28*AB74)*INDEX('Availability Model'!$C$93:$T$96, MATCH($K$164,'Availability Model'!$B$93:$B$96, 0), MATCH($K$10, 'Availability Model'!$C$1:$T$1, 0))</f>
        <v>6214660.5316285519</v>
      </c>
      <c r="AC173" s="65">
        <f>(AC28*AC74)*INDEX('Availability Model'!$C$93:$T$96, MATCH($K$164,'Availability Model'!$B$93:$B$96, 0), MATCH($K$10, 'Availability Model'!$C$1:$T$1, 0))</f>
        <v>5308756.9267716398</v>
      </c>
      <c r="AD173" s="65">
        <f>(AD28*AD74)*INDEX('Availability Model'!$C$93:$T$96, MATCH($K$164,'Availability Model'!$B$93:$B$96, 0), MATCH($K$10, 'Availability Model'!$C$1:$T$1, 0))</f>
        <v>5805656.5751174651</v>
      </c>
      <c r="AE173" s="65">
        <f>(AE28*AE74)*INDEX('Availability Model'!$C$93:$T$96, MATCH($K$164,'Availability Model'!$B$93:$B$96, 0), MATCH($K$10, 'Availability Model'!$C$1:$T$1, 0))</f>
        <v>6349066.0305484599</v>
      </c>
      <c r="AF173" s="65">
        <f>(AF28*AF74)*INDEX('Availability Model'!$C$93:$T$96, MATCH($K$164,'Availability Model'!$B$93:$B$96, 0), MATCH($K$10, 'Availability Model'!$C$1:$T$1, 0))</f>
        <v>6943338.6110077947</v>
      </c>
      <c r="AG173" s="65">
        <f>(AG28*AG74)*INDEX('Availability Model'!$C$93:$T$96, MATCH($K$164,'Availability Model'!$B$93:$B$96, 0), MATCH($K$10, 'Availability Model'!$C$1:$T$1, 0))</f>
        <v>7593235.1049981248</v>
      </c>
      <c r="AH173" s="65">
        <f>(AH28*AH74)*INDEX('Availability Model'!$C$93:$T$96, MATCH($K$164,'Availability Model'!$B$93:$B$96, 0), MATCH($K$10, 'Availability Model'!$C$1:$T$1, 0))</f>
        <v>8303961.9108259482</v>
      </c>
      <c r="AI173" s="65">
        <f>(AI28*AI74)*INDEX('Availability Model'!$C$93:$T$96, MATCH($K$164,'Availability Model'!$B$93:$B$96, 0), MATCH($K$10, 'Availability Model'!$C$1:$T$1, 0))</f>
        <v>9081212.7456792556</v>
      </c>
      <c r="AJ173" s="65">
        <f>(AJ28*AJ74)*INDEX('Availability Model'!$C$93:$T$96, MATCH($K$164,'Availability Model'!$B$93:$B$96, 0), MATCH($K$10, 'Availability Model'!$C$1:$T$1, 0))</f>
        <v>9931214.2586748339</v>
      </c>
      <c r="AK173" s="65">
        <f>(AK28*AK74)*INDEX('Availability Model'!$C$93:$T$96, MATCH($K$164,'Availability Model'!$B$93:$B$96, 0), MATCH($K$10, 'Availability Model'!$C$1:$T$1, 0))</f>
        <v>10860775.913286798</v>
      </c>
      <c r="AL173" s="65">
        <f>(AL28*AL74)*INDEX('Availability Model'!$C$93:$T$96, MATCH($K$164,'Availability Model'!$B$93:$B$96, 0), MATCH($K$10, 'Availability Model'!$C$1:$T$1, 0))</f>
        <v>11877344.538770441</v>
      </c>
    </row>
    <row r="174" spans="4:38">
      <c r="E174" s="16"/>
      <c r="K174" s="65"/>
    </row>
    <row r="175" spans="4:38">
      <c r="D175" s="3" t="s">
        <v>474</v>
      </c>
      <c r="E175" s="16" t="s">
        <v>211</v>
      </c>
      <c r="K175" s="65">
        <f>K172+K173</f>
        <v>104654.25</v>
      </c>
      <c r="L175" s="65">
        <f t="shared" ref="L175:AK175" si="74">L172+L173</f>
        <v>108070.32889508041</v>
      </c>
      <c r="M175" s="65">
        <f t="shared" si="74"/>
        <v>123222.34418657479</v>
      </c>
      <c r="N175" s="65">
        <f t="shared" si="74"/>
        <v>875621.78677276801</v>
      </c>
      <c r="O175" s="65">
        <f t="shared" si="74"/>
        <v>2076622.4426562337</v>
      </c>
      <c r="P175" s="65">
        <f t="shared" si="74"/>
        <v>2270994.303288857</v>
      </c>
      <c r="Q175" s="65">
        <f t="shared" si="74"/>
        <v>2917777.625279895</v>
      </c>
      <c r="R175" s="65">
        <f t="shared" si="74"/>
        <v>3190881.6110060923</v>
      </c>
      <c r="S175" s="65">
        <f t="shared" si="74"/>
        <v>4148079.8725400222</v>
      </c>
      <c r="T175" s="65">
        <f t="shared" si="74"/>
        <v>4536340.1486097677</v>
      </c>
      <c r="U175" s="65">
        <f t="shared" si="74"/>
        <v>4960941.5865196418</v>
      </c>
      <c r="V175" s="65">
        <f t="shared" si="74"/>
        <v>5425285.7190178791</v>
      </c>
      <c r="W175" s="65">
        <f t="shared" si="74"/>
        <v>5933092.462317952</v>
      </c>
      <c r="X175" s="65">
        <f t="shared" si="74"/>
        <v>6488429.9167909119</v>
      </c>
      <c r="Y175" s="65">
        <f t="shared" si="74"/>
        <v>7095746.9570025411</v>
      </c>
      <c r="Z175" s="65">
        <f t="shared" si="74"/>
        <v>7759908.8721779771</v>
      </c>
      <c r="AA175" s="65">
        <f t="shared" si="74"/>
        <v>8486236.3426138349</v>
      </c>
      <c r="AB175" s="65">
        <f t="shared" si="74"/>
        <v>6214660.5316285519</v>
      </c>
      <c r="AC175" s="65">
        <f t="shared" si="74"/>
        <v>5308756.9267716398</v>
      </c>
      <c r="AD175" s="65">
        <f t="shared" si="74"/>
        <v>5805656.5751174651</v>
      </c>
      <c r="AE175" s="65">
        <f t="shared" si="74"/>
        <v>6349066.0305484599</v>
      </c>
      <c r="AF175" s="65">
        <f t="shared" si="74"/>
        <v>6943338.6110077947</v>
      </c>
      <c r="AG175" s="65">
        <f t="shared" si="74"/>
        <v>7593235.1049981248</v>
      </c>
      <c r="AH175" s="65">
        <f t="shared" si="74"/>
        <v>8303961.9108259482</v>
      </c>
      <c r="AI175" s="65">
        <f t="shared" si="74"/>
        <v>9081212.7456792556</v>
      </c>
      <c r="AJ175" s="65">
        <f t="shared" si="74"/>
        <v>9931214.2586748339</v>
      </c>
      <c r="AK175" s="65">
        <f t="shared" si="74"/>
        <v>10860775.913286798</v>
      </c>
      <c r="AL175" s="65">
        <f>AL172+AL173</f>
        <v>11877344.538770441</v>
      </c>
    </row>
    <row r="176" spans="4:38">
      <c r="D176" s="7"/>
    </row>
    <row r="177" spans="4:39" ht="18">
      <c r="D177" s="15" t="s">
        <v>261</v>
      </c>
    </row>
    <row r="186" spans="4:39" ht="18">
      <c r="D186" s="71" t="s">
        <v>251</v>
      </c>
    </row>
    <row r="188" spans="4:39">
      <c r="D188" s="7" t="s">
        <v>242</v>
      </c>
      <c r="E188" s="7" t="s">
        <v>243</v>
      </c>
      <c r="K188" s="9">
        <f>Inputs!F34/'Initiative 5 Model'!K11</f>
        <v>8261.9863013698632</v>
      </c>
      <c r="L188" s="9">
        <f>Inputs!G34/'Initiative 5 Model'!L11</f>
        <v>8584.9808743169397</v>
      </c>
      <c r="M188" s="9">
        <f>Inputs!H34/'Initiative 5 Model'!M11</f>
        <v>7544.5084200913252</v>
      </c>
      <c r="N188" s="65">
        <f t="shared" ref="N188:AL188" si="75">N65/N11</f>
        <v>8778.396247123288</v>
      </c>
      <c r="O188" s="65">
        <f t="shared" si="75"/>
        <v>8778.396247123288</v>
      </c>
      <c r="P188" s="65">
        <f t="shared" si="75"/>
        <v>8754.4115579234967</v>
      </c>
      <c r="Q188" s="65">
        <f t="shared" si="75"/>
        <v>8778.396247123288</v>
      </c>
      <c r="R188" s="65">
        <f t="shared" si="75"/>
        <v>8778.396247123288</v>
      </c>
      <c r="S188" s="65">
        <f t="shared" si="75"/>
        <v>8778.396247123288</v>
      </c>
      <c r="T188" s="65">
        <f t="shared" si="75"/>
        <v>8754.4115579234967</v>
      </c>
      <c r="U188" s="65">
        <f t="shared" si="75"/>
        <v>8778.396247123288</v>
      </c>
      <c r="V188" s="65">
        <f t="shared" si="75"/>
        <v>8778.396247123288</v>
      </c>
      <c r="W188" s="65">
        <f t="shared" si="75"/>
        <v>8778.396247123288</v>
      </c>
      <c r="X188" s="65">
        <f t="shared" si="75"/>
        <v>8754.4115579234967</v>
      </c>
      <c r="Y188" s="65">
        <f t="shared" si="75"/>
        <v>8778.396247123288</v>
      </c>
      <c r="Z188" s="65">
        <f t="shared" si="75"/>
        <v>8778.396247123288</v>
      </c>
      <c r="AA188" s="65">
        <f t="shared" si="75"/>
        <v>16929.018867425919</v>
      </c>
      <c r="AB188" s="65">
        <f t="shared" si="75"/>
        <v>16882.764717514918</v>
      </c>
      <c r="AC188" s="65">
        <f t="shared" si="75"/>
        <v>16929.018867425919</v>
      </c>
      <c r="AD188" s="65">
        <f t="shared" si="75"/>
        <v>16929.018867425919</v>
      </c>
      <c r="AE188" s="65">
        <f t="shared" si="75"/>
        <v>16929.018867425919</v>
      </c>
      <c r="AF188" s="65">
        <f t="shared" si="75"/>
        <v>16882.764717514918</v>
      </c>
      <c r="AG188" s="65">
        <f t="shared" si="75"/>
        <v>16929.018867425919</v>
      </c>
      <c r="AH188" s="65">
        <f t="shared" si="75"/>
        <v>16929.018867425919</v>
      </c>
      <c r="AI188" s="65">
        <f t="shared" si="75"/>
        <v>16929.018867425919</v>
      </c>
      <c r="AJ188" s="65">
        <f t="shared" si="75"/>
        <v>16882.764717514918</v>
      </c>
      <c r="AK188" s="65">
        <f t="shared" si="75"/>
        <v>16929.018867425919</v>
      </c>
      <c r="AL188" s="65">
        <f t="shared" si="75"/>
        <v>16929.018867425919</v>
      </c>
    </row>
    <row r="189" spans="4:39">
      <c r="D189" s="7" t="s">
        <v>244</v>
      </c>
      <c r="E189" s="7" t="s">
        <v>106</v>
      </c>
      <c r="K189" s="9">
        <f>K135</f>
        <v>11</v>
      </c>
      <c r="L189" s="9">
        <f t="shared" ref="L189:AL189" si="76">L135</f>
        <v>11</v>
      </c>
      <c r="M189" s="9">
        <f t="shared" si="76"/>
        <v>11</v>
      </c>
      <c r="N189" s="9">
        <f t="shared" si="76"/>
        <v>11</v>
      </c>
      <c r="O189" s="9">
        <f t="shared" si="76"/>
        <v>11</v>
      </c>
      <c r="P189" s="9">
        <f t="shared" si="76"/>
        <v>11</v>
      </c>
      <c r="Q189" s="9">
        <f t="shared" si="76"/>
        <v>11</v>
      </c>
      <c r="R189" s="9">
        <f t="shared" si="76"/>
        <v>11</v>
      </c>
      <c r="S189" s="9">
        <f t="shared" si="76"/>
        <v>11</v>
      </c>
      <c r="T189" s="9">
        <f t="shared" si="76"/>
        <v>11</v>
      </c>
      <c r="U189" s="9">
        <f t="shared" si="76"/>
        <v>11</v>
      </c>
      <c r="V189" s="9">
        <f t="shared" si="76"/>
        <v>11</v>
      </c>
      <c r="W189" s="9">
        <f t="shared" si="76"/>
        <v>11</v>
      </c>
      <c r="X189" s="9">
        <f t="shared" si="76"/>
        <v>11</v>
      </c>
      <c r="Y189" s="9">
        <f t="shared" si="76"/>
        <v>11</v>
      </c>
      <c r="Z189" s="9">
        <f t="shared" si="76"/>
        <v>11</v>
      </c>
      <c r="AA189" s="9">
        <f t="shared" si="76"/>
        <v>11</v>
      </c>
      <c r="AB189" s="9">
        <f t="shared" si="76"/>
        <v>11</v>
      </c>
      <c r="AC189" s="9">
        <f t="shared" si="76"/>
        <v>11</v>
      </c>
      <c r="AD189" s="9">
        <f t="shared" si="76"/>
        <v>11</v>
      </c>
      <c r="AE189" s="9">
        <f t="shared" si="76"/>
        <v>11</v>
      </c>
      <c r="AF189" s="9">
        <f t="shared" si="76"/>
        <v>11</v>
      </c>
      <c r="AG189" s="9">
        <f t="shared" si="76"/>
        <v>11</v>
      </c>
      <c r="AH189" s="9">
        <f t="shared" si="76"/>
        <v>11</v>
      </c>
      <c r="AI189" s="9">
        <f t="shared" si="76"/>
        <v>11</v>
      </c>
      <c r="AJ189" s="9">
        <f t="shared" si="76"/>
        <v>11</v>
      </c>
      <c r="AK189" s="9">
        <f t="shared" si="76"/>
        <v>11</v>
      </c>
      <c r="AL189" s="9">
        <f t="shared" si="76"/>
        <v>11</v>
      </c>
    </row>
    <row r="190" spans="4:39">
      <c r="D190" s="7" t="s">
        <v>244</v>
      </c>
      <c r="E190" s="7" t="s">
        <v>113</v>
      </c>
      <c r="K190" s="9">
        <f>IF(K27&gt;0,K189*K188,0)</f>
        <v>90881.849315068495</v>
      </c>
      <c r="L190" s="9">
        <f t="shared" ref="L190:AL190" si="77">IF(L27&gt;0,L189*L188,0)</f>
        <v>94434.789617486342</v>
      </c>
      <c r="M190" s="9">
        <f t="shared" si="77"/>
        <v>82989.592621004573</v>
      </c>
      <c r="N190" s="9">
        <f t="shared" si="77"/>
        <v>96562.358718356176</v>
      </c>
      <c r="O190" s="9">
        <f t="shared" si="77"/>
        <v>0</v>
      </c>
      <c r="P190" s="9">
        <f t="shared" si="77"/>
        <v>0</v>
      </c>
      <c r="Q190" s="9">
        <f t="shared" si="77"/>
        <v>0</v>
      </c>
      <c r="R190" s="9">
        <f t="shared" si="77"/>
        <v>0</v>
      </c>
      <c r="S190" s="9">
        <f t="shared" si="77"/>
        <v>0</v>
      </c>
      <c r="T190" s="9">
        <f t="shared" si="77"/>
        <v>0</v>
      </c>
      <c r="U190" s="9">
        <f t="shared" si="77"/>
        <v>0</v>
      </c>
      <c r="V190" s="9">
        <f t="shared" si="77"/>
        <v>0</v>
      </c>
      <c r="W190" s="9">
        <f t="shared" si="77"/>
        <v>0</v>
      </c>
      <c r="X190" s="9">
        <f t="shared" si="77"/>
        <v>0</v>
      </c>
      <c r="Y190" s="9">
        <f t="shared" si="77"/>
        <v>0</v>
      </c>
      <c r="Z190" s="9">
        <f t="shared" si="77"/>
        <v>0</v>
      </c>
      <c r="AA190" s="9">
        <f t="shared" si="77"/>
        <v>0</v>
      </c>
      <c r="AB190" s="9">
        <f t="shared" si="77"/>
        <v>0</v>
      </c>
      <c r="AC190" s="9">
        <f t="shared" si="77"/>
        <v>186219.20754168511</v>
      </c>
      <c r="AD190" s="9">
        <f t="shared" si="77"/>
        <v>186219.20754168511</v>
      </c>
      <c r="AE190" s="9">
        <f t="shared" si="77"/>
        <v>186219.20754168511</v>
      </c>
      <c r="AF190" s="9">
        <f t="shared" si="77"/>
        <v>185710.41189266409</v>
      </c>
      <c r="AG190" s="9">
        <f t="shared" si="77"/>
        <v>186219.20754168511</v>
      </c>
      <c r="AH190" s="9">
        <f t="shared" si="77"/>
        <v>186219.20754168511</v>
      </c>
      <c r="AI190" s="9">
        <f t="shared" si="77"/>
        <v>186219.20754168511</v>
      </c>
      <c r="AJ190" s="9">
        <f t="shared" si="77"/>
        <v>185710.41189266409</v>
      </c>
      <c r="AK190" s="9">
        <f t="shared" si="77"/>
        <v>186219.20754168511</v>
      </c>
      <c r="AL190" s="9">
        <f t="shared" si="77"/>
        <v>186219.20754168511</v>
      </c>
      <c r="AM190" s="133">
        <f>SUM(M190:AL190)</f>
        <v>2040726.4354581698</v>
      </c>
    </row>
    <row r="191" spans="4:39">
      <c r="D191" s="109" t="s">
        <v>374</v>
      </c>
      <c r="E191" s="109"/>
      <c r="F191" s="110"/>
      <c r="G191" s="110"/>
      <c r="H191" s="110"/>
      <c r="I191" s="110"/>
      <c r="J191" s="110"/>
      <c r="K191" s="111">
        <f t="shared" ref="K191:AL191" si="78">K190/K65</f>
        <v>2.8364106720300351E-2</v>
      </c>
      <c r="L191" s="111">
        <f t="shared" si="78"/>
        <v>2.9472974757957317E-2</v>
      </c>
      <c r="M191" s="111">
        <f t="shared" si="78"/>
        <v>2.5900943692462208E-2</v>
      </c>
      <c r="N191" s="111">
        <f t="shared" si="78"/>
        <v>3.0136986301369868E-2</v>
      </c>
      <c r="O191" s="111">
        <f t="shared" si="78"/>
        <v>0</v>
      </c>
      <c r="P191" s="111">
        <f t="shared" si="78"/>
        <v>0</v>
      </c>
      <c r="Q191" s="111">
        <f t="shared" si="78"/>
        <v>0</v>
      </c>
      <c r="R191" s="111">
        <f t="shared" si="78"/>
        <v>0</v>
      </c>
      <c r="S191" s="111">
        <f t="shared" si="78"/>
        <v>0</v>
      </c>
      <c r="T191" s="111">
        <f t="shared" si="78"/>
        <v>0</v>
      </c>
      <c r="U191" s="111">
        <f t="shared" si="78"/>
        <v>0</v>
      </c>
      <c r="V191" s="111">
        <f t="shared" si="78"/>
        <v>0</v>
      </c>
      <c r="W191" s="111">
        <f t="shared" si="78"/>
        <v>0</v>
      </c>
      <c r="X191" s="111">
        <f t="shared" si="78"/>
        <v>0</v>
      </c>
      <c r="Y191" s="111">
        <f t="shared" si="78"/>
        <v>0</v>
      </c>
      <c r="Z191" s="111">
        <f t="shared" si="78"/>
        <v>0</v>
      </c>
      <c r="AA191" s="111">
        <f t="shared" si="78"/>
        <v>0</v>
      </c>
      <c r="AB191" s="111">
        <f t="shared" si="78"/>
        <v>0</v>
      </c>
      <c r="AC191" s="111">
        <f t="shared" si="78"/>
        <v>3.0136986301369864E-2</v>
      </c>
      <c r="AD191" s="111">
        <f t="shared" si="78"/>
        <v>3.0136986301369864E-2</v>
      </c>
      <c r="AE191" s="111">
        <f t="shared" si="78"/>
        <v>3.0136986301369864E-2</v>
      </c>
      <c r="AF191" s="111">
        <f t="shared" si="78"/>
        <v>3.0054644808743168E-2</v>
      </c>
      <c r="AG191" s="111">
        <f t="shared" si="78"/>
        <v>3.0136986301369864E-2</v>
      </c>
      <c r="AH191" s="111">
        <f t="shared" si="78"/>
        <v>3.0136986301369864E-2</v>
      </c>
      <c r="AI191" s="111">
        <f t="shared" si="78"/>
        <v>3.0136986301369864E-2</v>
      </c>
      <c r="AJ191" s="111">
        <f t="shared" si="78"/>
        <v>3.0054644808743168E-2</v>
      </c>
      <c r="AK191" s="111">
        <f t="shared" si="78"/>
        <v>3.0136986301369864E-2</v>
      </c>
      <c r="AL191" s="111">
        <f t="shared" si="78"/>
        <v>3.0136986301369864E-2</v>
      </c>
    </row>
    <row r="192" spans="4:39">
      <c r="K192" s="9"/>
    </row>
    <row r="193" spans="4:40">
      <c r="D193" t="s">
        <v>399</v>
      </c>
      <c r="E193" t="s">
        <v>108</v>
      </c>
      <c r="K193" s="9">
        <f>K81/Inputs!E34</f>
        <v>551.54081671843676</v>
      </c>
      <c r="L193" s="9">
        <f>L81/Inputs!F34</f>
        <v>623.41968911917104</v>
      </c>
      <c r="M193" s="9">
        <f>M81/Inputs!G34</f>
        <v>636.51637136020042</v>
      </c>
      <c r="N193" s="65">
        <f t="shared" ref="N193:AL193" si="79">N81/N65</f>
        <v>661.64923689626869</v>
      </c>
      <c r="O193" s="65">
        <f t="shared" si="79"/>
        <v>701.34819111004481</v>
      </c>
      <c r="P193" s="65">
        <f t="shared" si="79"/>
        <v>743.42908257664749</v>
      </c>
      <c r="Q193" s="65">
        <f t="shared" si="79"/>
        <v>788.03482753124626</v>
      </c>
      <c r="R193" s="65">
        <f t="shared" si="79"/>
        <v>835.31691718312118</v>
      </c>
      <c r="S193" s="65">
        <f t="shared" si="79"/>
        <v>885.43593221410856</v>
      </c>
      <c r="T193" s="65">
        <f t="shared" si="79"/>
        <v>938.56208814695515</v>
      </c>
      <c r="U193" s="65">
        <f t="shared" si="79"/>
        <v>994.87581343577244</v>
      </c>
      <c r="V193" s="65">
        <f t="shared" si="79"/>
        <v>1054.5683622419187</v>
      </c>
      <c r="W193" s="65">
        <f t="shared" si="79"/>
        <v>1117.8424639764339</v>
      </c>
      <c r="X193" s="65">
        <f t="shared" si="79"/>
        <v>1184.9130118150201</v>
      </c>
      <c r="Y193" s="65">
        <f t="shared" si="79"/>
        <v>1256.0077925239214</v>
      </c>
      <c r="Z193" s="65">
        <f t="shared" si="79"/>
        <v>1331.3682600753566</v>
      </c>
      <c r="AA193" s="65">
        <f t="shared" si="79"/>
        <v>731.79166040679934</v>
      </c>
      <c r="AB193" s="65">
        <f t="shared" si="79"/>
        <v>775.69916003120738</v>
      </c>
      <c r="AC193" s="65">
        <f t="shared" si="79"/>
        <v>822.24110963307999</v>
      </c>
      <c r="AD193" s="65">
        <f t="shared" si="79"/>
        <v>871.5755762110648</v>
      </c>
      <c r="AE193" s="65">
        <f t="shared" si="79"/>
        <v>923.87011078372871</v>
      </c>
      <c r="AF193" s="65">
        <f t="shared" si="79"/>
        <v>979.30231743075251</v>
      </c>
      <c r="AG193" s="65">
        <f t="shared" si="79"/>
        <v>1038.0604564765977</v>
      </c>
      <c r="AH193" s="65">
        <f t="shared" si="79"/>
        <v>1100.3440838651934</v>
      </c>
      <c r="AI193" s="65">
        <f t="shared" si="79"/>
        <v>1166.3647288971051</v>
      </c>
      <c r="AJ193" s="65">
        <f t="shared" si="79"/>
        <v>1236.3466126309315</v>
      </c>
      <c r="AK193" s="65">
        <f t="shared" si="79"/>
        <v>1310.5274093887874</v>
      </c>
      <c r="AL193" s="65">
        <f t="shared" si="79"/>
        <v>1389.1590539521146</v>
      </c>
    </row>
    <row r="194" spans="4:40">
      <c r="D194" s="7" t="s">
        <v>245</v>
      </c>
      <c r="E194" s="7" t="s">
        <v>211</v>
      </c>
      <c r="K194" s="9">
        <f t="shared" ref="K194:AL194" si="80">K190*K193</f>
        <v>50125049.396114781</v>
      </c>
      <c r="L194" s="9">
        <f t="shared" si="80"/>
        <v>58872507.185367659</v>
      </c>
      <c r="M194" s="9">
        <f t="shared" si="80"/>
        <v>52824234.355783097</v>
      </c>
      <c r="N194" s="9">
        <f t="shared" si="80"/>
        <v>63890410.958904125</v>
      </c>
      <c r="O194" s="9">
        <f t="shared" si="80"/>
        <v>0</v>
      </c>
      <c r="P194" s="9">
        <f t="shared" si="80"/>
        <v>0</v>
      </c>
      <c r="Q194" s="9">
        <f t="shared" si="80"/>
        <v>0</v>
      </c>
      <c r="R194" s="9">
        <f t="shared" si="80"/>
        <v>0</v>
      </c>
      <c r="S194" s="9">
        <f t="shared" si="80"/>
        <v>0</v>
      </c>
      <c r="T194" s="9">
        <f t="shared" si="80"/>
        <v>0</v>
      </c>
      <c r="U194" s="9">
        <f t="shared" si="80"/>
        <v>0</v>
      </c>
      <c r="V194" s="9">
        <f t="shared" si="80"/>
        <v>0</v>
      </c>
      <c r="W194" s="9">
        <f t="shared" si="80"/>
        <v>0</v>
      </c>
      <c r="X194" s="9">
        <f t="shared" si="80"/>
        <v>0</v>
      </c>
      <c r="Y194" s="9">
        <f t="shared" si="80"/>
        <v>0</v>
      </c>
      <c r="Z194" s="9">
        <f t="shared" si="80"/>
        <v>0</v>
      </c>
      <c r="AA194" s="9">
        <f t="shared" si="80"/>
        <v>0</v>
      </c>
      <c r="AB194" s="9">
        <f t="shared" si="80"/>
        <v>0</v>
      </c>
      <c r="AC194" s="9">
        <f t="shared" si="80"/>
        <v>153117087.84406799</v>
      </c>
      <c r="AD194" s="9">
        <f t="shared" si="80"/>
        <v>162304113.11471206</v>
      </c>
      <c r="AE194" s="9">
        <f t="shared" si="80"/>
        <v>172042359.90159479</v>
      </c>
      <c r="AF194" s="9">
        <f t="shared" si="80"/>
        <v>181866636.73750553</v>
      </c>
      <c r="AG194" s="9">
        <f t="shared" si="80"/>
        <v>193306795.58543193</v>
      </c>
      <c r="AH194" s="9">
        <f t="shared" si="80"/>
        <v>204905203.32055783</v>
      </c>
      <c r="AI194" s="9">
        <f t="shared" si="80"/>
        <v>217199515.51979131</v>
      </c>
      <c r="AJ194" s="9">
        <f t="shared" si="80"/>
        <v>229602438.67379031</v>
      </c>
      <c r="AK194" s="9">
        <f t="shared" si="80"/>
        <v>244045375.63803753</v>
      </c>
      <c r="AL194" s="9">
        <f t="shared" si="80"/>
        <v>258688098.17631978</v>
      </c>
    </row>
    <row r="195" spans="4:40">
      <c r="D195" t="s">
        <v>316</v>
      </c>
      <c r="E195" s="7" t="s">
        <v>211</v>
      </c>
      <c r="K195" s="65">
        <f>K152+K175+K148</f>
        <v>316390.48510273971</v>
      </c>
      <c r="L195" s="65">
        <f t="shared" ref="L195:AL195" si="81">L152+L175+L148</f>
        <v>326525.14011456911</v>
      </c>
      <c r="M195" s="65">
        <f t="shared" si="81"/>
        <v>371886.20187630242</v>
      </c>
      <c r="N195" s="65">
        <f t="shared" si="81"/>
        <v>1549755.5701558334</v>
      </c>
      <c r="O195" s="65">
        <f t="shared" si="81"/>
        <v>2076622.4426562337</v>
      </c>
      <c r="P195" s="65">
        <f t="shared" si="81"/>
        <v>2270994.303288857</v>
      </c>
      <c r="Q195" s="65">
        <f t="shared" si="81"/>
        <v>2917777.625279895</v>
      </c>
      <c r="R195" s="65">
        <f t="shared" si="81"/>
        <v>3190881.6110060923</v>
      </c>
      <c r="S195" s="65">
        <f t="shared" si="81"/>
        <v>4148079.8725400222</v>
      </c>
      <c r="T195" s="65">
        <f t="shared" si="81"/>
        <v>4536340.1486097677</v>
      </c>
      <c r="U195" s="65">
        <f t="shared" si="81"/>
        <v>4960941.5865196418</v>
      </c>
      <c r="V195" s="65">
        <f t="shared" si="81"/>
        <v>5425285.7190178791</v>
      </c>
      <c r="W195" s="65">
        <f t="shared" si="81"/>
        <v>5933092.462317952</v>
      </c>
      <c r="X195" s="65">
        <f t="shared" si="81"/>
        <v>6488429.9167909119</v>
      </c>
      <c r="Y195" s="65">
        <f t="shared" si="81"/>
        <v>7095746.9570025411</v>
      </c>
      <c r="Z195" s="65">
        <f t="shared" si="81"/>
        <v>7759908.8721779771</v>
      </c>
      <c r="AA195" s="65">
        <f t="shared" si="81"/>
        <v>8486236.3426138349</v>
      </c>
      <c r="AB195" s="65">
        <f t="shared" si="81"/>
        <v>6214660.5316285519</v>
      </c>
      <c r="AC195" s="65">
        <f t="shared" si="81"/>
        <v>9071540.0116131324</v>
      </c>
      <c r="AD195" s="65">
        <f t="shared" si="81"/>
        <v>9920185.4644672833</v>
      </c>
      <c r="AE195" s="65">
        <f t="shared" si="81"/>
        <v>10848237.090174612</v>
      </c>
      <c r="AF195" s="65">
        <f t="shared" si="81"/>
        <v>11862939.255909739</v>
      </c>
      <c r="AG195" s="65">
        <f t="shared" si="81"/>
        <v>12972977.466386227</v>
      </c>
      <c r="AH195" s="65">
        <f t="shared" si="81"/>
        <v>14186679.168679968</v>
      </c>
      <c r="AI195" s="65">
        <f t="shared" si="81"/>
        <v>15513949.210994801</v>
      </c>
      <c r="AJ195" s="65">
        <f t="shared" si="81"/>
        <v>16965172.582358398</v>
      </c>
      <c r="AK195" s="65">
        <f t="shared" si="81"/>
        <v>18552700.761812665</v>
      </c>
      <c r="AL195" s="65">
        <f t="shared" si="81"/>
        <v>20288515.21817081</v>
      </c>
    </row>
    <row r="196" spans="4:40">
      <c r="D196" s="110" t="s">
        <v>335</v>
      </c>
      <c r="E196" s="109" t="s">
        <v>211</v>
      </c>
      <c r="F196" s="110"/>
      <c r="G196" s="110"/>
      <c r="H196" s="110"/>
      <c r="I196" s="110"/>
      <c r="J196" s="110"/>
      <c r="K196" s="122">
        <f>K194+K195</f>
        <v>50441439.881217524</v>
      </c>
      <c r="L196" s="122">
        <f t="shared" ref="L196:AL196" si="82">L194+L195</f>
        <v>59199032.325482227</v>
      </c>
      <c r="M196" s="122">
        <f>M194+M195</f>
        <v>53196120.557659402</v>
      </c>
      <c r="N196" s="122">
        <f t="shared" si="82"/>
        <v>65440166.529059961</v>
      </c>
      <c r="O196" s="122">
        <f t="shared" si="82"/>
        <v>2076622.4426562337</v>
      </c>
      <c r="P196" s="122">
        <f t="shared" si="82"/>
        <v>2270994.303288857</v>
      </c>
      <c r="Q196" s="122">
        <f t="shared" si="82"/>
        <v>2917777.625279895</v>
      </c>
      <c r="R196" s="122">
        <f t="shared" si="82"/>
        <v>3190881.6110060923</v>
      </c>
      <c r="S196" s="122">
        <f t="shared" si="82"/>
        <v>4148079.8725400222</v>
      </c>
      <c r="T196" s="122">
        <f t="shared" si="82"/>
        <v>4536340.1486097677</v>
      </c>
      <c r="U196" s="122">
        <f t="shared" si="82"/>
        <v>4960941.5865196418</v>
      </c>
      <c r="V196" s="122">
        <f t="shared" si="82"/>
        <v>5425285.7190178791</v>
      </c>
      <c r="W196" s="122">
        <f t="shared" si="82"/>
        <v>5933092.462317952</v>
      </c>
      <c r="X196" s="122">
        <f t="shared" si="82"/>
        <v>6488429.9167909119</v>
      </c>
      <c r="Y196" s="122">
        <f t="shared" si="82"/>
        <v>7095746.9570025411</v>
      </c>
      <c r="Z196" s="122">
        <f t="shared" si="82"/>
        <v>7759908.8721779771</v>
      </c>
      <c r="AA196" s="122">
        <f t="shared" si="82"/>
        <v>8486236.3426138349</v>
      </c>
      <c r="AB196" s="122">
        <f t="shared" si="82"/>
        <v>6214660.5316285519</v>
      </c>
      <c r="AC196" s="122">
        <f t="shared" si="82"/>
        <v>162188627.85568112</v>
      </c>
      <c r="AD196" s="122">
        <f t="shared" si="82"/>
        <v>172224298.57917935</v>
      </c>
      <c r="AE196" s="122">
        <f t="shared" si="82"/>
        <v>182890596.9917694</v>
      </c>
      <c r="AF196" s="122">
        <f t="shared" si="82"/>
        <v>193729575.99341527</v>
      </c>
      <c r="AG196" s="122">
        <f t="shared" si="82"/>
        <v>206279773.05181816</v>
      </c>
      <c r="AH196" s="122">
        <f t="shared" si="82"/>
        <v>219091882.48923779</v>
      </c>
      <c r="AI196" s="122">
        <f t="shared" si="82"/>
        <v>232713464.73078611</v>
      </c>
      <c r="AJ196" s="122">
        <f t="shared" si="82"/>
        <v>246567611.2561487</v>
      </c>
      <c r="AK196" s="122">
        <f t="shared" si="82"/>
        <v>262598076.39985019</v>
      </c>
      <c r="AL196" s="122">
        <f t="shared" si="82"/>
        <v>278976613.3944906</v>
      </c>
    </row>
    <row r="197" spans="4:40">
      <c r="E197" s="7"/>
      <c r="K197" s="65">
        <f>K196/K26</f>
        <v>261.35461078351051</v>
      </c>
      <c r="L197" s="65">
        <f t="shared" ref="L197:N197" si="83">L196/L26</f>
        <v>324.83752796423408</v>
      </c>
      <c r="M197" s="65">
        <f t="shared" si="83"/>
        <v>279.96713872820197</v>
      </c>
      <c r="N197" s="65">
        <f t="shared" si="83"/>
        <v>137.60702216618142</v>
      </c>
      <c r="O197" s="65">
        <f>O175/O26</f>
        <v>4.0271819999999998</v>
      </c>
      <c r="P197" s="65">
        <f t="shared" ref="P197:AL197" si="84">P175/P26</f>
        <v>4.4041262351999997</v>
      </c>
      <c r="Q197" s="65">
        <f t="shared" si="84"/>
        <v>4.8163524508147191</v>
      </c>
      <c r="R197" s="65">
        <f t="shared" si="84"/>
        <v>5.2671630402109759</v>
      </c>
      <c r="S197" s="65">
        <f t="shared" si="84"/>
        <v>5.7601695007747225</v>
      </c>
      <c r="T197" s="65">
        <f t="shared" si="84"/>
        <v>6.299321366047236</v>
      </c>
      <c r="U197" s="65">
        <f t="shared" si="84"/>
        <v>6.8889378459092567</v>
      </c>
      <c r="V197" s="65">
        <f t="shared" si="84"/>
        <v>7.5337424282863621</v>
      </c>
      <c r="W197" s="65">
        <f t="shared" si="84"/>
        <v>8.2389007195739641</v>
      </c>
      <c r="X197" s="65">
        <f t="shared" si="84"/>
        <v>9.010061826926087</v>
      </c>
      <c r="Y197" s="65">
        <f t="shared" si="84"/>
        <v>9.8534036139263677</v>
      </c>
      <c r="Z197" s="65">
        <f t="shared" si="84"/>
        <v>10.775682192189874</v>
      </c>
      <c r="AA197" s="65">
        <f t="shared" si="84"/>
        <v>11.784286045378845</v>
      </c>
      <c r="AB197" s="65">
        <f t="shared" si="84"/>
        <v>8.6298960367016946</v>
      </c>
      <c r="AC197" s="65">
        <f t="shared" si="84"/>
        <v>7.3719264518143648</v>
      </c>
      <c r="AD197" s="65">
        <f t="shared" si="84"/>
        <v>8.0619387677041896</v>
      </c>
      <c r="AE197" s="65">
        <f t="shared" si="84"/>
        <v>8.8165362363613013</v>
      </c>
      <c r="AF197" s="65">
        <f t="shared" si="84"/>
        <v>9.641764028084717</v>
      </c>
      <c r="AG197" s="65">
        <f t="shared" si="84"/>
        <v>10.544233141113448</v>
      </c>
      <c r="AH197" s="65">
        <f t="shared" si="84"/>
        <v>11.531173363121665</v>
      </c>
      <c r="AI197" s="65">
        <f t="shared" si="84"/>
        <v>12.610491189909851</v>
      </c>
      <c r="AJ197" s="65">
        <f t="shared" si="84"/>
        <v>13.790833165285413</v>
      </c>
      <c r="AK197" s="65">
        <f t="shared" si="84"/>
        <v>15.081655149556127</v>
      </c>
      <c r="AL197" s="65">
        <f t="shared" si="84"/>
        <v>16.493298071554577</v>
      </c>
    </row>
    <row r="198" spans="4:40">
      <c r="D198" s="63" t="s">
        <v>247</v>
      </c>
      <c r="E198" s="7" t="s">
        <v>101</v>
      </c>
      <c r="K198" s="10">
        <f>K194/20000000000</f>
        <v>2.5062524698057391E-3</v>
      </c>
    </row>
    <row r="199" spans="4:40">
      <c r="D199" s="7"/>
      <c r="E199" s="7"/>
      <c r="K199" s="10"/>
    </row>
    <row r="200" spans="4:40">
      <c r="D200" s="7"/>
      <c r="E200" s="7"/>
      <c r="K200" s="10"/>
    </row>
    <row r="201" spans="4:40">
      <c r="D201" s="110" t="s">
        <v>348</v>
      </c>
      <c r="E201" s="110" t="s">
        <v>211</v>
      </c>
      <c r="F201" s="110"/>
      <c r="G201" s="110"/>
      <c r="H201" s="110"/>
      <c r="I201" s="110"/>
      <c r="J201" s="110"/>
      <c r="K201" s="122">
        <f t="shared" ref="K201:AL201" si="85">K85+K92+K97</f>
        <v>9446804.7750000004</v>
      </c>
      <c r="L201" s="122">
        <f t="shared" si="85"/>
        <v>9561710.1156316809</v>
      </c>
      <c r="M201" s="122">
        <f t="shared" si="85"/>
        <v>10573824.57784687</v>
      </c>
      <c r="N201" s="122">
        <f t="shared" si="85"/>
        <v>27832572.701335274</v>
      </c>
      <c r="O201" s="122">
        <f t="shared" si="85"/>
        <v>28582831.733632732</v>
      </c>
      <c r="P201" s="122">
        <f t="shared" si="85"/>
        <v>31026456.052562669</v>
      </c>
      <c r="Q201" s="122">
        <f t="shared" si="85"/>
        <v>40878961.024009615</v>
      </c>
      <c r="R201" s="122">
        <f t="shared" si="85"/>
        <v>44129378.259496078</v>
      </c>
      <c r="S201" s="122">
        <f t="shared" si="85"/>
        <v>58461203.867314339</v>
      </c>
      <c r="T201" s="122">
        <f t="shared" si="85"/>
        <v>63090557.570207946</v>
      </c>
      <c r="U201" s="122">
        <f t="shared" si="85"/>
        <v>68096928.02866362</v>
      </c>
      <c r="V201" s="122">
        <f t="shared" si="85"/>
        <v>73511773.591609806</v>
      </c>
      <c r="W201" s="122">
        <f t="shared" si="85"/>
        <v>79369231.499299094</v>
      </c>
      <c r="X201" s="122">
        <f t="shared" si="85"/>
        <v>85706349.863915101</v>
      </c>
      <c r="Y201" s="122">
        <f t="shared" si="85"/>
        <v>92563340.014413089</v>
      </c>
      <c r="Z201" s="122">
        <f t="shared" si="85"/>
        <v>99983851.013093799</v>
      </c>
      <c r="AA201" s="122">
        <f t="shared" si="85"/>
        <v>108015268.31328321</v>
      </c>
      <c r="AB201" s="122">
        <f t="shared" si="85"/>
        <v>115373395.14546074</v>
      </c>
      <c r="AC201" s="122">
        <f t="shared" si="85"/>
        <v>126561326.61439615</v>
      </c>
      <c r="AD201" s="122">
        <f t="shared" si="85"/>
        <v>136226821.55764991</v>
      </c>
      <c r="AE201" s="122">
        <f t="shared" si="85"/>
        <v>146653903.30046189</v>
      </c>
      <c r="AF201" s="122">
        <f t="shared" si="85"/>
        <v>157883750.37933874</v>
      </c>
      <c r="AG201" s="122">
        <f t="shared" si="85"/>
        <v>170044872.77347887</v>
      </c>
      <c r="AH201" s="122">
        <f t="shared" si="85"/>
        <v>183148038.28870961</v>
      </c>
      <c r="AI201" s="122">
        <f t="shared" si="85"/>
        <v>197292253.59302598</v>
      </c>
      <c r="AJ201" s="122">
        <f t="shared" si="85"/>
        <v>212538346.26523629</v>
      </c>
      <c r="AK201" s="122">
        <f t="shared" si="85"/>
        <v>229050958.13847432</v>
      </c>
      <c r="AL201" s="122">
        <f t="shared" si="85"/>
        <v>246857381.64852959</v>
      </c>
    </row>
    <row r="202" spans="4:40">
      <c r="D202" t="s">
        <v>336</v>
      </c>
      <c r="E202" t="s">
        <v>211</v>
      </c>
      <c r="K202" s="65">
        <f>K201+K196</f>
        <v>59888244.656217523</v>
      </c>
      <c r="L202" s="65">
        <f t="shared" ref="L202:AL202" si="86">L201+L196</f>
        <v>68760742.441113904</v>
      </c>
      <c r="M202" s="65">
        <f t="shared" si="86"/>
        <v>63769945.135506272</v>
      </c>
      <c r="N202" s="65">
        <f t="shared" si="86"/>
        <v>93272739.230395228</v>
      </c>
      <c r="O202" s="65">
        <f t="shared" si="86"/>
        <v>30659454.176288966</v>
      </c>
      <c r="P202" s="65">
        <f t="shared" si="86"/>
        <v>33297450.355851527</v>
      </c>
      <c r="Q202" s="65">
        <f t="shared" si="86"/>
        <v>43796738.649289511</v>
      </c>
      <c r="R202" s="65">
        <f t="shared" si="86"/>
        <v>47320259.870502174</v>
      </c>
      <c r="S202" s="65">
        <f t="shared" si="86"/>
        <v>62609283.739854358</v>
      </c>
      <c r="T202" s="65">
        <f t="shared" si="86"/>
        <v>67626897.718817711</v>
      </c>
      <c r="U202" s="65">
        <f t="shared" si="86"/>
        <v>73057869.615183264</v>
      </c>
      <c r="V202" s="65">
        <f t="shared" si="86"/>
        <v>78937059.310627684</v>
      </c>
      <c r="W202" s="65">
        <f t="shared" si="86"/>
        <v>85302323.961617053</v>
      </c>
      <c r="X202" s="65">
        <f t="shared" si="86"/>
        <v>92194779.780706018</v>
      </c>
      <c r="Y202" s="65">
        <f t="shared" si="86"/>
        <v>99659086.971415624</v>
      </c>
      <c r="Z202" s="65">
        <f t="shared" si="86"/>
        <v>107743759.88527177</v>
      </c>
      <c r="AA202" s="65">
        <f t="shared" si="86"/>
        <v>116501504.65589704</v>
      </c>
      <c r="AB202" s="65">
        <f t="shared" si="86"/>
        <v>121588055.67708929</v>
      </c>
      <c r="AC202" s="65">
        <f t="shared" si="86"/>
        <v>288749954.47007728</v>
      </c>
      <c r="AD202" s="65">
        <f t="shared" si="86"/>
        <v>308451120.13682926</v>
      </c>
      <c r="AE202" s="65">
        <f t="shared" si="86"/>
        <v>329544500.29223132</v>
      </c>
      <c r="AF202" s="65">
        <f t="shared" si="86"/>
        <v>351613326.37275398</v>
      </c>
      <c r="AG202" s="65">
        <f t="shared" si="86"/>
        <v>376324645.825297</v>
      </c>
      <c r="AH202" s="65">
        <f t="shared" si="86"/>
        <v>402239920.77794743</v>
      </c>
      <c r="AI202" s="65">
        <f t="shared" si="86"/>
        <v>430005718.32381213</v>
      </c>
      <c r="AJ202" s="65">
        <f t="shared" si="86"/>
        <v>459105957.52138495</v>
      </c>
      <c r="AK202" s="65">
        <f t="shared" si="86"/>
        <v>491649034.53832448</v>
      </c>
      <c r="AL202" s="65">
        <f t="shared" si="86"/>
        <v>525833995.04302019</v>
      </c>
      <c r="AM202" s="65">
        <f>SUM(M202:AL202)/10^6</f>
        <v>5180.8553820359903</v>
      </c>
      <c r="AN202" s="65">
        <f>'BaU Model'!AM191-'Initiative 5 Model'!AM202</f>
        <v>1262.8258090725922</v>
      </c>
    </row>
    <row r="203" spans="4:40">
      <c r="D203" s="109" t="s">
        <v>336</v>
      </c>
      <c r="E203" s="110" t="s">
        <v>337</v>
      </c>
      <c r="F203" s="110"/>
      <c r="G203" s="110"/>
      <c r="H203" s="110"/>
      <c r="I203" s="110"/>
      <c r="J203" s="110">
        <f>K203/K105</f>
        <v>6.3395239006849824</v>
      </c>
      <c r="K203" s="113">
        <f t="shared" ref="K203:AL203" si="87">K202/K26</f>
        <v>310.30178578351047</v>
      </c>
      <c r="L203" s="113">
        <f t="shared" si="87"/>
        <v>377.30464026423408</v>
      </c>
      <c r="M203" s="113">
        <f t="shared" si="87"/>
        <v>335.61637369948198</v>
      </c>
      <c r="N203" s="113">
        <f t="shared" si="87"/>
        <v>196.13311786237333</v>
      </c>
      <c r="O203" s="113">
        <f t="shared" si="87"/>
        <v>59.457703746398018</v>
      </c>
      <c r="P203" s="113">
        <f t="shared" si="87"/>
        <v>64.573554616628527</v>
      </c>
      <c r="Q203" s="113">
        <f t="shared" si="87"/>
        <v>72.294930122017874</v>
      </c>
      <c r="R203" s="113">
        <f t="shared" si="87"/>
        <v>78.111178736117566</v>
      </c>
      <c r="S203" s="113">
        <f t="shared" si="87"/>
        <v>86.941451887431143</v>
      </c>
      <c r="T203" s="113">
        <f t="shared" si="87"/>
        <v>93.909087009314092</v>
      </c>
      <c r="U203" s="113">
        <f t="shared" si="87"/>
        <v>101.45072546331367</v>
      </c>
      <c r="V203" s="113">
        <f t="shared" si="87"/>
        <v>109.61477490632285</v>
      </c>
      <c r="W203" s="113">
        <f t="shared" si="87"/>
        <v>118.4538051163504</v>
      </c>
      <c r="X203" s="113">
        <f t="shared" si="87"/>
        <v>128.02491151123346</v>
      </c>
      <c r="Y203" s="113">
        <f t="shared" si="87"/>
        <v>138.39011081922342</v>
      </c>
      <c r="Z203" s="113">
        <f t="shared" si="87"/>
        <v>149.61677177395035</v>
      </c>
      <c r="AA203" s="113">
        <f t="shared" si="87"/>
        <v>161.77808396498946</v>
      </c>
      <c r="AB203" s="113">
        <f t="shared" si="87"/>
        <v>168.84144748659517</v>
      </c>
      <c r="AC203" s="113">
        <f t="shared" si="87"/>
        <v>400.96833527705445</v>
      </c>
      <c r="AD203" s="113">
        <f t="shared" si="87"/>
        <v>428.3260663454887</v>
      </c>
      <c r="AE203" s="113">
        <f t="shared" si="87"/>
        <v>457.61707538408609</v>
      </c>
      <c r="AF203" s="113">
        <f t="shared" si="87"/>
        <v>488.26262291764601</v>
      </c>
      <c r="AG203" s="113">
        <f t="shared" si="87"/>
        <v>522.57762962152572</v>
      </c>
      <c r="AH203" s="113">
        <f t="shared" si="87"/>
        <v>558.56449124746655</v>
      </c>
      <c r="AI203" s="113">
        <f t="shared" si="87"/>
        <v>597.12105358541419</v>
      </c>
      <c r="AJ203" s="113">
        <f t="shared" si="87"/>
        <v>637.53066850164453</v>
      </c>
      <c r="AK203" s="113">
        <f t="shared" si="87"/>
        <v>682.72112901694629</v>
      </c>
      <c r="AL203" s="113">
        <f t="shared" si="87"/>
        <v>730.19156664951799</v>
      </c>
    </row>
    <row r="204" spans="4:40">
      <c r="E204" t="s">
        <v>108</v>
      </c>
      <c r="J204">
        <f>K204/K106</f>
        <v>5.9665863957588288</v>
      </c>
      <c r="K204" s="65">
        <f>K202/Inputs!E34</f>
        <v>18.691043101812905</v>
      </c>
      <c r="L204" s="65">
        <f>L202/Inputs!F34</f>
        <v>22.801489721405648</v>
      </c>
      <c r="M204" s="65">
        <f>M202/Inputs!G34</f>
        <v>20.295307039745762</v>
      </c>
      <c r="N204" s="65">
        <f>N202/Inputs!H34</f>
        <v>33.871226206817333</v>
      </c>
      <c r="O204" s="65">
        <f t="shared" ref="O204:AL204" si="88">O202/O65</f>
        <v>9.5687756883951476</v>
      </c>
      <c r="P204" s="65">
        <f t="shared" si="88"/>
        <v>10.392090857802147</v>
      </c>
      <c r="Q204" s="65">
        <f t="shared" si="88"/>
        <v>13.668905049928171</v>
      </c>
      <c r="R204" s="65">
        <f t="shared" si="88"/>
        <v>14.768591430684381</v>
      </c>
      <c r="S204" s="65">
        <f t="shared" si="88"/>
        <v>19.540275853347453</v>
      </c>
      <c r="T204" s="65">
        <f t="shared" si="88"/>
        <v>21.106266636470636</v>
      </c>
      <c r="U204" s="65">
        <f t="shared" si="88"/>
        <v>22.80126588686467</v>
      </c>
      <c r="V204" s="65">
        <f t="shared" si="88"/>
        <v>24.636153328166181</v>
      </c>
      <c r="W204" s="65">
        <f t="shared" si="88"/>
        <v>26.622744129567081</v>
      </c>
      <c r="X204" s="65">
        <f t="shared" si="88"/>
        <v>28.773870607416828</v>
      </c>
      <c r="Y204" s="65">
        <f t="shared" si="88"/>
        <v>31.103471153026423</v>
      </c>
      <c r="Z204" s="65">
        <f t="shared" si="88"/>
        <v>33.626687032275882</v>
      </c>
      <c r="AA204" s="65">
        <f t="shared" si="88"/>
        <v>18.854146660020607</v>
      </c>
      <c r="AB204" s="65">
        <f t="shared" si="88"/>
        <v>19.677334130693175</v>
      </c>
      <c r="AC204" s="65">
        <f t="shared" si="88"/>
        <v>46.730160316238802</v>
      </c>
      <c r="AD204" s="65">
        <f t="shared" si="88"/>
        <v>49.918519710835703</v>
      </c>
      <c r="AE204" s="65">
        <f t="shared" si="88"/>
        <v>53.332189638792194</v>
      </c>
      <c r="AF204" s="65">
        <f t="shared" si="88"/>
        <v>56.903721910118961</v>
      </c>
      <c r="AG204" s="65">
        <f t="shared" si="88"/>
        <v>60.902904946398166</v>
      </c>
      <c r="AH204" s="65">
        <f t="shared" si="88"/>
        <v>65.09693141957726</v>
      </c>
      <c r="AI204" s="65">
        <f t="shared" si="88"/>
        <v>69.59043921253155</v>
      </c>
      <c r="AJ204" s="65">
        <f t="shared" si="88"/>
        <v>74.299907809467356</v>
      </c>
      <c r="AK204" s="65">
        <f t="shared" si="88"/>
        <v>79.566551778212585</v>
      </c>
      <c r="AL204" s="65">
        <f t="shared" si="88"/>
        <v>85.098911732071087</v>
      </c>
    </row>
    <row r="206" spans="4:40">
      <c r="M206" s="65"/>
      <c r="N206" s="65"/>
      <c r="O206" s="65"/>
      <c r="P206" s="65"/>
      <c r="Q206" s="65"/>
      <c r="R206" s="65"/>
      <c r="S206" s="65"/>
      <c r="T206" s="65"/>
      <c r="U206" s="65"/>
      <c r="V206" s="65"/>
      <c r="W206" s="65"/>
      <c r="X206" s="65"/>
      <c r="Y206" s="65"/>
      <c r="Z206" s="65"/>
      <c r="AA206" s="65"/>
      <c r="AB206" s="65"/>
      <c r="AC206" s="65"/>
      <c r="AD206" s="65"/>
      <c r="AE206" s="65"/>
      <c r="AF206" s="65"/>
      <c r="AG206" s="65"/>
      <c r="AH206" s="65"/>
      <c r="AI206" s="65"/>
      <c r="AJ206" s="65"/>
      <c r="AK206" s="65"/>
      <c r="AL206" s="65"/>
    </row>
  </sheetData>
  <conditionalFormatting sqref="K6:AL6">
    <cfRule type="cellIs" dxfId="1" priority="2" operator="equal">
      <formula>1</formula>
    </cfRule>
  </conditionalFormatting>
  <conditionalFormatting sqref="K7:AL7">
    <cfRule type="cellIs" dxfId="0" priority="1" operator="equal">
      <formula>1</formula>
    </cfRule>
  </conditionalFormatting>
  <pageMargins left="0.7" right="0.7" top="0.75" bottom="0.75" header="0.3" footer="0.3"/>
  <pageSetup paperSize="9" orientation="portrait" r:id="rId1"/>
  <drawing r:id="rId2"/>
  <legacy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6F590-BA99-4BF1-A268-AF9E3C8F4B76}">
  <dimension ref="A2:B3"/>
  <sheetViews>
    <sheetView workbookViewId="0">
      <selection activeCell="A4" sqref="A4"/>
    </sheetView>
  </sheetViews>
  <sheetFormatPr defaultRowHeight="12.75"/>
  <cols>
    <col min="1" max="1" width="10" customWidth="1"/>
  </cols>
  <sheetData>
    <row r="2" spans="1:2">
      <c r="A2" s="43" t="s">
        <v>336</v>
      </c>
    </row>
    <row r="3" spans="1:2">
      <c r="A3" s="146" t="s">
        <v>404</v>
      </c>
      <c r="B3" s="7" t="s">
        <v>532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EDCD3F52CAF54C9ACE0F30D67355F6" ma:contentTypeVersion="11" ma:contentTypeDescription="Create a new document." ma:contentTypeScope="" ma:versionID="4eb62d667feb007f79b137af690a91b7">
  <xsd:schema xmlns:xsd="http://www.w3.org/2001/XMLSchema" xmlns:xs="http://www.w3.org/2001/XMLSchema" xmlns:p="http://schemas.microsoft.com/office/2006/metadata/properties" xmlns:ns2="3d7a3fc0-7077-478f-8e97-31896a4184ab" xmlns:ns3="a524e735-2ee7-4722-b5fc-99142d3dba88" targetNamespace="http://schemas.microsoft.com/office/2006/metadata/properties" ma:root="true" ma:fieldsID="e5e917fa7751e52bc8cae99726610166" ns2:_="" ns3:_="">
    <xsd:import namespace="3d7a3fc0-7077-478f-8e97-31896a4184ab"/>
    <xsd:import namespace="a524e735-2ee7-4722-b5fc-99142d3dba8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d7a3fc0-7077-478f-8e97-31896a4184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d3a4437e-b409-4d6b-a96b-77ba77abca92"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524e735-2ee7-4722-b5fc-99142d3dba88"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3b84dc55-ed0d-4da1-908d-ac955cec95d2}" ma:internalName="TaxCatchAll" ma:showField="CatchAllData" ma:web="a524e735-2ee7-4722-b5fc-99142d3dba8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a524e735-2ee7-4722-b5fc-99142d3dba88" xsi:nil="true"/>
    <lcf76f155ced4ddcb4097134ff3c332f xmlns="3d7a3fc0-7077-478f-8e97-31896a4184a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178BB72-35F8-4E63-801A-99702AFD85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d7a3fc0-7077-478f-8e97-31896a4184ab"/>
    <ds:schemaRef ds:uri="a524e735-2ee7-4722-b5fc-99142d3dba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FB1FC87-DC68-47FD-A709-09737658E4B5}">
  <ds:schemaRefs>
    <ds:schemaRef ds:uri="http://schemas.microsoft.com/sharepoint/v3/contenttype/forms"/>
  </ds:schemaRefs>
</ds:datastoreItem>
</file>

<file path=customXml/itemProps3.xml><?xml version="1.0" encoding="utf-8"?>
<ds:datastoreItem xmlns:ds="http://schemas.openxmlformats.org/officeDocument/2006/customXml" ds:itemID="{835AFF3D-910F-4BA5-96DF-0EF718A8A6D6}">
  <ds:schemaRefs>
    <ds:schemaRef ds:uri="http://www.w3.org/XML/1998/namespace"/>
    <ds:schemaRef ds:uri="a524e735-2ee7-4722-b5fc-99142d3dba88"/>
    <ds:schemaRef ds:uri="http://schemas.microsoft.com/office/2006/documentManagement/types"/>
    <ds:schemaRef ds:uri="http://purl.org/dc/terms/"/>
    <ds:schemaRef ds:uri="http://purl.org/dc/elements/1.1/"/>
    <ds:schemaRef ds:uri="http://purl.org/dc/dcmitype/"/>
    <ds:schemaRef ds:uri="http://schemas.microsoft.com/office/infopath/2007/PartnerControls"/>
    <ds:schemaRef ds:uri="http://schemas.openxmlformats.org/package/2006/metadata/core-properties"/>
    <ds:schemaRef ds:uri="3d7a3fc0-7077-478f-8e97-31896a4184ab"/>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18</vt:i4>
      </vt:variant>
    </vt:vector>
  </HeadingPairs>
  <TitlesOfParts>
    <vt:vector size="41" baseType="lpstr">
      <vt:lpstr>Sheet1</vt:lpstr>
      <vt:lpstr>Blank (2)</vt:lpstr>
      <vt:lpstr>Cover</vt:lpstr>
      <vt:lpstr>Notes</vt:lpstr>
      <vt:lpstr>Legend</vt:lpstr>
      <vt:lpstr>Names</vt:lpstr>
      <vt:lpstr>Inputs</vt:lpstr>
      <vt:lpstr>BaU Model</vt:lpstr>
      <vt:lpstr>Strategic Model</vt:lpstr>
      <vt:lpstr>Availability Model</vt:lpstr>
      <vt:lpstr>Results</vt:lpstr>
      <vt:lpstr>Graphs</vt:lpstr>
      <vt:lpstr>Scenarios</vt:lpstr>
      <vt:lpstr>Scenario Graphs</vt:lpstr>
      <vt:lpstr>Risk exposure pessimistic view</vt:lpstr>
      <vt:lpstr>Timing</vt:lpstr>
      <vt:lpstr>Sheet2</vt:lpstr>
      <vt:lpstr>Initiative 1 Model</vt:lpstr>
      <vt:lpstr>Initiative 2 Model</vt:lpstr>
      <vt:lpstr>Initiative 3 Model</vt:lpstr>
      <vt:lpstr>Initiative 4 Model</vt:lpstr>
      <vt:lpstr>Initiative 5 Model</vt:lpstr>
      <vt:lpstr>Impact calcs</vt:lpstr>
      <vt:lpstr>GreenLight</vt:lpstr>
      <vt:lpstr>Hrs_Day</vt:lpstr>
      <vt:lpstr>JIBAR</vt:lpstr>
      <vt:lpstr>List_YesNo</vt:lpstr>
      <vt:lpstr>Million</vt:lpstr>
      <vt:lpstr>Model_Start</vt:lpstr>
      <vt:lpstr>Model_Tolerance</vt:lpstr>
      <vt:lpstr>Months_Qtr</vt:lpstr>
      <vt:lpstr>Months_Yr</vt:lpstr>
      <vt:lpstr>Name_Model</vt:lpstr>
      <vt:lpstr>OrangeLight</vt:lpstr>
      <vt:lpstr>PRIME</vt:lpstr>
      <vt:lpstr>Qtrs_Yr</vt:lpstr>
      <vt:lpstr>RedLight</vt:lpstr>
      <vt:lpstr>Rounding</vt:lpstr>
      <vt:lpstr>Thousand</vt:lpstr>
      <vt:lpstr>Verysmallnumber</vt:lpstr>
      <vt:lpstr>YellowLight</vt:lpstr>
    </vt:vector>
  </TitlesOfParts>
  <Company>Navigator Project Finance Pty Ltd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Training Model</dc:title>
  <dc:creator>Mike Smith</dc:creator>
  <dc:description>Contact Details:-_x000d_
Navigator Project Finance Pty Ltd_x000d_
www.navigatorPF.com</dc:description>
  <cp:lastModifiedBy>Theasha Naidoo</cp:lastModifiedBy>
  <cp:lastPrinted>2016-07-18T10:11:32Z</cp:lastPrinted>
  <dcterms:created xsi:type="dcterms:W3CDTF">1996-10-14T23:33:28Z</dcterms:created>
  <dcterms:modified xsi:type="dcterms:W3CDTF">2026-04-20T09:44:25Z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0x0101007FEDCD3F52CAF54C9ACE0F30D67355F6</vt:lpwstr>
  </property>
  <property fmtid="{D5CDD505-2E9C-101B-9397-08002B2CF9AE}" pid="3" name="MediaServiceImageTags">
    <vt:lpwstr/>
  </property>
</Properties>
</file>